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queryTables/queryTable1.xml" ContentType="application/vnd.openxmlformats-officedocument.spreadsheetml.queryTable+xml"/>
  <Override PartName="/xl/tables/table32.xml" ContentType="application/vnd.openxmlformats-officedocument.spreadsheetml.table+xml"/>
  <Override PartName="/xl/queryTables/queryTable2.xml" ContentType="application/vnd.openxmlformats-officedocument.spreadsheetml.queryTable+xml"/>
  <Override PartName="/xl/tables/table33.xml" ContentType="application/vnd.openxmlformats-officedocument.spreadsheetml.table+xml"/>
  <Override PartName="/xl/queryTables/queryTable3.xml" ContentType="application/vnd.openxmlformats-officedocument.spreadsheetml.query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nnoubi\Desktop\"/>
    </mc:Choice>
  </mc:AlternateContent>
  <xr:revisionPtr revIDLastSave="0" documentId="13_ncr:1_{4FC2774B-A92E-4FD5-BE9D-E739116C1A27}" xr6:coauthVersionLast="47" xr6:coauthVersionMax="47" xr10:uidLastSave="{00000000-0000-0000-0000-000000000000}"/>
  <bookViews>
    <workbookView xWindow="-108" yWindow="-108" windowWidth="23256" windowHeight="12576" firstSheet="30" activeTab="32" xr2:uid="{467EB4F8-623A-4F30-862C-F86DAACEEDCF}"/>
  </bookViews>
  <sheets>
    <sheet name="Programmation 25-27_20241016" sheetId="31" state="hidden" r:id="rId1"/>
    <sheet name="ProgProp25-27_2024-11-13" sheetId="38" state="hidden" r:id="rId2"/>
    <sheet name="Planification 25-35_2024-12-18" sheetId="41" state="hidden" r:id="rId3"/>
    <sheet name="ProgProp25-27_2024-01-17" sheetId="42" state="hidden" r:id="rId4"/>
    <sheet name="ProgProp25-27_2025-02-10" sheetId="43" state="hidden" r:id="rId5"/>
    <sheet name="Planification 25-35_2025-02-10" sheetId="44" state="hidden" r:id="rId6"/>
    <sheet name="ProgInitial_25-27_2025-04-08" sheetId="47" state="hidden" r:id="rId7"/>
    <sheet name="Planification_25-35_2025-04-08" sheetId="48" state="hidden" r:id="rId8"/>
    <sheet name="ProgProp25-27_2025-03-31" sheetId="45" state="hidden" r:id="rId9"/>
    <sheet name="Planification_25-35_2025-03-31" sheetId="46" state="hidden" r:id="rId10"/>
    <sheet name="Travaux_2025_Maj_2025-07-08" sheetId="62" state="hidden" r:id="rId11"/>
    <sheet name="Travaux_2026_Maj_2025-07-08" sheetId="63" state="hidden" r:id="rId12"/>
    <sheet name="Travaux_2025_Maj_2025-04-24" sheetId="54" state="hidden" r:id="rId13"/>
    <sheet name="Travaux_2026_Maj_2025-04-24" sheetId="58" state="hidden" r:id="rId14"/>
    <sheet name="Portefeuille_MNT_PPS_2025-07-03" sheetId="61" state="hidden" r:id="rId15"/>
    <sheet name="Portefeuille_26-36_2025-07-03" sheetId="60" state="hidden" r:id="rId16"/>
    <sheet name="Préparation_2025" sheetId="51" state="hidden" r:id="rId17"/>
    <sheet name="Travaux_2025_2025-06-16" sheetId="59" state="hidden" r:id="rId18"/>
    <sheet name="Travaux_2025" sheetId="49" r:id="rId19"/>
    <sheet name="Travaux_2026" sheetId="56" state="hidden" r:id="rId20"/>
    <sheet name="Portefeuille_26-36_2025-09-03" sheetId="66" state="hidden" r:id="rId21"/>
    <sheet name="Portefeuille_MNT_PPS_2025-09-16" sheetId="69" state="hidden" r:id="rId22"/>
    <sheet name="Portefeuille_MNT_PPS_2025-09-17" sheetId="70" state="hidden" r:id="rId23"/>
    <sheet name="Portefeuille_MNT_PPS_2025-09-18" sheetId="71" state="hidden" r:id="rId24"/>
    <sheet name="Portefeuille_ProgProp25-27" sheetId="29" state="hidden" r:id="rId25"/>
    <sheet name="Portefeuille_MNT_PPS_2025-10-01" sheetId="76" state="hidden" r:id="rId26"/>
    <sheet name="Progr_Prop_26-28_2025-10-15" sheetId="78" state="hidden" r:id="rId27"/>
    <sheet name="Portefeuille_26-36_2025-10-15" sheetId="79" state="hidden" r:id="rId28"/>
    <sheet name="Programmation Proposée 26-28" sheetId="75" r:id="rId29"/>
    <sheet name="Instructions" sheetId="103" r:id="rId30"/>
    <sheet name="PROGRAMMATION 26-28" sheetId="101" r:id="rId31"/>
    <sheet name="PLANIFICATION 26-36" sheetId="102" r:id="rId32"/>
    <sheet name="PLANNIF" sheetId="105" r:id="rId33"/>
    <sheet name="Indice_État_Infra_26-28" sheetId="67" state="hidden" r:id="rId34"/>
    <sheet name="Projet_Annoncé_SCT" sheetId="68" state="hidden" r:id="rId35"/>
    <sheet name="État Infra et Priorité site" sheetId="39" state="hidden" r:id="rId36"/>
    <sheet name="Portefeuille_MNT_PROGR_PREV" sheetId="23" state="hidden" r:id="rId37"/>
  </sheets>
  <definedNames>
    <definedName name="DonnéesExternes_1" localSheetId="31" hidden="1">'PLANIFICATION 26-36'!$A$18:$BJ$119</definedName>
    <definedName name="DonnéesExternes_1" localSheetId="24" hidden="1">'Portefeuille_ProgProp25-27'!$A$17:$BB$84</definedName>
    <definedName name="DonnéesExternes_1" localSheetId="16" hidden="1">Préparation_2025!$A$17:$BA$84</definedName>
    <definedName name="DonnéesExternes_1" localSheetId="30" hidden="1">'PROGRAMMATION 26-28'!$A$18:$BJ$119</definedName>
    <definedName name="DonnéesExternes_1" localSheetId="28" hidden="1">'Programmation Proposée 26-28'!$A$18:$BF$55</definedName>
    <definedName name="DonnéesExternes_1" localSheetId="18" hidden="1">Travaux_2025!$A$14:$BC$36</definedName>
    <definedName name="DonnéesExternes_1" localSheetId="19" hidden="1">Travaux_2026!$A$14:$BF$26</definedName>
    <definedName name="DonnéesExternes_2" localSheetId="32" hidden="1">PLANNIF!$A$1:$L$1112</definedName>
    <definedName name="DonnéesExternes_2" localSheetId="36" hidden="1">Portefeuille_MNT_PROGR_PREV!$A$5:$BV$143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0" i="102" l="1"/>
  <c r="AH120" i="102"/>
  <c r="AI120" i="102"/>
  <c r="AJ120" i="102"/>
  <c r="AK120" i="102"/>
  <c r="AL120" i="102"/>
  <c r="AM120" i="102"/>
  <c r="AN120" i="102"/>
  <c r="AO120" i="102"/>
  <c r="AP120" i="102"/>
  <c r="AQ120" i="102"/>
  <c r="AR120" i="102"/>
  <c r="AS120" i="102"/>
  <c r="AT120" i="102"/>
  <c r="AU120" i="102"/>
  <c r="AV120" i="102"/>
  <c r="AW120" i="102"/>
  <c r="BH120" i="102"/>
  <c r="R19" i="102"/>
  <c r="R20" i="102"/>
  <c r="R21" i="102"/>
  <c r="R22" i="102"/>
  <c r="R23" i="102"/>
  <c r="R24" i="102"/>
  <c r="R25" i="102"/>
  <c r="R26" i="102"/>
  <c r="R27" i="102"/>
  <c r="R28" i="102"/>
  <c r="R29" i="102"/>
  <c r="R30" i="102"/>
  <c r="R31" i="102"/>
  <c r="R32" i="102"/>
  <c r="R33" i="102"/>
  <c r="R34" i="102"/>
  <c r="R35" i="102"/>
  <c r="R36" i="102"/>
  <c r="R37" i="102"/>
  <c r="R38" i="102"/>
  <c r="R39" i="102"/>
  <c r="R40" i="102"/>
  <c r="R41" i="102"/>
  <c r="R42" i="102"/>
  <c r="R43" i="102"/>
  <c r="R44" i="102"/>
  <c r="R45" i="102"/>
  <c r="R46" i="102"/>
  <c r="R47" i="102"/>
  <c r="R48" i="102"/>
  <c r="R49" i="102"/>
  <c r="R50" i="102"/>
  <c r="R51" i="102"/>
  <c r="R52" i="102"/>
  <c r="R53" i="102"/>
  <c r="R54" i="102"/>
  <c r="R55" i="102"/>
  <c r="R56" i="102"/>
  <c r="R57" i="102"/>
  <c r="R58" i="102"/>
  <c r="R59" i="102"/>
  <c r="R60" i="102"/>
  <c r="R61" i="102"/>
  <c r="R62" i="102"/>
  <c r="R63" i="102"/>
  <c r="R64" i="102"/>
  <c r="R65" i="102"/>
  <c r="R66" i="102"/>
  <c r="R67" i="102"/>
  <c r="R68" i="102"/>
  <c r="R69" i="102"/>
  <c r="R70" i="102"/>
  <c r="R71" i="102"/>
  <c r="R72" i="102"/>
  <c r="R73" i="102"/>
  <c r="R74" i="102"/>
  <c r="R75" i="102"/>
  <c r="R76" i="102"/>
  <c r="R77" i="102"/>
  <c r="R78" i="102"/>
  <c r="R79" i="102"/>
  <c r="R80" i="102"/>
  <c r="R81" i="102"/>
  <c r="R82" i="102"/>
  <c r="R83" i="102"/>
  <c r="R84" i="102"/>
  <c r="R85" i="102"/>
  <c r="R86" i="102"/>
  <c r="R87" i="102"/>
  <c r="R88" i="102"/>
  <c r="R89" i="102"/>
  <c r="R90" i="102"/>
  <c r="R91" i="102"/>
  <c r="R92" i="102"/>
  <c r="R93" i="102"/>
  <c r="R94" i="102"/>
  <c r="R95" i="102"/>
  <c r="R96" i="102"/>
  <c r="R97" i="102"/>
  <c r="R98" i="102"/>
  <c r="R99" i="102"/>
  <c r="R100" i="102"/>
  <c r="R101" i="102"/>
  <c r="R102" i="102"/>
  <c r="R103" i="102"/>
  <c r="R104" i="102"/>
  <c r="R105" i="102"/>
  <c r="R106" i="102"/>
  <c r="R107" i="102"/>
  <c r="R108" i="102"/>
  <c r="R109" i="102"/>
  <c r="R110" i="102"/>
  <c r="R111" i="102"/>
  <c r="R112" i="102"/>
  <c r="R113" i="102"/>
  <c r="R114" i="102"/>
  <c r="R115" i="102"/>
  <c r="R116" i="102"/>
  <c r="R117" i="102"/>
  <c r="R118" i="102"/>
  <c r="R119" i="102"/>
  <c r="S19" i="102"/>
  <c r="S20" i="102"/>
  <c r="S21" i="102"/>
  <c r="S22" i="102"/>
  <c r="S23" i="102"/>
  <c r="S24" i="102"/>
  <c r="S25" i="102"/>
  <c r="S26" i="102"/>
  <c r="S27" i="102"/>
  <c r="S28" i="102"/>
  <c r="S29" i="102"/>
  <c r="S30" i="102"/>
  <c r="S31" i="102"/>
  <c r="S32" i="102"/>
  <c r="S33" i="102"/>
  <c r="S34" i="102"/>
  <c r="S35" i="102"/>
  <c r="S36" i="102"/>
  <c r="S37" i="102"/>
  <c r="S38" i="102"/>
  <c r="S39" i="102"/>
  <c r="S40" i="102"/>
  <c r="S41" i="102"/>
  <c r="S42" i="102"/>
  <c r="S43" i="102"/>
  <c r="S44" i="102"/>
  <c r="S45" i="102"/>
  <c r="S46" i="102"/>
  <c r="S47" i="102"/>
  <c r="S48" i="102"/>
  <c r="S49" i="102"/>
  <c r="S50" i="102"/>
  <c r="S51" i="102"/>
  <c r="S52" i="102"/>
  <c r="S53" i="102"/>
  <c r="S54" i="102"/>
  <c r="S55" i="102"/>
  <c r="S56" i="102"/>
  <c r="S57" i="102"/>
  <c r="S58" i="102"/>
  <c r="S59" i="102"/>
  <c r="S60" i="102"/>
  <c r="S61" i="102"/>
  <c r="S62" i="102"/>
  <c r="S63" i="102"/>
  <c r="S64" i="102"/>
  <c r="S65" i="102"/>
  <c r="S66" i="102"/>
  <c r="S67" i="102"/>
  <c r="S68" i="102"/>
  <c r="S69" i="102"/>
  <c r="S70" i="102"/>
  <c r="S71" i="102"/>
  <c r="S72" i="102"/>
  <c r="S73" i="102"/>
  <c r="S74" i="102"/>
  <c r="S75" i="102"/>
  <c r="S76" i="102"/>
  <c r="S77" i="102"/>
  <c r="S78" i="102"/>
  <c r="S79" i="102"/>
  <c r="S80" i="102"/>
  <c r="S81" i="102"/>
  <c r="S82" i="102"/>
  <c r="S83" i="102"/>
  <c r="S84" i="102"/>
  <c r="S85" i="102"/>
  <c r="S86" i="102"/>
  <c r="S87" i="102"/>
  <c r="S88" i="102"/>
  <c r="S89" i="102"/>
  <c r="S90" i="102"/>
  <c r="S91" i="102"/>
  <c r="S92" i="102"/>
  <c r="S93" i="102"/>
  <c r="S94" i="102"/>
  <c r="S95" i="102"/>
  <c r="S96" i="102"/>
  <c r="S97" i="102"/>
  <c r="S98" i="102"/>
  <c r="S99" i="102"/>
  <c r="S100" i="102"/>
  <c r="S101" i="102"/>
  <c r="S102" i="102"/>
  <c r="S103" i="102"/>
  <c r="S104" i="102"/>
  <c r="S105" i="102"/>
  <c r="S106" i="102"/>
  <c r="S107" i="102"/>
  <c r="S108" i="102"/>
  <c r="S109" i="102"/>
  <c r="S110" i="102"/>
  <c r="S111" i="102"/>
  <c r="S112" i="102"/>
  <c r="S113" i="102"/>
  <c r="S114" i="102"/>
  <c r="S115" i="102"/>
  <c r="S116" i="102"/>
  <c r="S117" i="102"/>
  <c r="S118" i="102"/>
  <c r="S119" i="102"/>
  <c r="T19" i="102"/>
  <c r="T20" i="102"/>
  <c r="T21" i="102"/>
  <c r="T22" i="102"/>
  <c r="T23" i="102"/>
  <c r="T24" i="102"/>
  <c r="T25" i="102"/>
  <c r="T26" i="102"/>
  <c r="T27" i="102"/>
  <c r="T28" i="102"/>
  <c r="T29" i="102"/>
  <c r="T30" i="102"/>
  <c r="T31" i="102"/>
  <c r="T32" i="102"/>
  <c r="T33" i="102"/>
  <c r="T34" i="102"/>
  <c r="T35" i="102"/>
  <c r="T36" i="102"/>
  <c r="T37" i="102"/>
  <c r="T38" i="102"/>
  <c r="T39" i="102"/>
  <c r="T40" i="102"/>
  <c r="T41" i="102"/>
  <c r="T42" i="102"/>
  <c r="T43" i="102"/>
  <c r="T44" i="102"/>
  <c r="T45" i="102"/>
  <c r="T46" i="102"/>
  <c r="T47" i="102"/>
  <c r="T48" i="102"/>
  <c r="T49" i="102"/>
  <c r="T50" i="102"/>
  <c r="T51" i="102"/>
  <c r="T52" i="102"/>
  <c r="T53" i="102"/>
  <c r="T54" i="102"/>
  <c r="T55" i="102"/>
  <c r="T56" i="102"/>
  <c r="T57" i="102"/>
  <c r="T58" i="102"/>
  <c r="T59" i="102"/>
  <c r="T60" i="102"/>
  <c r="T61" i="102"/>
  <c r="T62" i="102"/>
  <c r="T63" i="102"/>
  <c r="T64" i="102"/>
  <c r="T65" i="102"/>
  <c r="T66" i="102"/>
  <c r="T67" i="102"/>
  <c r="T68" i="102"/>
  <c r="T69" i="102"/>
  <c r="T70" i="102"/>
  <c r="T71" i="102"/>
  <c r="T72" i="102"/>
  <c r="T73" i="102"/>
  <c r="T74" i="102"/>
  <c r="T75" i="102"/>
  <c r="T76" i="102"/>
  <c r="T77" i="102"/>
  <c r="T78" i="102"/>
  <c r="T79" i="102"/>
  <c r="T80" i="102"/>
  <c r="T81" i="102"/>
  <c r="T82" i="102"/>
  <c r="T83" i="102"/>
  <c r="T84" i="102"/>
  <c r="T85" i="102"/>
  <c r="T86" i="102"/>
  <c r="T87" i="102"/>
  <c r="T88" i="102"/>
  <c r="T89" i="102"/>
  <c r="T90" i="102"/>
  <c r="T91" i="102"/>
  <c r="T92" i="102"/>
  <c r="T93" i="102"/>
  <c r="T94" i="102"/>
  <c r="T95" i="102"/>
  <c r="T96" i="102"/>
  <c r="T97" i="102"/>
  <c r="T98" i="102"/>
  <c r="T99" i="102"/>
  <c r="T100" i="102"/>
  <c r="T101" i="102"/>
  <c r="T102" i="102"/>
  <c r="T103" i="102"/>
  <c r="T104" i="102"/>
  <c r="T105" i="102"/>
  <c r="T106" i="102"/>
  <c r="T107" i="102"/>
  <c r="T108" i="102"/>
  <c r="T109" i="102"/>
  <c r="T110" i="102"/>
  <c r="T111" i="102"/>
  <c r="T112" i="102"/>
  <c r="T113" i="102"/>
  <c r="T114" i="102"/>
  <c r="T115" i="102"/>
  <c r="T116" i="102"/>
  <c r="T117" i="102"/>
  <c r="T118" i="102"/>
  <c r="T119" i="102"/>
  <c r="U19" i="102"/>
  <c r="U20" i="102"/>
  <c r="U21" i="102"/>
  <c r="U22" i="102"/>
  <c r="U23" i="102"/>
  <c r="U24" i="102"/>
  <c r="U25" i="102"/>
  <c r="U26" i="102"/>
  <c r="U27" i="102"/>
  <c r="U28" i="102"/>
  <c r="U29" i="102"/>
  <c r="U30" i="102"/>
  <c r="U31" i="102"/>
  <c r="U32" i="102"/>
  <c r="U33" i="102"/>
  <c r="U34" i="102"/>
  <c r="U35" i="102"/>
  <c r="U36" i="102"/>
  <c r="U37" i="102"/>
  <c r="U38" i="102"/>
  <c r="U39" i="102"/>
  <c r="U40" i="102"/>
  <c r="U41" i="102"/>
  <c r="U42" i="102"/>
  <c r="U43" i="102"/>
  <c r="U44" i="102"/>
  <c r="U45" i="102"/>
  <c r="U46" i="102"/>
  <c r="U47" i="102"/>
  <c r="U48" i="102"/>
  <c r="U49" i="102"/>
  <c r="U50" i="102"/>
  <c r="U51" i="102"/>
  <c r="U52" i="102"/>
  <c r="U53" i="102"/>
  <c r="U54" i="102"/>
  <c r="U55" i="102"/>
  <c r="U56" i="102"/>
  <c r="U57" i="102"/>
  <c r="U58" i="102"/>
  <c r="U59" i="102"/>
  <c r="U60" i="102"/>
  <c r="U61" i="102"/>
  <c r="U62" i="102"/>
  <c r="U63" i="102"/>
  <c r="U64" i="102"/>
  <c r="U65" i="102"/>
  <c r="U66" i="102"/>
  <c r="U67" i="102"/>
  <c r="U68" i="102"/>
  <c r="U69" i="102"/>
  <c r="U70" i="102"/>
  <c r="U71" i="102"/>
  <c r="U72" i="102"/>
  <c r="U73" i="102"/>
  <c r="U74" i="102"/>
  <c r="U75" i="102"/>
  <c r="U76" i="102"/>
  <c r="U77" i="102"/>
  <c r="U78" i="102"/>
  <c r="U79" i="102"/>
  <c r="U80" i="102"/>
  <c r="U81" i="102"/>
  <c r="U82" i="102"/>
  <c r="U83" i="102"/>
  <c r="U84" i="102"/>
  <c r="U85" i="102"/>
  <c r="U86" i="102"/>
  <c r="U87" i="102"/>
  <c r="U88" i="102"/>
  <c r="U89" i="102"/>
  <c r="U90" i="102"/>
  <c r="U91" i="102"/>
  <c r="U92" i="102"/>
  <c r="U93" i="102"/>
  <c r="U94" i="102"/>
  <c r="U95" i="102"/>
  <c r="U96" i="102"/>
  <c r="U97" i="102"/>
  <c r="U98" i="102"/>
  <c r="U99" i="102"/>
  <c r="U100" i="102"/>
  <c r="U101" i="102"/>
  <c r="U102" i="102"/>
  <c r="U103" i="102"/>
  <c r="U104" i="102"/>
  <c r="U105" i="102"/>
  <c r="U106" i="102"/>
  <c r="U107" i="102"/>
  <c r="U108" i="102"/>
  <c r="U109" i="102"/>
  <c r="U110" i="102"/>
  <c r="U111" i="102"/>
  <c r="U112" i="102"/>
  <c r="U113" i="102"/>
  <c r="U114" i="102"/>
  <c r="U115" i="102"/>
  <c r="U116" i="102"/>
  <c r="U117" i="102"/>
  <c r="U118" i="102"/>
  <c r="U119" i="102"/>
  <c r="V19" i="102"/>
  <c r="V20" i="102"/>
  <c r="V21" i="102"/>
  <c r="V22" i="102"/>
  <c r="V23" i="102"/>
  <c r="V24" i="102"/>
  <c r="V25" i="102"/>
  <c r="V26" i="102"/>
  <c r="V27" i="102"/>
  <c r="V28" i="102"/>
  <c r="V29" i="102"/>
  <c r="V30" i="102"/>
  <c r="V31" i="102"/>
  <c r="V32" i="102"/>
  <c r="V33" i="102"/>
  <c r="V34" i="102"/>
  <c r="V35" i="102"/>
  <c r="V36" i="102"/>
  <c r="V37" i="102"/>
  <c r="V38" i="102"/>
  <c r="V39" i="102"/>
  <c r="V40" i="102"/>
  <c r="V41" i="102"/>
  <c r="V42" i="102"/>
  <c r="V43" i="102"/>
  <c r="V44" i="102"/>
  <c r="V45" i="102"/>
  <c r="V46" i="102"/>
  <c r="V47" i="102"/>
  <c r="V48" i="102"/>
  <c r="V49" i="102"/>
  <c r="V50" i="102"/>
  <c r="V51" i="102"/>
  <c r="V52" i="102"/>
  <c r="V53" i="102"/>
  <c r="V54" i="102"/>
  <c r="V55" i="102"/>
  <c r="V56" i="102"/>
  <c r="V57" i="102"/>
  <c r="V58" i="102"/>
  <c r="V59" i="102"/>
  <c r="V60" i="102"/>
  <c r="V61" i="102"/>
  <c r="V62" i="102"/>
  <c r="V63" i="102"/>
  <c r="V64" i="102"/>
  <c r="V65" i="102"/>
  <c r="V66" i="102"/>
  <c r="V67" i="102"/>
  <c r="V68" i="102"/>
  <c r="V69" i="102"/>
  <c r="V70" i="102"/>
  <c r="V71" i="102"/>
  <c r="V72" i="102"/>
  <c r="V73" i="102"/>
  <c r="V74" i="102"/>
  <c r="V75" i="102"/>
  <c r="V76" i="102"/>
  <c r="V77" i="102"/>
  <c r="V78" i="102"/>
  <c r="V79" i="102"/>
  <c r="V80" i="102"/>
  <c r="V81" i="102"/>
  <c r="V82" i="102"/>
  <c r="V83" i="102"/>
  <c r="V84" i="102"/>
  <c r="V85" i="102"/>
  <c r="V86" i="102"/>
  <c r="V87" i="102"/>
  <c r="V88" i="102"/>
  <c r="V89" i="102"/>
  <c r="V90" i="102"/>
  <c r="V91" i="102"/>
  <c r="V92" i="102"/>
  <c r="V93" i="102"/>
  <c r="V94" i="102"/>
  <c r="V95" i="102"/>
  <c r="V96" i="102"/>
  <c r="V97" i="102"/>
  <c r="V98" i="102"/>
  <c r="V99" i="102"/>
  <c r="V100" i="102"/>
  <c r="V101" i="102"/>
  <c r="V102" i="102"/>
  <c r="V103" i="102"/>
  <c r="V104" i="102"/>
  <c r="V105" i="102"/>
  <c r="V106" i="102"/>
  <c r="V107" i="102"/>
  <c r="V108" i="102"/>
  <c r="V109" i="102"/>
  <c r="V110" i="102"/>
  <c r="V111" i="102"/>
  <c r="V112" i="102"/>
  <c r="V113" i="102"/>
  <c r="V114" i="102"/>
  <c r="V115" i="102"/>
  <c r="V116" i="102"/>
  <c r="V117" i="102"/>
  <c r="V118" i="102"/>
  <c r="V119" i="102"/>
  <c r="W19" i="102"/>
  <c r="W20" i="102"/>
  <c r="W21" i="102"/>
  <c r="W22" i="102"/>
  <c r="W23" i="102"/>
  <c r="W24" i="102"/>
  <c r="W25" i="102"/>
  <c r="W26" i="102"/>
  <c r="W27" i="102"/>
  <c r="W28" i="102"/>
  <c r="W29" i="102"/>
  <c r="W30" i="102"/>
  <c r="W31" i="102"/>
  <c r="W32" i="102"/>
  <c r="W33" i="102"/>
  <c r="W34" i="102"/>
  <c r="W35" i="102"/>
  <c r="W36" i="102"/>
  <c r="W37" i="102"/>
  <c r="W38" i="102"/>
  <c r="W39" i="102"/>
  <c r="W40" i="102"/>
  <c r="W41" i="102"/>
  <c r="W42" i="102"/>
  <c r="W43" i="102"/>
  <c r="W44" i="102"/>
  <c r="W45" i="102"/>
  <c r="W46" i="102"/>
  <c r="W47" i="102"/>
  <c r="W48" i="102"/>
  <c r="W49" i="102"/>
  <c r="W50" i="102"/>
  <c r="W51" i="102"/>
  <c r="W52" i="102"/>
  <c r="W53" i="102"/>
  <c r="W54" i="102"/>
  <c r="W55" i="102"/>
  <c r="W56" i="102"/>
  <c r="W57" i="102"/>
  <c r="W58" i="102"/>
  <c r="W59" i="102"/>
  <c r="W60" i="102"/>
  <c r="W61" i="102"/>
  <c r="W62" i="102"/>
  <c r="W63" i="102"/>
  <c r="W64" i="102"/>
  <c r="W65" i="102"/>
  <c r="W66" i="102"/>
  <c r="W67" i="102"/>
  <c r="W68" i="102"/>
  <c r="W69" i="102"/>
  <c r="W70" i="102"/>
  <c r="W71" i="102"/>
  <c r="W72" i="102"/>
  <c r="W73" i="102"/>
  <c r="W74" i="102"/>
  <c r="W75" i="102"/>
  <c r="W76" i="102"/>
  <c r="W77" i="102"/>
  <c r="W78" i="102"/>
  <c r="W79" i="102"/>
  <c r="W80" i="102"/>
  <c r="W81" i="102"/>
  <c r="W82" i="102"/>
  <c r="W83" i="102"/>
  <c r="W84" i="102"/>
  <c r="W85" i="102"/>
  <c r="W86" i="102"/>
  <c r="W87" i="102"/>
  <c r="W88" i="102"/>
  <c r="W89" i="102"/>
  <c r="W90" i="102"/>
  <c r="W91" i="102"/>
  <c r="W92" i="102"/>
  <c r="W93" i="102"/>
  <c r="W94" i="102"/>
  <c r="W95" i="102"/>
  <c r="W96" i="102"/>
  <c r="W97" i="102"/>
  <c r="W98" i="102"/>
  <c r="W99" i="102"/>
  <c r="W100" i="102"/>
  <c r="W101" i="102"/>
  <c r="W102" i="102"/>
  <c r="W103" i="102"/>
  <c r="W104" i="102"/>
  <c r="W105" i="102"/>
  <c r="W106" i="102"/>
  <c r="W107" i="102"/>
  <c r="W108" i="102"/>
  <c r="W109" i="102"/>
  <c r="W110" i="102"/>
  <c r="W111" i="102"/>
  <c r="W112" i="102"/>
  <c r="W113" i="102"/>
  <c r="W114" i="102"/>
  <c r="W115" i="102"/>
  <c r="W116" i="102"/>
  <c r="W117" i="102"/>
  <c r="W118" i="102"/>
  <c r="W119" i="102"/>
  <c r="AC19" i="102"/>
  <c r="AC20" i="102"/>
  <c r="AC21" i="102"/>
  <c r="AC22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D19" i="102"/>
  <c r="AD20" i="102"/>
  <c r="AD21" i="102"/>
  <c r="AD22" i="102"/>
  <c r="AD23" i="102"/>
  <c r="AD24" i="102"/>
  <c r="AD25" i="102"/>
  <c r="AD26" i="102"/>
  <c r="AD27" i="102"/>
  <c r="AD28" i="102"/>
  <c r="AD29" i="102"/>
  <c r="AD30" i="102"/>
  <c r="AD31" i="102"/>
  <c r="AD32" i="102"/>
  <c r="AD33" i="102"/>
  <c r="AD34" i="102"/>
  <c r="AD35" i="102"/>
  <c r="AD36" i="102"/>
  <c r="AD37" i="102"/>
  <c r="AD38" i="102"/>
  <c r="AD39" i="102"/>
  <c r="AD40" i="102"/>
  <c r="AD41" i="102"/>
  <c r="AD42" i="102"/>
  <c r="AD43" i="102"/>
  <c r="AD44" i="102"/>
  <c r="AD45" i="102"/>
  <c r="AD46" i="102"/>
  <c r="AD47" i="102"/>
  <c r="AD48" i="102"/>
  <c r="AD49" i="102"/>
  <c r="AD50" i="102"/>
  <c r="AD51" i="102"/>
  <c r="AD52" i="102"/>
  <c r="AD53" i="102"/>
  <c r="AD54" i="102"/>
  <c r="AD55" i="102"/>
  <c r="AD56" i="102"/>
  <c r="AD57" i="102"/>
  <c r="AD58" i="102"/>
  <c r="AD59" i="102"/>
  <c r="AD60" i="102"/>
  <c r="AD61" i="102"/>
  <c r="AD62" i="102"/>
  <c r="AD63" i="102"/>
  <c r="AD64" i="102"/>
  <c r="AD65" i="102"/>
  <c r="AD66" i="102"/>
  <c r="AD67" i="102"/>
  <c r="AD68" i="102"/>
  <c r="AD69" i="102"/>
  <c r="AD70" i="102"/>
  <c r="AD71" i="102"/>
  <c r="AD72" i="102"/>
  <c r="AD73" i="102"/>
  <c r="AD74" i="102"/>
  <c r="AD75" i="102"/>
  <c r="AD76" i="102"/>
  <c r="AD77" i="102"/>
  <c r="AD78" i="102"/>
  <c r="AD79" i="102"/>
  <c r="AD80" i="102"/>
  <c r="AD81" i="102"/>
  <c r="AD82" i="102"/>
  <c r="AD83" i="102"/>
  <c r="AD84" i="102"/>
  <c r="AD85" i="102"/>
  <c r="AD86" i="102"/>
  <c r="AD87" i="102"/>
  <c r="AD88" i="102"/>
  <c r="AD89" i="102"/>
  <c r="AD90" i="102"/>
  <c r="AD91" i="102"/>
  <c r="AD92" i="102"/>
  <c r="AD93" i="102"/>
  <c r="AD94" i="102"/>
  <c r="AD95" i="102"/>
  <c r="AD96" i="102"/>
  <c r="AD97" i="102"/>
  <c r="AD98" i="102"/>
  <c r="AD99" i="102"/>
  <c r="AD100" i="102"/>
  <c r="AD101" i="102"/>
  <c r="AD102" i="102"/>
  <c r="AD103" i="102"/>
  <c r="AD104" i="102"/>
  <c r="AD105" i="102"/>
  <c r="AD106" i="102"/>
  <c r="AD107" i="102"/>
  <c r="AD108" i="102"/>
  <c r="AD109" i="102"/>
  <c r="AD110" i="102"/>
  <c r="AD111" i="102"/>
  <c r="AD112" i="102"/>
  <c r="AD113" i="102"/>
  <c r="AD114" i="102"/>
  <c r="AD115" i="102"/>
  <c r="AD116" i="102"/>
  <c r="AD117" i="102"/>
  <c r="AD118" i="102"/>
  <c r="AD119" i="102"/>
  <c r="K120" i="101"/>
  <c r="AH120" i="101"/>
  <c r="AI120" i="101"/>
  <c r="AJ120" i="101"/>
  <c r="AK120" i="101"/>
  <c r="AL120" i="101"/>
  <c r="AM120" i="101"/>
  <c r="AN120" i="101"/>
  <c r="AO120" i="101"/>
  <c r="AP120" i="101"/>
  <c r="AQ120" i="101"/>
  <c r="AR120" i="101"/>
  <c r="AS120" i="101"/>
  <c r="AT120" i="101"/>
  <c r="AU120" i="101"/>
  <c r="AV120" i="101"/>
  <c r="AW120" i="101"/>
  <c r="BH120" i="101"/>
  <c r="T19" i="101"/>
  <c r="T20" i="101"/>
  <c r="T21" i="101"/>
  <c r="T22" i="101"/>
  <c r="T23" i="101"/>
  <c r="T24" i="101"/>
  <c r="T25" i="101"/>
  <c r="T26" i="101"/>
  <c r="T27" i="101"/>
  <c r="T28" i="101"/>
  <c r="T29" i="101"/>
  <c r="T30" i="101"/>
  <c r="T31" i="101"/>
  <c r="T32" i="101"/>
  <c r="T33" i="101"/>
  <c r="T34" i="101"/>
  <c r="T35" i="101"/>
  <c r="T36" i="101"/>
  <c r="T37" i="101"/>
  <c r="T38" i="101"/>
  <c r="T39" i="101"/>
  <c r="T40" i="101"/>
  <c r="T41" i="101"/>
  <c r="T42" i="101"/>
  <c r="T43" i="101"/>
  <c r="T44" i="101"/>
  <c r="T45" i="101"/>
  <c r="T46" i="101"/>
  <c r="T47" i="101"/>
  <c r="T48" i="101"/>
  <c r="T49" i="101"/>
  <c r="T50" i="101"/>
  <c r="T51" i="101"/>
  <c r="T52" i="101"/>
  <c r="T53" i="101"/>
  <c r="T54" i="101"/>
  <c r="T55" i="101"/>
  <c r="T56" i="101"/>
  <c r="T57" i="101"/>
  <c r="T58" i="101"/>
  <c r="T59" i="101"/>
  <c r="T60" i="101"/>
  <c r="T61" i="101"/>
  <c r="T62" i="101"/>
  <c r="T63" i="101"/>
  <c r="T64" i="101"/>
  <c r="T65" i="101"/>
  <c r="T66" i="101"/>
  <c r="T67" i="101"/>
  <c r="T68" i="101"/>
  <c r="T69" i="101"/>
  <c r="T70" i="101"/>
  <c r="T71" i="101"/>
  <c r="T72" i="101"/>
  <c r="T73" i="101"/>
  <c r="T74" i="101"/>
  <c r="T75" i="101"/>
  <c r="T76" i="101"/>
  <c r="T77" i="101"/>
  <c r="T78" i="101"/>
  <c r="T79" i="101"/>
  <c r="T80" i="101"/>
  <c r="T81" i="101"/>
  <c r="T82" i="101"/>
  <c r="T83" i="101"/>
  <c r="T84" i="101"/>
  <c r="T85" i="101"/>
  <c r="T86" i="101"/>
  <c r="T87" i="101"/>
  <c r="T88" i="101"/>
  <c r="T89" i="101"/>
  <c r="T90" i="101"/>
  <c r="T91" i="101"/>
  <c r="T92" i="101"/>
  <c r="T93" i="101"/>
  <c r="T94" i="101"/>
  <c r="T95" i="101"/>
  <c r="T96" i="101"/>
  <c r="T97" i="101"/>
  <c r="T98" i="101"/>
  <c r="T99" i="101"/>
  <c r="T100" i="101"/>
  <c r="T101" i="101"/>
  <c r="T102" i="101"/>
  <c r="T103" i="101"/>
  <c r="T104" i="101"/>
  <c r="T105" i="101"/>
  <c r="T106" i="101"/>
  <c r="T107" i="101"/>
  <c r="T108" i="101"/>
  <c r="T109" i="101"/>
  <c r="T110" i="101"/>
  <c r="T111" i="101"/>
  <c r="T112" i="101"/>
  <c r="T113" i="101"/>
  <c r="T114" i="101"/>
  <c r="T115" i="101"/>
  <c r="T116" i="101"/>
  <c r="T117" i="101"/>
  <c r="T118" i="101"/>
  <c r="T119" i="101"/>
  <c r="U19" i="101"/>
  <c r="U20" i="101"/>
  <c r="U21" i="101"/>
  <c r="U22" i="101"/>
  <c r="U23" i="101"/>
  <c r="U24" i="101"/>
  <c r="U25" i="101"/>
  <c r="U26" i="101"/>
  <c r="U27" i="101"/>
  <c r="U28" i="101"/>
  <c r="U29" i="101"/>
  <c r="U30" i="101"/>
  <c r="U31" i="101"/>
  <c r="U32" i="101"/>
  <c r="U33" i="101"/>
  <c r="U34" i="101"/>
  <c r="U35" i="101"/>
  <c r="U36" i="101"/>
  <c r="U37" i="101"/>
  <c r="U38" i="101"/>
  <c r="U39" i="101"/>
  <c r="U40" i="101"/>
  <c r="U41" i="101"/>
  <c r="U42" i="101"/>
  <c r="U43" i="101"/>
  <c r="U44" i="101"/>
  <c r="U45" i="101"/>
  <c r="U46" i="101"/>
  <c r="U47" i="101"/>
  <c r="U48" i="101"/>
  <c r="U49" i="101"/>
  <c r="U50" i="101"/>
  <c r="U51" i="101"/>
  <c r="U52" i="101"/>
  <c r="U53" i="101"/>
  <c r="U54" i="101"/>
  <c r="U55" i="101"/>
  <c r="U56" i="101"/>
  <c r="U57" i="101"/>
  <c r="U58" i="101"/>
  <c r="U59" i="101"/>
  <c r="U60" i="101"/>
  <c r="U61" i="101"/>
  <c r="U62" i="101"/>
  <c r="U63" i="101"/>
  <c r="U64" i="101"/>
  <c r="U65" i="101"/>
  <c r="U66" i="101"/>
  <c r="U67" i="101"/>
  <c r="U68" i="101"/>
  <c r="U69" i="101"/>
  <c r="U70" i="101"/>
  <c r="U71" i="101"/>
  <c r="U72" i="101"/>
  <c r="U73" i="101"/>
  <c r="U74" i="101"/>
  <c r="U75" i="101"/>
  <c r="U76" i="101"/>
  <c r="U77" i="101"/>
  <c r="U78" i="101"/>
  <c r="U79" i="101"/>
  <c r="U80" i="101"/>
  <c r="U81" i="101"/>
  <c r="U82" i="101"/>
  <c r="U83" i="101"/>
  <c r="U84" i="101"/>
  <c r="U85" i="101"/>
  <c r="U86" i="101"/>
  <c r="U87" i="101"/>
  <c r="U88" i="101"/>
  <c r="U89" i="101"/>
  <c r="U90" i="101"/>
  <c r="U91" i="101"/>
  <c r="U92" i="101"/>
  <c r="U93" i="101"/>
  <c r="U94" i="101"/>
  <c r="U95" i="101"/>
  <c r="U96" i="101"/>
  <c r="U97" i="101"/>
  <c r="U98" i="101"/>
  <c r="U99" i="101"/>
  <c r="U100" i="101"/>
  <c r="U101" i="101"/>
  <c r="U102" i="101"/>
  <c r="U103" i="101"/>
  <c r="U104" i="101"/>
  <c r="U105" i="101"/>
  <c r="U106" i="101"/>
  <c r="U107" i="101"/>
  <c r="U108" i="101"/>
  <c r="U109" i="101"/>
  <c r="U110" i="101"/>
  <c r="U111" i="101"/>
  <c r="U112" i="101"/>
  <c r="U113" i="101"/>
  <c r="U114" i="101"/>
  <c r="U115" i="101"/>
  <c r="U116" i="101"/>
  <c r="U117" i="101"/>
  <c r="U118" i="101"/>
  <c r="U119" i="101"/>
  <c r="V19" i="101"/>
  <c r="V20" i="101"/>
  <c r="V21" i="101"/>
  <c r="V22" i="101"/>
  <c r="V23" i="101"/>
  <c r="V24" i="101"/>
  <c r="V25" i="101"/>
  <c r="V26" i="101"/>
  <c r="V27" i="101"/>
  <c r="V28" i="101"/>
  <c r="V29" i="101"/>
  <c r="V30" i="101"/>
  <c r="V31" i="101"/>
  <c r="V32" i="101"/>
  <c r="V33" i="101"/>
  <c r="V34" i="101"/>
  <c r="V35" i="101"/>
  <c r="V36" i="101"/>
  <c r="V37" i="101"/>
  <c r="V38" i="101"/>
  <c r="V39" i="101"/>
  <c r="V40" i="101"/>
  <c r="V41" i="101"/>
  <c r="V42" i="101"/>
  <c r="V43" i="101"/>
  <c r="V44" i="101"/>
  <c r="V45" i="101"/>
  <c r="V46" i="101"/>
  <c r="V47" i="101"/>
  <c r="V48" i="101"/>
  <c r="V49" i="101"/>
  <c r="V50" i="101"/>
  <c r="V51" i="101"/>
  <c r="V52" i="101"/>
  <c r="V53" i="101"/>
  <c r="V54" i="101"/>
  <c r="V55" i="101"/>
  <c r="V56" i="101"/>
  <c r="V57" i="101"/>
  <c r="V58" i="101"/>
  <c r="V59" i="101"/>
  <c r="V60" i="101"/>
  <c r="V61" i="101"/>
  <c r="V62" i="101"/>
  <c r="V63" i="101"/>
  <c r="V64" i="101"/>
  <c r="V65" i="101"/>
  <c r="V66" i="101"/>
  <c r="V67" i="101"/>
  <c r="V68" i="101"/>
  <c r="V69" i="101"/>
  <c r="V70" i="101"/>
  <c r="V71" i="101"/>
  <c r="V72" i="101"/>
  <c r="V73" i="101"/>
  <c r="V74" i="101"/>
  <c r="V75" i="101"/>
  <c r="V76" i="101"/>
  <c r="V77" i="101"/>
  <c r="V78" i="101"/>
  <c r="V79" i="101"/>
  <c r="V80" i="101"/>
  <c r="V81" i="101"/>
  <c r="V82" i="101"/>
  <c r="V83" i="101"/>
  <c r="V84" i="101"/>
  <c r="V85" i="101"/>
  <c r="V86" i="101"/>
  <c r="V87" i="101"/>
  <c r="V88" i="101"/>
  <c r="V89" i="101"/>
  <c r="V90" i="101"/>
  <c r="V91" i="101"/>
  <c r="V92" i="101"/>
  <c r="V93" i="101"/>
  <c r="V94" i="101"/>
  <c r="V95" i="101"/>
  <c r="V96" i="101"/>
  <c r="V97" i="101"/>
  <c r="V98" i="101"/>
  <c r="V99" i="101"/>
  <c r="V100" i="101"/>
  <c r="V101" i="101"/>
  <c r="V102" i="101"/>
  <c r="V103" i="101"/>
  <c r="V104" i="101"/>
  <c r="V105" i="101"/>
  <c r="V106" i="101"/>
  <c r="V107" i="101"/>
  <c r="V108" i="101"/>
  <c r="V109" i="101"/>
  <c r="V110" i="101"/>
  <c r="V111" i="101"/>
  <c r="V112" i="101"/>
  <c r="V113" i="101"/>
  <c r="V114" i="101"/>
  <c r="V115" i="101"/>
  <c r="V116" i="101"/>
  <c r="V117" i="101"/>
  <c r="V118" i="101"/>
  <c r="V119" i="101"/>
  <c r="W19" i="101"/>
  <c r="W20" i="101"/>
  <c r="W21" i="101"/>
  <c r="W22" i="101"/>
  <c r="W23" i="101"/>
  <c r="W24" i="101"/>
  <c r="W25" i="101"/>
  <c r="W26" i="101"/>
  <c r="W27" i="101"/>
  <c r="W28" i="101"/>
  <c r="W29" i="101"/>
  <c r="W30" i="101"/>
  <c r="W31" i="101"/>
  <c r="W32" i="101"/>
  <c r="W33" i="101"/>
  <c r="W34" i="101"/>
  <c r="W35" i="101"/>
  <c r="W36" i="101"/>
  <c r="W37" i="101"/>
  <c r="W38" i="101"/>
  <c r="W39" i="101"/>
  <c r="W40" i="101"/>
  <c r="W41" i="101"/>
  <c r="W42" i="101"/>
  <c r="W43" i="101"/>
  <c r="W44" i="101"/>
  <c r="W45" i="101"/>
  <c r="W46" i="101"/>
  <c r="W47" i="101"/>
  <c r="W48" i="101"/>
  <c r="W49" i="101"/>
  <c r="W50" i="101"/>
  <c r="W51" i="101"/>
  <c r="W52" i="101"/>
  <c r="W53" i="101"/>
  <c r="W54" i="101"/>
  <c r="W55" i="101"/>
  <c r="W56" i="101"/>
  <c r="W57" i="101"/>
  <c r="W58" i="101"/>
  <c r="W59" i="101"/>
  <c r="W60" i="101"/>
  <c r="W61" i="101"/>
  <c r="W62" i="101"/>
  <c r="W63" i="101"/>
  <c r="W64" i="101"/>
  <c r="W65" i="101"/>
  <c r="W66" i="101"/>
  <c r="W67" i="101"/>
  <c r="W68" i="101"/>
  <c r="W69" i="101"/>
  <c r="W70" i="101"/>
  <c r="W71" i="101"/>
  <c r="W72" i="101"/>
  <c r="W73" i="101"/>
  <c r="W74" i="101"/>
  <c r="W75" i="101"/>
  <c r="W76" i="101"/>
  <c r="W77" i="101"/>
  <c r="W78" i="101"/>
  <c r="W79" i="101"/>
  <c r="W80" i="101"/>
  <c r="W81" i="101"/>
  <c r="W82" i="101"/>
  <c r="W83" i="101"/>
  <c r="W84" i="101"/>
  <c r="W85" i="101"/>
  <c r="W86" i="101"/>
  <c r="W87" i="101"/>
  <c r="W88" i="101"/>
  <c r="W89" i="101"/>
  <c r="W90" i="101"/>
  <c r="W91" i="101"/>
  <c r="W92" i="101"/>
  <c r="W93" i="101"/>
  <c r="W94" i="101"/>
  <c r="W95" i="101"/>
  <c r="W96" i="101"/>
  <c r="W97" i="101"/>
  <c r="W98" i="101"/>
  <c r="W99" i="101"/>
  <c r="W100" i="101"/>
  <c r="W101" i="101"/>
  <c r="W102" i="101"/>
  <c r="W103" i="101"/>
  <c r="W104" i="101"/>
  <c r="W105" i="101"/>
  <c r="W106" i="101"/>
  <c r="W107" i="101"/>
  <c r="W108" i="101"/>
  <c r="W109" i="101"/>
  <c r="W110" i="101"/>
  <c r="W111" i="101"/>
  <c r="W112" i="101"/>
  <c r="W113" i="101"/>
  <c r="W114" i="101"/>
  <c r="W115" i="101"/>
  <c r="W116" i="101"/>
  <c r="W117" i="101"/>
  <c r="W118" i="101"/>
  <c r="W119" i="101"/>
  <c r="X19" i="101"/>
  <c r="X20" i="101"/>
  <c r="X21" i="101"/>
  <c r="X22" i="101"/>
  <c r="X23" i="101"/>
  <c r="X24" i="101"/>
  <c r="X25" i="101"/>
  <c r="X26" i="101"/>
  <c r="X27" i="101"/>
  <c r="X28" i="101"/>
  <c r="X29" i="101"/>
  <c r="X30" i="101"/>
  <c r="X31" i="101"/>
  <c r="X32" i="101"/>
  <c r="X33" i="101"/>
  <c r="X34" i="101"/>
  <c r="X35" i="101"/>
  <c r="X36" i="101"/>
  <c r="X37" i="101"/>
  <c r="X38" i="101"/>
  <c r="X39" i="101"/>
  <c r="X40" i="101"/>
  <c r="X41" i="101"/>
  <c r="X42" i="101"/>
  <c r="X43" i="101"/>
  <c r="X44" i="101"/>
  <c r="X45" i="101"/>
  <c r="X46" i="101"/>
  <c r="X47" i="101"/>
  <c r="X48" i="101"/>
  <c r="X49" i="101"/>
  <c r="X50" i="101"/>
  <c r="X51" i="101"/>
  <c r="X52" i="101"/>
  <c r="X53" i="101"/>
  <c r="X54" i="101"/>
  <c r="X55" i="101"/>
  <c r="X56" i="101"/>
  <c r="X57" i="101"/>
  <c r="X58" i="101"/>
  <c r="X59" i="101"/>
  <c r="X60" i="101"/>
  <c r="X61" i="101"/>
  <c r="X62" i="101"/>
  <c r="X63" i="101"/>
  <c r="X64" i="101"/>
  <c r="X65" i="101"/>
  <c r="X66" i="101"/>
  <c r="X67" i="101"/>
  <c r="X68" i="101"/>
  <c r="X69" i="101"/>
  <c r="X70" i="101"/>
  <c r="X71" i="101"/>
  <c r="X72" i="101"/>
  <c r="X73" i="101"/>
  <c r="X74" i="101"/>
  <c r="X75" i="101"/>
  <c r="X76" i="101"/>
  <c r="X77" i="101"/>
  <c r="X78" i="101"/>
  <c r="X79" i="101"/>
  <c r="X80" i="101"/>
  <c r="X81" i="101"/>
  <c r="X82" i="101"/>
  <c r="X83" i="101"/>
  <c r="X84" i="101"/>
  <c r="X85" i="101"/>
  <c r="X86" i="101"/>
  <c r="X87" i="101"/>
  <c r="X88" i="101"/>
  <c r="X89" i="101"/>
  <c r="X90" i="101"/>
  <c r="X91" i="101"/>
  <c r="X92" i="101"/>
  <c r="X93" i="101"/>
  <c r="X94" i="101"/>
  <c r="X95" i="101"/>
  <c r="X96" i="101"/>
  <c r="X97" i="101"/>
  <c r="X98" i="101"/>
  <c r="X99" i="101"/>
  <c r="X100" i="101"/>
  <c r="X101" i="101"/>
  <c r="X102" i="101"/>
  <c r="X103" i="101"/>
  <c r="X104" i="101"/>
  <c r="X105" i="101"/>
  <c r="X106" i="101"/>
  <c r="X107" i="101"/>
  <c r="X108" i="101"/>
  <c r="X109" i="101"/>
  <c r="X110" i="101"/>
  <c r="X111" i="101"/>
  <c r="X112" i="101"/>
  <c r="X113" i="101"/>
  <c r="X114" i="101"/>
  <c r="X115" i="101"/>
  <c r="X116" i="101"/>
  <c r="X117" i="101"/>
  <c r="X118" i="101"/>
  <c r="X119" i="101"/>
  <c r="Y19" i="101"/>
  <c r="Y20" i="101"/>
  <c r="Y21" i="101"/>
  <c r="Y22" i="101"/>
  <c r="Y23" i="101"/>
  <c r="Y24" i="101"/>
  <c r="Y25" i="101"/>
  <c r="Y26" i="101"/>
  <c r="Y27" i="101"/>
  <c r="Y28" i="101"/>
  <c r="Y29" i="101"/>
  <c r="Y30" i="101"/>
  <c r="Y31" i="101"/>
  <c r="Y32" i="101"/>
  <c r="Y33" i="101"/>
  <c r="Y34" i="101"/>
  <c r="Y35" i="101"/>
  <c r="Y36" i="101"/>
  <c r="Y37" i="101"/>
  <c r="Y38" i="101"/>
  <c r="Y39" i="101"/>
  <c r="Y40" i="101"/>
  <c r="Y41" i="101"/>
  <c r="Y42" i="101"/>
  <c r="Y43" i="101"/>
  <c r="Y44" i="101"/>
  <c r="Y45" i="101"/>
  <c r="Y46" i="101"/>
  <c r="Y47" i="101"/>
  <c r="Y48" i="101"/>
  <c r="Y49" i="101"/>
  <c r="Y50" i="101"/>
  <c r="Y51" i="101"/>
  <c r="Y52" i="101"/>
  <c r="Y53" i="101"/>
  <c r="Y54" i="101"/>
  <c r="Y55" i="101"/>
  <c r="Y56" i="101"/>
  <c r="Y57" i="101"/>
  <c r="Y58" i="101"/>
  <c r="Y59" i="101"/>
  <c r="Y60" i="101"/>
  <c r="Y61" i="101"/>
  <c r="Y62" i="101"/>
  <c r="Y63" i="101"/>
  <c r="Y64" i="101"/>
  <c r="Y65" i="101"/>
  <c r="Y66" i="101"/>
  <c r="Y67" i="101"/>
  <c r="Y68" i="101"/>
  <c r="Y69" i="101"/>
  <c r="Y70" i="101"/>
  <c r="Y71" i="101"/>
  <c r="Y72" i="101"/>
  <c r="Y73" i="101"/>
  <c r="Y74" i="101"/>
  <c r="Y75" i="101"/>
  <c r="Y76" i="101"/>
  <c r="Y77" i="101"/>
  <c r="Y78" i="101"/>
  <c r="Y79" i="101"/>
  <c r="Y80" i="101"/>
  <c r="Y81" i="101"/>
  <c r="Y82" i="101"/>
  <c r="Y83" i="101"/>
  <c r="Y84" i="101"/>
  <c r="Y85" i="101"/>
  <c r="Y86" i="101"/>
  <c r="Y87" i="101"/>
  <c r="Y88" i="101"/>
  <c r="Y89" i="101"/>
  <c r="Y90" i="101"/>
  <c r="Y91" i="101"/>
  <c r="Y92" i="101"/>
  <c r="Y93" i="101"/>
  <c r="Y94" i="101"/>
  <c r="Y95" i="101"/>
  <c r="Y96" i="101"/>
  <c r="Y97" i="101"/>
  <c r="Y98" i="101"/>
  <c r="Y99" i="101"/>
  <c r="Y100" i="101"/>
  <c r="Y101" i="101"/>
  <c r="Y102" i="101"/>
  <c r="Y103" i="101"/>
  <c r="Y104" i="101"/>
  <c r="Y105" i="101"/>
  <c r="Y106" i="101"/>
  <c r="Y107" i="101"/>
  <c r="Y108" i="101"/>
  <c r="Y109" i="101"/>
  <c r="Y110" i="101"/>
  <c r="Y111" i="101"/>
  <c r="Y112" i="101"/>
  <c r="Y113" i="101"/>
  <c r="Y114" i="101"/>
  <c r="Y115" i="101"/>
  <c r="Y116" i="101"/>
  <c r="Y117" i="101"/>
  <c r="Y118" i="101"/>
  <c r="Y119" i="101"/>
  <c r="AE19" i="101"/>
  <c r="AE20" i="101"/>
  <c r="AE21" i="101"/>
  <c r="AE22" i="101"/>
  <c r="AE23" i="101"/>
  <c r="AE24" i="101"/>
  <c r="AE25" i="101"/>
  <c r="AE26" i="101"/>
  <c r="AE27" i="101"/>
  <c r="AE28" i="101"/>
  <c r="AE29" i="101"/>
  <c r="AE30" i="101"/>
  <c r="AE31" i="101"/>
  <c r="AE32" i="101"/>
  <c r="AE33" i="101"/>
  <c r="AE34" i="101"/>
  <c r="AE35" i="101"/>
  <c r="AE36" i="101"/>
  <c r="AE37" i="101"/>
  <c r="AE38" i="101"/>
  <c r="AE39" i="101"/>
  <c r="AE40" i="101"/>
  <c r="AE41" i="101"/>
  <c r="AE42" i="101"/>
  <c r="AE43" i="101"/>
  <c r="AE44" i="101"/>
  <c r="AE45" i="101"/>
  <c r="AE46" i="101"/>
  <c r="AE47" i="101"/>
  <c r="AE48" i="101"/>
  <c r="AE49" i="101"/>
  <c r="AE50" i="101"/>
  <c r="AE51" i="101"/>
  <c r="AE52" i="101"/>
  <c r="AE53" i="101"/>
  <c r="AE54" i="101"/>
  <c r="AE55" i="101"/>
  <c r="AE56" i="101"/>
  <c r="AE57" i="101"/>
  <c r="AE58" i="101"/>
  <c r="AE59" i="101"/>
  <c r="AE60" i="101"/>
  <c r="AE61" i="101"/>
  <c r="AE62" i="101"/>
  <c r="AE63" i="101"/>
  <c r="AE64" i="101"/>
  <c r="AE65" i="101"/>
  <c r="AE66" i="101"/>
  <c r="AE67" i="101"/>
  <c r="AE68" i="101"/>
  <c r="AE69" i="101"/>
  <c r="AE70" i="101"/>
  <c r="AE71" i="101"/>
  <c r="AE72" i="101"/>
  <c r="AE73" i="101"/>
  <c r="AE74" i="101"/>
  <c r="AE75" i="101"/>
  <c r="AE76" i="101"/>
  <c r="AE77" i="101"/>
  <c r="AE78" i="101"/>
  <c r="AE79" i="101"/>
  <c r="AE80" i="101"/>
  <c r="AE81" i="101"/>
  <c r="AE82" i="101"/>
  <c r="AE83" i="101"/>
  <c r="AE84" i="101"/>
  <c r="AE85" i="101"/>
  <c r="AE86" i="101"/>
  <c r="AE87" i="101"/>
  <c r="AE88" i="101"/>
  <c r="AE89" i="101"/>
  <c r="AE90" i="101"/>
  <c r="AE91" i="101"/>
  <c r="AE92" i="101"/>
  <c r="AE93" i="101"/>
  <c r="AE94" i="101"/>
  <c r="AE95" i="101"/>
  <c r="AE96" i="101"/>
  <c r="AE97" i="101"/>
  <c r="AE98" i="101"/>
  <c r="AE99" i="101"/>
  <c r="AE100" i="101"/>
  <c r="AE101" i="101"/>
  <c r="AE102" i="101"/>
  <c r="AE103" i="101"/>
  <c r="AE104" i="101"/>
  <c r="AE105" i="101"/>
  <c r="AE106" i="101"/>
  <c r="AE107" i="101"/>
  <c r="AE108" i="101"/>
  <c r="AE109" i="101"/>
  <c r="AE110" i="101"/>
  <c r="AE111" i="101"/>
  <c r="AE112" i="101"/>
  <c r="AE113" i="101"/>
  <c r="AE114" i="101"/>
  <c r="AE115" i="101"/>
  <c r="AE116" i="101"/>
  <c r="AE117" i="101"/>
  <c r="AE118" i="101"/>
  <c r="AE119" i="101"/>
  <c r="AF19" i="101"/>
  <c r="AF20" i="101"/>
  <c r="AF21" i="101"/>
  <c r="AF22" i="101"/>
  <c r="AF23" i="101"/>
  <c r="AF24" i="101"/>
  <c r="AF25" i="101"/>
  <c r="AF26" i="101"/>
  <c r="AF27" i="101"/>
  <c r="AF28" i="101"/>
  <c r="AF29" i="101"/>
  <c r="AF30" i="101"/>
  <c r="AF31" i="101"/>
  <c r="AF32" i="101"/>
  <c r="AF33" i="101"/>
  <c r="AF34" i="101"/>
  <c r="AF35" i="101"/>
  <c r="AF36" i="101"/>
  <c r="AF37" i="101"/>
  <c r="AF38" i="101"/>
  <c r="AF39" i="101"/>
  <c r="AF40" i="101"/>
  <c r="AF41" i="101"/>
  <c r="AF42" i="101"/>
  <c r="AF43" i="101"/>
  <c r="AF44" i="101"/>
  <c r="AF45" i="101"/>
  <c r="AF46" i="101"/>
  <c r="AF47" i="101"/>
  <c r="AF48" i="101"/>
  <c r="AF49" i="101"/>
  <c r="AF50" i="101"/>
  <c r="AF51" i="101"/>
  <c r="AF52" i="101"/>
  <c r="AF53" i="101"/>
  <c r="AF54" i="101"/>
  <c r="AF55" i="101"/>
  <c r="AF56" i="101"/>
  <c r="AF57" i="101"/>
  <c r="AF58" i="101"/>
  <c r="AF59" i="101"/>
  <c r="AF60" i="101"/>
  <c r="AF61" i="101"/>
  <c r="AF62" i="101"/>
  <c r="AF63" i="101"/>
  <c r="AF64" i="101"/>
  <c r="AF65" i="101"/>
  <c r="AF66" i="101"/>
  <c r="AF67" i="101"/>
  <c r="AF68" i="101"/>
  <c r="AF69" i="101"/>
  <c r="AF70" i="101"/>
  <c r="AF71" i="101"/>
  <c r="AF72" i="101"/>
  <c r="AF73" i="101"/>
  <c r="AF74" i="101"/>
  <c r="AF75" i="101"/>
  <c r="AF76" i="101"/>
  <c r="AF77" i="101"/>
  <c r="AF78" i="101"/>
  <c r="AF79" i="101"/>
  <c r="AF80" i="101"/>
  <c r="AF81" i="101"/>
  <c r="AF82" i="101"/>
  <c r="AF83" i="101"/>
  <c r="AF84" i="101"/>
  <c r="AF85" i="101"/>
  <c r="AF86" i="101"/>
  <c r="AF87" i="101"/>
  <c r="AF88" i="101"/>
  <c r="AF89" i="101"/>
  <c r="AF90" i="101"/>
  <c r="AF91" i="101"/>
  <c r="AF92" i="101"/>
  <c r="AF93" i="101"/>
  <c r="AF94" i="101"/>
  <c r="AF95" i="101"/>
  <c r="AF96" i="101"/>
  <c r="AF97" i="101"/>
  <c r="AF98" i="101"/>
  <c r="AF99" i="101"/>
  <c r="AF100" i="101"/>
  <c r="AF101" i="101"/>
  <c r="AF102" i="101"/>
  <c r="AF103" i="101"/>
  <c r="AF104" i="101"/>
  <c r="AF105" i="101"/>
  <c r="AF106" i="101"/>
  <c r="AF107" i="101"/>
  <c r="AF108" i="101"/>
  <c r="AF109" i="101"/>
  <c r="AF110" i="101"/>
  <c r="AF111" i="101"/>
  <c r="AF112" i="101"/>
  <c r="AF113" i="101"/>
  <c r="AF114" i="101"/>
  <c r="AF115" i="101"/>
  <c r="AF116" i="101"/>
  <c r="AF117" i="101"/>
  <c r="AF118" i="101"/>
  <c r="AF119" i="101"/>
  <c r="B3" i="103"/>
  <c r="AY121" i="102" l="1"/>
  <c r="AQ121" i="102"/>
  <c r="AK121" i="101"/>
  <c r="CX158" i="101"/>
  <c r="AU121" i="101"/>
  <c r="BA121" i="101"/>
  <c r="DB159" i="102"/>
  <c r="BA121" i="102"/>
  <c r="AS121" i="102"/>
  <c r="AK121" i="102"/>
  <c r="CM14" i="102"/>
  <c r="CI14" i="102"/>
  <c r="CH14" i="102"/>
  <c r="CM12" i="102"/>
  <c r="CI12" i="102"/>
  <c r="CH12" i="102"/>
  <c r="AE11" i="102"/>
  <c r="CF9" i="102"/>
  <c r="BB9" i="102"/>
  <c r="AZ9" i="102"/>
  <c r="AX9" i="102"/>
  <c r="AV9" i="102"/>
  <c r="CI9" i="102" s="1"/>
  <c r="AT9" i="102"/>
  <c r="AR9" i="102"/>
  <c r="AP9" i="102"/>
  <c r="AN9" i="102"/>
  <c r="AL9" i="102"/>
  <c r="CH9" i="102" s="1"/>
  <c r="AJ9" i="102"/>
  <c r="AH9" i="102"/>
  <c r="CF8" i="102"/>
  <c r="BB8" i="102"/>
  <c r="AZ8" i="102"/>
  <c r="AX8" i="102"/>
  <c r="AV8" i="102"/>
  <c r="AT8" i="102"/>
  <c r="AR8" i="102"/>
  <c r="AP8" i="102"/>
  <c r="AN8" i="102"/>
  <c r="AL8" i="102"/>
  <c r="CM8" i="102" s="1"/>
  <c r="AJ8" i="102"/>
  <c r="AH8" i="102"/>
  <c r="CF6" i="102"/>
  <c r="BB6" i="102"/>
  <c r="AZ6" i="102"/>
  <c r="AX6" i="102"/>
  <c r="AV6" i="102"/>
  <c r="CI6" i="102" s="1"/>
  <c r="AT6" i="102"/>
  <c r="AR6" i="102"/>
  <c r="AP6" i="102"/>
  <c r="AN6" i="102"/>
  <c r="AL6" i="102"/>
  <c r="CH6" i="102" s="1"/>
  <c r="AJ6" i="102"/>
  <c r="AH6" i="102"/>
  <c r="CF5" i="102"/>
  <c r="BB5" i="102"/>
  <c r="AZ5" i="102"/>
  <c r="AX5" i="102"/>
  <c r="AV5" i="102"/>
  <c r="AT5" i="102"/>
  <c r="AR5" i="102"/>
  <c r="AP5" i="102"/>
  <c r="AN5" i="102"/>
  <c r="AL5" i="102"/>
  <c r="CH5" i="102" s="1"/>
  <c r="AJ5" i="102"/>
  <c r="AH5" i="102"/>
  <c r="CF4" i="102"/>
  <c r="BB4" i="102"/>
  <c r="AZ4" i="102"/>
  <c r="AX4" i="102"/>
  <c r="AV4" i="102"/>
  <c r="AT4" i="102"/>
  <c r="AR4" i="102"/>
  <c r="AP4" i="102"/>
  <c r="AN4" i="102"/>
  <c r="AL4" i="102"/>
  <c r="AJ4" i="102"/>
  <c r="AM121" i="101"/>
  <c r="DB159" i="101"/>
  <c r="BK71" i="101"/>
  <c r="CN14" i="101"/>
  <c r="CM14" i="101"/>
  <c r="CL14" i="101"/>
  <c r="CN12" i="101"/>
  <c r="CM12" i="101"/>
  <c r="CL12" i="101"/>
  <c r="AE11" i="101"/>
  <c r="CF9" i="101"/>
  <c r="BB9" i="101"/>
  <c r="AZ9" i="101"/>
  <c r="AX9" i="101"/>
  <c r="AV9" i="101"/>
  <c r="AT9" i="101"/>
  <c r="AR9" i="101"/>
  <c r="AP9" i="101"/>
  <c r="AN9" i="101"/>
  <c r="AL9" i="101"/>
  <c r="CN9" i="101" s="1"/>
  <c r="AJ9" i="101"/>
  <c r="AH9" i="101"/>
  <c r="CF8" i="101"/>
  <c r="BB8" i="101"/>
  <c r="AZ8" i="101"/>
  <c r="AX8" i="101"/>
  <c r="AV8" i="101"/>
  <c r="CM8" i="101" s="1"/>
  <c r="AT8" i="101"/>
  <c r="AR8" i="101"/>
  <c r="AP8" i="101"/>
  <c r="AN8" i="101"/>
  <c r="AL8" i="101"/>
  <c r="CN8" i="101" s="1"/>
  <c r="AJ8" i="101"/>
  <c r="AH8" i="101"/>
  <c r="CF6" i="101"/>
  <c r="BB6" i="101"/>
  <c r="AZ6" i="101"/>
  <c r="AX6" i="101"/>
  <c r="AV6" i="101"/>
  <c r="CM6" i="101" s="1"/>
  <c r="AT6" i="101"/>
  <c r="AR6" i="101"/>
  <c r="AP6" i="101"/>
  <c r="AN6" i="101"/>
  <c r="AL6" i="101"/>
  <c r="CN6" i="101" s="1"/>
  <c r="AJ6" i="101"/>
  <c r="AH6" i="101"/>
  <c r="CF5" i="101"/>
  <c r="BB5" i="101"/>
  <c r="AZ5" i="101"/>
  <c r="AX5" i="101"/>
  <c r="AV5" i="101"/>
  <c r="CM5" i="101" s="1"/>
  <c r="AT5" i="101"/>
  <c r="AR5" i="101"/>
  <c r="AP5" i="101"/>
  <c r="AN5" i="101"/>
  <c r="AL5" i="101"/>
  <c r="CL5" i="101" s="1"/>
  <c r="AJ5" i="101"/>
  <c r="AH5" i="101"/>
  <c r="CF4" i="101"/>
  <c r="BB4" i="101"/>
  <c r="AZ4" i="101"/>
  <c r="AX4" i="101"/>
  <c r="AV4" i="101"/>
  <c r="AT4" i="101"/>
  <c r="AR4" i="101"/>
  <c r="AP4" i="101"/>
  <c r="AN4" i="101"/>
  <c r="AL4" i="101"/>
  <c r="AJ4" i="101"/>
  <c r="AP7" i="102" l="1"/>
  <c r="AH7" i="102"/>
  <c r="DF159" i="101"/>
  <c r="AS121" i="101"/>
  <c r="BM71" i="101"/>
  <c r="AW121" i="101"/>
  <c r="CZ159" i="101"/>
  <c r="AH7" i="101"/>
  <c r="AX7" i="101"/>
  <c r="AH10" i="101"/>
  <c r="AZ10" i="101"/>
  <c r="AJ10" i="101"/>
  <c r="AR7" i="102"/>
  <c r="AR10" i="102"/>
  <c r="BM121" i="102"/>
  <c r="CA147" i="102"/>
  <c r="CZ159" i="102"/>
  <c r="AW121" i="102"/>
  <c r="CX159" i="102"/>
  <c r="AJ10" i="102"/>
  <c r="BB10" i="102"/>
  <c r="AH10" i="102"/>
  <c r="AX10" i="102"/>
  <c r="AP10" i="102"/>
  <c r="AZ10" i="102"/>
  <c r="AN7" i="102"/>
  <c r="AN10" i="102"/>
  <c r="CF10" i="102"/>
  <c r="AO121" i="101"/>
  <c r="CF7" i="102"/>
  <c r="BK121" i="102"/>
  <c r="DD159" i="102"/>
  <c r="CV158" i="102"/>
  <c r="CM4" i="102"/>
  <c r="AT7" i="102"/>
  <c r="AJ7" i="102"/>
  <c r="AZ7" i="102"/>
  <c r="AV7" i="102"/>
  <c r="CH7" i="102"/>
  <c r="AV10" i="102"/>
  <c r="CM9" i="102"/>
  <c r="CM10" i="102" s="1"/>
  <c r="AU121" i="102"/>
  <c r="AX7" i="102"/>
  <c r="AM121" i="102"/>
  <c r="AL7" i="102"/>
  <c r="BB7" i="102"/>
  <c r="CM6" i="102"/>
  <c r="AT10" i="102"/>
  <c r="CI4" i="102"/>
  <c r="AO121" i="102"/>
  <c r="CH4" i="102"/>
  <c r="CI5" i="102"/>
  <c r="CI7" i="102" s="1"/>
  <c r="AL10" i="102"/>
  <c r="CM5" i="102"/>
  <c r="CH8" i="102"/>
  <c r="CH10" i="102" s="1"/>
  <c r="CI8" i="102"/>
  <c r="CI10" i="102" s="1"/>
  <c r="BB10" i="101"/>
  <c r="AN10" i="101"/>
  <c r="CF10" i="101"/>
  <c r="BQ97" i="101"/>
  <c r="AX10" i="101"/>
  <c r="CM4" i="101"/>
  <c r="AN7" i="101"/>
  <c r="CF7" i="101"/>
  <c r="AV7" i="101"/>
  <c r="BB7" i="101"/>
  <c r="CN10" i="101"/>
  <c r="AP7" i="101"/>
  <c r="AP10" i="101"/>
  <c r="AY121" i="101"/>
  <c r="AQ121" i="101"/>
  <c r="AR10" i="101"/>
  <c r="CN4" i="101"/>
  <c r="AR7" i="101"/>
  <c r="CN5" i="101"/>
  <c r="CN7" i="101" s="1"/>
  <c r="CN11" i="101" s="1"/>
  <c r="CN13" i="101" s="1"/>
  <c r="CN15" i="101" s="1"/>
  <c r="CM7" i="101"/>
  <c r="AL7" i="101"/>
  <c r="AV10" i="101"/>
  <c r="CL6" i="101"/>
  <c r="CL7" i="101" s="1"/>
  <c r="AL10" i="101"/>
  <c r="AT7" i="101"/>
  <c r="CL4" i="101"/>
  <c r="AJ7" i="101"/>
  <c r="AZ7" i="101"/>
  <c r="AT10" i="101"/>
  <c r="DD159" i="101"/>
  <c r="CL9" i="101"/>
  <c r="CL8" i="101"/>
  <c r="CM9" i="101"/>
  <c r="CM10" i="101" s="1"/>
  <c r="K56" i="75"/>
  <c r="AG56" i="75"/>
  <c r="AH56" i="75"/>
  <c r="AI56" i="75"/>
  <c r="AJ56" i="75"/>
  <c r="AK56" i="75"/>
  <c r="AL56" i="75"/>
  <c r="AM56" i="75"/>
  <c r="AN56" i="75"/>
  <c r="AO56" i="75"/>
  <c r="AP56" i="75"/>
  <c r="AQ56" i="75"/>
  <c r="AR56" i="75"/>
  <c r="AS56" i="75"/>
  <c r="AT56" i="75"/>
  <c r="AU56" i="75"/>
  <c r="AV56" i="75"/>
  <c r="AW56" i="75"/>
  <c r="AX56" i="75"/>
  <c r="AY56" i="75"/>
  <c r="AZ56" i="75"/>
  <c r="BA56" i="75"/>
  <c r="BB56" i="75"/>
  <c r="BC56" i="75"/>
  <c r="BD56" i="75"/>
  <c r="BE56" i="75"/>
  <c r="BF56" i="75"/>
  <c r="S26" i="75"/>
  <c r="S35" i="75"/>
  <c r="S24" i="75"/>
  <c r="S27" i="75"/>
  <c r="S30" i="75"/>
  <c r="S32" i="75"/>
  <c r="S47" i="75"/>
  <c r="S37" i="75"/>
  <c r="S21" i="75"/>
  <c r="S19" i="75"/>
  <c r="S29" i="75"/>
  <c r="S43" i="75"/>
  <c r="S23" i="75"/>
  <c r="S36" i="75"/>
  <c r="S38" i="75"/>
  <c r="S54" i="75"/>
  <c r="S53" i="75"/>
  <c r="S50" i="75"/>
  <c r="S41" i="75"/>
  <c r="S44" i="75"/>
  <c r="S39" i="75"/>
  <c r="S49" i="75"/>
  <c r="S22" i="75"/>
  <c r="S34" i="75"/>
  <c r="S42" i="75"/>
  <c r="S20" i="75"/>
  <c r="S31" i="75"/>
  <c r="S52" i="75"/>
  <c r="S48" i="75"/>
  <c r="S55" i="75"/>
  <c r="S51" i="75"/>
  <c r="S46" i="75"/>
  <c r="S28" i="75"/>
  <c r="S45" i="75"/>
  <c r="S33" i="75"/>
  <c r="S40" i="75"/>
  <c r="S25" i="75"/>
  <c r="T26" i="75"/>
  <c r="T35" i="75"/>
  <c r="T24" i="75"/>
  <c r="T27" i="75"/>
  <c r="T30" i="75"/>
  <c r="T32" i="75"/>
  <c r="T47" i="75"/>
  <c r="T37" i="75"/>
  <c r="T21" i="75"/>
  <c r="T19" i="75"/>
  <c r="T29" i="75"/>
  <c r="T43" i="75"/>
  <c r="T23" i="75"/>
  <c r="T36" i="75"/>
  <c r="T38" i="75"/>
  <c r="T54" i="75"/>
  <c r="T53" i="75"/>
  <c r="T50" i="75"/>
  <c r="T41" i="75"/>
  <c r="T44" i="75"/>
  <c r="T39" i="75"/>
  <c r="T49" i="75"/>
  <c r="T22" i="75"/>
  <c r="T34" i="75"/>
  <c r="T42" i="75"/>
  <c r="T20" i="75"/>
  <c r="T31" i="75"/>
  <c r="T52" i="75"/>
  <c r="T48" i="75"/>
  <c r="T55" i="75"/>
  <c r="T51" i="75"/>
  <c r="T46" i="75"/>
  <c r="T28" i="75"/>
  <c r="T45" i="75"/>
  <c r="T33" i="75"/>
  <c r="T40" i="75"/>
  <c r="T25" i="75"/>
  <c r="U26" i="75"/>
  <c r="U35" i="75"/>
  <c r="U24" i="75"/>
  <c r="U27" i="75"/>
  <c r="U30" i="75"/>
  <c r="U32" i="75"/>
  <c r="U47" i="75"/>
  <c r="U37" i="75"/>
  <c r="U21" i="75"/>
  <c r="U19" i="75"/>
  <c r="U29" i="75"/>
  <c r="U43" i="75"/>
  <c r="U23" i="75"/>
  <c r="U36" i="75"/>
  <c r="U38" i="75"/>
  <c r="U54" i="75"/>
  <c r="U53" i="75"/>
  <c r="U50" i="75"/>
  <c r="U41" i="75"/>
  <c r="U44" i="75"/>
  <c r="U39" i="75"/>
  <c r="U49" i="75"/>
  <c r="U22" i="75"/>
  <c r="U34" i="75"/>
  <c r="U42" i="75"/>
  <c r="U20" i="75"/>
  <c r="U31" i="75"/>
  <c r="U52" i="75"/>
  <c r="U48" i="75"/>
  <c r="U55" i="75"/>
  <c r="U51" i="75"/>
  <c r="U46" i="75"/>
  <c r="U28" i="75"/>
  <c r="U45" i="75"/>
  <c r="U33" i="75"/>
  <c r="U40" i="75"/>
  <c r="U25" i="75"/>
  <c r="V26" i="75"/>
  <c r="V35" i="75"/>
  <c r="V24" i="75"/>
  <c r="V27" i="75"/>
  <c r="X27" i="75" s="1"/>
  <c r="V30" i="75"/>
  <c r="V32" i="75"/>
  <c r="V47" i="75"/>
  <c r="V37" i="75"/>
  <c r="V21" i="75"/>
  <c r="V19" i="75"/>
  <c r="V29" i="75"/>
  <c r="V43" i="75"/>
  <c r="V23" i="75"/>
  <c r="V36" i="75"/>
  <c r="V38" i="75"/>
  <c r="V54" i="75"/>
  <c r="V53" i="75"/>
  <c r="V50" i="75"/>
  <c r="V41" i="75"/>
  <c r="V44" i="75"/>
  <c r="V39" i="75"/>
  <c r="V49" i="75"/>
  <c r="V22" i="75"/>
  <c r="V34" i="75"/>
  <c r="V42" i="75"/>
  <c r="V20" i="75"/>
  <c r="V31" i="75"/>
  <c r="V52" i="75"/>
  <c r="V48" i="75"/>
  <c r="V55" i="75"/>
  <c r="V51" i="75"/>
  <c r="V46" i="75"/>
  <c r="V28" i="75"/>
  <c r="V45" i="75"/>
  <c r="V33" i="75"/>
  <c r="V40" i="75"/>
  <c r="V25" i="75"/>
  <c r="W26" i="75"/>
  <c r="X26" i="75" s="1"/>
  <c r="W35" i="75"/>
  <c r="W24" i="75"/>
  <c r="W27" i="75"/>
  <c r="W30" i="75"/>
  <c r="W32" i="75"/>
  <c r="W47" i="75"/>
  <c r="W37" i="75"/>
  <c r="W21" i="75"/>
  <c r="X21" i="75" s="1"/>
  <c r="W19" i="75"/>
  <c r="W29" i="75"/>
  <c r="W43" i="75"/>
  <c r="W23" i="75"/>
  <c r="W36" i="75"/>
  <c r="W38" i="75"/>
  <c r="W54" i="75"/>
  <c r="W53" i="75"/>
  <c r="X53" i="75" s="1"/>
  <c r="W50" i="75"/>
  <c r="X50" i="75" s="1"/>
  <c r="W41" i="75"/>
  <c r="X41" i="75" s="1"/>
  <c r="W44" i="75"/>
  <c r="W39" i="75"/>
  <c r="W49" i="75"/>
  <c r="W22" i="75"/>
  <c r="W34" i="75"/>
  <c r="W42" i="75"/>
  <c r="X42" i="75" s="1"/>
  <c r="W20" i="75"/>
  <c r="W31" i="75"/>
  <c r="X31" i="75" s="1"/>
  <c r="W52" i="75"/>
  <c r="W48" i="75"/>
  <c r="W55" i="75"/>
  <c r="W51" i="75"/>
  <c r="W46" i="75"/>
  <c r="W28" i="75"/>
  <c r="X28" i="75" s="1"/>
  <c r="W45" i="75"/>
  <c r="W33" i="75"/>
  <c r="X33" i="75" s="1"/>
  <c r="W40" i="75"/>
  <c r="W25" i="75"/>
  <c r="X19" i="75"/>
  <c r="AD26" i="75"/>
  <c r="AD35" i="75"/>
  <c r="AE35" i="75" s="1"/>
  <c r="AD24" i="75"/>
  <c r="AE24" i="75" s="1"/>
  <c r="AD27" i="75"/>
  <c r="AE27" i="75" s="1"/>
  <c r="AD30" i="75"/>
  <c r="AE30" i="75" s="1"/>
  <c r="AD32" i="75"/>
  <c r="AE32" i="75" s="1"/>
  <c r="AD47" i="75"/>
  <c r="AE47" i="75" s="1"/>
  <c r="AD37" i="75"/>
  <c r="AE37" i="75" s="1"/>
  <c r="AD21" i="75"/>
  <c r="AE21" i="75" s="1"/>
  <c r="AD19" i="75"/>
  <c r="AE19" i="75" s="1"/>
  <c r="AD29" i="75"/>
  <c r="AE29" i="75" s="1"/>
  <c r="AD43" i="75"/>
  <c r="AE43" i="75" s="1"/>
  <c r="AD23" i="75"/>
  <c r="AE23" i="75" s="1"/>
  <c r="AD36" i="75"/>
  <c r="AE36" i="75" s="1"/>
  <c r="AD38" i="75"/>
  <c r="AE38" i="75" s="1"/>
  <c r="AD54" i="75"/>
  <c r="AD53" i="75"/>
  <c r="AD50" i="75"/>
  <c r="AE50" i="75" s="1"/>
  <c r="AD41" i="75"/>
  <c r="AE41" i="75" s="1"/>
  <c r="AD44" i="75"/>
  <c r="AE44" i="75" s="1"/>
  <c r="AD39" i="75"/>
  <c r="AE39" i="75" s="1"/>
  <c r="AD49" i="75"/>
  <c r="AE49" i="75" s="1"/>
  <c r="AD22" i="75"/>
  <c r="AE22" i="75" s="1"/>
  <c r="AD34" i="75"/>
  <c r="AD42" i="75"/>
  <c r="AD20" i="75"/>
  <c r="AE20" i="75" s="1"/>
  <c r="AD31" i="75"/>
  <c r="AE31" i="75" s="1"/>
  <c r="AD52" i="75"/>
  <c r="AE52" i="75" s="1"/>
  <c r="AD48" i="75"/>
  <c r="AE48" i="75" s="1"/>
  <c r="AD55" i="75"/>
  <c r="AE55" i="75" s="1"/>
  <c r="AD51" i="75"/>
  <c r="AE51" i="75" s="1"/>
  <c r="AD46" i="75"/>
  <c r="AD28" i="75"/>
  <c r="AE28" i="75" s="1"/>
  <c r="AD45" i="75"/>
  <c r="AE45" i="75" s="1"/>
  <c r="AD33" i="75"/>
  <c r="AE33" i="75" s="1"/>
  <c r="AD40" i="75"/>
  <c r="AE40" i="75" s="1"/>
  <c r="AD25" i="75"/>
  <c r="AE25" i="75" s="1"/>
  <c r="AE26" i="75"/>
  <c r="AE54" i="75"/>
  <c r="AE53" i="75"/>
  <c r="AE34" i="75"/>
  <c r="AE42" i="75"/>
  <c r="AE46" i="75"/>
  <c r="BG26" i="75"/>
  <c r="BG35" i="75"/>
  <c r="BG24" i="75"/>
  <c r="BG27" i="75"/>
  <c r="BG30" i="75"/>
  <c r="BG32" i="75"/>
  <c r="BG47" i="75"/>
  <c r="BG37" i="75"/>
  <c r="BG21" i="75"/>
  <c r="BG19" i="75"/>
  <c r="BG29" i="75"/>
  <c r="BG43" i="75"/>
  <c r="BG23" i="75"/>
  <c r="BG36" i="75"/>
  <c r="BG38" i="75"/>
  <c r="BG54" i="75"/>
  <c r="BG53" i="75"/>
  <c r="BG50" i="75"/>
  <c r="BG41" i="75"/>
  <c r="BG44" i="75"/>
  <c r="BG39" i="75"/>
  <c r="BG49" i="75"/>
  <c r="BG22" i="75"/>
  <c r="BG34" i="75"/>
  <c r="BG42" i="75"/>
  <c r="BG20" i="75"/>
  <c r="BG31" i="75"/>
  <c r="BG52" i="75"/>
  <c r="BG48" i="75"/>
  <c r="BG55" i="75"/>
  <c r="BG51" i="75"/>
  <c r="BG46" i="75"/>
  <c r="BG28" i="75"/>
  <c r="BG45" i="75"/>
  <c r="BG33" i="75"/>
  <c r="BG40" i="75"/>
  <c r="BG25" i="75"/>
  <c r="K85" i="51"/>
  <c r="T85" i="51"/>
  <c r="U85" i="51"/>
  <c r="V85" i="51"/>
  <c r="W85" i="51"/>
  <c r="X85" i="51"/>
  <c r="Y85" i="51"/>
  <c r="Z85" i="51"/>
  <c r="AD85" i="51"/>
  <c r="AE85" i="51"/>
  <c r="AF85" i="51"/>
  <c r="AG85" i="51"/>
  <c r="AK85" i="51"/>
  <c r="AL85" i="51"/>
  <c r="AM85" i="51"/>
  <c r="AN85" i="51"/>
  <c r="AO85" i="51"/>
  <c r="AP85" i="51"/>
  <c r="AQ85" i="51"/>
  <c r="AR85" i="51"/>
  <c r="AS85" i="51"/>
  <c r="AT85" i="51"/>
  <c r="AU85" i="51"/>
  <c r="AV85" i="51"/>
  <c r="AW85" i="51"/>
  <c r="AX85" i="51"/>
  <c r="AY85" i="51"/>
  <c r="AZ85" i="51"/>
  <c r="BA85" i="51"/>
  <c r="AA18" i="51"/>
  <c r="AA19" i="51"/>
  <c r="AA20" i="51"/>
  <c r="AC20" i="51" s="1"/>
  <c r="AA21" i="51"/>
  <c r="AA22" i="51"/>
  <c r="AA23" i="51"/>
  <c r="AA24" i="51"/>
  <c r="AA25" i="51"/>
  <c r="AA26" i="51"/>
  <c r="AA27" i="51"/>
  <c r="AA28" i="51"/>
  <c r="AC28" i="51" s="1"/>
  <c r="AA29" i="51"/>
  <c r="AA30" i="51"/>
  <c r="AA31" i="51"/>
  <c r="AA32" i="51"/>
  <c r="AA33" i="51"/>
  <c r="AA34" i="51"/>
  <c r="AA35" i="51"/>
  <c r="AA36" i="51"/>
  <c r="AC36" i="51" s="1"/>
  <c r="AA37" i="51"/>
  <c r="AA38" i="51"/>
  <c r="AA39" i="51"/>
  <c r="AA40" i="51"/>
  <c r="AA41" i="51"/>
  <c r="AA42" i="51"/>
  <c r="AA43" i="51"/>
  <c r="AA44" i="51"/>
  <c r="AC44" i="51" s="1"/>
  <c r="AA45" i="51"/>
  <c r="AA46" i="51"/>
  <c r="AA47" i="51"/>
  <c r="AA48" i="51"/>
  <c r="AA49" i="51"/>
  <c r="AA50" i="51"/>
  <c r="AA51" i="51"/>
  <c r="AA52" i="51"/>
  <c r="AC52" i="51" s="1"/>
  <c r="AA53" i="51"/>
  <c r="AA54" i="51"/>
  <c r="AA55" i="51"/>
  <c r="AA56" i="51"/>
  <c r="AA57" i="51"/>
  <c r="AA58" i="51"/>
  <c r="AA59" i="51"/>
  <c r="AA60" i="51"/>
  <c r="AC60" i="51" s="1"/>
  <c r="AA61" i="51"/>
  <c r="AA62" i="51"/>
  <c r="AA63" i="51"/>
  <c r="AA64" i="51"/>
  <c r="AA65" i="51"/>
  <c r="AA66" i="51"/>
  <c r="AA67" i="51"/>
  <c r="AA68" i="51"/>
  <c r="AC68" i="51" s="1"/>
  <c r="AA69" i="51"/>
  <c r="AA70" i="51"/>
  <c r="AA71" i="51"/>
  <c r="AA72" i="51"/>
  <c r="AA73" i="51"/>
  <c r="AA74" i="51"/>
  <c r="AA75" i="51"/>
  <c r="AA76" i="51"/>
  <c r="AC76" i="51" s="1"/>
  <c r="AA77" i="51"/>
  <c r="AA78" i="51"/>
  <c r="AA79" i="51"/>
  <c r="AA80" i="51"/>
  <c r="AA81" i="51"/>
  <c r="AA82" i="51"/>
  <c r="AA83" i="51"/>
  <c r="AA84" i="51"/>
  <c r="AC84" i="51" s="1"/>
  <c r="AB18" i="51"/>
  <c r="AB19" i="51"/>
  <c r="AC19" i="51" s="1"/>
  <c r="AB20" i="51"/>
  <c r="AB21" i="51"/>
  <c r="AB22" i="51"/>
  <c r="AB23" i="51"/>
  <c r="AB24" i="51"/>
  <c r="AB25" i="51"/>
  <c r="AC25" i="51" s="1"/>
  <c r="AB26" i="51"/>
  <c r="AB27" i="51"/>
  <c r="AB28" i="51"/>
  <c r="AB29" i="51"/>
  <c r="AB30" i="51"/>
  <c r="AB31" i="51"/>
  <c r="AB32" i="51"/>
  <c r="AB33" i="51"/>
  <c r="AC33" i="51" s="1"/>
  <c r="AB34" i="51"/>
  <c r="AB35" i="51"/>
  <c r="AB36" i="51"/>
  <c r="AB37" i="51"/>
  <c r="AB38" i="51"/>
  <c r="AB39" i="51"/>
  <c r="AB40" i="51"/>
  <c r="AB41" i="51"/>
  <c r="AC41" i="51" s="1"/>
  <c r="AB42" i="51"/>
  <c r="AB43" i="51"/>
  <c r="AB44" i="51"/>
  <c r="AB45" i="51"/>
  <c r="AB46" i="51"/>
  <c r="AB47" i="51"/>
  <c r="AB48" i="51"/>
  <c r="AB49" i="51"/>
  <c r="AC49" i="51" s="1"/>
  <c r="AB50" i="51"/>
  <c r="AB51" i="51"/>
  <c r="AB52" i="51"/>
  <c r="AB53" i="51"/>
  <c r="AB54" i="51"/>
  <c r="AB55" i="51"/>
  <c r="AB56" i="51"/>
  <c r="AB57" i="51"/>
  <c r="AC57" i="51" s="1"/>
  <c r="AB58" i="51"/>
  <c r="AB59" i="51"/>
  <c r="AB60" i="51"/>
  <c r="AB61" i="51"/>
  <c r="AB62" i="51"/>
  <c r="AB63" i="51"/>
  <c r="AB64" i="51"/>
  <c r="AB65" i="51"/>
  <c r="AC65" i="51" s="1"/>
  <c r="AB66" i="51"/>
  <c r="AB67" i="51"/>
  <c r="AB68" i="51"/>
  <c r="AB69" i="51"/>
  <c r="AB70" i="51"/>
  <c r="AB71" i="51"/>
  <c r="AB72" i="51"/>
  <c r="AB73" i="51"/>
  <c r="AC73" i="51" s="1"/>
  <c r="AB74" i="51"/>
  <c r="AB75" i="51"/>
  <c r="AB76" i="51"/>
  <c r="AB77" i="51"/>
  <c r="AB78" i="51"/>
  <c r="AB79" i="51"/>
  <c r="AB80" i="51"/>
  <c r="AB81" i="51"/>
  <c r="AC81" i="51" s="1"/>
  <c r="AB82" i="51"/>
  <c r="AB83" i="51"/>
  <c r="AB84" i="51"/>
  <c r="AC18" i="51"/>
  <c r="AC21" i="51"/>
  <c r="AC22" i="51"/>
  <c r="AC23" i="51"/>
  <c r="AC24" i="51"/>
  <c r="AC26" i="51"/>
  <c r="AC27" i="51"/>
  <c r="AC29" i="51"/>
  <c r="AC30" i="51"/>
  <c r="AC31" i="51"/>
  <c r="AC32" i="51"/>
  <c r="AC34" i="51"/>
  <c r="AC35" i="51"/>
  <c r="AC37" i="51"/>
  <c r="AC38" i="51"/>
  <c r="AC39" i="51"/>
  <c r="AC40" i="51"/>
  <c r="AC42" i="51"/>
  <c r="AC43" i="51"/>
  <c r="AC45" i="51"/>
  <c r="AC46" i="51"/>
  <c r="AC47" i="51"/>
  <c r="AC48" i="51"/>
  <c r="AC50" i="51"/>
  <c r="AC51" i="51"/>
  <c r="AC53" i="51"/>
  <c r="AC54" i="51"/>
  <c r="AC55" i="51"/>
  <c r="AC56" i="51"/>
  <c r="AC58" i="51"/>
  <c r="AC59" i="51"/>
  <c r="AC61" i="51"/>
  <c r="AC62" i="51"/>
  <c r="AC63" i="51"/>
  <c r="AC64" i="51"/>
  <c r="AC66" i="51"/>
  <c r="AC67" i="51"/>
  <c r="AC69" i="51"/>
  <c r="AC70" i="51"/>
  <c r="AC71" i="51"/>
  <c r="AC72" i="51"/>
  <c r="AC74" i="51"/>
  <c r="AC75" i="51"/>
  <c r="AC77" i="51"/>
  <c r="AC78" i="51"/>
  <c r="AC79" i="51"/>
  <c r="AC80" i="51"/>
  <c r="AC82" i="51"/>
  <c r="AC83" i="51"/>
  <c r="AH18" i="51"/>
  <c r="AH19" i="51"/>
  <c r="AJ19" i="51" s="1"/>
  <c r="AH20" i="51"/>
  <c r="AH21" i="51"/>
  <c r="AH22" i="51"/>
  <c r="AH23" i="51"/>
  <c r="AH24" i="51"/>
  <c r="AH25" i="51"/>
  <c r="AH26" i="51"/>
  <c r="AH27" i="51"/>
  <c r="AJ27" i="51" s="1"/>
  <c r="AH28" i="51"/>
  <c r="AH29" i="51"/>
  <c r="AH30" i="51"/>
  <c r="AH31" i="51"/>
  <c r="AH32" i="51"/>
  <c r="AH33" i="51"/>
  <c r="AH34" i="51"/>
  <c r="AH35" i="51"/>
  <c r="AJ35" i="51" s="1"/>
  <c r="AH36" i="51"/>
  <c r="AH37" i="51"/>
  <c r="AH38" i="51"/>
  <c r="AH39" i="51"/>
  <c r="AH40" i="51"/>
  <c r="AH41" i="51"/>
  <c r="AH42" i="51"/>
  <c r="AH43" i="51"/>
  <c r="AJ43" i="51" s="1"/>
  <c r="AH44" i="51"/>
  <c r="AH45" i="51"/>
  <c r="AH46" i="51"/>
  <c r="AH47" i="51"/>
  <c r="AH48" i="51"/>
  <c r="AH49" i="51"/>
  <c r="AH50" i="51"/>
  <c r="AH51" i="51"/>
  <c r="AJ51" i="51" s="1"/>
  <c r="AH52" i="51"/>
  <c r="AH53" i="51"/>
  <c r="AH54" i="51"/>
  <c r="AH55" i="51"/>
  <c r="AH56" i="51"/>
  <c r="AH57" i="51"/>
  <c r="AH58" i="51"/>
  <c r="AH59" i="51"/>
  <c r="AJ59" i="51" s="1"/>
  <c r="AH60" i="51"/>
  <c r="AH61" i="51"/>
  <c r="AH62" i="51"/>
  <c r="AH63" i="51"/>
  <c r="AH64" i="51"/>
  <c r="AH65" i="51"/>
  <c r="AH66" i="51"/>
  <c r="AH67" i="51"/>
  <c r="AJ67" i="51" s="1"/>
  <c r="AH68" i="51"/>
  <c r="AH69" i="51"/>
  <c r="AH70" i="51"/>
  <c r="AH71" i="51"/>
  <c r="AH72" i="51"/>
  <c r="AH73" i="51"/>
  <c r="AH74" i="51"/>
  <c r="AH75" i="51"/>
  <c r="AJ75" i="51" s="1"/>
  <c r="AH76" i="51"/>
  <c r="AH77" i="51"/>
  <c r="AH78" i="51"/>
  <c r="AH79" i="51"/>
  <c r="AH80" i="51"/>
  <c r="AH81" i="51"/>
  <c r="AH82" i="51"/>
  <c r="AH83" i="51"/>
  <c r="AJ83" i="51" s="1"/>
  <c r="AH84" i="51"/>
  <c r="AI18" i="51"/>
  <c r="AI19" i="51"/>
  <c r="AI20" i="51"/>
  <c r="AI21" i="51"/>
  <c r="AI22" i="51"/>
  <c r="AI23" i="51"/>
  <c r="AI24" i="51"/>
  <c r="AJ24" i="51" s="1"/>
  <c r="AI25" i="51"/>
  <c r="AI26" i="51"/>
  <c r="AI27" i="51"/>
  <c r="AI28" i="51"/>
  <c r="AI29" i="51"/>
  <c r="AI30" i="51"/>
  <c r="AI31" i="51"/>
  <c r="AI32" i="51"/>
  <c r="AJ32" i="51" s="1"/>
  <c r="AI33" i="51"/>
  <c r="AI34" i="51"/>
  <c r="AI35" i="51"/>
  <c r="AI36" i="51"/>
  <c r="AI37" i="51"/>
  <c r="AI38" i="51"/>
  <c r="AI39" i="51"/>
  <c r="AI40" i="51"/>
  <c r="AJ40" i="51" s="1"/>
  <c r="AI41" i="51"/>
  <c r="AI42" i="51"/>
  <c r="AI43" i="51"/>
  <c r="AI44" i="51"/>
  <c r="AI45" i="51"/>
  <c r="AI46" i="51"/>
  <c r="AI47" i="51"/>
  <c r="AI48" i="51"/>
  <c r="AJ48" i="51" s="1"/>
  <c r="AI49" i="51"/>
  <c r="AI50" i="51"/>
  <c r="AI51" i="51"/>
  <c r="AI52" i="51"/>
  <c r="AI53" i="51"/>
  <c r="AI54" i="51"/>
  <c r="AI55" i="51"/>
  <c r="AI56" i="51"/>
  <c r="AJ56" i="51" s="1"/>
  <c r="AI57" i="51"/>
  <c r="AI58" i="51"/>
  <c r="AI59" i="51"/>
  <c r="AI60" i="51"/>
  <c r="AI61" i="51"/>
  <c r="AI62" i="51"/>
  <c r="AI63" i="51"/>
  <c r="AI64" i="51"/>
  <c r="AJ64" i="51" s="1"/>
  <c r="AI65" i="51"/>
  <c r="AI66" i="51"/>
  <c r="AI67" i="51"/>
  <c r="AI68" i="51"/>
  <c r="AI69" i="51"/>
  <c r="AI70" i="51"/>
  <c r="AI71" i="51"/>
  <c r="AI72" i="51"/>
  <c r="AJ72" i="51" s="1"/>
  <c r="AI73" i="51"/>
  <c r="AI74" i="51"/>
  <c r="AI75" i="51"/>
  <c r="AI76" i="51"/>
  <c r="AI77" i="51"/>
  <c r="AI78" i="51"/>
  <c r="AI79" i="51"/>
  <c r="AI80" i="51"/>
  <c r="AJ80" i="51" s="1"/>
  <c r="AI81" i="51"/>
  <c r="AI82" i="51"/>
  <c r="AI83" i="51"/>
  <c r="AI84" i="51"/>
  <c r="AJ18" i="51"/>
  <c r="AJ20" i="51"/>
  <c r="AJ21" i="51"/>
  <c r="AJ22" i="51"/>
  <c r="AJ23" i="51"/>
  <c r="AJ25" i="51"/>
  <c r="AJ26" i="51"/>
  <c r="AJ28" i="51"/>
  <c r="AJ29" i="51"/>
  <c r="AJ30" i="51"/>
  <c r="AJ31" i="51"/>
  <c r="AJ33" i="51"/>
  <c r="AJ34" i="51"/>
  <c r="AJ36" i="51"/>
  <c r="AJ37" i="51"/>
  <c r="AJ38" i="51"/>
  <c r="AJ39" i="51"/>
  <c r="AJ41" i="51"/>
  <c r="AJ42" i="51"/>
  <c r="AJ44" i="51"/>
  <c r="AJ45" i="51"/>
  <c r="AJ46" i="51"/>
  <c r="AJ47" i="51"/>
  <c r="AJ49" i="51"/>
  <c r="AJ50" i="51"/>
  <c r="AJ52" i="51"/>
  <c r="AJ53" i="51"/>
  <c r="AJ54" i="51"/>
  <c r="AJ55" i="51"/>
  <c r="AJ57" i="51"/>
  <c r="AJ58" i="51"/>
  <c r="AJ60" i="51"/>
  <c r="AJ61" i="51"/>
  <c r="AJ62" i="51"/>
  <c r="AJ63" i="51"/>
  <c r="AJ65" i="51"/>
  <c r="AJ66" i="51"/>
  <c r="AJ68" i="51"/>
  <c r="AJ69" i="51"/>
  <c r="AJ70" i="51"/>
  <c r="AJ71" i="51"/>
  <c r="AJ73" i="51"/>
  <c r="AJ74" i="51"/>
  <c r="AJ76" i="51"/>
  <c r="AJ77" i="51"/>
  <c r="AJ78" i="51"/>
  <c r="AJ79" i="51"/>
  <c r="AJ81" i="51"/>
  <c r="AJ82" i="51"/>
  <c r="AJ84" i="51"/>
  <c r="BB18" i="51"/>
  <c r="BB19" i="51"/>
  <c r="BB20" i="51"/>
  <c r="BB21" i="51"/>
  <c r="BB22" i="51"/>
  <c r="BB23" i="51"/>
  <c r="BB24" i="51"/>
  <c r="BB25" i="51"/>
  <c r="BB26" i="51"/>
  <c r="BB27" i="51"/>
  <c r="BB28" i="51"/>
  <c r="BB29" i="51"/>
  <c r="BB30" i="51"/>
  <c r="BB31" i="51"/>
  <c r="BB32" i="51"/>
  <c r="BB33" i="51"/>
  <c r="BB34" i="51"/>
  <c r="BB35" i="51"/>
  <c r="BB36" i="51"/>
  <c r="BB37" i="51"/>
  <c r="BB38" i="51"/>
  <c r="BB39" i="51"/>
  <c r="BB40" i="51"/>
  <c r="BB41" i="51"/>
  <c r="BB42" i="51"/>
  <c r="BB43" i="51"/>
  <c r="BB44" i="51"/>
  <c r="BB45" i="51"/>
  <c r="BB46" i="51"/>
  <c r="BB47" i="51"/>
  <c r="BB48" i="51"/>
  <c r="BB49" i="51"/>
  <c r="BB50" i="51"/>
  <c r="BB51" i="51"/>
  <c r="BB52" i="51"/>
  <c r="BB53" i="51"/>
  <c r="BB54" i="51"/>
  <c r="BB55" i="51"/>
  <c r="BB56" i="51"/>
  <c r="BB57" i="51"/>
  <c r="BB58" i="51"/>
  <c r="BB59" i="51"/>
  <c r="BB60" i="51"/>
  <c r="BB61" i="51"/>
  <c r="BB62" i="51"/>
  <c r="BB63" i="51"/>
  <c r="BB64" i="51"/>
  <c r="BB65" i="51"/>
  <c r="BB66" i="51"/>
  <c r="BB67" i="51"/>
  <c r="BB68" i="51"/>
  <c r="BB69" i="51"/>
  <c r="BB70" i="51"/>
  <c r="BB71" i="51"/>
  <c r="BB72" i="51"/>
  <c r="BB73" i="51"/>
  <c r="BB74" i="51"/>
  <c r="BB75" i="51"/>
  <c r="BB76" i="51"/>
  <c r="BB77" i="51"/>
  <c r="BB78" i="51"/>
  <c r="BB79" i="51"/>
  <c r="BB80" i="51"/>
  <c r="BB81" i="51"/>
  <c r="BB82" i="51"/>
  <c r="BB83" i="51"/>
  <c r="BB84" i="51"/>
  <c r="K85" i="29"/>
  <c r="S85" i="29"/>
  <c r="T85" i="29"/>
  <c r="U85" i="29"/>
  <c r="V85" i="29"/>
  <c r="W85" i="29"/>
  <c r="X85" i="29"/>
  <c r="Y85" i="29"/>
  <c r="AC85" i="29"/>
  <c r="AD85" i="29"/>
  <c r="AE85" i="29"/>
  <c r="AF85" i="29"/>
  <c r="AJ85" i="29"/>
  <c r="AK85" i="29"/>
  <c r="AL85" i="29"/>
  <c r="AM85" i="29"/>
  <c r="AN85" i="29"/>
  <c r="AO85" i="29"/>
  <c r="AP85" i="29"/>
  <c r="AQ85" i="29"/>
  <c r="AR85" i="29"/>
  <c r="AS85" i="29"/>
  <c r="AT85" i="29"/>
  <c r="AU85" i="29"/>
  <c r="AV85" i="29"/>
  <c r="AW85" i="29"/>
  <c r="AX85" i="29"/>
  <c r="AY85" i="29"/>
  <c r="AZ85" i="29"/>
  <c r="Z18" i="29"/>
  <c r="Z19" i="29"/>
  <c r="Z20" i="29"/>
  <c r="AB20" i="29" s="1"/>
  <c r="Z21" i="29"/>
  <c r="Z22" i="29"/>
  <c r="Z23" i="29"/>
  <c r="Z24" i="29"/>
  <c r="Z25" i="29"/>
  <c r="Z26" i="29"/>
  <c r="Z27" i="29"/>
  <c r="Z28" i="29"/>
  <c r="AB28" i="29" s="1"/>
  <c r="Z29" i="29"/>
  <c r="Z30" i="29"/>
  <c r="Z31" i="29"/>
  <c r="Z32" i="29"/>
  <c r="Z33" i="29"/>
  <c r="Z34" i="29"/>
  <c r="Z35" i="29"/>
  <c r="Z36" i="29"/>
  <c r="AB36" i="29" s="1"/>
  <c r="Z37" i="29"/>
  <c r="Z38" i="29"/>
  <c r="Z39" i="29"/>
  <c r="Z40" i="29"/>
  <c r="Z41" i="29"/>
  <c r="Z42" i="29"/>
  <c r="Z43" i="29"/>
  <c r="Z44" i="29"/>
  <c r="AB44" i="29" s="1"/>
  <c r="Z45" i="29"/>
  <c r="Z46" i="29"/>
  <c r="Z47" i="29"/>
  <c r="Z48" i="29"/>
  <c r="Z49" i="29"/>
  <c r="Z50" i="29"/>
  <c r="Z51" i="29"/>
  <c r="Z52" i="29"/>
  <c r="AB52" i="29" s="1"/>
  <c r="Z53" i="29"/>
  <c r="Z54" i="29"/>
  <c r="Z55" i="29"/>
  <c r="Z56" i="29"/>
  <c r="Z57" i="29"/>
  <c r="Z58" i="29"/>
  <c r="Z59" i="29"/>
  <c r="Z60" i="29"/>
  <c r="AB60" i="29" s="1"/>
  <c r="Z61" i="29"/>
  <c r="Z62" i="29"/>
  <c r="Z63" i="29"/>
  <c r="Z64" i="29"/>
  <c r="Z65" i="29"/>
  <c r="Z66" i="29"/>
  <c r="Z67" i="29"/>
  <c r="Z68" i="29"/>
  <c r="AB68" i="29" s="1"/>
  <c r="Z69" i="29"/>
  <c r="Z70" i="29"/>
  <c r="Z71" i="29"/>
  <c r="Z72" i="29"/>
  <c r="Z73" i="29"/>
  <c r="Z74" i="29"/>
  <c r="AB74" i="29" s="1"/>
  <c r="Z75" i="29"/>
  <c r="Z76" i="29"/>
  <c r="AB76" i="29" s="1"/>
  <c r="Z77" i="29"/>
  <c r="Z78" i="29"/>
  <c r="Z79" i="29"/>
  <c r="Z80" i="29"/>
  <c r="Z81" i="29"/>
  <c r="Z82" i="29"/>
  <c r="AB82" i="29" s="1"/>
  <c r="Z83" i="29"/>
  <c r="Z84" i="29"/>
  <c r="AB84" i="29" s="1"/>
  <c r="AA18" i="29"/>
  <c r="AA19" i="29"/>
  <c r="AB19" i="29" s="1"/>
  <c r="AA20" i="29"/>
  <c r="AA21" i="29"/>
  <c r="AA22" i="29"/>
  <c r="AA23" i="29"/>
  <c r="AA24" i="29"/>
  <c r="AA25" i="29"/>
  <c r="AB25" i="29" s="1"/>
  <c r="AA26" i="29"/>
  <c r="AA27" i="29"/>
  <c r="AB27" i="29" s="1"/>
  <c r="AA28" i="29"/>
  <c r="AA29" i="29"/>
  <c r="AA30" i="29"/>
  <c r="AA31" i="29"/>
  <c r="AA32" i="29"/>
  <c r="AA33" i="29"/>
  <c r="AB33" i="29" s="1"/>
  <c r="AA34" i="29"/>
  <c r="AA35" i="29"/>
  <c r="AB35" i="29" s="1"/>
  <c r="AA36" i="29"/>
  <c r="AA37" i="29"/>
  <c r="AA38" i="29"/>
  <c r="AA39" i="29"/>
  <c r="AA40" i="29"/>
  <c r="AA41" i="29"/>
  <c r="AB41" i="29" s="1"/>
  <c r="AA42" i="29"/>
  <c r="AA43" i="29"/>
  <c r="AB43" i="29" s="1"/>
  <c r="AA44" i="29"/>
  <c r="AA45" i="29"/>
  <c r="AA46" i="29"/>
  <c r="AA47" i="29"/>
  <c r="AA48" i="29"/>
  <c r="AA49" i="29"/>
  <c r="AB49" i="29" s="1"/>
  <c r="AA50" i="29"/>
  <c r="AA51" i="29"/>
  <c r="AB51" i="29" s="1"/>
  <c r="AA52" i="29"/>
  <c r="AA53" i="29"/>
  <c r="AA54" i="29"/>
  <c r="AA55" i="29"/>
  <c r="AA56" i="29"/>
  <c r="AA57" i="29"/>
  <c r="AB57" i="29" s="1"/>
  <c r="AA58" i="29"/>
  <c r="AA59" i="29"/>
  <c r="AB59" i="29" s="1"/>
  <c r="AA60" i="29"/>
  <c r="AA61" i="29"/>
  <c r="AA62" i="29"/>
  <c r="AA63" i="29"/>
  <c r="AA64" i="29"/>
  <c r="AA65" i="29"/>
  <c r="AB65" i="29" s="1"/>
  <c r="AA66" i="29"/>
  <c r="AA67" i="29"/>
  <c r="AB67" i="29" s="1"/>
  <c r="AA68" i="29"/>
  <c r="AA69" i="29"/>
  <c r="AA70" i="29"/>
  <c r="AA71" i="29"/>
  <c r="AA72" i="29"/>
  <c r="AA73" i="29"/>
  <c r="AB73" i="29" s="1"/>
  <c r="AA74" i="29"/>
  <c r="AA75" i="29"/>
  <c r="AB75" i="29" s="1"/>
  <c r="AA76" i="29"/>
  <c r="AA77" i="29"/>
  <c r="AA78" i="29"/>
  <c r="AA79" i="29"/>
  <c r="AA80" i="29"/>
  <c r="AA81" i="29"/>
  <c r="AB81" i="29" s="1"/>
  <c r="AA82" i="29"/>
  <c r="AA83" i="29"/>
  <c r="AB83" i="29" s="1"/>
  <c r="AA84" i="29"/>
  <c r="AB21" i="29"/>
  <c r="AB22" i="29"/>
  <c r="AB24" i="29"/>
  <c r="AB29" i="29"/>
  <c r="AB30" i="29"/>
  <c r="AB32" i="29"/>
  <c r="AB37" i="29"/>
  <c r="AB38" i="29"/>
  <c r="AB40" i="29"/>
  <c r="AB45" i="29"/>
  <c r="AB46" i="29"/>
  <c r="AB48" i="29"/>
  <c r="AB53" i="29"/>
  <c r="AB54" i="29"/>
  <c r="AB56" i="29"/>
  <c r="AB61" i="29"/>
  <c r="AB62" i="29"/>
  <c r="AB64" i="29"/>
  <c r="AB69" i="29"/>
  <c r="AB70" i="29"/>
  <c r="AB72" i="29"/>
  <c r="AB77" i="29"/>
  <c r="AB78" i="29"/>
  <c r="AB80" i="29"/>
  <c r="AG18" i="29"/>
  <c r="AG19" i="29"/>
  <c r="AG20" i="29"/>
  <c r="AG21" i="29"/>
  <c r="AG22" i="29"/>
  <c r="AI22" i="29" s="1"/>
  <c r="AG23" i="29"/>
  <c r="AG24" i="29"/>
  <c r="AG25" i="29"/>
  <c r="AG26" i="29"/>
  <c r="AG27" i="29"/>
  <c r="AG28" i="29"/>
  <c r="AG29" i="29"/>
  <c r="AG30" i="29"/>
  <c r="AI30" i="29" s="1"/>
  <c r="AG31" i="29"/>
  <c r="AG32" i="29"/>
  <c r="AG33" i="29"/>
  <c r="AG34" i="29"/>
  <c r="AG35" i="29"/>
  <c r="AG36" i="29"/>
  <c r="AG37" i="29"/>
  <c r="AG38" i="29"/>
  <c r="AI38" i="29" s="1"/>
  <c r="AG39" i="29"/>
  <c r="AG40" i="29"/>
  <c r="AG41" i="29"/>
  <c r="AG42" i="29"/>
  <c r="AG43" i="29"/>
  <c r="AG44" i="29"/>
  <c r="AG45" i="29"/>
  <c r="AG46" i="29"/>
  <c r="AI46" i="29" s="1"/>
  <c r="AG47" i="29"/>
  <c r="AG48" i="29"/>
  <c r="AG49" i="29"/>
  <c r="AG50" i="29"/>
  <c r="AG51" i="29"/>
  <c r="AG52" i="29"/>
  <c r="AG53" i="29"/>
  <c r="AG54" i="29"/>
  <c r="AI54" i="29" s="1"/>
  <c r="AG55" i="29"/>
  <c r="AG56" i="29"/>
  <c r="AG57" i="29"/>
  <c r="AG58" i="29"/>
  <c r="AG59" i="29"/>
  <c r="AG60" i="29"/>
  <c r="AG61" i="29"/>
  <c r="AG62" i="29"/>
  <c r="AI62" i="29" s="1"/>
  <c r="AG63" i="29"/>
  <c r="AG64" i="29"/>
  <c r="AG65" i="29"/>
  <c r="AG66" i="29"/>
  <c r="AG67" i="29"/>
  <c r="AG68" i="29"/>
  <c r="AG69" i="29"/>
  <c r="AG70" i="29"/>
  <c r="AI70" i="29" s="1"/>
  <c r="AG71" i="29"/>
  <c r="AG72" i="29"/>
  <c r="AG73" i="29"/>
  <c r="AG74" i="29"/>
  <c r="AG75" i="29"/>
  <c r="AG76" i="29"/>
  <c r="AG77" i="29"/>
  <c r="AG78" i="29"/>
  <c r="AI78" i="29" s="1"/>
  <c r="AG79" i="29"/>
  <c r="AG80" i="29"/>
  <c r="AG81" i="29"/>
  <c r="AG82" i="29"/>
  <c r="AG83" i="29"/>
  <c r="AG84" i="29"/>
  <c r="AH18" i="29"/>
  <c r="AI18" i="29" s="1"/>
  <c r="AH19" i="29"/>
  <c r="AH20" i="29"/>
  <c r="AH21" i="29"/>
  <c r="AH22" i="29"/>
  <c r="AH23" i="29"/>
  <c r="AH24" i="29"/>
  <c r="AI24" i="29" s="1"/>
  <c r="AH25" i="29"/>
  <c r="AH26" i="29"/>
  <c r="AI26" i="29" s="1"/>
  <c r="AH27" i="29"/>
  <c r="AH28" i="29"/>
  <c r="AH29" i="29"/>
  <c r="AH30" i="29"/>
  <c r="AH31" i="29"/>
  <c r="AH32" i="29"/>
  <c r="AI32" i="29" s="1"/>
  <c r="AH33" i="29"/>
  <c r="AH34" i="29"/>
  <c r="AI34" i="29" s="1"/>
  <c r="AH35" i="29"/>
  <c r="AH36" i="29"/>
  <c r="AH37" i="29"/>
  <c r="AH38" i="29"/>
  <c r="AH39" i="29"/>
  <c r="AH40" i="29"/>
  <c r="AI40" i="29" s="1"/>
  <c r="AH41" i="29"/>
  <c r="AH42" i="29"/>
  <c r="AI42" i="29" s="1"/>
  <c r="AH43" i="29"/>
  <c r="AH44" i="29"/>
  <c r="AH45" i="29"/>
  <c r="AI45" i="29" s="1"/>
  <c r="AH46" i="29"/>
  <c r="AH47" i="29"/>
  <c r="AH48" i="29"/>
  <c r="AI48" i="29" s="1"/>
  <c r="AH49" i="29"/>
  <c r="AH50" i="29"/>
  <c r="AI50" i="29" s="1"/>
  <c r="AH51" i="29"/>
  <c r="AH52" i="29"/>
  <c r="AH53" i="29"/>
  <c r="AH54" i="29"/>
  <c r="AH55" i="29"/>
  <c r="AH56" i="29"/>
  <c r="AI56" i="29" s="1"/>
  <c r="AH57" i="29"/>
  <c r="AH58" i="29"/>
  <c r="AI58" i="29" s="1"/>
  <c r="AH59" i="29"/>
  <c r="AH60" i="29"/>
  <c r="AH61" i="29"/>
  <c r="AH62" i="29"/>
  <c r="AH63" i="29"/>
  <c r="AH64" i="29"/>
  <c r="AI64" i="29" s="1"/>
  <c r="AH65" i="29"/>
  <c r="AH66" i="29"/>
  <c r="AI66" i="29" s="1"/>
  <c r="AH67" i="29"/>
  <c r="AH68" i="29"/>
  <c r="AH69" i="29"/>
  <c r="AH70" i="29"/>
  <c r="AH71" i="29"/>
  <c r="AH72" i="29"/>
  <c r="AI72" i="29" s="1"/>
  <c r="AH73" i="29"/>
  <c r="AH74" i="29"/>
  <c r="AI74" i="29" s="1"/>
  <c r="AH75" i="29"/>
  <c r="AH76" i="29"/>
  <c r="AH77" i="29"/>
  <c r="AH78" i="29"/>
  <c r="AH79" i="29"/>
  <c r="AH80" i="29"/>
  <c r="AI80" i="29" s="1"/>
  <c r="AH81" i="29"/>
  <c r="AH82" i="29"/>
  <c r="AI82" i="29" s="1"/>
  <c r="AH83" i="29"/>
  <c r="AH84" i="29"/>
  <c r="AI20" i="29"/>
  <c r="AI21" i="29"/>
  <c r="AI23" i="29"/>
  <c r="AI28" i="29"/>
  <c r="AI29" i="29"/>
  <c r="AI31" i="29"/>
  <c r="AI36" i="29"/>
  <c r="AI37" i="29"/>
  <c r="AI39" i="29"/>
  <c r="AI44" i="29"/>
  <c r="AI47" i="29"/>
  <c r="AI52" i="29"/>
  <c r="AI53" i="29"/>
  <c r="AI55" i="29"/>
  <c r="AI60" i="29"/>
  <c r="AI61" i="29"/>
  <c r="AI63" i="29"/>
  <c r="AI68" i="29"/>
  <c r="AI69" i="29"/>
  <c r="AI71" i="29"/>
  <c r="AI76" i="29"/>
  <c r="AI77" i="29"/>
  <c r="AI79" i="29"/>
  <c r="AI84" i="29"/>
  <c r="BC18" i="29"/>
  <c r="BC19" i="29"/>
  <c r="BC20" i="29"/>
  <c r="BC21" i="29"/>
  <c r="BC22" i="29"/>
  <c r="BC23" i="29"/>
  <c r="BC24" i="29"/>
  <c r="BC25" i="29"/>
  <c r="BC26" i="29"/>
  <c r="BC27" i="29"/>
  <c r="BC28" i="29"/>
  <c r="BC29" i="29"/>
  <c r="BC30" i="29"/>
  <c r="BC31" i="29"/>
  <c r="BC32" i="29"/>
  <c r="BC33" i="29"/>
  <c r="BC34" i="29"/>
  <c r="BC35" i="29"/>
  <c r="BC36" i="29"/>
  <c r="BC37" i="29"/>
  <c r="BC38" i="29"/>
  <c r="BC39" i="29"/>
  <c r="BC40" i="29"/>
  <c r="BC41" i="29"/>
  <c r="BC42" i="29"/>
  <c r="BC43" i="29"/>
  <c r="BC44" i="29"/>
  <c r="BC45" i="29"/>
  <c r="BC46" i="29"/>
  <c r="BC47" i="29"/>
  <c r="BC48" i="29"/>
  <c r="BC49" i="29"/>
  <c r="BC50" i="29"/>
  <c r="BC51" i="29"/>
  <c r="BC52" i="29"/>
  <c r="BC53" i="29"/>
  <c r="BC54" i="29"/>
  <c r="BC55" i="29"/>
  <c r="BC56" i="29"/>
  <c r="BC57" i="29"/>
  <c r="BC58" i="29"/>
  <c r="BC59" i="29"/>
  <c r="BC60" i="29"/>
  <c r="BC61" i="29"/>
  <c r="BC62" i="29"/>
  <c r="BC63" i="29"/>
  <c r="BC64" i="29"/>
  <c r="BC65" i="29"/>
  <c r="BC66" i="29"/>
  <c r="BC67" i="29"/>
  <c r="BC68" i="29"/>
  <c r="BC69" i="29"/>
  <c r="BC70" i="29"/>
  <c r="BC71" i="29"/>
  <c r="BC72" i="29"/>
  <c r="BC73" i="29"/>
  <c r="BC74" i="29"/>
  <c r="BC75" i="29"/>
  <c r="BC76" i="29"/>
  <c r="BC77" i="29"/>
  <c r="BC78" i="29"/>
  <c r="BC79" i="29"/>
  <c r="BC80" i="29"/>
  <c r="BC81" i="29"/>
  <c r="BC82" i="29"/>
  <c r="BC83" i="29"/>
  <c r="BC84" i="29"/>
  <c r="K37" i="49"/>
  <c r="S37" i="49"/>
  <c r="T37" i="49"/>
  <c r="U37" i="49"/>
  <c r="V37" i="49"/>
  <c r="W37" i="49"/>
  <c r="X37" i="49"/>
  <c r="Y37" i="49"/>
  <c r="AC37" i="49"/>
  <c r="AD37" i="49"/>
  <c r="AE37" i="49"/>
  <c r="AF37" i="49"/>
  <c r="AK37" i="49"/>
  <c r="AL37" i="49"/>
  <c r="AM37" i="49"/>
  <c r="AN37" i="49"/>
  <c r="AO37" i="49"/>
  <c r="AP37" i="49"/>
  <c r="AQ37" i="49"/>
  <c r="AR37" i="49"/>
  <c r="AS37" i="49"/>
  <c r="AT37" i="49"/>
  <c r="AU37" i="49"/>
  <c r="AV37" i="49"/>
  <c r="AW37" i="49"/>
  <c r="AX37" i="49"/>
  <c r="AY37" i="49"/>
  <c r="AZ37" i="49"/>
  <c r="BA37" i="49"/>
  <c r="Z26" i="49"/>
  <c r="Z15" i="49"/>
  <c r="Z17" i="49"/>
  <c r="AB17" i="49" s="1"/>
  <c r="Z22" i="49"/>
  <c r="Z16" i="49"/>
  <c r="Z28" i="49"/>
  <c r="Z18" i="49"/>
  <c r="Z19" i="49"/>
  <c r="Z29" i="49"/>
  <c r="AB29" i="49" s="1"/>
  <c r="Z30" i="49"/>
  <c r="Z31" i="49"/>
  <c r="AB31" i="49" s="1"/>
  <c r="Z32" i="49"/>
  <c r="Z33" i="49"/>
  <c r="Z23" i="49"/>
  <c r="Z34" i="49"/>
  <c r="Z21" i="49"/>
  <c r="Z27" i="49"/>
  <c r="AB27" i="49" s="1"/>
  <c r="Z24" i="49"/>
  <c r="Z25" i="49"/>
  <c r="AB25" i="49" s="1"/>
  <c r="Z20" i="49"/>
  <c r="Z35" i="49"/>
  <c r="Z36" i="49"/>
  <c r="AA26" i="49"/>
  <c r="AA15" i="49"/>
  <c r="AA17" i="49"/>
  <c r="AA22" i="49"/>
  <c r="AB22" i="49" s="1"/>
  <c r="AA16" i="49"/>
  <c r="AB16" i="49" s="1"/>
  <c r="AA28" i="49"/>
  <c r="AA18" i="49"/>
  <c r="AA19" i="49"/>
  <c r="AA29" i="49"/>
  <c r="AA30" i="49"/>
  <c r="AA31" i="49"/>
  <c r="AA32" i="49"/>
  <c r="AB32" i="49" s="1"/>
  <c r="AA33" i="49"/>
  <c r="AB33" i="49" s="1"/>
  <c r="AA23" i="49"/>
  <c r="AA34" i="49"/>
  <c r="AA21" i="49"/>
  <c r="AA27" i="49"/>
  <c r="AA24" i="49"/>
  <c r="AA25" i="49"/>
  <c r="AA20" i="49"/>
  <c r="AB20" i="49" s="1"/>
  <c r="AA35" i="49"/>
  <c r="AB35" i="49" s="1"/>
  <c r="AA36" i="49"/>
  <c r="AB28" i="49"/>
  <c r="AB18" i="49"/>
  <c r="AB23" i="49"/>
  <c r="AB34" i="49"/>
  <c r="AB36" i="49"/>
  <c r="AG26" i="49"/>
  <c r="AG15" i="49"/>
  <c r="AG17" i="49"/>
  <c r="AG22" i="49"/>
  <c r="AG16" i="49"/>
  <c r="AG28" i="49"/>
  <c r="AG18" i="49"/>
  <c r="AG19" i="49"/>
  <c r="AG29" i="49"/>
  <c r="AG30" i="49"/>
  <c r="AG31" i="49"/>
  <c r="AG32" i="49"/>
  <c r="AG33" i="49"/>
  <c r="AG23" i="49"/>
  <c r="AG34" i="49"/>
  <c r="AG21" i="49"/>
  <c r="AG27" i="49"/>
  <c r="AG24" i="49"/>
  <c r="AG25" i="49"/>
  <c r="AG20" i="49"/>
  <c r="AG35" i="49"/>
  <c r="AG36" i="49"/>
  <c r="AH26" i="49"/>
  <c r="AJ26" i="49" s="1"/>
  <c r="AH15" i="49"/>
  <c r="AJ15" i="49" s="1"/>
  <c r="AH17" i="49"/>
  <c r="AH22" i="49"/>
  <c r="AH16" i="49"/>
  <c r="AH28" i="49"/>
  <c r="AH18" i="49"/>
  <c r="AH19" i="49"/>
  <c r="AJ19" i="49" s="1"/>
  <c r="AH29" i="49"/>
  <c r="AJ29" i="49" s="1"/>
  <c r="AH30" i="49"/>
  <c r="AJ30" i="49" s="1"/>
  <c r="AH31" i="49"/>
  <c r="AJ31" i="49" s="1"/>
  <c r="AH32" i="49"/>
  <c r="AH33" i="49"/>
  <c r="AH23" i="49"/>
  <c r="AH34" i="49"/>
  <c r="AH21" i="49"/>
  <c r="AJ21" i="49" s="1"/>
  <c r="AH27" i="49"/>
  <c r="AJ27" i="49" s="1"/>
  <c r="AH24" i="49"/>
  <c r="AJ24" i="49" s="1"/>
  <c r="AH25" i="49"/>
  <c r="AJ25" i="49" s="1"/>
  <c r="AH20" i="49"/>
  <c r="AH35" i="49"/>
  <c r="AH36" i="49"/>
  <c r="AI26" i="49"/>
  <c r="AI15" i="49"/>
  <c r="AI17" i="49"/>
  <c r="AI22" i="49"/>
  <c r="AI16" i="49"/>
  <c r="AJ16" i="49" s="1"/>
  <c r="AI28" i="49"/>
  <c r="AJ28" i="49" s="1"/>
  <c r="AI18" i="49"/>
  <c r="AI19" i="49"/>
  <c r="AI29" i="49"/>
  <c r="AI30" i="49"/>
  <c r="AI31" i="49"/>
  <c r="AI32" i="49"/>
  <c r="AI33" i="49"/>
  <c r="AJ33" i="49" s="1"/>
  <c r="AI23" i="49"/>
  <c r="AJ23" i="49" s="1"/>
  <c r="AI34" i="49"/>
  <c r="AJ34" i="49" s="1"/>
  <c r="AI21" i="49"/>
  <c r="AI27" i="49"/>
  <c r="AI24" i="49"/>
  <c r="AI25" i="49"/>
  <c r="AI20" i="49"/>
  <c r="AI35" i="49"/>
  <c r="AJ35" i="49" s="1"/>
  <c r="AI36" i="49"/>
  <c r="AJ36" i="49" s="1"/>
  <c r="AJ18" i="49"/>
  <c r="BD26" i="49"/>
  <c r="BD15" i="49"/>
  <c r="BD17" i="49"/>
  <c r="BD22" i="49"/>
  <c r="BD16" i="49"/>
  <c r="BD28" i="49"/>
  <c r="BD18" i="49"/>
  <c r="BD19" i="49"/>
  <c r="BD29" i="49"/>
  <c r="BD30" i="49"/>
  <c r="BD31" i="49"/>
  <c r="BD32" i="49"/>
  <c r="BD33" i="49"/>
  <c r="BD23" i="49"/>
  <c r="BD34" i="49"/>
  <c r="BD21" i="49"/>
  <c r="BD27" i="49"/>
  <c r="BD24" i="49"/>
  <c r="BD25" i="49"/>
  <c r="BD20" i="49"/>
  <c r="BD35" i="49"/>
  <c r="BD36" i="49"/>
  <c r="K27" i="56"/>
  <c r="S27" i="56"/>
  <c r="T27" i="56"/>
  <c r="U27" i="56"/>
  <c r="V27" i="56"/>
  <c r="W27" i="56"/>
  <c r="Y27" i="56"/>
  <c r="Z27" i="56"/>
  <c r="AE27" i="56"/>
  <c r="AF27" i="56"/>
  <c r="AH27" i="56"/>
  <c r="AI27" i="56"/>
  <c r="AN27" i="56"/>
  <c r="AO27" i="56"/>
  <c r="AP27" i="56"/>
  <c r="AQ27" i="56"/>
  <c r="AR27" i="56"/>
  <c r="AS27" i="56"/>
  <c r="AT27" i="56"/>
  <c r="AU27" i="56"/>
  <c r="AV27" i="56"/>
  <c r="AW27" i="56"/>
  <c r="AX27" i="56"/>
  <c r="AY27" i="56"/>
  <c r="AZ27" i="56"/>
  <c r="BA27" i="56"/>
  <c r="BB27" i="56"/>
  <c r="BC27" i="56"/>
  <c r="BD27" i="56"/>
  <c r="X15" i="56"/>
  <c r="X16" i="56"/>
  <c r="X17" i="56"/>
  <c r="BG17" i="56" s="1"/>
  <c r="X18" i="56"/>
  <c r="BG18" i="56" s="1"/>
  <c r="X19" i="56"/>
  <c r="X20" i="56"/>
  <c r="X21" i="56"/>
  <c r="X22" i="56"/>
  <c r="X23" i="56"/>
  <c r="X24" i="56"/>
  <c r="X25" i="56"/>
  <c r="BG25" i="56" s="1"/>
  <c r="X26" i="56"/>
  <c r="AA15" i="56"/>
  <c r="AA16" i="56"/>
  <c r="AA17" i="56"/>
  <c r="AA18" i="56"/>
  <c r="AA19" i="56"/>
  <c r="AA20" i="56"/>
  <c r="AA21" i="56"/>
  <c r="AA22" i="56"/>
  <c r="AA23" i="56"/>
  <c r="AA24" i="56"/>
  <c r="AA25" i="56"/>
  <c r="AA26" i="56"/>
  <c r="AB15" i="56"/>
  <c r="AB16" i="56"/>
  <c r="AB17" i="56"/>
  <c r="AD17" i="56" s="1"/>
  <c r="AB18" i="56"/>
  <c r="AB19" i="56"/>
  <c r="AB20" i="56"/>
  <c r="AB21" i="56"/>
  <c r="AB22" i="56"/>
  <c r="AB23" i="56"/>
  <c r="AB24" i="56"/>
  <c r="AB25" i="56"/>
  <c r="AD25" i="56" s="1"/>
  <c r="AB26" i="56"/>
  <c r="AD26" i="56" s="1"/>
  <c r="AC15" i="56"/>
  <c r="AD15" i="56" s="1"/>
  <c r="AC16" i="56"/>
  <c r="AC17" i="56"/>
  <c r="AC18" i="56"/>
  <c r="AC19" i="56"/>
  <c r="AC20" i="56"/>
  <c r="AC21" i="56"/>
  <c r="AD21" i="56" s="1"/>
  <c r="AC22" i="56"/>
  <c r="AC23" i="56"/>
  <c r="AC24" i="56"/>
  <c r="AC25" i="56"/>
  <c r="AC26" i="56"/>
  <c r="AD18" i="56"/>
  <c r="AD22" i="56"/>
  <c r="AD23" i="56"/>
  <c r="AD24" i="56"/>
  <c r="AG15" i="56"/>
  <c r="AG16" i="56"/>
  <c r="AG17" i="56"/>
  <c r="AG18" i="56"/>
  <c r="AG19" i="56"/>
  <c r="BG19" i="56" s="1"/>
  <c r="AG20" i="56"/>
  <c r="BG20" i="56" s="1"/>
  <c r="AG21" i="56"/>
  <c r="BG21" i="56" s="1"/>
  <c r="AG22" i="56"/>
  <c r="AG23" i="56"/>
  <c r="AG24" i="56"/>
  <c r="AG25" i="56"/>
  <c r="AG26" i="56"/>
  <c r="AJ15" i="56"/>
  <c r="AJ16" i="56"/>
  <c r="AJ17" i="56"/>
  <c r="AJ18" i="56"/>
  <c r="AJ19" i="56"/>
  <c r="AJ20" i="56"/>
  <c r="AJ21" i="56"/>
  <c r="AJ22" i="56"/>
  <c r="AJ23" i="56"/>
  <c r="AJ24" i="56"/>
  <c r="AJ25" i="56"/>
  <c r="AJ26" i="56"/>
  <c r="AK15" i="56"/>
  <c r="AK16" i="56"/>
  <c r="AK17" i="56"/>
  <c r="AK18" i="56"/>
  <c r="AM18" i="56" s="1"/>
  <c r="AK19" i="56"/>
  <c r="AM19" i="56" s="1"/>
  <c r="AK20" i="56"/>
  <c r="AK21" i="56"/>
  <c r="AM21" i="56" s="1"/>
  <c r="AK22" i="56"/>
  <c r="AK23" i="56"/>
  <c r="AK24" i="56"/>
  <c r="AK25" i="56"/>
  <c r="AK26" i="56"/>
  <c r="AL15" i="56"/>
  <c r="AM15" i="56" s="1"/>
  <c r="AL16" i="56"/>
  <c r="AM16" i="56" s="1"/>
  <c r="AL17" i="56"/>
  <c r="AL18" i="56"/>
  <c r="AL19" i="56"/>
  <c r="AL20" i="56"/>
  <c r="AL21" i="56"/>
  <c r="AL22" i="56"/>
  <c r="AL23" i="56"/>
  <c r="AM23" i="56" s="1"/>
  <c r="AL24" i="56"/>
  <c r="AM24" i="56" s="1"/>
  <c r="AL25" i="56"/>
  <c r="AL26" i="56"/>
  <c r="AM20" i="56"/>
  <c r="AM22" i="56"/>
  <c r="AM26" i="56"/>
  <c r="BG15" i="56"/>
  <c r="BG16" i="56"/>
  <c r="BG22" i="56"/>
  <c r="BG23" i="56"/>
  <c r="BG24" i="56"/>
  <c r="BG26" i="56"/>
  <c r="H144" i="23"/>
  <c r="V144" i="23"/>
  <c r="W144" i="23"/>
  <c r="AA144" i="23"/>
  <c r="AB144" i="23"/>
  <c r="AC144" i="23"/>
  <c r="AD144" i="23"/>
  <c r="AH144" i="23"/>
  <c r="AI144" i="23"/>
  <c r="AJ144" i="23"/>
  <c r="AK144" i="23"/>
  <c r="AO144" i="23"/>
  <c r="AP144" i="23"/>
  <c r="AQ144" i="23"/>
  <c r="AR144" i="23"/>
  <c r="AS144" i="23"/>
  <c r="AT144" i="23"/>
  <c r="AU144" i="23"/>
  <c r="AV144" i="23"/>
  <c r="AW144" i="23"/>
  <c r="AX144" i="23"/>
  <c r="AY144" i="23"/>
  <c r="AZ144" i="23"/>
  <c r="BA144" i="23"/>
  <c r="BB144" i="23"/>
  <c r="BC144" i="23"/>
  <c r="BD144" i="23"/>
  <c r="BE144" i="23"/>
  <c r="BF144" i="23"/>
  <c r="BG144" i="23"/>
  <c r="BH144" i="23"/>
  <c r="BI144" i="23"/>
  <c r="BJ144" i="23"/>
  <c r="BK144" i="23"/>
  <c r="BL144" i="23"/>
  <c r="BM144" i="23"/>
  <c r="BN144" i="23"/>
  <c r="BO144" i="23"/>
  <c r="BP144" i="23"/>
  <c r="BQ144" i="23"/>
  <c r="BR144" i="23"/>
  <c r="BS144" i="23"/>
  <c r="BT144" i="23"/>
  <c r="BU144" i="23"/>
  <c r="BV144" i="23"/>
  <c r="X6" i="23"/>
  <c r="X7" i="23"/>
  <c r="X8" i="23"/>
  <c r="Z8" i="23" s="1"/>
  <c r="X9" i="23"/>
  <c r="X10" i="23"/>
  <c r="X11" i="23"/>
  <c r="X12" i="23"/>
  <c r="X13" i="23"/>
  <c r="X14" i="23"/>
  <c r="X15" i="23"/>
  <c r="X16" i="23"/>
  <c r="Z16" i="23" s="1"/>
  <c r="X17" i="23"/>
  <c r="X18" i="23"/>
  <c r="X19" i="23"/>
  <c r="X20" i="23"/>
  <c r="X21" i="23"/>
  <c r="X22" i="23"/>
  <c r="X23" i="23"/>
  <c r="X24" i="23"/>
  <c r="Z24" i="23" s="1"/>
  <c r="X25" i="23"/>
  <c r="X26" i="23"/>
  <c r="X27" i="23"/>
  <c r="X28" i="23"/>
  <c r="X29" i="23"/>
  <c r="X30" i="23"/>
  <c r="X31" i="23"/>
  <c r="X32" i="23"/>
  <c r="Z32" i="23" s="1"/>
  <c r="X33" i="23"/>
  <c r="X34" i="23"/>
  <c r="X35" i="23"/>
  <c r="X36" i="23"/>
  <c r="X37" i="23"/>
  <c r="X38" i="23"/>
  <c r="X39" i="23"/>
  <c r="X40" i="23"/>
  <c r="Z40" i="23" s="1"/>
  <c r="X41" i="23"/>
  <c r="X42" i="23"/>
  <c r="X43" i="23"/>
  <c r="X44" i="23"/>
  <c r="X45" i="23"/>
  <c r="X46" i="23"/>
  <c r="X47" i="23"/>
  <c r="X48" i="23"/>
  <c r="Z48" i="23" s="1"/>
  <c r="X49" i="23"/>
  <c r="X50" i="23"/>
  <c r="X51" i="23"/>
  <c r="X52" i="23"/>
  <c r="X53" i="23"/>
  <c r="X54" i="23"/>
  <c r="X55" i="23"/>
  <c r="X56" i="23"/>
  <c r="Z56" i="23" s="1"/>
  <c r="X57" i="23"/>
  <c r="X58" i="23"/>
  <c r="X59" i="23"/>
  <c r="X60" i="23"/>
  <c r="X61" i="23"/>
  <c r="X62" i="23"/>
  <c r="X63" i="23"/>
  <c r="X64" i="23"/>
  <c r="Z64" i="23" s="1"/>
  <c r="X65" i="23"/>
  <c r="X66" i="23"/>
  <c r="X67" i="23"/>
  <c r="X68" i="23"/>
  <c r="X69" i="23"/>
  <c r="X70" i="23"/>
  <c r="X71" i="23"/>
  <c r="X72" i="23"/>
  <c r="Z72" i="23" s="1"/>
  <c r="X73" i="23"/>
  <c r="X74" i="23"/>
  <c r="X75" i="23"/>
  <c r="X76" i="23"/>
  <c r="X77" i="23"/>
  <c r="X78" i="23"/>
  <c r="X79" i="23"/>
  <c r="X80" i="23"/>
  <c r="Z80" i="23" s="1"/>
  <c r="X81" i="23"/>
  <c r="X82" i="23"/>
  <c r="X83" i="23"/>
  <c r="X84" i="23"/>
  <c r="X85" i="23"/>
  <c r="X86" i="23"/>
  <c r="X87" i="23"/>
  <c r="X88" i="23"/>
  <c r="Z88" i="23" s="1"/>
  <c r="X89" i="23"/>
  <c r="X90" i="23"/>
  <c r="X91" i="23"/>
  <c r="X92" i="23"/>
  <c r="X93" i="23"/>
  <c r="X94" i="23"/>
  <c r="X95" i="23"/>
  <c r="X96" i="23"/>
  <c r="Z96" i="23" s="1"/>
  <c r="X97" i="23"/>
  <c r="X98" i="23"/>
  <c r="X99" i="23"/>
  <c r="X100" i="23"/>
  <c r="X101" i="23"/>
  <c r="X102" i="23"/>
  <c r="X103" i="23"/>
  <c r="X104" i="23"/>
  <c r="Z104" i="23" s="1"/>
  <c r="X105" i="23"/>
  <c r="X106" i="23"/>
  <c r="X107" i="23"/>
  <c r="X108" i="23"/>
  <c r="X109" i="23"/>
  <c r="X110" i="23"/>
  <c r="X111" i="23"/>
  <c r="X112" i="23"/>
  <c r="Z112" i="23" s="1"/>
  <c r="X113" i="23"/>
  <c r="X114" i="23"/>
  <c r="X115" i="23"/>
  <c r="X116" i="23"/>
  <c r="X117" i="23"/>
  <c r="X118" i="23"/>
  <c r="X119" i="23"/>
  <c r="X120" i="23"/>
  <c r="Z120" i="23" s="1"/>
  <c r="X121" i="23"/>
  <c r="X122" i="23"/>
  <c r="X123" i="23"/>
  <c r="X124" i="23"/>
  <c r="X125" i="23"/>
  <c r="X126" i="23"/>
  <c r="X127" i="23"/>
  <c r="X128" i="23"/>
  <c r="Z128" i="23" s="1"/>
  <c r="X129" i="23"/>
  <c r="X130" i="23"/>
  <c r="X131" i="23"/>
  <c r="X132" i="23"/>
  <c r="X133" i="23"/>
  <c r="X134" i="23"/>
  <c r="X135" i="23"/>
  <c r="X136" i="23"/>
  <c r="Z136" i="23" s="1"/>
  <c r="X137" i="23"/>
  <c r="X138" i="23"/>
  <c r="X139" i="23"/>
  <c r="X140" i="23"/>
  <c r="X141" i="23"/>
  <c r="X142" i="23"/>
  <c r="X143" i="23"/>
  <c r="Y6" i="23"/>
  <c r="Z6" i="23" s="1"/>
  <c r="Y7" i="23"/>
  <c r="Y8" i="23"/>
  <c r="Y9" i="23"/>
  <c r="Y10" i="23"/>
  <c r="Z10" i="23" s="1"/>
  <c r="Y11" i="23"/>
  <c r="Y12" i="23"/>
  <c r="Y13" i="23"/>
  <c r="Y14" i="23"/>
  <c r="Z14" i="23" s="1"/>
  <c r="Y15" i="23"/>
  <c r="Y16" i="23"/>
  <c r="Y17" i="23"/>
  <c r="Y18" i="23"/>
  <c r="Z18" i="23" s="1"/>
  <c r="Y19" i="23"/>
  <c r="Y20" i="23"/>
  <c r="Y21" i="23"/>
  <c r="Y22" i="23"/>
  <c r="Z22" i="23" s="1"/>
  <c r="Y23" i="23"/>
  <c r="Y24" i="23"/>
  <c r="Y25" i="23"/>
  <c r="Y26" i="23"/>
  <c r="Z26" i="23" s="1"/>
  <c r="Y27" i="23"/>
  <c r="Y28" i="23"/>
  <c r="Y29" i="23"/>
  <c r="Y30" i="23"/>
  <c r="Z30" i="23" s="1"/>
  <c r="Y31" i="23"/>
  <c r="Y32" i="23"/>
  <c r="Y33" i="23"/>
  <c r="Y34" i="23"/>
  <c r="Z34" i="23" s="1"/>
  <c r="Y35" i="23"/>
  <c r="Y36" i="23"/>
  <c r="Y37" i="23"/>
  <c r="Y38" i="23"/>
  <c r="Z38" i="23" s="1"/>
  <c r="Y39" i="23"/>
  <c r="Y40" i="23"/>
  <c r="Y41" i="23"/>
  <c r="Y42" i="23"/>
  <c r="Z42" i="23" s="1"/>
  <c r="Y43" i="23"/>
  <c r="Y44" i="23"/>
  <c r="Y45" i="23"/>
  <c r="Y46" i="23"/>
  <c r="Z46" i="23" s="1"/>
  <c r="Y47" i="23"/>
  <c r="Y48" i="23"/>
  <c r="Y49" i="23"/>
  <c r="Y50" i="23"/>
  <c r="Z50" i="23" s="1"/>
  <c r="Y51" i="23"/>
  <c r="Y52" i="23"/>
  <c r="Y53" i="23"/>
  <c r="Y54" i="23"/>
  <c r="Z54" i="23" s="1"/>
  <c r="Y55" i="23"/>
  <c r="Y56" i="23"/>
  <c r="Y57" i="23"/>
  <c r="Y58" i="23"/>
  <c r="Z58" i="23" s="1"/>
  <c r="Y59" i="23"/>
  <c r="Y60" i="23"/>
  <c r="Y61" i="23"/>
  <c r="Y62" i="23"/>
  <c r="Z62" i="23" s="1"/>
  <c r="Y63" i="23"/>
  <c r="Y64" i="23"/>
  <c r="Y65" i="23"/>
  <c r="Y66" i="23"/>
  <c r="Z66" i="23" s="1"/>
  <c r="Y67" i="23"/>
  <c r="Y68" i="23"/>
  <c r="Y69" i="23"/>
  <c r="Y70" i="23"/>
  <c r="Z70" i="23" s="1"/>
  <c r="Y71" i="23"/>
  <c r="Y72" i="23"/>
  <c r="Y73" i="23"/>
  <c r="Y74" i="23"/>
  <c r="Z74" i="23" s="1"/>
  <c r="Y75" i="23"/>
  <c r="Y76" i="23"/>
  <c r="Y77" i="23"/>
  <c r="Y78" i="23"/>
  <c r="Z78" i="23" s="1"/>
  <c r="Y79" i="23"/>
  <c r="Y80" i="23"/>
  <c r="Y81" i="23"/>
  <c r="Y82" i="23"/>
  <c r="Z82" i="23" s="1"/>
  <c r="Y83" i="23"/>
  <c r="Y84" i="23"/>
  <c r="Y85" i="23"/>
  <c r="Y86" i="23"/>
  <c r="Z86" i="23" s="1"/>
  <c r="Y87" i="23"/>
  <c r="Y88" i="23"/>
  <c r="Y89" i="23"/>
  <c r="Y90" i="23"/>
  <c r="Z90" i="23" s="1"/>
  <c r="Y91" i="23"/>
  <c r="Y92" i="23"/>
  <c r="Y93" i="23"/>
  <c r="Y94" i="23"/>
  <c r="Z94" i="23" s="1"/>
  <c r="Y95" i="23"/>
  <c r="Y96" i="23"/>
  <c r="Y97" i="23"/>
  <c r="Y98" i="23"/>
  <c r="Z98" i="23" s="1"/>
  <c r="Y99" i="23"/>
  <c r="Y100" i="23"/>
  <c r="Y101" i="23"/>
  <c r="Y102" i="23"/>
  <c r="Z102" i="23" s="1"/>
  <c r="Y103" i="23"/>
  <c r="Y104" i="23"/>
  <c r="Y105" i="23"/>
  <c r="Y106" i="23"/>
  <c r="Z106" i="23" s="1"/>
  <c r="Y107" i="23"/>
  <c r="Y108" i="23"/>
  <c r="Y109" i="23"/>
  <c r="Y110" i="23"/>
  <c r="Z110" i="23" s="1"/>
  <c r="Y111" i="23"/>
  <c r="Y112" i="23"/>
  <c r="Y113" i="23"/>
  <c r="Y114" i="23"/>
  <c r="Z114" i="23" s="1"/>
  <c r="Y115" i="23"/>
  <c r="Y116" i="23"/>
  <c r="Y117" i="23"/>
  <c r="Y118" i="23"/>
  <c r="Z118" i="23" s="1"/>
  <c r="Y119" i="23"/>
  <c r="Y120" i="23"/>
  <c r="Y121" i="23"/>
  <c r="Y122" i="23"/>
  <c r="Z122" i="23" s="1"/>
  <c r="Y123" i="23"/>
  <c r="Y124" i="23"/>
  <c r="Y125" i="23"/>
  <c r="Y126" i="23"/>
  <c r="Z126" i="23" s="1"/>
  <c r="Y127" i="23"/>
  <c r="Y128" i="23"/>
  <c r="Y129" i="23"/>
  <c r="Y130" i="23"/>
  <c r="Z130" i="23" s="1"/>
  <c r="Y131" i="23"/>
  <c r="Y132" i="23"/>
  <c r="Y133" i="23"/>
  <c r="Y134" i="23"/>
  <c r="Z134" i="23" s="1"/>
  <c r="Y135" i="23"/>
  <c r="Y136" i="23"/>
  <c r="Y137" i="23"/>
  <c r="Y138" i="23"/>
  <c r="Z138" i="23" s="1"/>
  <c r="Y139" i="23"/>
  <c r="Y140" i="23"/>
  <c r="Y141" i="23"/>
  <c r="Y142" i="23"/>
  <c r="Z142" i="23" s="1"/>
  <c r="Y143" i="23"/>
  <c r="Z7" i="23"/>
  <c r="Z9" i="23"/>
  <c r="Z11" i="23"/>
  <c r="Z12" i="23"/>
  <c r="Z13" i="23"/>
  <c r="Z15" i="23"/>
  <c r="Z17" i="23"/>
  <c r="Z19" i="23"/>
  <c r="Z20" i="23"/>
  <c r="Z21" i="23"/>
  <c r="Z23" i="23"/>
  <c r="Z25" i="23"/>
  <c r="Z27" i="23"/>
  <c r="Z28" i="23"/>
  <c r="Z29" i="23"/>
  <c r="Z31" i="23"/>
  <c r="Z33" i="23"/>
  <c r="Z35" i="23"/>
  <c r="Z36" i="23"/>
  <c r="Z37" i="23"/>
  <c r="Z39" i="23"/>
  <c r="Z41" i="23"/>
  <c r="Z43" i="23"/>
  <c r="Z44" i="23"/>
  <c r="Z45" i="23"/>
  <c r="Z47" i="23"/>
  <c r="Z49" i="23"/>
  <c r="Z51" i="23"/>
  <c r="Z52" i="23"/>
  <c r="Z53" i="23"/>
  <c r="Z55" i="23"/>
  <c r="Z57" i="23"/>
  <c r="Z59" i="23"/>
  <c r="Z60" i="23"/>
  <c r="Z61" i="23"/>
  <c r="Z63" i="23"/>
  <c r="Z65" i="23"/>
  <c r="Z67" i="23"/>
  <c r="Z68" i="23"/>
  <c r="Z69" i="23"/>
  <c r="Z71" i="23"/>
  <c r="Z73" i="23"/>
  <c r="Z75" i="23"/>
  <c r="Z76" i="23"/>
  <c r="Z77" i="23"/>
  <c r="Z79" i="23"/>
  <c r="Z81" i="23"/>
  <c r="Z83" i="23"/>
  <c r="Z84" i="23"/>
  <c r="Z85" i="23"/>
  <c r="Z87" i="23"/>
  <c r="Z89" i="23"/>
  <c r="Z91" i="23"/>
  <c r="Z92" i="23"/>
  <c r="Z93" i="23"/>
  <c r="Z95" i="23"/>
  <c r="Z97" i="23"/>
  <c r="Z99" i="23"/>
  <c r="Z100" i="23"/>
  <c r="Z101" i="23"/>
  <c r="Z103" i="23"/>
  <c r="Z105" i="23"/>
  <c r="Z107" i="23"/>
  <c r="Z108" i="23"/>
  <c r="Z109" i="23"/>
  <c r="Z111" i="23"/>
  <c r="Z113" i="23"/>
  <c r="Z115" i="23"/>
  <c r="Z116" i="23"/>
  <c r="Z117" i="23"/>
  <c r="Z119" i="23"/>
  <c r="Z121" i="23"/>
  <c r="Z123" i="23"/>
  <c r="Z124" i="23"/>
  <c r="Z125" i="23"/>
  <c r="Z127" i="23"/>
  <c r="Z129" i="23"/>
  <c r="Z131" i="23"/>
  <c r="Z132" i="23"/>
  <c r="Z133" i="23"/>
  <c r="Z135" i="23"/>
  <c r="Z137" i="23"/>
  <c r="Z139" i="23"/>
  <c r="Z140" i="23"/>
  <c r="Z141" i="23"/>
  <c r="Z143" i="23"/>
  <c r="AE6" i="23"/>
  <c r="AG6" i="23" s="1"/>
  <c r="AE7" i="23"/>
  <c r="AE8" i="23"/>
  <c r="AE9" i="23"/>
  <c r="AE10" i="23"/>
  <c r="AE11" i="23"/>
  <c r="AE12" i="23"/>
  <c r="AE13" i="23"/>
  <c r="AE14" i="23"/>
  <c r="AE15" i="23"/>
  <c r="AE16" i="23"/>
  <c r="AE17" i="23"/>
  <c r="AE18" i="23"/>
  <c r="AE19" i="23"/>
  <c r="AE20" i="23"/>
  <c r="AE21" i="23"/>
  <c r="AE22" i="23"/>
  <c r="AG22" i="23" s="1"/>
  <c r="AE23" i="23"/>
  <c r="AE24" i="23"/>
  <c r="AE25" i="23"/>
  <c r="AE26" i="23"/>
  <c r="AE27" i="23"/>
  <c r="AE28" i="23"/>
  <c r="AE29" i="23"/>
  <c r="AE30" i="23"/>
  <c r="AE31" i="23"/>
  <c r="AE32" i="23"/>
  <c r="AE33" i="23"/>
  <c r="AE34" i="23"/>
  <c r="AG34" i="23" s="1"/>
  <c r="AE35" i="23"/>
  <c r="AE36" i="23"/>
  <c r="AE37" i="23"/>
  <c r="AE38" i="23"/>
  <c r="AG38" i="23" s="1"/>
  <c r="AE39" i="23"/>
  <c r="AE40" i="23"/>
  <c r="AE41" i="23"/>
  <c r="AE42" i="23"/>
  <c r="AG42" i="23" s="1"/>
  <c r="AE43" i="23"/>
  <c r="AE44" i="23"/>
  <c r="AE45" i="23"/>
  <c r="AE46" i="23"/>
  <c r="AE47" i="23"/>
  <c r="AE48" i="23"/>
  <c r="AE49" i="23"/>
  <c r="AE50" i="23"/>
  <c r="AG50" i="23" s="1"/>
  <c r="AE51" i="23"/>
  <c r="AE52" i="23"/>
  <c r="AE53" i="23"/>
  <c r="AE54" i="23"/>
  <c r="AG54" i="23" s="1"/>
  <c r="AE55" i="23"/>
  <c r="AE56" i="23"/>
  <c r="AE57" i="23"/>
  <c r="AE58" i="23"/>
  <c r="AG58" i="23" s="1"/>
  <c r="AE59" i="23"/>
  <c r="AE60" i="23"/>
  <c r="AE61" i="23"/>
  <c r="AE62" i="23"/>
  <c r="AE63" i="23"/>
  <c r="AE64" i="23"/>
  <c r="AE65" i="23"/>
  <c r="AE66" i="23"/>
  <c r="AG66" i="23" s="1"/>
  <c r="AE67" i="23"/>
  <c r="AE68" i="23"/>
  <c r="AE69" i="23"/>
  <c r="AE70" i="23"/>
  <c r="AG70" i="23" s="1"/>
  <c r="AE71" i="23"/>
  <c r="AE72" i="23"/>
  <c r="AE73" i="23"/>
  <c r="AE74" i="23"/>
  <c r="AG74" i="23" s="1"/>
  <c r="AE75" i="23"/>
  <c r="AE76" i="23"/>
  <c r="AE77" i="23"/>
  <c r="AE78" i="23"/>
  <c r="AE79" i="23"/>
  <c r="AE80" i="23"/>
  <c r="AE81" i="23"/>
  <c r="AE82" i="23"/>
  <c r="AG82" i="23" s="1"/>
  <c r="AE83" i="23"/>
  <c r="AE84" i="23"/>
  <c r="AE85" i="23"/>
  <c r="AE86" i="23"/>
  <c r="AG86" i="23" s="1"/>
  <c r="AE87" i="23"/>
  <c r="AE88" i="23"/>
  <c r="AE89" i="23"/>
  <c r="AE90" i="23"/>
  <c r="AG90" i="23" s="1"/>
  <c r="AE91" i="23"/>
  <c r="AE92" i="23"/>
  <c r="AE93" i="23"/>
  <c r="AE94" i="23"/>
  <c r="AE95" i="23"/>
  <c r="AE96" i="23"/>
  <c r="AE97" i="23"/>
  <c r="AE98" i="23"/>
  <c r="AG98" i="23" s="1"/>
  <c r="AE99" i="23"/>
  <c r="AE100" i="23"/>
  <c r="AE101" i="23"/>
  <c r="AE102" i="23"/>
  <c r="AG102" i="23" s="1"/>
  <c r="AE103" i="23"/>
  <c r="AE104" i="23"/>
  <c r="AE105" i="23"/>
  <c r="AE106" i="23"/>
  <c r="AG106" i="23" s="1"/>
  <c r="AE107" i="23"/>
  <c r="AE108" i="23"/>
  <c r="AE109" i="23"/>
  <c r="AE110" i="23"/>
  <c r="AE111" i="23"/>
  <c r="AE112" i="23"/>
  <c r="AE113" i="23"/>
  <c r="AE114" i="23"/>
  <c r="AG114" i="23" s="1"/>
  <c r="AE115" i="23"/>
  <c r="AE116" i="23"/>
  <c r="AE117" i="23"/>
  <c r="AE118" i="23"/>
  <c r="AG118" i="23" s="1"/>
  <c r="AE119" i="23"/>
  <c r="AE120" i="23"/>
  <c r="AE121" i="23"/>
  <c r="AE122" i="23"/>
  <c r="AG122" i="23" s="1"/>
  <c r="AE123" i="23"/>
  <c r="AE124" i="23"/>
  <c r="AE125" i="23"/>
  <c r="AE126" i="23"/>
  <c r="AE127" i="23"/>
  <c r="AE128" i="23"/>
  <c r="AE129" i="23"/>
  <c r="AE130" i="23"/>
  <c r="AG130" i="23" s="1"/>
  <c r="AE131" i="23"/>
  <c r="AE132" i="23"/>
  <c r="AE133" i="23"/>
  <c r="AE134" i="23"/>
  <c r="AG134" i="23" s="1"/>
  <c r="AE135" i="23"/>
  <c r="AE136" i="23"/>
  <c r="AE137" i="23"/>
  <c r="AE138" i="23"/>
  <c r="AG138" i="23" s="1"/>
  <c r="AE139" i="23"/>
  <c r="AE140" i="23"/>
  <c r="AE141" i="23"/>
  <c r="AE142" i="23"/>
  <c r="AE143" i="23"/>
  <c r="AF6" i="23"/>
  <c r="AF7" i="23"/>
  <c r="AG7" i="23" s="1"/>
  <c r="AF8" i="23"/>
  <c r="AG8" i="23" s="1"/>
  <c r="AF9" i="23"/>
  <c r="AF10" i="23"/>
  <c r="AF11" i="23"/>
  <c r="AF12" i="23"/>
  <c r="AG12" i="23" s="1"/>
  <c r="AF13" i="23"/>
  <c r="AF14" i="23"/>
  <c r="AF15" i="23"/>
  <c r="AG15" i="23" s="1"/>
  <c r="AF16" i="23"/>
  <c r="AG16" i="23" s="1"/>
  <c r="AF17" i="23"/>
  <c r="AF18" i="23"/>
  <c r="AF19" i="23"/>
  <c r="AF20" i="23"/>
  <c r="AG20" i="23" s="1"/>
  <c r="AF21" i="23"/>
  <c r="AF22" i="23"/>
  <c r="AF23" i="23"/>
  <c r="AG23" i="23" s="1"/>
  <c r="AF24" i="23"/>
  <c r="AG24" i="23" s="1"/>
  <c r="AF25" i="23"/>
  <c r="AF26" i="23"/>
  <c r="AF27" i="23"/>
  <c r="AF28" i="23"/>
  <c r="AG28" i="23" s="1"/>
  <c r="AF29" i="23"/>
  <c r="AF30" i="23"/>
  <c r="AF31" i="23"/>
  <c r="AG31" i="23" s="1"/>
  <c r="AF32" i="23"/>
  <c r="AG32" i="23" s="1"/>
  <c r="AF33" i="23"/>
  <c r="AF34" i="23"/>
  <c r="AF35" i="23"/>
  <c r="AF36" i="23"/>
  <c r="AG36" i="23" s="1"/>
  <c r="AF37" i="23"/>
  <c r="AF38" i="23"/>
  <c r="AF39" i="23"/>
  <c r="AG39" i="23" s="1"/>
  <c r="AF40" i="23"/>
  <c r="AG40" i="23" s="1"/>
  <c r="AF41" i="23"/>
  <c r="AF42" i="23"/>
  <c r="AF43" i="23"/>
  <c r="AF44" i="23"/>
  <c r="AG44" i="23" s="1"/>
  <c r="AF45" i="23"/>
  <c r="AF46" i="23"/>
  <c r="AF47" i="23"/>
  <c r="AG47" i="23" s="1"/>
  <c r="AF48" i="23"/>
  <c r="AG48" i="23" s="1"/>
  <c r="AF49" i="23"/>
  <c r="AF50" i="23"/>
  <c r="AF51" i="23"/>
  <c r="AF52" i="23"/>
  <c r="AG52" i="23" s="1"/>
  <c r="AF53" i="23"/>
  <c r="AF54" i="23"/>
  <c r="AF55" i="23"/>
  <c r="AG55" i="23" s="1"/>
  <c r="AF56" i="23"/>
  <c r="AG56" i="23" s="1"/>
  <c r="AF57" i="23"/>
  <c r="AF58" i="23"/>
  <c r="AF59" i="23"/>
  <c r="AF60" i="23"/>
  <c r="AG60" i="23" s="1"/>
  <c r="AF61" i="23"/>
  <c r="AF62" i="23"/>
  <c r="AF63" i="23"/>
  <c r="AG63" i="23" s="1"/>
  <c r="AF64" i="23"/>
  <c r="AG64" i="23" s="1"/>
  <c r="AF65" i="23"/>
  <c r="AF66" i="23"/>
  <c r="AF67" i="23"/>
  <c r="AF68" i="23"/>
  <c r="AG68" i="23" s="1"/>
  <c r="AF69" i="23"/>
  <c r="AF70" i="23"/>
  <c r="AF71" i="23"/>
  <c r="AG71" i="23" s="1"/>
  <c r="AF72" i="23"/>
  <c r="AG72" i="23" s="1"/>
  <c r="AF73" i="23"/>
  <c r="AF74" i="23"/>
  <c r="AF75" i="23"/>
  <c r="AF76" i="23"/>
  <c r="AG76" i="23" s="1"/>
  <c r="AF77" i="23"/>
  <c r="AF78" i="23"/>
  <c r="AF79" i="23"/>
  <c r="AG79" i="23" s="1"/>
  <c r="AF80" i="23"/>
  <c r="AG80" i="23" s="1"/>
  <c r="AF81" i="23"/>
  <c r="AF82" i="23"/>
  <c r="AF83" i="23"/>
  <c r="AF84" i="23"/>
  <c r="AG84" i="23" s="1"/>
  <c r="AF85" i="23"/>
  <c r="AF86" i="23"/>
  <c r="AF87" i="23"/>
  <c r="AG87" i="23" s="1"/>
  <c r="AF88" i="23"/>
  <c r="AG88" i="23" s="1"/>
  <c r="AF89" i="23"/>
  <c r="AF90" i="23"/>
  <c r="AF91" i="23"/>
  <c r="AF92" i="23"/>
  <c r="AG92" i="23" s="1"/>
  <c r="AF93" i="23"/>
  <c r="AF94" i="23"/>
  <c r="AF95" i="23"/>
  <c r="AG95" i="23" s="1"/>
  <c r="AF96" i="23"/>
  <c r="AG96" i="23" s="1"/>
  <c r="AF97" i="23"/>
  <c r="AF98" i="23"/>
  <c r="AF99" i="23"/>
  <c r="AF100" i="23"/>
  <c r="AG100" i="23" s="1"/>
  <c r="AF101" i="23"/>
  <c r="AF102" i="23"/>
  <c r="AF103" i="23"/>
  <c r="AG103" i="23" s="1"/>
  <c r="AF104" i="23"/>
  <c r="AG104" i="23" s="1"/>
  <c r="AF105" i="23"/>
  <c r="AF106" i="23"/>
  <c r="AF107" i="23"/>
  <c r="AF108" i="23"/>
  <c r="AG108" i="23" s="1"/>
  <c r="AF109" i="23"/>
  <c r="AF110" i="23"/>
  <c r="AF111" i="23"/>
  <c r="AG111" i="23" s="1"/>
  <c r="AF112" i="23"/>
  <c r="AG112" i="23" s="1"/>
  <c r="AF113" i="23"/>
  <c r="AF114" i="23"/>
  <c r="AF115" i="23"/>
  <c r="AF116" i="23"/>
  <c r="AG116" i="23" s="1"/>
  <c r="AF117" i="23"/>
  <c r="AF118" i="23"/>
  <c r="AF119" i="23"/>
  <c r="AG119" i="23" s="1"/>
  <c r="AF120" i="23"/>
  <c r="AG120" i="23" s="1"/>
  <c r="AF121" i="23"/>
  <c r="AF122" i="23"/>
  <c r="AF123" i="23"/>
  <c r="AF124" i="23"/>
  <c r="AG124" i="23" s="1"/>
  <c r="AF125" i="23"/>
  <c r="AF126" i="23"/>
  <c r="AF127" i="23"/>
  <c r="AG127" i="23" s="1"/>
  <c r="AF128" i="23"/>
  <c r="AG128" i="23" s="1"/>
  <c r="AF129" i="23"/>
  <c r="AF130" i="23"/>
  <c r="AF131" i="23"/>
  <c r="AF132" i="23"/>
  <c r="AG132" i="23" s="1"/>
  <c r="AF133" i="23"/>
  <c r="AF134" i="23"/>
  <c r="AF135" i="23"/>
  <c r="AG135" i="23" s="1"/>
  <c r="AF136" i="23"/>
  <c r="AG136" i="23" s="1"/>
  <c r="AF137" i="23"/>
  <c r="AF138" i="23"/>
  <c r="AF139" i="23"/>
  <c r="AF140" i="23"/>
  <c r="AG140" i="23" s="1"/>
  <c r="AF141" i="23"/>
  <c r="AF142" i="23"/>
  <c r="AF143" i="23"/>
  <c r="AG143" i="23" s="1"/>
  <c r="AG9" i="23"/>
  <c r="AG11" i="23"/>
  <c r="AG13" i="23"/>
  <c r="AG14" i="23"/>
  <c r="AG17" i="23"/>
  <c r="AG19" i="23"/>
  <c r="AG21" i="23"/>
  <c r="AG25" i="23"/>
  <c r="AG27" i="23"/>
  <c r="AG29" i="23"/>
  <c r="AG30" i="23"/>
  <c r="AG33" i="23"/>
  <c r="AG35" i="23"/>
  <c r="AG37" i="23"/>
  <c r="AG41" i="23"/>
  <c r="AG43" i="23"/>
  <c r="AG45" i="23"/>
  <c r="AG46" i="23"/>
  <c r="AG49" i="23"/>
  <c r="AG51" i="23"/>
  <c r="AG53" i="23"/>
  <c r="AG57" i="23"/>
  <c r="AG59" i="23"/>
  <c r="AG61" i="23"/>
  <c r="AG62" i="23"/>
  <c r="AG65" i="23"/>
  <c r="AG67" i="23"/>
  <c r="AG69" i="23"/>
  <c r="AG73" i="23"/>
  <c r="AG75" i="23"/>
  <c r="AG77" i="23"/>
  <c r="AG78" i="23"/>
  <c r="AG81" i="23"/>
  <c r="AG83" i="23"/>
  <c r="AG85" i="23"/>
  <c r="AG89" i="23"/>
  <c r="AG91" i="23"/>
  <c r="AG93" i="23"/>
  <c r="AG94" i="23"/>
  <c r="AG97" i="23"/>
  <c r="AG99" i="23"/>
  <c r="AG101" i="23"/>
  <c r="AG105" i="23"/>
  <c r="AG107" i="23"/>
  <c r="AG109" i="23"/>
  <c r="AG110" i="23"/>
  <c r="AG113" i="23"/>
  <c r="AG115" i="23"/>
  <c r="AG117" i="23"/>
  <c r="AG121" i="23"/>
  <c r="AG123" i="23"/>
  <c r="AG125" i="23"/>
  <c r="AG126" i="23"/>
  <c r="AG129" i="23"/>
  <c r="AG131" i="23"/>
  <c r="AG133" i="23"/>
  <c r="AG137" i="23"/>
  <c r="AG139" i="23"/>
  <c r="AG141" i="23"/>
  <c r="AG142" i="23"/>
  <c r="AL6" i="23"/>
  <c r="AL7" i="23"/>
  <c r="AL8" i="23"/>
  <c r="AL9" i="23"/>
  <c r="AN9" i="23" s="1"/>
  <c r="AL10" i="23"/>
  <c r="AL11" i="23"/>
  <c r="AL12" i="23"/>
  <c r="AL13" i="23"/>
  <c r="AL14" i="23"/>
  <c r="AL15" i="23"/>
  <c r="AL16" i="23"/>
  <c r="AL17" i="23"/>
  <c r="AN17" i="23" s="1"/>
  <c r="AL18" i="23"/>
  <c r="AL19" i="23"/>
  <c r="AL20" i="23"/>
  <c r="AL21" i="23"/>
  <c r="AN21" i="23" s="1"/>
  <c r="AL22" i="23"/>
  <c r="AL23" i="23"/>
  <c r="AL24" i="23"/>
  <c r="AL25" i="23"/>
  <c r="AN25" i="23" s="1"/>
  <c r="AL26" i="23"/>
  <c r="AL27" i="23"/>
  <c r="AL28" i="23"/>
  <c r="AL29" i="23"/>
  <c r="AL30" i="23"/>
  <c r="AL31" i="23"/>
  <c r="AL32" i="23"/>
  <c r="AL33" i="23"/>
  <c r="AN33" i="23" s="1"/>
  <c r="AL34" i="23"/>
  <c r="AL35" i="23"/>
  <c r="AL36" i="23"/>
  <c r="AL37" i="23"/>
  <c r="AN37" i="23" s="1"/>
  <c r="AL38" i="23"/>
  <c r="AL39" i="23"/>
  <c r="AL40" i="23"/>
  <c r="AL41" i="23"/>
  <c r="AN41" i="23" s="1"/>
  <c r="AL42" i="23"/>
  <c r="AL43" i="23"/>
  <c r="AL44" i="23"/>
  <c r="AL45" i="23"/>
  <c r="AL46" i="23"/>
  <c r="AL47" i="23"/>
  <c r="AL48" i="23"/>
  <c r="AL49" i="23"/>
  <c r="AN49" i="23" s="1"/>
  <c r="AL50" i="23"/>
  <c r="AL51" i="23"/>
  <c r="AL52" i="23"/>
  <c r="AL53" i="23"/>
  <c r="AN53" i="23" s="1"/>
  <c r="AL54" i="23"/>
  <c r="AL55" i="23"/>
  <c r="AL56" i="23"/>
  <c r="AL57" i="23"/>
  <c r="AN57" i="23" s="1"/>
  <c r="AL58" i="23"/>
  <c r="AL59" i="23"/>
  <c r="AL60" i="23"/>
  <c r="AL61" i="23"/>
  <c r="AL62" i="23"/>
  <c r="AL63" i="23"/>
  <c r="AL64" i="23"/>
  <c r="AL65" i="23"/>
  <c r="AN65" i="23" s="1"/>
  <c r="AL66" i="23"/>
  <c r="AL67" i="23"/>
  <c r="AL68" i="23"/>
  <c r="AL69" i="23"/>
  <c r="AN69" i="23" s="1"/>
  <c r="AL70" i="23"/>
  <c r="AL71" i="23"/>
  <c r="AL72" i="23"/>
  <c r="AL73" i="23"/>
  <c r="AN73" i="23" s="1"/>
  <c r="AL74" i="23"/>
  <c r="AL75" i="23"/>
  <c r="AL76" i="23"/>
  <c r="AL77" i="23"/>
  <c r="AL78" i="23"/>
  <c r="AL79" i="23"/>
  <c r="AL80" i="23"/>
  <c r="AL81" i="23"/>
  <c r="AN81" i="23" s="1"/>
  <c r="AL82" i="23"/>
  <c r="AL83" i="23"/>
  <c r="AL84" i="23"/>
  <c r="AL85" i="23"/>
  <c r="AN85" i="23" s="1"/>
  <c r="AL86" i="23"/>
  <c r="AL87" i="23"/>
  <c r="AL88" i="23"/>
  <c r="AL89" i="23"/>
  <c r="AN89" i="23" s="1"/>
  <c r="AL90" i="23"/>
  <c r="AL91" i="23"/>
  <c r="AL92" i="23"/>
  <c r="AN92" i="23" s="1"/>
  <c r="AL93" i="23"/>
  <c r="AL94" i="23"/>
  <c r="AL95" i="23"/>
  <c r="AL96" i="23"/>
  <c r="AL97" i="23"/>
  <c r="AN97" i="23" s="1"/>
  <c r="AL98" i="23"/>
  <c r="AL99" i="23"/>
  <c r="AL100" i="23"/>
  <c r="AN100" i="23" s="1"/>
  <c r="AL101" i="23"/>
  <c r="AN101" i="23" s="1"/>
  <c r="AL102" i="23"/>
  <c r="AL103" i="23"/>
  <c r="AL104" i="23"/>
  <c r="AL105" i="23"/>
  <c r="AN105" i="23" s="1"/>
  <c r="AL106" i="23"/>
  <c r="AL107" i="23"/>
  <c r="AL108" i="23"/>
  <c r="AN108" i="23" s="1"/>
  <c r="AL109" i="23"/>
  <c r="AL110" i="23"/>
  <c r="AL111" i="23"/>
  <c r="AL112" i="23"/>
  <c r="AL113" i="23"/>
  <c r="AN113" i="23" s="1"/>
  <c r="AL114" i="23"/>
  <c r="AL115" i="23"/>
  <c r="AL116" i="23"/>
  <c r="AN116" i="23" s="1"/>
  <c r="AL117" i="23"/>
  <c r="AN117" i="23" s="1"/>
  <c r="AL118" i="23"/>
  <c r="AL119" i="23"/>
  <c r="AL120" i="23"/>
  <c r="AL121" i="23"/>
  <c r="AN121" i="23" s="1"/>
  <c r="AL122" i="23"/>
  <c r="AL123" i="23"/>
  <c r="AL124" i="23"/>
  <c r="AN124" i="23" s="1"/>
  <c r="AL125" i="23"/>
  <c r="AL126" i="23"/>
  <c r="AL127" i="23"/>
  <c r="AL128" i="23"/>
  <c r="AL129" i="23"/>
  <c r="AN129" i="23" s="1"/>
  <c r="AL130" i="23"/>
  <c r="AL131" i="23"/>
  <c r="AL132" i="23"/>
  <c r="AN132" i="23" s="1"/>
  <c r="AL133" i="23"/>
  <c r="AN133" i="23" s="1"/>
  <c r="AL134" i="23"/>
  <c r="AL135" i="23"/>
  <c r="AL136" i="23"/>
  <c r="AL137" i="23"/>
  <c r="AN137" i="23" s="1"/>
  <c r="AL138" i="23"/>
  <c r="AL139" i="23"/>
  <c r="AL140" i="23"/>
  <c r="AN140" i="23" s="1"/>
  <c r="AL141" i="23"/>
  <c r="AL142" i="23"/>
  <c r="AL143" i="23"/>
  <c r="AM6" i="23"/>
  <c r="AN6" i="23" s="1"/>
  <c r="AM7" i="23"/>
  <c r="AN7" i="23" s="1"/>
  <c r="AM8" i="23"/>
  <c r="AM9" i="23"/>
  <c r="AM10" i="23"/>
  <c r="AN10" i="23" s="1"/>
  <c r="AM11" i="23"/>
  <c r="AN11" i="23" s="1"/>
  <c r="AM12" i="23"/>
  <c r="AM13" i="23"/>
  <c r="AM14" i="23"/>
  <c r="AN14" i="23" s="1"/>
  <c r="AM15" i="23"/>
  <c r="AN15" i="23" s="1"/>
  <c r="AM16" i="23"/>
  <c r="AN16" i="23" s="1"/>
  <c r="AM17" i="23"/>
  <c r="AM18" i="23"/>
  <c r="AN18" i="23" s="1"/>
  <c r="AM19" i="23"/>
  <c r="AN19" i="23" s="1"/>
  <c r="AM20" i="23"/>
  <c r="AM21" i="23"/>
  <c r="AM22" i="23"/>
  <c r="AN22" i="23" s="1"/>
  <c r="AM23" i="23"/>
  <c r="AN23" i="23" s="1"/>
  <c r="AM24" i="23"/>
  <c r="AM25" i="23"/>
  <c r="AM26" i="23"/>
  <c r="AN26" i="23" s="1"/>
  <c r="AM27" i="23"/>
  <c r="AN27" i="23" s="1"/>
  <c r="AM28" i="23"/>
  <c r="AM29" i="23"/>
  <c r="AM30" i="23"/>
  <c r="AN30" i="23" s="1"/>
  <c r="AM31" i="23"/>
  <c r="AN31" i="23" s="1"/>
  <c r="AM32" i="23"/>
  <c r="AN32" i="23" s="1"/>
  <c r="AM33" i="23"/>
  <c r="AM34" i="23"/>
  <c r="AM35" i="23"/>
  <c r="AN35" i="23" s="1"/>
  <c r="AM36" i="23"/>
  <c r="AM37" i="23"/>
  <c r="AM38" i="23"/>
  <c r="AN38" i="23" s="1"/>
  <c r="AM39" i="23"/>
  <c r="AN39" i="23" s="1"/>
  <c r="AM40" i="23"/>
  <c r="AM41" i="23"/>
  <c r="AM42" i="23"/>
  <c r="AM43" i="23"/>
  <c r="AN43" i="23" s="1"/>
  <c r="AM44" i="23"/>
  <c r="AM45" i="23"/>
  <c r="AM46" i="23"/>
  <c r="AN46" i="23" s="1"/>
  <c r="AM47" i="23"/>
  <c r="AN47" i="23" s="1"/>
  <c r="AM48" i="23"/>
  <c r="AN48" i="23" s="1"/>
  <c r="AM49" i="23"/>
  <c r="AM50" i="23"/>
  <c r="AM51" i="23"/>
  <c r="AN51" i="23" s="1"/>
  <c r="AM52" i="23"/>
  <c r="AM53" i="23"/>
  <c r="AM54" i="23"/>
  <c r="AN54" i="23" s="1"/>
  <c r="AM55" i="23"/>
  <c r="AN55" i="23" s="1"/>
  <c r="AM56" i="23"/>
  <c r="AM57" i="23"/>
  <c r="AM58" i="23"/>
  <c r="AM59" i="23"/>
  <c r="AN59" i="23" s="1"/>
  <c r="AM60" i="23"/>
  <c r="AM61" i="23"/>
  <c r="AM62" i="23"/>
  <c r="AN62" i="23" s="1"/>
  <c r="AM63" i="23"/>
  <c r="AN63" i="23" s="1"/>
  <c r="AM64" i="23"/>
  <c r="AN64" i="23" s="1"/>
  <c r="AM65" i="23"/>
  <c r="AM66" i="23"/>
  <c r="AM67" i="23"/>
  <c r="AN67" i="23" s="1"/>
  <c r="AM68" i="23"/>
  <c r="AM69" i="23"/>
  <c r="AM70" i="23"/>
  <c r="AN70" i="23" s="1"/>
  <c r="AM71" i="23"/>
  <c r="AN71" i="23" s="1"/>
  <c r="AM72" i="23"/>
  <c r="AM73" i="23"/>
  <c r="AM74" i="23"/>
  <c r="AM75" i="23"/>
  <c r="AN75" i="23" s="1"/>
  <c r="AM76" i="23"/>
  <c r="AM77" i="23"/>
  <c r="AM78" i="23"/>
  <c r="AN78" i="23" s="1"/>
  <c r="AM79" i="23"/>
  <c r="AN79" i="23" s="1"/>
  <c r="AM80" i="23"/>
  <c r="AN80" i="23" s="1"/>
  <c r="AM81" i="23"/>
  <c r="AM82" i="23"/>
  <c r="AM83" i="23"/>
  <c r="AN83" i="23" s="1"/>
  <c r="AM84" i="23"/>
  <c r="AM85" i="23"/>
  <c r="AM86" i="23"/>
  <c r="AN86" i="23" s="1"/>
  <c r="AM87" i="23"/>
  <c r="AN87" i="23" s="1"/>
  <c r="AM88" i="23"/>
  <c r="AM89" i="23"/>
  <c r="AM90" i="23"/>
  <c r="AM91" i="23"/>
  <c r="AN91" i="23" s="1"/>
  <c r="AM92" i="23"/>
  <c r="AM93" i="23"/>
  <c r="AM94" i="23"/>
  <c r="AN94" i="23" s="1"/>
  <c r="AM95" i="23"/>
  <c r="AN95" i="23" s="1"/>
  <c r="AM96" i="23"/>
  <c r="AN96" i="23" s="1"/>
  <c r="AM97" i="23"/>
  <c r="AM98" i="23"/>
  <c r="AM99" i="23"/>
  <c r="AN99" i="23" s="1"/>
  <c r="AM100" i="23"/>
  <c r="AM101" i="23"/>
  <c r="AM102" i="23"/>
  <c r="AN102" i="23" s="1"/>
  <c r="AM103" i="23"/>
  <c r="AN103" i="23" s="1"/>
  <c r="AM104" i="23"/>
  <c r="AM105" i="23"/>
  <c r="AM106" i="23"/>
  <c r="AM107" i="23"/>
  <c r="AN107" i="23" s="1"/>
  <c r="AM108" i="23"/>
  <c r="AM109" i="23"/>
  <c r="AM110" i="23"/>
  <c r="AN110" i="23" s="1"/>
  <c r="AM111" i="23"/>
  <c r="AN111" i="23" s="1"/>
  <c r="AM112" i="23"/>
  <c r="AN112" i="23" s="1"/>
  <c r="AM113" i="23"/>
  <c r="AM114" i="23"/>
  <c r="AM115" i="23"/>
  <c r="AN115" i="23" s="1"/>
  <c r="AM116" i="23"/>
  <c r="AM117" i="23"/>
  <c r="AM118" i="23"/>
  <c r="AN118" i="23" s="1"/>
  <c r="AM119" i="23"/>
  <c r="AN119" i="23" s="1"/>
  <c r="AM120" i="23"/>
  <c r="AM121" i="23"/>
  <c r="AM122" i="23"/>
  <c r="AM123" i="23"/>
  <c r="AN123" i="23" s="1"/>
  <c r="AM124" i="23"/>
  <c r="AM125" i="23"/>
  <c r="AM126" i="23"/>
  <c r="AN126" i="23" s="1"/>
  <c r="AM127" i="23"/>
  <c r="AN127" i="23" s="1"/>
  <c r="AM128" i="23"/>
  <c r="AN128" i="23" s="1"/>
  <c r="AM129" i="23"/>
  <c r="AM130" i="23"/>
  <c r="AM131" i="23"/>
  <c r="AN131" i="23" s="1"/>
  <c r="AM132" i="23"/>
  <c r="AM133" i="23"/>
  <c r="AM134" i="23"/>
  <c r="AN134" i="23" s="1"/>
  <c r="AM135" i="23"/>
  <c r="AN135" i="23" s="1"/>
  <c r="AM136" i="23"/>
  <c r="AM137" i="23"/>
  <c r="AM138" i="23"/>
  <c r="AM139" i="23"/>
  <c r="AN139" i="23" s="1"/>
  <c r="AM140" i="23"/>
  <c r="AM141" i="23"/>
  <c r="AM142" i="23"/>
  <c r="AN142" i="23" s="1"/>
  <c r="AM143" i="23"/>
  <c r="AN143" i="23" s="1"/>
  <c r="AN8" i="23"/>
  <c r="AN13" i="23"/>
  <c r="AN24" i="23"/>
  <c r="AN29" i="23"/>
  <c r="AN40" i="23"/>
  <c r="AN45" i="23"/>
  <c r="AN56" i="23"/>
  <c r="AN61" i="23"/>
  <c r="AN72" i="23"/>
  <c r="AN77" i="23"/>
  <c r="AN88" i="23"/>
  <c r="AN93" i="23"/>
  <c r="AN104" i="23"/>
  <c r="AN109" i="23"/>
  <c r="AN120" i="23"/>
  <c r="AN125" i="23"/>
  <c r="AN136" i="23"/>
  <c r="AN141" i="23"/>
  <c r="BF163" i="79"/>
  <c r="BE163" i="79"/>
  <c r="BD163" i="79"/>
  <c r="BC163" i="79"/>
  <c r="BB163" i="79"/>
  <c r="BA163" i="79"/>
  <c r="AZ163" i="79"/>
  <c r="AY163" i="79"/>
  <c r="AX163" i="79"/>
  <c r="AV163" i="79"/>
  <c r="AT163" i="79"/>
  <c r="AR163" i="79"/>
  <c r="AP163" i="79"/>
  <c r="AN163" i="79"/>
  <c r="AM163" i="79"/>
  <c r="AL163" i="79"/>
  <c r="AK163" i="79"/>
  <c r="AJ163" i="79"/>
  <c r="AI163" i="79"/>
  <c r="AH163" i="79"/>
  <c r="AG163" i="79"/>
  <c r="K163" i="79"/>
  <c r="BI162" i="79"/>
  <c r="BH162" i="79"/>
  <c r="BG162" i="79"/>
  <c r="AD162" i="79"/>
  <c r="AE162" i="79" s="1"/>
  <c r="W162" i="79"/>
  <c r="V162" i="79"/>
  <c r="U162" i="79"/>
  <c r="T162" i="79"/>
  <c r="S162" i="79"/>
  <c r="BI78" i="79"/>
  <c r="BH78" i="79"/>
  <c r="BG78" i="79"/>
  <c r="AD78" i="79"/>
  <c r="AE78" i="79" s="1"/>
  <c r="W78" i="79"/>
  <c r="V78" i="79"/>
  <c r="U78" i="79"/>
  <c r="T78" i="79"/>
  <c r="S78" i="79"/>
  <c r="BI159" i="79"/>
  <c r="BH159" i="79"/>
  <c r="BG159" i="79"/>
  <c r="AD159" i="79"/>
  <c r="AE159" i="79" s="1"/>
  <c r="W159" i="79"/>
  <c r="V159" i="79"/>
  <c r="U159" i="79"/>
  <c r="T159" i="79"/>
  <c r="S159" i="79"/>
  <c r="BI160" i="79"/>
  <c r="BH160" i="79"/>
  <c r="BG160" i="79"/>
  <c r="AD160" i="79"/>
  <c r="AE160" i="79" s="1"/>
  <c r="W160" i="79"/>
  <c r="V160" i="79"/>
  <c r="U160" i="79"/>
  <c r="T160" i="79"/>
  <c r="S160" i="79"/>
  <c r="BI39" i="79"/>
  <c r="BH39" i="79"/>
  <c r="BG39" i="79"/>
  <c r="AD39" i="79"/>
  <c r="AE39" i="79" s="1"/>
  <c r="W39" i="79"/>
  <c r="V39" i="79"/>
  <c r="U39" i="79"/>
  <c r="T39" i="79"/>
  <c r="S39" i="79"/>
  <c r="BI52" i="79"/>
  <c r="BH52" i="79"/>
  <c r="BG52" i="79"/>
  <c r="AD52" i="79"/>
  <c r="AE52" i="79" s="1"/>
  <c r="W52" i="79"/>
  <c r="V52" i="79"/>
  <c r="U52" i="79"/>
  <c r="T52" i="79"/>
  <c r="S52" i="79"/>
  <c r="BI123" i="79"/>
  <c r="BH123" i="79"/>
  <c r="BG123" i="79"/>
  <c r="AD123" i="79"/>
  <c r="AE123" i="79" s="1"/>
  <c r="W123" i="79"/>
  <c r="V123" i="79"/>
  <c r="U123" i="79"/>
  <c r="T123" i="79"/>
  <c r="S123" i="79"/>
  <c r="BI72" i="79"/>
  <c r="BH72" i="79"/>
  <c r="BG72" i="79"/>
  <c r="AD72" i="79"/>
  <c r="AE72" i="79" s="1"/>
  <c r="W72" i="79"/>
  <c r="V72" i="79"/>
  <c r="U72" i="79"/>
  <c r="T72" i="79"/>
  <c r="S72" i="79"/>
  <c r="BI126" i="79"/>
  <c r="BH126" i="79"/>
  <c r="BG126" i="79"/>
  <c r="AD126" i="79"/>
  <c r="AE126" i="79" s="1"/>
  <c r="W126" i="79"/>
  <c r="V126" i="79"/>
  <c r="U126" i="79"/>
  <c r="T126" i="79"/>
  <c r="S126" i="79"/>
  <c r="BI142" i="79"/>
  <c r="BH142" i="79"/>
  <c r="BG142" i="79"/>
  <c r="AD142" i="79"/>
  <c r="AE142" i="79" s="1"/>
  <c r="W142" i="79"/>
  <c r="V142" i="79"/>
  <c r="U142" i="79"/>
  <c r="T142" i="79"/>
  <c r="S142" i="79"/>
  <c r="BI99" i="79"/>
  <c r="BH99" i="79"/>
  <c r="BG99" i="79"/>
  <c r="AD99" i="79"/>
  <c r="AE99" i="79" s="1"/>
  <c r="W99" i="79"/>
  <c r="V99" i="79"/>
  <c r="U99" i="79"/>
  <c r="T99" i="79"/>
  <c r="S99" i="79"/>
  <c r="BI75" i="79"/>
  <c r="BH75" i="79"/>
  <c r="BG75" i="79"/>
  <c r="AD75" i="79"/>
  <c r="AE75" i="79" s="1"/>
  <c r="W75" i="79"/>
  <c r="V75" i="79"/>
  <c r="U75" i="79"/>
  <c r="T75" i="79"/>
  <c r="S75" i="79"/>
  <c r="BI34" i="79"/>
  <c r="BH34" i="79"/>
  <c r="BG34" i="79"/>
  <c r="AD34" i="79"/>
  <c r="AE34" i="79" s="1"/>
  <c r="W34" i="79"/>
  <c r="V34" i="79"/>
  <c r="U34" i="79"/>
  <c r="T34" i="79"/>
  <c r="S34" i="79"/>
  <c r="BI97" i="79"/>
  <c r="BH97" i="79"/>
  <c r="BG97" i="79"/>
  <c r="AD97" i="79"/>
  <c r="AE97" i="79" s="1"/>
  <c r="W97" i="79"/>
  <c r="V97" i="79"/>
  <c r="U97" i="79"/>
  <c r="T97" i="79"/>
  <c r="S97" i="79"/>
  <c r="BI157" i="79"/>
  <c r="BH157" i="79"/>
  <c r="BG157" i="79"/>
  <c r="AD157" i="79"/>
  <c r="AE157" i="79" s="1"/>
  <c r="W157" i="79"/>
  <c r="V157" i="79"/>
  <c r="U157" i="79"/>
  <c r="T157" i="79"/>
  <c r="S157" i="79"/>
  <c r="BI74" i="79"/>
  <c r="BH74" i="79"/>
  <c r="BG74" i="79"/>
  <c r="AD74" i="79"/>
  <c r="AE74" i="79" s="1"/>
  <c r="W74" i="79"/>
  <c r="V74" i="79"/>
  <c r="U74" i="79"/>
  <c r="T74" i="79"/>
  <c r="S74" i="79"/>
  <c r="BI96" i="79"/>
  <c r="BH96" i="79"/>
  <c r="BG96" i="79"/>
  <c r="AD96" i="79"/>
  <c r="AE96" i="79" s="1"/>
  <c r="W96" i="79"/>
  <c r="V96" i="79"/>
  <c r="U96" i="79"/>
  <c r="T96" i="79"/>
  <c r="S96" i="79"/>
  <c r="BI155" i="79"/>
  <c r="BH155" i="79"/>
  <c r="BG155" i="79"/>
  <c r="AD155" i="79"/>
  <c r="AE155" i="79" s="1"/>
  <c r="W155" i="79"/>
  <c r="V155" i="79"/>
  <c r="U155" i="79"/>
  <c r="T155" i="79"/>
  <c r="S155" i="79"/>
  <c r="BI104" i="79"/>
  <c r="BH104" i="79"/>
  <c r="BG104" i="79"/>
  <c r="AD104" i="79"/>
  <c r="AE104" i="79" s="1"/>
  <c r="W104" i="79"/>
  <c r="V104" i="79"/>
  <c r="U104" i="79"/>
  <c r="T104" i="79"/>
  <c r="S104" i="79"/>
  <c r="BI109" i="79"/>
  <c r="BH109" i="79"/>
  <c r="BG109" i="79"/>
  <c r="AD109" i="79"/>
  <c r="AE109" i="79" s="1"/>
  <c r="W109" i="79"/>
  <c r="V109" i="79"/>
  <c r="U109" i="79"/>
  <c r="T109" i="79"/>
  <c r="S109" i="79"/>
  <c r="BI108" i="79"/>
  <c r="BH108" i="79"/>
  <c r="BG108" i="79"/>
  <c r="AD108" i="79"/>
  <c r="AE108" i="79" s="1"/>
  <c r="W108" i="79"/>
  <c r="V108" i="79"/>
  <c r="U108" i="79"/>
  <c r="T108" i="79"/>
  <c r="S108" i="79"/>
  <c r="BI118" i="79"/>
  <c r="BH118" i="79"/>
  <c r="BG118" i="79"/>
  <c r="AD118" i="79"/>
  <c r="AE118" i="79" s="1"/>
  <c r="W118" i="79"/>
  <c r="V118" i="79"/>
  <c r="U118" i="79"/>
  <c r="T118" i="79"/>
  <c r="S118" i="79"/>
  <c r="BI43" i="79"/>
  <c r="BH43" i="79"/>
  <c r="BG43" i="79"/>
  <c r="AD43" i="79"/>
  <c r="AE43" i="79" s="1"/>
  <c r="W43" i="79"/>
  <c r="V43" i="79"/>
  <c r="U43" i="79"/>
  <c r="T43" i="79"/>
  <c r="S43" i="79"/>
  <c r="BI107" i="79"/>
  <c r="BH107" i="79"/>
  <c r="BG107" i="79"/>
  <c r="AD107" i="79"/>
  <c r="AE107" i="79" s="1"/>
  <c r="W107" i="79"/>
  <c r="V107" i="79"/>
  <c r="U107" i="79"/>
  <c r="T107" i="79"/>
  <c r="S107" i="79"/>
  <c r="BI138" i="79"/>
  <c r="BH138" i="79"/>
  <c r="BG138" i="79"/>
  <c r="AD138" i="79"/>
  <c r="AE138" i="79" s="1"/>
  <c r="W138" i="79"/>
  <c r="V138" i="79"/>
  <c r="U138" i="79"/>
  <c r="T138" i="79"/>
  <c r="S138" i="79"/>
  <c r="BI82" i="79"/>
  <c r="BH82" i="79"/>
  <c r="BG82" i="79"/>
  <c r="AD82" i="79"/>
  <c r="AE82" i="79" s="1"/>
  <c r="W82" i="79"/>
  <c r="V82" i="79"/>
  <c r="U82" i="79"/>
  <c r="T82" i="79"/>
  <c r="S82" i="79"/>
  <c r="BI129" i="79"/>
  <c r="BH129" i="79"/>
  <c r="BG129" i="79"/>
  <c r="AD129" i="79"/>
  <c r="AE129" i="79" s="1"/>
  <c r="W129" i="79"/>
  <c r="V129" i="79"/>
  <c r="U129" i="79"/>
  <c r="T129" i="79"/>
  <c r="S129" i="79"/>
  <c r="BI137" i="79"/>
  <c r="BH137" i="79"/>
  <c r="BG137" i="79"/>
  <c r="AD137" i="79"/>
  <c r="AE137" i="79" s="1"/>
  <c r="W137" i="79"/>
  <c r="V137" i="79"/>
  <c r="U137" i="79"/>
  <c r="T137" i="79"/>
  <c r="S137" i="79"/>
  <c r="BI124" i="79"/>
  <c r="BH124" i="79"/>
  <c r="BG124" i="79"/>
  <c r="AD124" i="79"/>
  <c r="AE124" i="79" s="1"/>
  <c r="W124" i="79"/>
  <c r="V124" i="79"/>
  <c r="U124" i="79"/>
  <c r="T124" i="79"/>
  <c r="S124" i="79"/>
  <c r="BI81" i="79"/>
  <c r="BH81" i="79"/>
  <c r="BG81" i="79"/>
  <c r="AD81" i="79"/>
  <c r="AE81" i="79" s="1"/>
  <c r="W81" i="79"/>
  <c r="V81" i="79"/>
  <c r="U81" i="79"/>
  <c r="T81" i="79"/>
  <c r="S81" i="79"/>
  <c r="BI73" i="79"/>
  <c r="BH73" i="79"/>
  <c r="BG73" i="79"/>
  <c r="AD73" i="79"/>
  <c r="AE73" i="79" s="1"/>
  <c r="W73" i="79"/>
  <c r="V73" i="79"/>
  <c r="U73" i="79"/>
  <c r="T73" i="79"/>
  <c r="S73" i="79"/>
  <c r="BI57" i="79"/>
  <c r="BH57" i="79"/>
  <c r="BG57" i="79"/>
  <c r="AD57" i="79"/>
  <c r="AE57" i="79" s="1"/>
  <c r="W57" i="79"/>
  <c r="V57" i="79"/>
  <c r="U57" i="79"/>
  <c r="T57" i="79"/>
  <c r="S57" i="79"/>
  <c r="BI121" i="79"/>
  <c r="BH121" i="79"/>
  <c r="BG121" i="79"/>
  <c r="AD121" i="79"/>
  <c r="AE121" i="79" s="1"/>
  <c r="W121" i="79"/>
  <c r="V121" i="79"/>
  <c r="U121" i="79"/>
  <c r="T121" i="79"/>
  <c r="S121" i="79"/>
  <c r="BI28" i="79"/>
  <c r="BH28" i="79"/>
  <c r="BG28" i="79"/>
  <c r="AD28" i="79"/>
  <c r="AE28" i="79" s="1"/>
  <c r="W28" i="79"/>
  <c r="V28" i="79"/>
  <c r="U28" i="79"/>
  <c r="T28" i="79"/>
  <c r="S28" i="79"/>
  <c r="BI152" i="79"/>
  <c r="BH152" i="79"/>
  <c r="BG152" i="79"/>
  <c r="AD152" i="79"/>
  <c r="AE152" i="79" s="1"/>
  <c r="W152" i="79"/>
  <c r="V152" i="79"/>
  <c r="U152" i="79"/>
  <c r="T152" i="79"/>
  <c r="S152" i="79"/>
  <c r="BI110" i="79"/>
  <c r="BH110" i="79"/>
  <c r="BG110" i="79"/>
  <c r="AD110" i="79"/>
  <c r="AE110" i="79" s="1"/>
  <c r="W110" i="79"/>
  <c r="V110" i="79"/>
  <c r="U110" i="79"/>
  <c r="T110" i="79"/>
  <c r="S110" i="79"/>
  <c r="BI29" i="79"/>
  <c r="BH29" i="79"/>
  <c r="BG29" i="79"/>
  <c r="AD29" i="79"/>
  <c r="AE29" i="79" s="1"/>
  <c r="W29" i="79"/>
  <c r="V29" i="79"/>
  <c r="U29" i="79"/>
  <c r="T29" i="79"/>
  <c r="S29" i="79"/>
  <c r="BI68" i="79"/>
  <c r="BH68" i="79"/>
  <c r="BG68" i="79"/>
  <c r="AD68" i="79"/>
  <c r="AE68" i="79" s="1"/>
  <c r="W68" i="79"/>
  <c r="V68" i="79"/>
  <c r="U68" i="79"/>
  <c r="T68" i="79"/>
  <c r="S68" i="79"/>
  <c r="BI44" i="79"/>
  <c r="BH44" i="79"/>
  <c r="BG44" i="79"/>
  <c r="AD44" i="79"/>
  <c r="AE44" i="79" s="1"/>
  <c r="W44" i="79"/>
  <c r="V44" i="79"/>
  <c r="U44" i="79"/>
  <c r="T44" i="79"/>
  <c r="S44" i="79"/>
  <c r="BI32" i="79"/>
  <c r="BH32" i="79"/>
  <c r="BG32" i="79"/>
  <c r="AD32" i="79"/>
  <c r="AE32" i="79" s="1"/>
  <c r="W32" i="79"/>
  <c r="V32" i="79"/>
  <c r="U32" i="79"/>
  <c r="T32" i="79"/>
  <c r="S32" i="79"/>
  <c r="BI47" i="79"/>
  <c r="BH47" i="79"/>
  <c r="BG47" i="79"/>
  <c r="AD47" i="79"/>
  <c r="AE47" i="79" s="1"/>
  <c r="W47" i="79"/>
  <c r="V47" i="79"/>
  <c r="U47" i="79"/>
  <c r="T47" i="79"/>
  <c r="S47" i="79"/>
  <c r="BI133" i="79"/>
  <c r="BH133" i="79"/>
  <c r="BG133" i="79"/>
  <c r="AD133" i="79"/>
  <c r="AE133" i="79" s="1"/>
  <c r="W133" i="79"/>
  <c r="V133" i="79"/>
  <c r="U133" i="79"/>
  <c r="T133" i="79"/>
  <c r="S133" i="79"/>
  <c r="BI67" i="79"/>
  <c r="BH67" i="79"/>
  <c r="BG67" i="79"/>
  <c r="AD67" i="79"/>
  <c r="AE67" i="79" s="1"/>
  <c r="W67" i="79"/>
  <c r="V67" i="79"/>
  <c r="U67" i="79"/>
  <c r="T67" i="79"/>
  <c r="S67" i="79"/>
  <c r="BI88" i="79"/>
  <c r="BH88" i="79"/>
  <c r="BG88" i="79"/>
  <c r="AD88" i="79"/>
  <c r="AE88" i="79" s="1"/>
  <c r="W88" i="79"/>
  <c r="V88" i="79"/>
  <c r="U88" i="79"/>
  <c r="T88" i="79"/>
  <c r="S88" i="79"/>
  <c r="BI27" i="79"/>
  <c r="BH27" i="79"/>
  <c r="BG27" i="79"/>
  <c r="AD27" i="79"/>
  <c r="AE27" i="79" s="1"/>
  <c r="W27" i="79"/>
  <c r="V27" i="79"/>
  <c r="U27" i="79"/>
  <c r="T27" i="79"/>
  <c r="S27" i="79"/>
  <c r="BI117" i="79"/>
  <c r="BH117" i="79"/>
  <c r="BG117" i="79"/>
  <c r="AD117" i="79"/>
  <c r="AE117" i="79" s="1"/>
  <c r="W117" i="79"/>
  <c r="V117" i="79"/>
  <c r="U117" i="79"/>
  <c r="T117" i="79"/>
  <c r="S117" i="79"/>
  <c r="BI161" i="79"/>
  <c r="BH161" i="79"/>
  <c r="BG161" i="79"/>
  <c r="AD161" i="79"/>
  <c r="AE161" i="79" s="1"/>
  <c r="W161" i="79"/>
  <c r="V161" i="79"/>
  <c r="U161" i="79"/>
  <c r="T161" i="79"/>
  <c r="S161" i="79"/>
  <c r="BI154" i="79"/>
  <c r="BH154" i="79"/>
  <c r="BG154" i="79"/>
  <c r="AD154" i="79"/>
  <c r="AE154" i="79" s="1"/>
  <c r="W154" i="79"/>
  <c r="V154" i="79"/>
  <c r="U154" i="79"/>
  <c r="T154" i="79"/>
  <c r="S154" i="79"/>
  <c r="BI100" i="79"/>
  <c r="BH100" i="79"/>
  <c r="BG100" i="79"/>
  <c r="AD100" i="79"/>
  <c r="AE100" i="79" s="1"/>
  <c r="W100" i="79"/>
  <c r="V100" i="79"/>
  <c r="U100" i="79"/>
  <c r="T100" i="79"/>
  <c r="S100" i="79"/>
  <c r="BI36" i="79"/>
  <c r="BH36" i="79"/>
  <c r="BG36" i="79"/>
  <c r="AD36" i="79"/>
  <c r="AE36" i="79" s="1"/>
  <c r="W36" i="79"/>
  <c r="V36" i="79"/>
  <c r="U36" i="79"/>
  <c r="T36" i="79"/>
  <c r="S36" i="79"/>
  <c r="BI134" i="79"/>
  <c r="BH134" i="79"/>
  <c r="BG134" i="79"/>
  <c r="AD134" i="79"/>
  <c r="AE134" i="79" s="1"/>
  <c r="W134" i="79"/>
  <c r="V134" i="79"/>
  <c r="U134" i="79"/>
  <c r="T134" i="79"/>
  <c r="S134" i="79"/>
  <c r="BI111" i="79"/>
  <c r="BH111" i="79"/>
  <c r="BG111" i="79"/>
  <c r="AD111" i="79"/>
  <c r="AE111" i="79" s="1"/>
  <c r="W111" i="79"/>
  <c r="V111" i="79"/>
  <c r="U111" i="79"/>
  <c r="T111" i="79"/>
  <c r="S111" i="79"/>
  <c r="BI120" i="79"/>
  <c r="BH120" i="79"/>
  <c r="BG120" i="79"/>
  <c r="AD120" i="79"/>
  <c r="AE120" i="79" s="1"/>
  <c r="W120" i="79"/>
  <c r="V120" i="79"/>
  <c r="U120" i="79"/>
  <c r="T120" i="79"/>
  <c r="S120" i="79"/>
  <c r="BI45" i="79"/>
  <c r="BH45" i="79"/>
  <c r="BG45" i="79"/>
  <c r="AD45" i="79"/>
  <c r="AE45" i="79" s="1"/>
  <c r="W45" i="79"/>
  <c r="V45" i="79"/>
  <c r="U45" i="79"/>
  <c r="T45" i="79"/>
  <c r="S45" i="79"/>
  <c r="BI148" i="79"/>
  <c r="BH148" i="79"/>
  <c r="BG148" i="79"/>
  <c r="AD148" i="79"/>
  <c r="AE148" i="79" s="1"/>
  <c r="W148" i="79"/>
  <c r="V148" i="79"/>
  <c r="U148" i="79"/>
  <c r="T148" i="79"/>
  <c r="S148" i="79"/>
  <c r="BI103" i="79"/>
  <c r="BH103" i="79"/>
  <c r="BG103" i="79"/>
  <c r="AD103" i="79"/>
  <c r="AE103" i="79" s="1"/>
  <c r="W103" i="79"/>
  <c r="V103" i="79"/>
  <c r="U103" i="79"/>
  <c r="T103" i="79"/>
  <c r="S103" i="79"/>
  <c r="BI125" i="79"/>
  <c r="BH125" i="79"/>
  <c r="BG125" i="79"/>
  <c r="AD125" i="79"/>
  <c r="AE125" i="79" s="1"/>
  <c r="W125" i="79"/>
  <c r="V125" i="79"/>
  <c r="U125" i="79"/>
  <c r="T125" i="79"/>
  <c r="S125" i="79"/>
  <c r="BI25" i="79"/>
  <c r="BH25" i="79"/>
  <c r="BG25" i="79"/>
  <c r="AD25" i="79"/>
  <c r="AE25" i="79" s="1"/>
  <c r="W25" i="79"/>
  <c r="V25" i="79"/>
  <c r="U25" i="79"/>
  <c r="T25" i="79"/>
  <c r="S25" i="79"/>
  <c r="BI135" i="79"/>
  <c r="BH135" i="79"/>
  <c r="BG135" i="79"/>
  <c r="AD135" i="79"/>
  <c r="AE135" i="79" s="1"/>
  <c r="W135" i="79"/>
  <c r="V135" i="79"/>
  <c r="U135" i="79"/>
  <c r="T135" i="79"/>
  <c r="S135" i="79"/>
  <c r="BI119" i="79"/>
  <c r="BH119" i="79"/>
  <c r="BG119" i="79"/>
  <c r="AD119" i="79"/>
  <c r="AE119" i="79" s="1"/>
  <c r="W119" i="79"/>
  <c r="V119" i="79"/>
  <c r="U119" i="79"/>
  <c r="T119" i="79"/>
  <c r="S119" i="79"/>
  <c r="BI24" i="79"/>
  <c r="BH24" i="79"/>
  <c r="BG24" i="79"/>
  <c r="AD24" i="79"/>
  <c r="AE24" i="79" s="1"/>
  <c r="W24" i="79"/>
  <c r="V24" i="79"/>
  <c r="U24" i="79"/>
  <c r="T24" i="79"/>
  <c r="S24" i="79"/>
  <c r="BI101" i="79"/>
  <c r="BH101" i="79"/>
  <c r="BG101" i="79"/>
  <c r="AD101" i="79"/>
  <c r="AE101" i="79" s="1"/>
  <c r="W101" i="79"/>
  <c r="V101" i="79"/>
  <c r="U101" i="79"/>
  <c r="T101" i="79"/>
  <c r="S101" i="79"/>
  <c r="BI40" i="79"/>
  <c r="BH40" i="79"/>
  <c r="BG40" i="79"/>
  <c r="AD40" i="79"/>
  <c r="AE40" i="79" s="1"/>
  <c r="W40" i="79"/>
  <c r="V40" i="79"/>
  <c r="U40" i="79"/>
  <c r="T40" i="79"/>
  <c r="S40" i="79"/>
  <c r="BI76" i="79"/>
  <c r="BH76" i="79"/>
  <c r="BG76" i="79"/>
  <c r="AD76" i="79"/>
  <c r="AE76" i="79" s="1"/>
  <c r="W76" i="79"/>
  <c r="V76" i="79"/>
  <c r="U76" i="79"/>
  <c r="T76" i="79"/>
  <c r="S76" i="79"/>
  <c r="BI26" i="79"/>
  <c r="BH26" i="79"/>
  <c r="BG26" i="79"/>
  <c r="AD26" i="79"/>
  <c r="AE26" i="79" s="1"/>
  <c r="W26" i="79"/>
  <c r="V26" i="79"/>
  <c r="U26" i="79"/>
  <c r="T26" i="79"/>
  <c r="S26" i="79"/>
  <c r="BI156" i="79"/>
  <c r="BH156" i="79"/>
  <c r="BG156" i="79"/>
  <c r="AD156" i="79"/>
  <c r="AE156" i="79" s="1"/>
  <c r="W156" i="79"/>
  <c r="V156" i="79"/>
  <c r="U156" i="79"/>
  <c r="T156" i="79"/>
  <c r="S156" i="79"/>
  <c r="BI37" i="79"/>
  <c r="BH37" i="79"/>
  <c r="BG37" i="79"/>
  <c r="AD37" i="79"/>
  <c r="AE37" i="79" s="1"/>
  <c r="W37" i="79"/>
  <c r="V37" i="79"/>
  <c r="U37" i="79"/>
  <c r="T37" i="79"/>
  <c r="S37" i="79"/>
  <c r="BI90" i="79"/>
  <c r="BH90" i="79"/>
  <c r="BG90" i="79"/>
  <c r="AD90" i="79"/>
  <c r="AE90" i="79" s="1"/>
  <c r="W90" i="79"/>
  <c r="V90" i="79"/>
  <c r="U90" i="79"/>
  <c r="T90" i="79"/>
  <c r="S90" i="79"/>
  <c r="BI94" i="79"/>
  <c r="BH94" i="79"/>
  <c r="BG94" i="79"/>
  <c r="AD94" i="79"/>
  <c r="AE94" i="79" s="1"/>
  <c r="W94" i="79"/>
  <c r="V94" i="79"/>
  <c r="X94" i="79" s="1"/>
  <c r="U94" i="79"/>
  <c r="T94" i="79"/>
  <c r="S94" i="79"/>
  <c r="BI80" i="79"/>
  <c r="BH80" i="79"/>
  <c r="BG80" i="79"/>
  <c r="AD80" i="79"/>
  <c r="AE80" i="79" s="1"/>
  <c r="W80" i="79"/>
  <c r="V80" i="79"/>
  <c r="U80" i="79"/>
  <c r="T80" i="79"/>
  <c r="S80" i="79"/>
  <c r="BI92" i="79"/>
  <c r="BH92" i="79"/>
  <c r="BG92" i="79"/>
  <c r="AD92" i="79"/>
  <c r="AE92" i="79" s="1"/>
  <c r="W92" i="79"/>
  <c r="V92" i="79"/>
  <c r="U92" i="79"/>
  <c r="T92" i="79"/>
  <c r="S92" i="79"/>
  <c r="BI84" i="79"/>
  <c r="BH84" i="79"/>
  <c r="BG84" i="79"/>
  <c r="AD84" i="79"/>
  <c r="AE84" i="79" s="1"/>
  <c r="W84" i="79"/>
  <c r="V84" i="79"/>
  <c r="U84" i="79"/>
  <c r="T84" i="79"/>
  <c r="S84" i="79"/>
  <c r="BI50" i="79"/>
  <c r="BH50" i="79"/>
  <c r="BG50" i="79"/>
  <c r="AD50" i="79"/>
  <c r="AE50" i="79" s="1"/>
  <c r="W50" i="79"/>
  <c r="V50" i="79"/>
  <c r="U50" i="79"/>
  <c r="T50" i="79"/>
  <c r="S50" i="79"/>
  <c r="BI140" i="79"/>
  <c r="BH140" i="79"/>
  <c r="BG140" i="79"/>
  <c r="AD140" i="79"/>
  <c r="AE140" i="79" s="1"/>
  <c r="W140" i="79"/>
  <c r="V140" i="79"/>
  <c r="U140" i="79"/>
  <c r="T140" i="79"/>
  <c r="S140" i="79"/>
  <c r="BI105" i="79"/>
  <c r="BH105" i="79"/>
  <c r="BG105" i="79"/>
  <c r="AD105" i="79"/>
  <c r="AE105" i="79" s="1"/>
  <c r="W105" i="79"/>
  <c r="V105" i="79"/>
  <c r="U105" i="79"/>
  <c r="T105" i="79"/>
  <c r="S105" i="79"/>
  <c r="BI87" i="79"/>
  <c r="BH87" i="79"/>
  <c r="BG87" i="79"/>
  <c r="AD87" i="79"/>
  <c r="AE87" i="79" s="1"/>
  <c r="W87" i="79"/>
  <c r="V87" i="79"/>
  <c r="U87" i="79"/>
  <c r="T87" i="79"/>
  <c r="S87" i="79"/>
  <c r="BI86" i="79"/>
  <c r="BH86" i="79"/>
  <c r="BG86" i="79"/>
  <c r="AD86" i="79"/>
  <c r="AE86" i="79" s="1"/>
  <c r="W86" i="79"/>
  <c r="V86" i="79"/>
  <c r="U86" i="79"/>
  <c r="T86" i="79"/>
  <c r="S86" i="79"/>
  <c r="BI85" i="79"/>
  <c r="BH85" i="79"/>
  <c r="BG85" i="79"/>
  <c r="AD85" i="79"/>
  <c r="AE85" i="79" s="1"/>
  <c r="W85" i="79"/>
  <c r="V85" i="79"/>
  <c r="U85" i="79"/>
  <c r="T85" i="79"/>
  <c r="S85" i="79"/>
  <c r="BI79" i="79"/>
  <c r="BH79" i="79"/>
  <c r="BG79" i="79"/>
  <c r="AD79" i="79"/>
  <c r="AE79" i="79" s="1"/>
  <c r="W79" i="79"/>
  <c r="V79" i="79"/>
  <c r="U79" i="79"/>
  <c r="T79" i="79"/>
  <c r="S79" i="79"/>
  <c r="BI51" i="79"/>
  <c r="BH51" i="79"/>
  <c r="BG51" i="79"/>
  <c r="AD51" i="79"/>
  <c r="AE51" i="79" s="1"/>
  <c r="W51" i="79"/>
  <c r="V51" i="79"/>
  <c r="U51" i="79"/>
  <c r="T51" i="79"/>
  <c r="S51" i="79"/>
  <c r="BI71" i="79"/>
  <c r="BH71" i="79"/>
  <c r="BG71" i="79"/>
  <c r="AD71" i="79"/>
  <c r="AE71" i="79" s="1"/>
  <c r="W71" i="79"/>
  <c r="V71" i="79"/>
  <c r="X71" i="79" s="1"/>
  <c r="U71" i="79"/>
  <c r="T71" i="79"/>
  <c r="S71" i="79"/>
  <c r="BI63" i="79"/>
  <c r="BH63" i="79"/>
  <c r="BG63" i="79"/>
  <c r="AD63" i="79"/>
  <c r="AE63" i="79" s="1"/>
  <c r="W63" i="79"/>
  <c r="V63" i="79"/>
  <c r="U63" i="79"/>
  <c r="T63" i="79"/>
  <c r="S63" i="79"/>
  <c r="BI145" i="79"/>
  <c r="BH145" i="79"/>
  <c r="BG145" i="79"/>
  <c r="AD145" i="79"/>
  <c r="AE145" i="79" s="1"/>
  <c r="W145" i="79"/>
  <c r="V145" i="79"/>
  <c r="U145" i="79"/>
  <c r="T145" i="79"/>
  <c r="S145" i="79"/>
  <c r="BI89" i="79"/>
  <c r="BH89" i="79"/>
  <c r="BG89" i="79"/>
  <c r="AD89" i="79"/>
  <c r="AE89" i="79" s="1"/>
  <c r="W89" i="79"/>
  <c r="V89" i="79"/>
  <c r="U89" i="79"/>
  <c r="T89" i="79"/>
  <c r="S89" i="79"/>
  <c r="BI33" i="79"/>
  <c r="BH33" i="79"/>
  <c r="BG33" i="79"/>
  <c r="AD33" i="79"/>
  <c r="AE33" i="79" s="1"/>
  <c r="W33" i="79"/>
  <c r="V33" i="79"/>
  <c r="U33" i="79"/>
  <c r="T33" i="79"/>
  <c r="S33" i="79"/>
  <c r="BI35" i="79"/>
  <c r="BH35" i="79"/>
  <c r="BG35" i="79"/>
  <c r="AD35" i="79"/>
  <c r="AE35" i="79" s="1"/>
  <c r="W35" i="79"/>
  <c r="V35" i="79"/>
  <c r="U35" i="79"/>
  <c r="T35" i="79"/>
  <c r="S35" i="79"/>
  <c r="BI102" i="79"/>
  <c r="BH102" i="79"/>
  <c r="BG102" i="79"/>
  <c r="AD102" i="79"/>
  <c r="AE102" i="79" s="1"/>
  <c r="W102" i="79"/>
  <c r="V102" i="79"/>
  <c r="U102" i="79"/>
  <c r="T102" i="79"/>
  <c r="S102" i="79"/>
  <c r="BI31" i="79"/>
  <c r="BH31" i="79"/>
  <c r="BG31" i="79"/>
  <c r="AD31" i="79"/>
  <c r="AE31" i="79" s="1"/>
  <c r="W31" i="79"/>
  <c r="V31" i="79"/>
  <c r="U31" i="79"/>
  <c r="T31" i="79"/>
  <c r="S31" i="79"/>
  <c r="BI153" i="79"/>
  <c r="BH153" i="79"/>
  <c r="BG153" i="79"/>
  <c r="AD153" i="79"/>
  <c r="AE153" i="79" s="1"/>
  <c r="W153" i="79"/>
  <c r="V153" i="79"/>
  <c r="U153" i="79"/>
  <c r="T153" i="79"/>
  <c r="S153" i="79"/>
  <c r="BI30" i="79"/>
  <c r="BH30" i="79"/>
  <c r="BG30" i="79"/>
  <c r="AD30" i="79"/>
  <c r="AE30" i="79" s="1"/>
  <c r="W30" i="79"/>
  <c r="V30" i="79"/>
  <c r="U30" i="79"/>
  <c r="T30" i="79"/>
  <c r="S30" i="79"/>
  <c r="BI122" i="79"/>
  <c r="BH122" i="79"/>
  <c r="BG122" i="79"/>
  <c r="AD122" i="79"/>
  <c r="AE122" i="79" s="1"/>
  <c r="W122" i="79"/>
  <c r="V122" i="79"/>
  <c r="U122" i="79"/>
  <c r="T122" i="79"/>
  <c r="S122" i="79"/>
  <c r="BI23" i="79"/>
  <c r="BH23" i="79"/>
  <c r="BG23" i="79"/>
  <c r="AD23" i="79"/>
  <c r="AE23" i="79" s="1"/>
  <c r="W23" i="79"/>
  <c r="V23" i="79"/>
  <c r="U23" i="79"/>
  <c r="T23" i="79"/>
  <c r="S23" i="79"/>
  <c r="BI70" i="79"/>
  <c r="BH70" i="79"/>
  <c r="BG70" i="79"/>
  <c r="AD70" i="79"/>
  <c r="AE70" i="79" s="1"/>
  <c r="W70" i="79"/>
  <c r="V70" i="79"/>
  <c r="U70" i="79"/>
  <c r="T70" i="79"/>
  <c r="S70" i="79"/>
  <c r="BI69" i="79"/>
  <c r="BH69" i="79"/>
  <c r="BG69" i="79"/>
  <c r="AD69" i="79"/>
  <c r="AE69" i="79" s="1"/>
  <c r="W69" i="79"/>
  <c r="V69" i="79"/>
  <c r="U69" i="79"/>
  <c r="T69" i="79"/>
  <c r="S69" i="79"/>
  <c r="BI151" i="79"/>
  <c r="BH151" i="79"/>
  <c r="BG151" i="79"/>
  <c r="AD151" i="79"/>
  <c r="AE151" i="79" s="1"/>
  <c r="W151" i="79"/>
  <c r="V151" i="79"/>
  <c r="U151" i="79"/>
  <c r="T151" i="79"/>
  <c r="S151" i="79"/>
  <c r="BI150" i="79"/>
  <c r="BH150" i="79"/>
  <c r="BG150" i="79"/>
  <c r="AD150" i="79"/>
  <c r="AE150" i="79" s="1"/>
  <c r="W150" i="79"/>
  <c r="V150" i="79"/>
  <c r="U150" i="79"/>
  <c r="T150" i="79"/>
  <c r="S150" i="79"/>
  <c r="BI66" i="79"/>
  <c r="BH66" i="79"/>
  <c r="BG66" i="79"/>
  <c r="AD66" i="79"/>
  <c r="AE66" i="79" s="1"/>
  <c r="W66" i="79"/>
  <c r="V66" i="79"/>
  <c r="X66" i="79" s="1"/>
  <c r="U66" i="79"/>
  <c r="T66" i="79"/>
  <c r="S66" i="79"/>
  <c r="BI49" i="79"/>
  <c r="BH49" i="79"/>
  <c r="BG49" i="79"/>
  <c r="AD49" i="79"/>
  <c r="AE49" i="79" s="1"/>
  <c r="W49" i="79"/>
  <c r="V49" i="79"/>
  <c r="U49" i="79"/>
  <c r="T49" i="79"/>
  <c r="S49" i="79"/>
  <c r="BI95" i="79"/>
  <c r="BH95" i="79"/>
  <c r="BG95" i="79"/>
  <c r="AD95" i="79"/>
  <c r="AE95" i="79" s="1"/>
  <c r="W95" i="79"/>
  <c r="V95" i="79"/>
  <c r="U95" i="79"/>
  <c r="T95" i="79"/>
  <c r="S95" i="79"/>
  <c r="BI143" i="79"/>
  <c r="BH143" i="79"/>
  <c r="BG143" i="79"/>
  <c r="AD143" i="79"/>
  <c r="AE143" i="79" s="1"/>
  <c r="W143" i="79"/>
  <c r="V143" i="79"/>
  <c r="U143" i="79"/>
  <c r="T143" i="79"/>
  <c r="S143" i="79"/>
  <c r="BI62" i="79"/>
  <c r="BH62" i="79"/>
  <c r="BG62" i="79"/>
  <c r="AD62" i="79"/>
  <c r="AE62" i="79" s="1"/>
  <c r="W62" i="79"/>
  <c r="V62" i="79"/>
  <c r="U62" i="79"/>
  <c r="T62" i="79"/>
  <c r="S62" i="79"/>
  <c r="BI61" i="79"/>
  <c r="BH61" i="79"/>
  <c r="BG61" i="79"/>
  <c r="AD61" i="79"/>
  <c r="AE61" i="79" s="1"/>
  <c r="W61" i="79"/>
  <c r="V61" i="79"/>
  <c r="U61" i="79"/>
  <c r="T61" i="79"/>
  <c r="S61" i="79"/>
  <c r="BI60" i="79"/>
  <c r="BH60" i="79"/>
  <c r="BG60" i="79"/>
  <c r="AD60" i="79"/>
  <c r="AE60" i="79" s="1"/>
  <c r="W60" i="79"/>
  <c r="V60" i="79"/>
  <c r="U60" i="79"/>
  <c r="T60" i="79"/>
  <c r="S60" i="79"/>
  <c r="BI114" i="79"/>
  <c r="BH114" i="79"/>
  <c r="BG114" i="79"/>
  <c r="AD114" i="79"/>
  <c r="AE114" i="79" s="1"/>
  <c r="W114" i="79"/>
  <c r="V114" i="79"/>
  <c r="U114" i="79"/>
  <c r="T114" i="79"/>
  <c r="S114" i="79"/>
  <c r="BI58" i="79"/>
  <c r="BH58" i="79"/>
  <c r="BG58" i="79"/>
  <c r="AD58" i="79"/>
  <c r="AE58" i="79" s="1"/>
  <c r="W58" i="79"/>
  <c r="V58" i="79"/>
  <c r="X58" i="79" s="1"/>
  <c r="U58" i="79"/>
  <c r="T58" i="79"/>
  <c r="S58" i="79"/>
  <c r="BI91" i="79"/>
  <c r="BH91" i="79"/>
  <c r="BG91" i="79"/>
  <c r="AD91" i="79"/>
  <c r="AE91" i="79" s="1"/>
  <c r="W91" i="79"/>
  <c r="V91" i="79"/>
  <c r="U91" i="79"/>
  <c r="T91" i="79"/>
  <c r="S91" i="79"/>
  <c r="BI56" i="79"/>
  <c r="BH56" i="79"/>
  <c r="BG56" i="79"/>
  <c r="AD56" i="79"/>
  <c r="AE56" i="79" s="1"/>
  <c r="W56" i="79"/>
  <c r="V56" i="79"/>
  <c r="U56" i="79"/>
  <c r="T56" i="79"/>
  <c r="S56" i="79"/>
  <c r="BI55" i="79"/>
  <c r="BH55" i="79"/>
  <c r="BG55" i="79"/>
  <c r="AD55" i="79"/>
  <c r="AE55" i="79" s="1"/>
  <c r="W55" i="79"/>
  <c r="V55" i="79"/>
  <c r="U55" i="79"/>
  <c r="T55" i="79"/>
  <c r="S55" i="79"/>
  <c r="BI54" i="79"/>
  <c r="BH54" i="79"/>
  <c r="BG54" i="79"/>
  <c r="AD54" i="79"/>
  <c r="AE54" i="79" s="1"/>
  <c r="W54" i="79"/>
  <c r="V54" i="79"/>
  <c r="U54" i="79"/>
  <c r="T54" i="79"/>
  <c r="S54" i="79"/>
  <c r="BI53" i="79"/>
  <c r="BH53" i="79"/>
  <c r="BG53" i="79"/>
  <c r="AD53" i="79"/>
  <c r="AE53" i="79" s="1"/>
  <c r="W53" i="79"/>
  <c r="V53" i="79"/>
  <c r="U53" i="79"/>
  <c r="T53" i="79"/>
  <c r="S53" i="79"/>
  <c r="BI22" i="79"/>
  <c r="BH22" i="79"/>
  <c r="BG22" i="79"/>
  <c r="AD22" i="79"/>
  <c r="AE22" i="79" s="1"/>
  <c r="W22" i="79"/>
  <c r="V22" i="79"/>
  <c r="U22" i="79"/>
  <c r="T22" i="79"/>
  <c r="S22" i="79"/>
  <c r="BI144" i="79"/>
  <c r="BH144" i="79"/>
  <c r="BG144" i="79"/>
  <c r="AD144" i="79"/>
  <c r="AE144" i="79" s="1"/>
  <c r="W144" i="79"/>
  <c r="V144" i="79"/>
  <c r="U144" i="79"/>
  <c r="T144" i="79"/>
  <c r="S144" i="79"/>
  <c r="BI132" i="79"/>
  <c r="BH132" i="79"/>
  <c r="BG132" i="79"/>
  <c r="AD132" i="79"/>
  <c r="AE132" i="79" s="1"/>
  <c r="W132" i="79"/>
  <c r="V132" i="79"/>
  <c r="U132" i="79"/>
  <c r="T132" i="79"/>
  <c r="S132" i="79"/>
  <c r="BI149" i="79"/>
  <c r="BH149" i="79"/>
  <c r="BG149" i="79"/>
  <c r="AD149" i="79"/>
  <c r="AE149" i="79" s="1"/>
  <c r="W149" i="79"/>
  <c r="V149" i="79"/>
  <c r="U149" i="79"/>
  <c r="T149" i="79"/>
  <c r="S149" i="79"/>
  <c r="BI48" i="79"/>
  <c r="BH48" i="79"/>
  <c r="BG48" i="79"/>
  <c r="AD48" i="79"/>
  <c r="AE48" i="79" s="1"/>
  <c r="W48" i="79"/>
  <c r="V48" i="79"/>
  <c r="U48" i="79"/>
  <c r="T48" i="79"/>
  <c r="S48" i="79"/>
  <c r="BI115" i="79"/>
  <c r="BH115" i="79"/>
  <c r="BG115" i="79"/>
  <c r="AE115" i="79"/>
  <c r="AD115" i="79"/>
  <c r="W115" i="79"/>
  <c r="V115" i="79"/>
  <c r="U115" i="79"/>
  <c r="T115" i="79"/>
  <c r="S115" i="79"/>
  <c r="BI46" i="79"/>
  <c r="BH46" i="79"/>
  <c r="BG46" i="79"/>
  <c r="AD46" i="79"/>
  <c r="AE46" i="79" s="1"/>
  <c r="W46" i="79"/>
  <c r="V46" i="79"/>
  <c r="U46" i="79"/>
  <c r="T46" i="79"/>
  <c r="S46" i="79"/>
  <c r="BI131" i="79"/>
  <c r="BH131" i="79"/>
  <c r="BG131" i="79"/>
  <c r="AD131" i="79"/>
  <c r="AE131" i="79" s="1"/>
  <c r="W131" i="79"/>
  <c r="V131" i="79"/>
  <c r="U131" i="79"/>
  <c r="T131" i="79"/>
  <c r="S131" i="79"/>
  <c r="BI19" i="79"/>
  <c r="BH19" i="79"/>
  <c r="BG19" i="79"/>
  <c r="AD19" i="79"/>
  <c r="AE19" i="79" s="1"/>
  <c r="W19" i="79"/>
  <c r="V19" i="79"/>
  <c r="U19" i="79"/>
  <c r="T19" i="79"/>
  <c r="S19" i="79"/>
  <c r="BI64" i="79"/>
  <c r="BH64" i="79"/>
  <c r="BG64" i="79"/>
  <c r="AD64" i="79"/>
  <c r="AE64" i="79" s="1"/>
  <c r="W64" i="79"/>
  <c r="V64" i="79"/>
  <c r="X64" i="79" s="1"/>
  <c r="U64" i="79"/>
  <c r="T64" i="79"/>
  <c r="S64" i="79"/>
  <c r="BI42" i="79"/>
  <c r="BH42" i="79"/>
  <c r="BG42" i="79"/>
  <c r="AD42" i="79"/>
  <c r="AE42" i="79" s="1"/>
  <c r="W42" i="79"/>
  <c r="V42" i="79"/>
  <c r="U42" i="79"/>
  <c r="T42" i="79"/>
  <c r="S42" i="79"/>
  <c r="BI141" i="79"/>
  <c r="BH141" i="79"/>
  <c r="BG141" i="79"/>
  <c r="AD141" i="79"/>
  <c r="AE141" i="79" s="1"/>
  <c r="W141" i="79"/>
  <c r="V141" i="79"/>
  <c r="U141" i="79"/>
  <c r="T141" i="79"/>
  <c r="S141" i="79"/>
  <c r="BI113" i="79"/>
  <c r="BH113" i="79"/>
  <c r="BG113" i="79"/>
  <c r="AD113" i="79"/>
  <c r="AE113" i="79" s="1"/>
  <c r="W113" i="79"/>
  <c r="V113" i="79"/>
  <c r="U113" i="79"/>
  <c r="T113" i="79"/>
  <c r="S113" i="79"/>
  <c r="BI128" i="79"/>
  <c r="BH128" i="79"/>
  <c r="BG128" i="79"/>
  <c r="AD128" i="79"/>
  <c r="AE128" i="79" s="1"/>
  <c r="W128" i="79"/>
  <c r="V128" i="79"/>
  <c r="U128" i="79"/>
  <c r="T128" i="79"/>
  <c r="S128" i="79"/>
  <c r="BI38" i="79"/>
  <c r="BH38" i="79"/>
  <c r="BG38" i="79"/>
  <c r="AD38" i="79"/>
  <c r="AE38" i="79" s="1"/>
  <c r="W38" i="79"/>
  <c r="V38" i="79"/>
  <c r="U38" i="79"/>
  <c r="T38" i="79"/>
  <c r="S38" i="79"/>
  <c r="BI112" i="79"/>
  <c r="BH112" i="79"/>
  <c r="BG112" i="79"/>
  <c r="AD112" i="79"/>
  <c r="AE112" i="79" s="1"/>
  <c r="W112" i="79"/>
  <c r="V112" i="79"/>
  <c r="U112" i="79"/>
  <c r="T112" i="79"/>
  <c r="S112" i="79"/>
  <c r="BI136" i="79"/>
  <c r="BH136" i="79"/>
  <c r="BG136" i="79"/>
  <c r="AD136" i="79"/>
  <c r="AE136" i="79" s="1"/>
  <c r="W136" i="79"/>
  <c r="V136" i="79"/>
  <c r="U136" i="79"/>
  <c r="T136" i="79"/>
  <c r="S136" i="79"/>
  <c r="BI77" i="79"/>
  <c r="BH77" i="79"/>
  <c r="BG77" i="79"/>
  <c r="AD77" i="79"/>
  <c r="AE77" i="79" s="1"/>
  <c r="W77" i="79"/>
  <c r="V77" i="79"/>
  <c r="X77" i="79" s="1"/>
  <c r="U77" i="79"/>
  <c r="T77" i="79"/>
  <c r="S77" i="79"/>
  <c r="BI146" i="79"/>
  <c r="BH146" i="79"/>
  <c r="BG146" i="79"/>
  <c r="AD146" i="79"/>
  <c r="AE146" i="79" s="1"/>
  <c r="W146" i="79"/>
  <c r="V146" i="79"/>
  <c r="U146" i="79"/>
  <c r="T146" i="79"/>
  <c r="S146" i="79"/>
  <c r="BI158" i="79"/>
  <c r="BH158" i="79"/>
  <c r="BG158" i="79"/>
  <c r="AD158" i="79"/>
  <c r="AE158" i="79" s="1"/>
  <c r="W158" i="79"/>
  <c r="V158" i="79"/>
  <c r="U158" i="79"/>
  <c r="T158" i="79"/>
  <c r="S158" i="79"/>
  <c r="BI83" i="79"/>
  <c r="BH83" i="79"/>
  <c r="BG83" i="79"/>
  <c r="AD83" i="79"/>
  <c r="AE83" i="79" s="1"/>
  <c r="W83" i="79"/>
  <c r="V83" i="79"/>
  <c r="U83" i="79"/>
  <c r="T83" i="79"/>
  <c r="S83" i="79"/>
  <c r="BI116" i="79"/>
  <c r="BH116" i="79"/>
  <c r="BG116" i="79"/>
  <c r="AD116" i="79"/>
  <c r="AE116" i="79" s="1"/>
  <c r="W116" i="79"/>
  <c r="V116" i="79"/>
  <c r="U116" i="79"/>
  <c r="T116" i="79"/>
  <c r="S116" i="79"/>
  <c r="BI65" i="79"/>
  <c r="BH65" i="79"/>
  <c r="BG65" i="79"/>
  <c r="AD65" i="79"/>
  <c r="AE65" i="79" s="1"/>
  <c r="W65" i="79"/>
  <c r="V65" i="79"/>
  <c r="U65" i="79"/>
  <c r="T65" i="79"/>
  <c r="S65" i="79"/>
  <c r="BI139" i="79"/>
  <c r="BH139" i="79"/>
  <c r="BG139" i="79"/>
  <c r="AD139" i="79"/>
  <c r="AE139" i="79" s="1"/>
  <c r="W139" i="79"/>
  <c r="V139" i="79"/>
  <c r="U139" i="79"/>
  <c r="T139" i="79"/>
  <c r="S139" i="79"/>
  <c r="BI21" i="79"/>
  <c r="BH21" i="79"/>
  <c r="BG21" i="79"/>
  <c r="AD21" i="79"/>
  <c r="AE21" i="79" s="1"/>
  <c r="W21" i="79"/>
  <c r="V21" i="79"/>
  <c r="U21" i="79"/>
  <c r="T21" i="79"/>
  <c r="S21" i="79"/>
  <c r="BI127" i="79"/>
  <c r="BH127" i="79"/>
  <c r="BG127" i="79"/>
  <c r="AD127" i="79"/>
  <c r="AE127" i="79" s="1"/>
  <c r="W127" i="79"/>
  <c r="V127" i="79"/>
  <c r="U127" i="79"/>
  <c r="T127" i="79"/>
  <c r="S127" i="79"/>
  <c r="BI106" i="79"/>
  <c r="BH106" i="79"/>
  <c r="BG106" i="79"/>
  <c r="AD106" i="79"/>
  <c r="AE106" i="79" s="1"/>
  <c r="W106" i="79"/>
  <c r="V106" i="79"/>
  <c r="U106" i="79"/>
  <c r="T106" i="79"/>
  <c r="S106" i="79"/>
  <c r="BI20" i="79"/>
  <c r="BH20" i="79"/>
  <c r="BG20" i="79"/>
  <c r="AD20" i="79"/>
  <c r="AE20" i="79" s="1"/>
  <c r="W20" i="79"/>
  <c r="V20" i="79"/>
  <c r="U20" i="79"/>
  <c r="T20" i="79"/>
  <c r="S20" i="79"/>
  <c r="BI93" i="79"/>
  <c r="BH93" i="79"/>
  <c r="BG93" i="79"/>
  <c r="AD93" i="79"/>
  <c r="AE93" i="79" s="1"/>
  <c r="W93" i="79"/>
  <c r="V93" i="79"/>
  <c r="U93" i="79"/>
  <c r="T93" i="79"/>
  <c r="S93" i="79"/>
  <c r="BI130" i="79"/>
  <c r="BH130" i="79"/>
  <c r="BG130" i="79"/>
  <c r="AD130" i="79"/>
  <c r="AE130" i="79" s="1"/>
  <c r="W130" i="79"/>
  <c r="V130" i="79"/>
  <c r="U130" i="79"/>
  <c r="T130" i="79"/>
  <c r="S130" i="79"/>
  <c r="BI98" i="79"/>
  <c r="BH98" i="79"/>
  <c r="BG98" i="79"/>
  <c r="AD98" i="79"/>
  <c r="AE98" i="79" s="1"/>
  <c r="W98" i="79"/>
  <c r="V98" i="79"/>
  <c r="U98" i="79"/>
  <c r="T98" i="79"/>
  <c r="S98" i="79"/>
  <c r="BI41" i="79"/>
  <c r="BH41" i="79"/>
  <c r="BG41" i="79"/>
  <c r="AD41" i="79"/>
  <c r="AE41" i="79" s="1"/>
  <c r="W41" i="79"/>
  <c r="V41" i="79"/>
  <c r="U41" i="79"/>
  <c r="T41" i="79"/>
  <c r="S41" i="79"/>
  <c r="BI59" i="79"/>
  <c r="BH59" i="79"/>
  <c r="BG59" i="79"/>
  <c r="AD59" i="79"/>
  <c r="AE59" i="79" s="1"/>
  <c r="W59" i="79"/>
  <c r="V59" i="79"/>
  <c r="U59" i="79"/>
  <c r="T59" i="79"/>
  <c r="S59" i="79"/>
  <c r="BI147" i="79"/>
  <c r="BH147" i="79"/>
  <c r="BG147" i="79"/>
  <c r="AD147" i="79"/>
  <c r="AE147" i="79" s="1"/>
  <c r="W147" i="79"/>
  <c r="V147" i="79"/>
  <c r="U147" i="79"/>
  <c r="T147" i="79"/>
  <c r="S147" i="79"/>
  <c r="AI16" i="79"/>
  <c r="AI15" i="79"/>
  <c r="BI14" i="79"/>
  <c r="BH14" i="79"/>
  <c r="BG14" i="79"/>
  <c r="BI12" i="79"/>
  <c r="BH12" i="79"/>
  <c r="BG12" i="79"/>
  <c r="AD11" i="79"/>
  <c r="BE9" i="79"/>
  <c r="BC9" i="79"/>
  <c r="BA9" i="79"/>
  <c r="AY9" i="79"/>
  <c r="AW9" i="79"/>
  <c r="AU9" i="79"/>
  <c r="AS9" i="79"/>
  <c r="AQ9" i="79"/>
  <c r="AO9" i="79"/>
  <c r="AM9" i="79"/>
  <c r="AK9" i="79"/>
  <c r="AI9" i="79"/>
  <c r="AG9" i="79"/>
  <c r="BE8" i="79"/>
  <c r="BC8" i="79"/>
  <c r="BC10" i="79" s="1"/>
  <c r="BA8" i="79"/>
  <c r="AY8" i="79"/>
  <c r="AW8" i="79"/>
  <c r="AU8" i="79"/>
  <c r="AS8" i="79"/>
  <c r="AQ8" i="79"/>
  <c r="AO8" i="79"/>
  <c r="AM8" i="79"/>
  <c r="AK8" i="79"/>
  <c r="AI8" i="79"/>
  <c r="AG8" i="79"/>
  <c r="BE6" i="79"/>
  <c r="BC6" i="79"/>
  <c r="BA6" i="79"/>
  <c r="AY6" i="79"/>
  <c r="AW6" i="79"/>
  <c r="AU6" i="79"/>
  <c r="AS6" i="79"/>
  <c r="AQ6" i="79"/>
  <c r="AO6" i="79"/>
  <c r="AM6" i="79"/>
  <c r="AK6" i="79"/>
  <c r="AI6" i="79"/>
  <c r="AG6" i="79"/>
  <c r="BE5" i="79"/>
  <c r="BC5" i="79"/>
  <c r="BA5" i="79"/>
  <c r="AY5" i="79"/>
  <c r="AW5" i="79"/>
  <c r="AU5" i="79"/>
  <c r="AS5" i="79"/>
  <c r="AQ5" i="79"/>
  <c r="AO5" i="79"/>
  <c r="AM5" i="79"/>
  <c r="AK5" i="79"/>
  <c r="AI5" i="79"/>
  <c r="AG5" i="79"/>
  <c r="BE4" i="79"/>
  <c r="BC4" i="79"/>
  <c r="BA4" i="79"/>
  <c r="AY4" i="79"/>
  <c r="AW4" i="79"/>
  <c r="AU4" i="79"/>
  <c r="AS4" i="79"/>
  <c r="AQ4" i="79"/>
  <c r="AO4" i="79"/>
  <c r="AM4" i="79"/>
  <c r="AK4" i="79"/>
  <c r="AI4" i="79"/>
  <c r="BF70" i="78"/>
  <c r="BE70" i="78"/>
  <c r="BD70" i="78"/>
  <c r="BC70" i="78"/>
  <c r="BB70" i="78"/>
  <c r="BA70" i="78"/>
  <c r="AZ70" i="78"/>
  <c r="AY70" i="78"/>
  <c r="AX70" i="78"/>
  <c r="AW70" i="78"/>
  <c r="AV70" i="78"/>
  <c r="AU70" i="78"/>
  <c r="AT70" i="78"/>
  <c r="AS70" i="78"/>
  <c r="AR70" i="78"/>
  <c r="AQ70" i="78"/>
  <c r="AP70" i="78"/>
  <c r="AO70" i="78"/>
  <c r="AN70" i="78"/>
  <c r="AM70" i="78"/>
  <c r="AL70" i="78"/>
  <c r="AK70" i="78"/>
  <c r="AJ70" i="78"/>
  <c r="AI70" i="78"/>
  <c r="AH70" i="78"/>
  <c r="AG70" i="78"/>
  <c r="K70" i="78"/>
  <c r="BG23" i="78"/>
  <c r="AD23" i="78"/>
  <c r="AE23" i="78" s="1"/>
  <c r="W23" i="78"/>
  <c r="V23" i="78"/>
  <c r="U23" i="78"/>
  <c r="T23" i="78"/>
  <c r="S23" i="78"/>
  <c r="BG46" i="78"/>
  <c r="AD46" i="78"/>
  <c r="AE46" i="78" s="1"/>
  <c r="W46" i="78"/>
  <c r="V46" i="78"/>
  <c r="U46" i="78"/>
  <c r="T46" i="78"/>
  <c r="S46" i="78"/>
  <c r="BG40" i="78"/>
  <c r="AD40" i="78"/>
  <c r="AE40" i="78" s="1"/>
  <c r="W40" i="78"/>
  <c r="V40" i="78"/>
  <c r="U40" i="78"/>
  <c r="T40" i="78"/>
  <c r="S40" i="78"/>
  <c r="BG64" i="78"/>
  <c r="AD64" i="78"/>
  <c r="AE64" i="78" s="1"/>
  <c r="W64" i="78"/>
  <c r="V64" i="78"/>
  <c r="U64" i="78"/>
  <c r="T64" i="78"/>
  <c r="S64" i="78"/>
  <c r="BG35" i="78"/>
  <c r="AD35" i="78"/>
  <c r="AE35" i="78" s="1"/>
  <c r="W35" i="78"/>
  <c r="V35" i="78"/>
  <c r="U35" i="78"/>
  <c r="T35" i="78"/>
  <c r="S35" i="78"/>
  <c r="BG53" i="78"/>
  <c r="AD53" i="78"/>
  <c r="AE53" i="78" s="1"/>
  <c r="W53" i="78"/>
  <c r="V53" i="78"/>
  <c r="U53" i="78"/>
  <c r="T53" i="78"/>
  <c r="S53" i="78"/>
  <c r="BG27" i="78"/>
  <c r="AD27" i="78"/>
  <c r="AE27" i="78" s="1"/>
  <c r="W27" i="78"/>
  <c r="V27" i="78"/>
  <c r="U27" i="78"/>
  <c r="T27" i="78"/>
  <c r="S27" i="78"/>
  <c r="BG55" i="78"/>
  <c r="AD55" i="78"/>
  <c r="AE55" i="78" s="1"/>
  <c r="W55" i="78"/>
  <c r="V55" i="78"/>
  <c r="U55" i="78"/>
  <c r="T55" i="78"/>
  <c r="S55" i="78"/>
  <c r="BG20" i="78"/>
  <c r="AD20" i="78"/>
  <c r="AE20" i="78" s="1"/>
  <c r="W20" i="78"/>
  <c r="V20" i="78"/>
  <c r="U20" i="78"/>
  <c r="T20" i="78"/>
  <c r="S20" i="78"/>
  <c r="BG25" i="78"/>
  <c r="AD25" i="78"/>
  <c r="AE25" i="78" s="1"/>
  <c r="W25" i="78"/>
  <c r="V25" i="78"/>
  <c r="U25" i="78"/>
  <c r="T25" i="78"/>
  <c r="S25" i="78"/>
  <c r="BG21" i="78"/>
  <c r="AD21" i="78"/>
  <c r="AE21" i="78" s="1"/>
  <c r="W21" i="78"/>
  <c r="V21" i="78"/>
  <c r="U21" i="78"/>
  <c r="T21" i="78"/>
  <c r="S21" i="78"/>
  <c r="BG50" i="78"/>
  <c r="AD50" i="78"/>
  <c r="AE50" i="78" s="1"/>
  <c r="W50" i="78"/>
  <c r="V50" i="78"/>
  <c r="U50" i="78"/>
  <c r="T50" i="78"/>
  <c r="S50" i="78"/>
  <c r="BG28" i="78"/>
  <c r="AD28" i="78"/>
  <c r="AE28" i="78" s="1"/>
  <c r="W28" i="78"/>
  <c r="V28" i="78"/>
  <c r="U28" i="78"/>
  <c r="T28" i="78"/>
  <c r="S28" i="78"/>
  <c r="BG19" i="78"/>
  <c r="AD19" i="78"/>
  <c r="AE19" i="78" s="1"/>
  <c r="W19" i="78"/>
  <c r="V19" i="78"/>
  <c r="U19" i="78"/>
  <c r="T19" i="78"/>
  <c r="S19" i="78"/>
  <c r="BG67" i="78"/>
  <c r="AD67" i="78"/>
  <c r="AE67" i="78" s="1"/>
  <c r="W67" i="78"/>
  <c r="V67" i="78"/>
  <c r="U67" i="78"/>
  <c r="T67" i="78"/>
  <c r="S67" i="78"/>
  <c r="BG61" i="78"/>
  <c r="AD61" i="78"/>
  <c r="AE61" i="78" s="1"/>
  <c r="W61" i="78"/>
  <c r="V61" i="78"/>
  <c r="U61" i="78"/>
  <c r="T61" i="78"/>
  <c r="S61" i="78"/>
  <c r="BG45" i="78"/>
  <c r="AD45" i="78"/>
  <c r="AE45" i="78" s="1"/>
  <c r="W45" i="78"/>
  <c r="V45" i="78"/>
  <c r="U45" i="78"/>
  <c r="T45" i="78"/>
  <c r="S45" i="78"/>
  <c r="BG54" i="78"/>
  <c r="AD54" i="78"/>
  <c r="AE54" i="78" s="1"/>
  <c r="W54" i="78"/>
  <c r="V54" i="78"/>
  <c r="U54" i="78"/>
  <c r="T54" i="78"/>
  <c r="S54" i="78"/>
  <c r="BG30" i="78"/>
  <c r="AD30" i="78"/>
  <c r="AE30" i="78" s="1"/>
  <c r="W30" i="78"/>
  <c r="V30" i="78"/>
  <c r="U30" i="78"/>
  <c r="T30" i="78"/>
  <c r="S30" i="78"/>
  <c r="BG38" i="78"/>
  <c r="AD38" i="78"/>
  <c r="AE38" i="78" s="1"/>
  <c r="W38" i="78"/>
  <c r="V38" i="78"/>
  <c r="U38" i="78"/>
  <c r="T38" i="78"/>
  <c r="S38" i="78"/>
  <c r="BG60" i="78"/>
  <c r="AD60" i="78"/>
  <c r="AE60" i="78" s="1"/>
  <c r="W60" i="78"/>
  <c r="V60" i="78"/>
  <c r="U60" i="78"/>
  <c r="T60" i="78"/>
  <c r="S60" i="78"/>
  <c r="BG43" i="78"/>
  <c r="AD43" i="78"/>
  <c r="AE43" i="78" s="1"/>
  <c r="W43" i="78"/>
  <c r="V43" i="78"/>
  <c r="U43" i="78"/>
  <c r="T43" i="78"/>
  <c r="S43" i="78"/>
  <c r="BG69" i="78"/>
  <c r="AD69" i="78"/>
  <c r="AE69" i="78" s="1"/>
  <c r="W69" i="78"/>
  <c r="V69" i="78"/>
  <c r="U69" i="78"/>
  <c r="T69" i="78"/>
  <c r="S69" i="78"/>
  <c r="BG37" i="78"/>
  <c r="AD37" i="78"/>
  <c r="AE37" i="78" s="1"/>
  <c r="W37" i="78"/>
  <c r="V37" i="78"/>
  <c r="U37" i="78"/>
  <c r="T37" i="78"/>
  <c r="S37" i="78"/>
  <c r="BG68" i="78"/>
  <c r="AD68" i="78"/>
  <c r="AE68" i="78" s="1"/>
  <c r="W68" i="78"/>
  <c r="V68" i="78"/>
  <c r="U68" i="78"/>
  <c r="T68" i="78"/>
  <c r="S68" i="78"/>
  <c r="BG65" i="78"/>
  <c r="AD65" i="78"/>
  <c r="AE65" i="78" s="1"/>
  <c r="W65" i="78"/>
  <c r="V65" i="78"/>
  <c r="U65" i="78"/>
  <c r="T65" i="78"/>
  <c r="S65" i="78"/>
  <c r="BG33" i="78"/>
  <c r="AD33" i="78"/>
  <c r="AE33" i="78" s="1"/>
  <c r="W33" i="78"/>
  <c r="V33" i="78"/>
  <c r="U33" i="78"/>
  <c r="T33" i="78"/>
  <c r="S33" i="78"/>
  <c r="BG63" i="78"/>
  <c r="AD63" i="78"/>
  <c r="AE63" i="78" s="1"/>
  <c r="W63" i="78"/>
  <c r="V63" i="78"/>
  <c r="U63" i="78"/>
  <c r="T63" i="78"/>
  <c r="S63" i="78"/>
  <c r="BG41" i="78"/>
  <c r="AD41" i="78"/>
  <c r="AE41" i="78" s="1"/>
  <c r="W41" i="78"/>
  <c r="V41" i="78"/>
  <c r="U41" i="78"/>
  <c r="T41" i="78"/>
  <c r="S41" i="78"/>
  <c r="BG66" i="78"/>
  <c r="AD66" i="78"/>
  <c r="AE66" i="78" s="1"/>
  <c r="W66" i="78"/>
  <c r="V66" i="78"/>
  <c r="U66" i="78"/>
  <c r="T66" i="78"/>
  <c r="S66" i="78"/>
  <c r="BG48" i="78"/>
  <c r="AD48" i="78"/>
  <c r="AE48" i="78" s="1"/>
  <c r="W48" i="78"/>
  <c r="V48" i="78"/>
  <c r="U48" i="78"/>
  <c r="T48" i="78"/>
  <c r="S48" i="78"/>
  <c r="BG42" i="78"/>
  <c r="AD42" i="78"/>
  <c r="AE42" i="78" s="1"/>
  <c r="W42" i="78"/>
  <c r="V42" i="78"/>
  <c r="U42" i="78"/>
  <c r="T42" i="78"/>
  <c r="S42" i="78"/>
  <c r="BG47" i="78"/>
  <c r="AD47" i="78"/>
  <c r="AE47" i="78" s="1"/>
  <c r="W47" i="78"/>
  <c r="V47" i="78"/>
  <c r="U47" i="78"/>
  <c r="T47" i="78"/>
  <c r="S47" i="78"/>
  <c r="BG59" i="78"/>
  <c r="AD59" i="78"/>
  <c r="AE59" i="78" s="1"/>
  <c r="W59" i="78"/>
  <c r="V59" i="78"/>
  <c r="U59" i="78"/>
  <c r="T59" i="78"/>
  <c r="S59" i="78"/>
  <c r="BG39" i="78"/>
  <c r="AD39" i="78"/>
  <c r="AE39" i="78" s="1"/>
  <c r="W39" i="78"/>
  <c r="V39" i="78"/>
  <c r="U39" i="78"/>
  <c r="T39" i="78"/>
  <c r="S39" i="78"/>
  <c r="BG24" i="78"/>
  <c r="AD24" i="78"/>
  <c r="AE24" i="78" s="1"/>
  <c r="W24" i="78"/>
  <c r="V24" i="78"/>
  <c r="U24" i="78"/>
  <c r="T24" i="78"/>
  <c r="S24" i="78"/>
  <c r="BG34" i="78"/>
  <c r="AE34" i="78"/>
  <c r="AD34" i="78"/>
  <c r="W34" i="78"/>
  <c r="V34" i="78"/>
  <c r="U34" i="78"/>
  <c r="T34" i="78"/>
  <c r="S34" i="78"/>
  <c r="BG52" i="78"/>
  <c r="AD52" i="78"/>
  <c r="AE52" i="78" s="1"/>
  <c r="W52" i="78"/>
  <c r="V52" i="78"/>
  <c r="U52" i="78"/>
  <c r="T52" i="78"/>
  <c r="S52" i="78"/>
  <c r="BG58" i="78"/>
  <c r="AD58" i="78"/>
  <c r="AE58" i="78" s="1"/>
  <c r="W58" i="78"/>
  <c r="V58" i="78"/>
  <c r="U58" i="78"/>
  <c r="T58" i="78"/>
  <c r="S58" i="78"/>
  <c r="BG36" i="78"/>
  <c r="AD36" i="78"/>
  <c r="AE36" i="78" s="1"/>
  <c r="W36" i="78"/>
  <c r="V36" i="78"/>
  <c r="U36" i="78"/>
  <c r="T36" i="78"/>
  <c r="S36" i="78"/>
  <c r="BG62" i="78"/>
  <c r="AD62" i="78"/>
  <c r="AE62" i="78" s="1"/>
  <c r="W62" i="78"/>
  <c r="V62" i="78"/>
  <c r="U62" i="78"/>
  <c r="T62" i="78"/>
  <c r="S62" i="78"/>
  <c r="BG26" i="78"/>
  <c r="AD26" i="78"/>
  <c r="AE26" i="78" s="1"/>
  <c r="W26" i="78"/>
  <c r="V26" i="78"/>
  <c r="U26" i="78"/>
  <c r="T26" i="78"/>
  <c r="S26" i="78"/>
  <c r="BG57" i="78"/>
  <c r="AD57" i="78"/>
  <c r="AE57" i="78" s="1"/>
  <c r="W57" i="78"/>
  <c r="V57" i="78"/>
  <c r="U57" i="78"/>
  <c r="T57" i="78"/>
  <c r="S57" i="78"/>
  <c r="BG44" i="78"/>
  <c r="AD44" i="78"/>
  <c r="AE44" i="78" s="1"/>
  <c r="W44" i="78"/>
  <c r="V44" i="78"/>
  <c r="U44" i="78"/>
  <c r="T44" i="78"/>
  <c r="S44" i="78"/>
  <c r="BG29" i="78"/>
  <c r="AD29" i="78"/>
  <c r="AE29" i="78" s="1"/>
  <c r="W29" i="78"/>
  <c r="V29" i="78"/>
  <c r="U29" i="78"/>
  <c r="T29" i="78"/>
  <c r="S29" i="78"/>
  <c r="BG51" i="78"/>
  <c r="AD51" i="78"/>
  <c r="AE51" i="78" s="1"/>
  <c r="W51" i="78"/>
  <c r="V51" i="78"/>
  <c r="U51" i="78"/>
  <c r="T51" i="78"/>
  <c r="S51" i="78"/>
  <c r="BG49" i="78"/>
  <c r="AD49" i="78"/>
  <c r="AE49" i="78" s="1"/>
  <c r="W49" i="78"/>
  <c r="V49" i="78"/>
  <c r="U49" i="78"/>
  <c r="T49" i="78"/>
  <c r="S49" i="78"/>
  <c r="BG22" i="78"/>
  <c r="AD22" i="78"/>
  <c r="AE22" i="78" s="1"/>
  <c r="W22" i="78"/>
  <c r="V22" i="78"/>
  <c r="U22" i="78"/>
  <c r="T22" i="78"/>
  <c r="S22" i="78"/>
  <c r="BG32" i="78"/>
  <c r="AD32" i="78"/>
  <c r="AE32" i="78" s="1"/>
  <c r="W32" i="78"/>
  <c r="V32" i="78"/>
  <c r="U32" i="78"/>
  <c r="T32" i="78"/>
  <c r="S32" i="78"/>
  <c r="BG31" i="78"/>
  <c r="AD31" i="78"/>
  <c r="AE31" i="78" s="1"/>
  <c r="W31" i="78"/>
  <c r="V31" i="78"/>
  <c r="U31" i="78"/>
  <c r="T31" i="78"/>
  <c r="S31" i="78"/>
  <c r="BG56" i="78"/>
  <c r="AD56" i="78"/>
  <c r="AE56" i="78" s="1"/>
  <c r="W56" i="78"/>
  <c r="V56" i="78"/>
  <c r="U56" i="78"/>
  <c r="T56" i="78"/>
  <c r="S56" i="78"/>
  <c r="BI14" i="78"/>
  <c r="BH14" i="78"/>
  <c r="BG14" i="78"/>
  <c r="BI12" i="78"/>
  <c r="BH12" i="78"/>
  <c r="BG12" i="78"/>
  <c r="AD11" i="78"/>
  <c r="BE9" i="78"/>
  <c r="BC9" i="78"/>
  <c r="BA9" i="78"/>
  <c r="AY9" i="78"/>
  <c r="AW9" i="78"/>
  <c r="AU9" i="78"/>
  <c r="AS9" i="78"/>
  <c r="AQ9" i="78"/>
  <c r="AO9" i="78"/>
  <c r="AM9" i="78"/>
  <c r="AK9" i="78"/>
  <c r="AI9" i="78"/>
  <c r="AG9" i="78"/>
  <c r="BE8" i="78"/>
  <c r="BC8" i="78"/>
  <c r="BA8" i="78"/>
  <c r="AY8" i="78"/>
  <c r="AW8" i="78"/>
  <c r="AU8" i="78"/>
  <c r="AS8" i="78"/>
  <c r="AQ8" i="78"/>
  <c r="AO8" i="78"/>
  <c r="AM8" i="78"/>
  <c r="AK8" i="78"/>
  <c r="AI8" i="78"/>
  <c r="AG8" i="78"/>
  <c r="BE6" i="78"/>
  <c r="BC6" i="78"/>
  <c r="BA6" i="78"/>
  <c r="AY6" i="78"/>
  <c r="AW6" i="78"/>
  <c r="AU6" i="78"/>
  <c r="AS6" i="78"/>
  <c r="AQ6" i="78"/>
  <c r="AO6" i="78"/>
  <c r="AM6" i="78"/>
  <c r="AK6" i="78"/>
  <c r="AI6" i="78"/>
  <c r="AG6" i="78"/>
  <c r="BE5" i="78"/>
  <c r="BC5" i="78"/>
  <c r="BA5" i="78"/>
  <c r="AY5" i="78"/>
  <c r="AW5" i="78"/>
  <c r="AU5" i="78"/>
  <c r="AS5" i="78"/>
  <c r="AQ5" i="78"/>
  <c r="AO5" i="78"/>
  <c r="AM5" i="78"/>
  <c r="AK5" i="78"/>
  <c r="AI5" i="78"/>
  <c r="AG5" i="78"/>
  <c r="BE4" i="78"/>
  <c r="BC4" i="78"/>
  <c r="BA4" i="78"/>
  <c r="AY4" i="78"/>
  <c r="AW4" i="78"/>
  <c r="AU4" i="78"/>
  <c r="AS4" i="78"/>
  <c r="AQ4" i="78"/>
  <c r="AO4" i="78"/>
  <c r="AM4" i="78"/>
  <c r="AK4" i="78"/>
  <c r="AI4" i="78"/>
  <c r="AG4" i="78"/>
  <c r="AP11" i="102" l="1"/>
  <c r="AP13" i="102" s="1"/>
  <c r="AP16" i="102" s="1"/>
  <c r="DR159" i="101"/>
  <c r="AN11" i="102"/>
  <c r="AN13" i="102" s="1"/>
  <c r="AN15" i="102" s="1"/>
  <c r="AH11" i="102"/>
  <c r="AH13" i="102" s="1"/>
  <c r="AH15" i="102" s="1"/>
  <c r="AR11" i="102"/>
  <c r="AR13" i="102" s="1"/>
  <c r="AR16" i="102" s="1"/>
  <c r="AH11" i="101"/>
  <c r="AH13" i="101" s="1"/>
  <c r="AH15" i="101" s="1"/>
  <c r="AX11" i="101"/>
  <c r="AX13" i="101" s="1"/>
  <c r="AX16" i="101" s="1"/>
  <c r="AZ11" i="101"/>
  <c r="AZ13" i="101" s="1"/>
  <c r="AZ15" i="101" s="1"/>
  <c r="AJ11" i="101"/>
  <c r="AJ13" i="101" s="1"/>
  <c r="AJ16" i="101" s="1"/>
  <c r="AJ11" i="102"/>
  <c r="AJ13" i="102" s="1"/>
  <c r="AJ15" i="102" s="1"/>
  <c r="DP159" i="102"/>
  <c r="CF11" i="102"/>
  <c r="CF13" i="102" s="1"/>
  <c r="CF16" i="102" s="1"/>
  <c r="BB11" i="102"/>
  <c r="BB13" i="102" s="1"/>
  <c r="BB16" i="102" s="1"/>
  <c r="AX11" i="102"/>
  <c r="AX13" i="102" s="1"/>
  <c r="AX15" i="102" s="1"/>
  <c r="AZ11" i="102"/>
  <c r="AZ13" i="102" s="1"/>
  <c r="AZ16" i="102" s="1"/>
  <c r="CM7" i="102"/>
  <c r="CM11" i="102" s="1"/>
  <c r="CM13" i="102" s="1"/>
  <c r="CM15" i="102" s="1"/>
  <c r="AV11" i="102"/>
  <c r="AV13" i="102" s="1"/>
  <c r="AV16" i="102" s="1"/>
  <c r="BB11" i="101"/>
  <c r="BB13" i="101" s="1"/>
  <c r="BB15" i="101" s="1"/>
  <c r="AT11" i="102"/>
  <c r="AT13" i="102" s="1"/>
  <c r="CH11" i="102"/>
  <c r="CH13" i="102" s="1"/>
  <c r="CH15" i="102" s="1"/>
  <c r="AL11" i="102"/>
  <c r="AL13" i="102" s="1"/>
  <c r="AL15" i="102" s="1"/>
  <c r="CI11" i="102"/>
  <c r="CI13" i="102" s="1"/>
  <c r="AN11" i="101"/>
  <c r="AN13" i="101" s="1"/>
  <c r="AN15" i="101" s="1"/>
  <c r="CF11" i="101"/>
  <c r="CF13" i="101" s="1"/>
  <c r="CF16" i="101" s="1"/>
  <c r="AP11" i="101"/>
  <c r="AP13" i="101" s="1"/>
  <c r="AP15" i="101" s="1"/>
  <c r="AL11" i="101"/>
  <c r="AL13" i="101" s="1"/>
  <c r="AL15" i="101" s="1"/>
  <c r="CM11" i="101"/>
  <c r="CM13" i="101" s="1"/>
  <c r="CM15" i="101" s="1"/>
  <c r="AV11" i="101"/>
  <c r="AV13" i="101" s="1"/>
  <c r="AR11" i="101"/>
  <c r="AR13" i="101" s="1"/>
  <c r="AR15" i="101" s="1"/>
  <c r="AT11" i="101"/>
  <c r="AT13" i="101" s="1"/>
  <c r="CL10" i="101"/>
  <c r="CL11" i="101" s="1"/>
  <c r="CL13" i="101" s="1"/>
  <c r="CN16" i="101"/>
  <c r="X51" i="75"/>
  <c r="X22" i="75"/>
  <c r="X38" i="75"/>
  <c r="X47" i="75"/>
  <c r="X45" i="75"/>
  <c r="X20" i="75"/>
  <c r="X35" i="75"/>
  <c r="X29" i="75"/>
  <c r="X24" i="75"/>
  <c r="X46" i="75"/>
  <c r="X34" i="75"/>
  <c r="X54" i="75"/>
  <c r="X37" i="75"/>
  <c r="X25" i="75"/>
  <c r="X48" i="75"/>
  <c r="X39" i="75"/>
  <c r="X23" i="75"/>
  <c r="X30" i="75"/>
  <c r="X40" i="75"/>
  <c r="X52" i="75"/>
  <c r="X44" i="75"/>
  <c r="X43" i="75"/>
  <c r="X55" i="75"/>
  <c r="X49" i="75"/>
  <c r="X36" i="75"/>
  <c r="X32" i="75"/>
  <c r="AB66" i="29"/>
  <c r="AB58" i="29"/>
  <c r="AB50" i="29"/>
  <c r="AB42" i="29"/>
  <c r="AB34" i="29"/>
  <c r="AB26" i="29"/>
  <c r="AB18" i="29"/>
  <c r="AI83" i="29"/>
  <c r="AI75" i="29"/>
  <c r="AI67" i="29"/>
  <c r="AI59" i="29"/>
  <c r="AI51" i="29"/>
  <c r="AI43" i="29"/>
  <c r="AI35" i="29"/>
  <c r="AI27" i="29"/>
  <c r="AI19" i="29"/>
  <c r="AI81" i="29"/>
  <c r="AI73" i="29"/>
  <c r="AI65" i="29"/>
  <c r="AI57" i="29"/>
  <c r="AI49" i="29"/>
  <c r="AI41" i="29"/>
  <c r="AI33" i="29"/>
  <c r="AI25" i="29"/>
  <c r="AB79" i="29"/>
  <c r="AB71" i="29"/>
  <c r="AB63" i="29"/>
  <c r="AB55" i="29"/>
  <c r="AB47" i="29"/>
  <c r="AB39" i="29"/>
  <c r="AB31" i="29"/>
  <c r="AB23" i="29"/>
  <c r="AJ17" i="49"/>
  <c r="AB24" i="49"/>
  <c r="AB30" i="49"/>
  <c r="AB15" i="49"/>
  <c r="AB26" i="49"/>
  <c r="AB21" i="49"/>
  <c r="AJ32" i="49"/>
  <c r="AB19" i="49"/>
  <c r="AJ22" i="49"/>
  <c r="AJ20" i="49"/>
  <c r="AD20" i="56"/>
  <c r="AD16" i="56"/>
  <c r="AD19" i="56"/>
  <c r="AM25" i="56"/>
  <c r="AM17" i="56"/>
  <c r="AN84" i="23"/>
  <c r="AN76" i="23"/>
  <c r="AN68" i="23"/>
  <c r="AN60" i="23"/>
  <c r="AN52" i="23"/>
  <c r="AN44" i="23"/>
  <c r="AN36" i="23"/>
  <c r="AN28" i="23"/>
  <c r="AN20" i="23"/>
  <c r="AN12" i="23"/>
  <c r="AN138" i="23"/>
  <c r="AN130" i="23"/>
  <c r="AN122" i="23"/>
  <c r="AN114" i="23"/>
  <c r="AN106" i="23"/>
  <c r="AN98" i="23"/>
  <c r="AN90" i="23"/>
  <c r="AN82" i="23"/>
  <c r="AN74" i="23"/>
  <c r="AN66" i="23"/>
  <c r="AN58" i="23"/>
  <c r="AN50" i="23"/>
  <c r="AN42" i="23"/>
  <c r="AN34" i="23"/>
  <c r="AG26" i="23"/>
  <c r="AG18" i="23"/>
  <c r="AG10" i="23"/>
  <c r="AY10" i="78"/>
  <c r="AI10" i="78"/>
  <c r="AM7" i="78"/>
  <c r="BC7" i="78"/>
  <c r="S6" i="78"/>
  <c r="X51" i="78"/>
  <c r="X52" i="78"/>
  <c r="AS7" i="78"/>
  <c r="AO10" i="78"/>
  <c r="BE10" i="78"/>
  <c r="AK7" i="78"/>
  <c r="BA7" i="78"/>
  <c r="X49" i="78"/>
  <c r="X58" i="78"/>
  <c r="X43" i="78"/>
  <c r="X53" i="78"/>
  <c r="X61" i="78"/>
  <c r="BH6" i="78"/>
  <c r="X26" i="78"/>
  <c r="X47" i="78"/>
  <c r="X65" i="78"/>
  <c r="AG10" i="78"/>
  <c r="X55" i="78"/>
  <c r="X20" i="78"/>
  <c r="X33" i="78"/>
  <c r="AI7" i="78"/>
  <c r="AI11" i="78" s="1"/>
  <c r="AI13" i="78" s="1"/>
  <c r="R6" i="78"/>
  <c r="Q6" i="78"/>
  <c r="X19" i="78"/>
  <c r="AY7" i="78"/>
  <c r="AU10" i="78"/>
  <c r="X62" i="78"/>
  <c r="X42" i="78"/>
  <c r="X48" i="78"/>
  <c r="X67" i="78"/>
  <c r="X27" i="78"/>
  <c r="X34" i="78"/>
  <c r="X23" i="78"/>
  <c r="BG5" i="78"/>
  <c r="BE7" i="78"/>
  <c r="AK10" i="78"/>
  <c r="BA10" i="78"/>
  <c r="X32" i="78"/>
  <c r="X22" i="78"/>
  <c r="X66" i="78"/>
  <c r="X38" i="78"/>
  <c r="X60" i="78"/>
  <c r="X57" i="78"/>
  <c r="X59" i="78"/>
  <c r="X37" i="78"/>
  <c r="X69" i="78"/>
  <c r="X39" i="78"/>
  <c r="X68" i="78"/>
  <c r="BC10" i="78"/>
  <c r="BI4" i="78"/>
  <c r="X56" i="78"/>
  <c r="X31" i="78"/>
  <c r="X44" i="78"/>
  <c r="X36" i="78"/>
  <c r="X24" i="78"/>
  <c r="X63" i="78"/>
  <c r="X28" i="78"/>
  <c r="X35" i="78"/>
  <c r="AQ7" i="78"/>
  <c r="BI5" i="78"/>
  <c r="AQ10" i="78"/>
  <c r="BH9" i="78"/>
  <c r="AG7" i="78"/>
  <c r="AW7" i="78"/>
  <c r="BI6" i="78"/>
  <c r="AS10" i="78"/>
  <c r="X29" i="78"/>
  <c r="X41" i="78"/>
  <c r="BI8" i="78"/>
  <c r="BG70" i="78"/>
  <c r="BH8" i="78"/>
  <c r="BI9" i="78"/>
  <c r="BH4" i="78"/>
  <c r="X30" i="78"/>
  <c r="X54" i="78"/>
  <c r="X45" i="78"/>
  <c r="X50" i="78"/>
  <c r="X21" i="78"/>
  <c r="X25" i="78"/>
  <c r="X64" i="78"/>
  <c r="X40" i="78"/>
  <c r="X46" i="78"/>
  <c r="AS7" i="79"/>
  <c r="AO10" i="79"/>
  <c r="BE10" i="79"/>
  <c r="X160" i="79"/>
  <c r="X124" i="79"/>
  <c r="X149" i="79"/>
  <c r="X86" i="79"/>
  <c r="AG10" i="79"/>
  <c r="AW10" i="79"/>
  <c r="X42" i="79"/>
  <c r="X152" i="79"/>
  <c r="X137" i="79"/>
  <c r="BC7" i="79"/>
  <c r="AI10" i="79"/>
  <c r="AY10" i="79"/>
  <c r="X21" i="79"/>
  <c r="AO7" i="79"/>
  <c r="BE7" i="79"/>
  <c r="AK10" i="79"/>
  <c r="BA10" i="79"/>
  <c r="BH163" i="79"/>
  <c r="X136" i="79"/>
  <c r="X151" i="79"/>
  <c r="X121" i="79"/>
  <c r="X82" i="79"/>
  <c r="X75" i="79"/>
  <c r="X35" i="79"/>
  <c r="X76" i="79"/>
  <c r="X57" i="79"/>
  <c r="X138" i="79"/>
  <c r="X78" i="79"/>
  <c r="BG4" i="79"/>
  <c r="X54" i="79"/>
  <c r="X62" i="79"/>
  <c r="X70" i="79"/>
  <c r="X80" i="79"/>
  <c r="X40" i="79"/>
  <c r="X162" i="79"/>
  <c r="X146" i="79"/>
  <c r="X141" i="79"/>
  <c r="X56" i="79"/>
  <c r="X87" i="79"/>
  <c r="X27" i="79"/>
  <c r="X29" i="79"/>
  <c r="X98" i="79"/>
  <c r="X92" i="79"/>
  <c r="X26" i="79"/>
  <c r="X36" i="79"/>
  <c r="X104" i="79"/>
  <c r="X39" i="79"/>
  <c r="AG7" i="79"/>
  <c r="AW7" i="79"/>
  <c r="AS10" i="79"/>
  <c r="AS11" i="79" s="1"/>
  <c r="AS13" i="79" s="1"/>
  <c r="X147" i="79"/>
  <c r="X20" i="79"/>
  <c r="X132" i="79"/>
  <c r="X91" i="79"/>
  <c r="X103" i="79"/>
  <c r="X100" i="79"/>
  <c r="X154" i="79"/>
  <c r="X32" i="79"/>
  <c r="X30" i="79"/>
  <c r="X74" i="79"/>
  <c r="X106" i="79"/>
  <c r="X127" i="79"/>
  <c r="X158" i="79"/>
  <c r="X114" i="79"/>
  <c r="X117" i="79"/>
  <c r="X107" i="79"/>
  <c r="X43" i="79"/>
  <c r="X72" i="79"/>
  <c r="X22" i="79"/>
  <c r="X53" i="79"/>
  <c r="X31" i="79"/>
  <c r="X51" i="79"/>
  <c r="X111" i="79"/>
  <c r="X97" i="79"/>
  <c r="AQ7" i="79"/>
  <c r="X46" i="79"/>
  <c r="X144" i="79"/>
  <c r="X60" i="79"/>
  <c r="X61" i="79"/>
  <c r="X153" i="79"/>
  <c r="X145" i="79"/>
  <c r="X50" i="79"/>
  <c r="X37" i="79"/>
  <c r="X125" i="79"/>
  <c r="X44" i="79"/>
  <c r="X108" i="79"/>
  <c r="BI9" i="79"/>
  <c r="X93" i="79"/>
  <c r="X143" i="79"/>
  <c r="X63" i="79"/>
  <c r="X84" i="79"/>
  <c r="X126" i="79"/>
  <c r="X24" i="79"/>
  <c r="X67" i="79"/>
  <c r="X81" i="79"/>
  <c r="X128" i="79"/>
  <c r="X49" i="79"/>
  <c r="X34" i="79"/>
  <c r="X19" i="79"/>
  <c r="X150" i="79"/>
  <c r="X33" i="79"/>
  <c r="X105" i="79"/>
  <c r="X120" i="79"/>
  <c r="X47" i="79"/>
  <c r="X28" i="79"/>
  <c r="X96" i="79"/>
  <c r="BI6" i="79"/>
  <c r="X59" i="79"/>
  <c r="X139" i="79"/>
  <c r="X112" i="79"/>
  <c r="X131" i="79"/>
  <c r="X95" i="79"/>
  <c r="X23" i="79"/>
  <c r="X119" i="79"/>
  <c r="X134" i="79"/>
  <c r="X161" i="79"/>
  <c r="X68" i="79"/>
  <c r="X123" i="79"/>
  <c r="X159" i="79"/>
  <c r="BH6" i="79"/>
  <c r="BG8" i="79"/>
  <c r="BC11" i="79"/>
  <c r="BC13" i="79" s="1"/>
  <c r="BC15" i="79" s="1"/>
  <c r="BG163" i="79"/>
  <c r="X41" i="79"/>
  <c r="X122" i="79"/>
  <c r="X89" i="79"/>
  <c r="X90" i="79"/>
  <c r="X135" i="79"/>
  <c r="X148" i="79"/>
  <c r="X133" i="79"/>
  <c r="X109" i="79"/>
  <c r="X157" i="79"/>
  <c r="X99" i="79"/>
  <c r="AQ10" i="79"/>
  <c r="BH9" i="79"/>
  <c r="BI163" i="79"/>
  <c r="X65" i="79"/>
  <c r="X116" i="79"/>
  <c r="X38" i="79"/>
  <c r="X102" i="79"/>
  <c r="X25" i="79"/>
  <c r="X45" i="79"/>
  <c r="X129" i="79"/>
  <c r="X142" i="79"/>
  <c r="X52" i="79"/>
  <c r="BG6" i="79"/>
  <c r="X130" i="79"/>
  <c r="X83" i="79"/>
  <c r="X113" i="79"/>
  <c r="X115" i="79"/>
  <c r="X69" i="79"/>
  <c r="X79" i="79"/>
  <c r="X156" i="79"/>
  <c r="X101" i="79"/>
  <c r="X110" i="79"/>
  <c r="X73" i="79"/>
  <c r="X118" i="79"/>
  <c r="X155" i="79"/>
  <c r="BI5" i="79"/>
  <c r="AI7" i="79"/>
  <c r="AY7" i="79"/>
  <c r="AU10" i="79"/>
  <c r="BI4" i="79"/>
  <c r="AK7" i="79"/>
  <c r="AK11" i="79" s="1"/>
  <c r="AK13" i="79" s="1"/>
  <c r="BA7" i="79"/>
  <c r="AG11" i="79"/>
  <c r="AG13" i="79" s="1"/>
  <c r="AG15" i="79" s="1"/>
  <c r="BG9" i="79"/>
  <c r="X48" i="79"/>
  <c r="X55" i="79"/>
  <c r="X85" i="79"/>
  <c r="X140" i="79"/>
  <c r="X88" i="79"/>
  <c r="BH4" i="79"/>
  <c r="BG5" i="79"/>
  <c r="AO11" i="79"/>
  <c r="AO13" i="79" s="1"/>
  <c r="BI8" i="79"/>
  <c r="BH5" i="79"/>
  <c r="BH8" i="79"/>
  <c r="AU7" i="79"/>
  <c r="AM7" i="79"/>
  <c r="AM10" i="79"/>
  <c r="Q5" i="78"/>
  <c r="Q7" i="78"/>
  <c r="AO7" i="78"/>
  <c r="AW10" i="78"/>
  <c r="AM10" i="78"/>
  <c r="R5" i="78"/>
  <c r="R7" i="78"/>
  <c r="AU7" i="78"/>
  <c r="S5" i="78"/>
  <c r="BH5" i="78"/>
  <c r="S7" i="78"/>
  <c r="Q4" i="78"/>
  <c r="R4" i="78"/>
  <c r="BG4" i="78"/>
  <c r="BG6" i="78"/>
  <c r="BG8" i="78"/>
  <c r="BG9" i="78"/>
  <c r="S4" i="78"/>
  <c r="AP15" i="102" l="1"/>
  <c r="AN16" i="102"/>
  <c r="AJ16" i="102"/>
  <c r="BB15" i="102"/>
  <c r="CF15" i="102"/>
  <c r="AJ15" i="101"/>
  <c r="AR15" i="102"/>
  <c r="AX15" i="101"/>
  <c r="AZ16" i="101"/>
  <c r="AV15" i="102"/>
  <c r="AZ15" i="102"/>
  <c r="CM16" i="102"/>
  <c r="AL16" i="102"/>
  <c r="AX16" i="102"/>
  <c r="CH16" i="102"/>
  <c r="AR16" i="101"/>
  <c r="BB16" i="101"/>
  <c r="AN16" i="101"/>
  <c r="CF15" i="101"/>
  <c r="AT16" i="102"/>
  <c r="AT15" i="102"/>
  <c r="CI16" i="102"/>
  <c r="CI15" i="102"/>
  <c r="AP16" i="101"/>
  <c r="CM16" i="101"/>
  <c r="AL16" i="101"/>
  <c r="AV16" i="101"/>
  <c r="AV15" i="101"/>
  <c r="AT16" i="101"/>
  <c r="AT15" i="101"/>
  <c r="CL15" i="101"/>
  <c r="CL16" i="101"/>
  <c r="AM11" i="78"/>
  <c r="AM13" i="78" s="1"/>
  <c r="AM15" i="78" s="1"/>
  <c r="AY11" i="78"/>
  <c r="AY13" i="78" s="1"/>
  <c r="AY15" i="78" s="1"/>
  <c r="BC11" i="78"/>
  <c r="BC13" i="78" s="1"/>
  <c r="BC16" i="78" s="1"/>
  <c r="AO11" i="78"/>
  <c r="AO13" i="78" s="1"/>
  <c r="AO16" i="78" s="1"/>
  <c r="AS11" i="78"/>
  <c r="AS13" i="78" s="1"/>
  <c r="AS16" i="78" s="1"/>
  <c r="AK11" i="78"/>
  <c r="AK13" i="78" s="1"/>
  <c r="BA11" i="78"/>
  <c r="BA13" i="78" s="1"/>
  <c r="BA15" i="78" s="1"/>
  <c r="BE11" i="78"/>
  <c r="BE13" i="78" s="1"/>
  <c r="BE15" i="78" s="1"/>
  <c r="BH7" i="78"/>
  <c r="AG11" i="78"/>
  <c r="AG13" i="78" s="1"/>
  <c r="AU11" i="78"/>
  <c r="AU13" i="78" s="1"/>
  <c r="AU15" i="78" s="1"/>
  <c r="BG7" i="78"/>
  <c r="AW11" i="78"/>
  <c r="AW13" i="78" s="1"/>
  <c r="AW15" i="78" s="1"/>
  <c r="AQ11" i="78"/>
  <c r="AQ13" i="78" s="1"/>
  <c r="AQ16" i="78" s="1"/>
  <c r="T6" i="78"/>
  <c r="Q8" i="78"/>
  <c r="BI7" i="78"/>
  <c r="BI10" i="78"/>
  <c r="R8" i="78"/>
  <c r="BH10" i="78"/>
  <c r="S8" i="78"/>
  <c r="AI11" i="79"/>
  <c r="AW11" i="79"/>
  <c r="AW13" i="79" s="1"/>
  <c r="AW16" i="79" s="1"/>
  <c r="BE11" i="79"/>
  <c r="BE13" i="79" s="1"/>
  <c r="BE15" i="79" s="1"/>
  <c r="AM11" i="79"/>
  <c r="AM13" i="79" s="1"/>
  <c r="AM15" i="79" s="1"/>
  <c r="BA11" i="79"/>
  <c r="BA13" i="79" s="1"/>
  <c r="BA15" i="79" s="1"/>
  <c r="BC16" i="79"/>
  <c r="AY11" i="79"/>
  <c r="AY13" i="79" s="1"/>
  <c r="AY16" i="79" s="1"/>
  <c r="BG10" i="79"/>
  <c r="AU11" i="79"/>
  <c r="AU13" i="79" s="1"/>
  <c r="AU15" i="79" s="1"/>
  <c r="BI10" i="79"/>
  <c r="AQ11" i="79"/>
  <c r="AQ13" i="79" s="1"/>
  <c r="AQ15" i="79" s="1"/>
  <c r="AK16" i="79"/>
  <c r="AK15" i="79"/>
  <c r="AW15" i="79"/>
  <c r="BG7" i="79"/>
  <c r="BG11" i="79" s="1"/>
  <c r="BG13" i="79" s="1"/>
  <c r="BH10" i="79"/>
  <c r="BH7" i="79"/>
  <c r="BI7" i="79"/>
  <c r="AS15" i="79"/>
  <c r="AS16" i="79"/>
  <c r="BE16" i="79"/>
  <c r="AO15" i="79"/>
  <c r="AO16" i="79"/>
  <c r="AQ16" i="79"/>
  <c r="T4" i="78"/>
  <c r="BG10" i="78"/>
  <c r="T7" i="78"/>
  <c r="T5" i="78"/>
  <c r="AY16" i="78" l="1"/>
  <c r="AM16" i="78"/>
  <c r="BC15" i="78"/>
  <c r="BE16" i="78"/>
  <c r="AO15" i="78"/>
  <c r="AS15" i="78"/>
  <c r="BA16" i="78"/>
  <c r="BH11" i="78"/>
  <c r="BH13" i="78" s="1"/>
  <c r="BH16" i="78" s="1"/>
  <c r="AU16" i="78"/>
  <c r="BG11" i="78"/>
  <c r="BG13" i="78" s="1"/>
  <c r="BG15" i="78" s="1"/>
  <c r="AW16" i="78"/>
  <c r="AQ15" i="78"/>
  <c r="BI11" i="78"/>
  <c r="BI13" i="78" s="1"/>
  <c r="BI15" i="78" s="1"/>
  <c r="T8" i="78"/>
  <c r="AY15" i="79"/>
  <c r="AM16" i="79"/>
  <c r="BA16" i="79"/>
  <c r="AU16" i="79"/>
  <c r="BH11" i="79"/>
  <c r="BH13" i="79" s="1"/>
  <c r="BH16" i="79" s="1"/>
  <c r="BI11" i="79"/>
  <c r="BI13" i="79" s="1"/>
  <c r="BI15" i="79" s="1"/>
  <c r="BG16" i="79"/>
  <c r="BG15" i="79"/>
  <c r="BH15" i="78" l="1"/>
  <c r="BG16" i="78"/>
  <c r="BI16" i="78"/>
  <c r="BH15" i="79"/>
  <c r="BI16" i="79"/>
  <c r="S49" i="76"/>
  <c r="T49" i="76"/>
  <c r="BF163" i="76"/>
  <c r="BE163" i="76"/>
  <c r="BD163" i="76"/>
  <c r="BC163" i="76"/>
  <c r="BB163" i="76"/>
  <c r="BA163" i="76"/>
  <c r="AZ163" i="76"/>
  <c r="AY163" i="76"/>
  <c r="AX163" i="76"/>
  <c r="AW163" i="76"/>
  <c r="AV163" i="76"/>
  <c r="AU163" i="76"/>
  <c r="AT163" i="76"/>
  <c r="AS163" i="76"/>
  <c r="AR163" i="76"/>
  <c r="AQ163" i="76"/>
  <c r="AP163" i="76"/>
  <c r="AO163" i="76"/>
  <c r="AN163" i="76"/>
  <c r="AM163" i="76"/>
  <c r="AL163" i="76"/>
  <c r="AK163" i="76"/>
  <c r="AJ163" i="76"/>
  <c r="AI163" i="76"/>
  <c r="AH163" i="76"/>
  <c r="AG163" i="76"/>
  <c r="K163" i="76"/>
  <c r="BG162" i="76"/>
  <c r="AD162" i="76"/>
  <c r="AE162" i="76" s="1"/>
  <c r="W162" i="76"/>
  <c r="V162" i="76"/>
  <c r="U162" i="76"/>
  <c r="T162" i="76"/>
  <c r="S162" i="76"/>
  <c r="BG161" i="76"/>
  <c r="AD161" i="76"/>
  <c r="AE161" i="76" s="1"/>
  <c r="W161" i="76"/>
  <c r="V161" i="76"/>
  <c r="U161" i="76"/>
  <c r="T161" i="76"/>
  <c r="S161" i="76"/>
  <c r="BG160" i="76"/>
  <c r="AD160" i="76"/>
  <c r="AE160" i="76" s="1"/>
  <c r="W160" i="76"/>
  <c r="V160" i="76"/>
  <c r="U160" i="76"/>
  <c r="T160" i="76"/>
  <c r="S160" i="76"/>
  <c r="BG159" i="76"/>
  <c r="AD159" i="76"/>
  <c r="AE159" i="76" s="1"/>
  <c r="W159" i="76"/>
  <c r="V159" i="76"/>
  <c r="U159" i="76"/>
  <c r="T159" i="76"/>
  <c r="S159" i="76"/>
  <c r="BG158" i="76"/>
  <c r="AD158" i="76"/>
  <c r="AE158" i="76" s="1"/>
  <c r="W158" i="76"/>
  <c r="V158" i="76"/>
  <c r="U158" i="76"/>
  <c r="T158" i="76"/>
  <c r="S158" i="76"/>
  <c r="BG157" i="76"/>
  <c r="AD157" i="76"/>
  <c r="AE157" i="76" s="1"/>
  <c r="W157" i="76"/>
  <c r="V157" i="76"/>
  <c r="U157" i="76"/>
  <c r="T157" i="76"/>
  <c r="S157" i="76"/>
  <c r="BG156" i="76"/>
  <c r="AD156" i="76"/>
  <c r="AE156" i="76" s="1"/>
  <c r="W156" i="76"/>
  <c r="V156" i="76"/>
  <c r="U156" i="76"/>
  <c r="T156" i="76"/>
  <c r="S156" i="76"/>
  <c r="BG155" i="76"/>
  <c r="AD155" i="76"/>
  <c r="AE155" i="76" s="1"/>
  <c r="W155" i="76"/>
  <c r="V155" i="76"/>
  <c r="U155" i="76"/>
  <c r="T155" i="76"/>
  <c r="S155" i="76"/>
  <c r="BG33" i="76"/>
  <c r="AD33" i="76"/>
  <c r="AE33" i="76" s="1"/>
  <c r="W33" i="76"/>
  <c r="V33" i="76"/>
  <c r="U33" i="76"/>
  <c r="T33" i="76"/>
  <c r="S33" i="76"/>
  <c r="BG154" i="76"/>
  <c r="AD154" i="76"/>
  <c r="AE154" i="76" s="1"/>
  <c r="W154" i="76"/>
  <c r="V154" i="76"/>
  <c r="U154" i="76"/>
  <c r="T154" i="76"/>
  <c r="S154" i="76"/>
  <c r="BG153" i="76"/>
  <c r="AD153" i="76"/>
  <c r="AE153" i="76" s="1"/>
  <c r="W153" i="76"/>
  <c r="V153" i="76"/>
  <c r="U153" i="76"/>
  <c r="T153" i="76"/>
  <c r="S153" i="76"/>
  <c r="BG152" i="76"/>
  <c r="AD152" i="76"/>
  <c r="AE152" i="76" s="1"/>
  <c r="W152" i="76"/>
  <c r="V152" i="76"/>
  <c r="U152" i="76"/>
  <c r="T152" i="76"/>
  <c r="S152" i="76"/>
  <c r="BG59" i="76"/>
  <c r="AD59" i="76"/>
  <c r="AE59" i="76" s="1"/>
  <c r="W59" i="76"/>
  <c r="V59" i="76"/>
  <c r="U59" i="76"/>
  <c r="T59" i="76"/>
  <c r="S59" i="76"/>
  <c r="BG60" i="76"/>
  <c r="AD60" i="76"/>
  <c r="AE60" i="76" s="1"/>
  <c r="W60" i="76"/>
  <c r="V60" i="76"/>
  <c r="U60" i="76"/>
  <c r="T60" i="76"/>
  <c r="S60" i="76"/>
  <c r="BG56" i="76"/>
  <c r="AD56" i="76"/>
  <c r="AE56" i="76" s="1"/>
  <c r="W56" i="76"/>
  <c r="V56" i="76"/>
  <c r="U56" i="76"/>
  <c r="T56" i="76"/>
  <c r="S56" i="76"/>
  <c r="BG40" i="76"/>
  <c r="AD40" i="76"/>
  <c r="AE40" i="76" s="1"/>
  <c r="W40" i="76"/>
  <c r="V40" i="76"/>
  <c r="U40" i="76"/>
  <c r="T40" i="76"/>
  <c r="S40" i="76"/>
  <c r="BG58" i="76"/>
  <c r="AD58" i="76"/>
  <c r="AE58" i="76" s="1"/>
  <c r="W58" i="76"/>
  <c r="V58" i="76"/>
  <c r="U58" i="76"/>
  <c r="T58" i="76"/>
  <c r="S58" i="76"/>
  <c r="BG35" i="76"/>
  <c r="AD35" i="76"/>
  <c r="AE35" i="76" s="1"/>
  <c r="W35" i="76"/>
  <c r="V35" i="76"/>
  <c r="U35" i="76"/>
  <c r="T35" i="76"/>
  <c r="S35" i="76"/>
  <c r="BG151" i="76"/>
  <c r="AD151" i="76"/>
  <c r="AE151" i="76" s="1"/>
  <c r="W151" i="76"/>
  <c r="V151" i="76"/>
  <c r="U151" i="76"/>
  <c r="T151" i="76"/>
  <c r="S151" i="76"/>
  <c r="BG31" i="76"/>
  <c r="AD31" i="76"/>
  <c r="AE31" i="76" s="1"/>
  <c r="W31" i="76"/>
  <c r="V31" i="76"/>
  <c r="U31" i="76"/>
  <c r="T31" i="76"/>
  <c r="S31" i="76"/>
  <c r="BG37" i="76"/>
  <c r="AD37" i="76"/>
  <c r="AE37" i="76" s="1"/>
  <c r="W37" i="76"/>
  <c r="V37" i="76"/>
  <c r="U37" i="76"/>
  <c r="T37" i="76"/>
  <c r="S37" i="76"/>
  <c r="BG150" i="76"/>
  <c r="AD150" i="76"/>
  <c r="AE150" i="76" s="1"/>
  <c r="W150" i="76"/>
  <c r="V150" i="76"/>
  <c r="U150" i="76"/>
  <c r="T150" i="76"/>
  <c r="S150" i="76"/>
  <c r="BG149" i="76"/>
  <c r="AD149" i="76"/>
  <c r="AE149" i="76" s="1"/>
  <c r="W149" i="76"/>
  <c r="V149" i="76"/>
  <c r="U149" i="76"/>
  <c r="T149" i="76"/>
  <c r="S149" i="76"/>
  <c r="BG144" i="76"/>
  <c r="AD144" i="76"/>
  <c r="AE144" i="76" s="1"/>
  <c r="W144" i="76"/>
  <c r="V144" i="76"/>
  <c r="U144" i="76"/>
  <c r="T144" i="76"/>
  <c r="S144" i="76"/>
  <c r="BG133" i="76"/>
  <c r="AD133" i="76"/>
  <c r="AE133" i="76" s="1"/>
  <c r="W133" i="76"/>
  <c r="V133" i="76"/>
  <c r="U133" i="76"/>
  <c r="T133" i="76"/>
  <c r="S133" i="76"/>
  <c r="BG119" i="76"/>
  <c r="AD119" i="76"/>
  <c r="AE119" i="76" s="1"/>
  <c r="W119" i="76"/>
  <c r="V119" i="76"/>
  <c r="U119" i="76"/>
  <c r="T119" i="76"/>
  <c r="S119" i="76"/>
  <c r="BG103" i="76"/>
  <c r="AD103" i="76"/>
  <c r="AE103" i="76" s="1"/>
  <c r="W103" i="76"/>
  <c r="V103" i="76"/>
  <c r="U103" i="76"/>
  <c r="T103" i="76"/>
  <c r="S103" i="76"/>
  <c r="BG147" i="76"/>
  <c r="AD147" i="76"/>
  <c r="AE147" i="76" s="1"/>
  <c r="W147" i="76"/>
  <c r="V147" i="76"/>
  <c r="U147" i="76"/>
  <c r="T147" i="76"/>
  <c r="S147" i="76"/>
  <c r="BG105" i="76"/>
  <c r="AD105" i="76"/>
  <c r="AE105" i="76" s="1"/>
  <c r="W105" i="76"/>
  <c r="V105" i="76"/>
  <c r="U105" i="76"/>
  <c r="T105" i="76"/>
  <c r="S105" i="76"/>
  <c r="BG53" i="76"/>
  <c r="AD53" i="76"/>
  <c r="AE53" i="76" s="1"/>
  <c r="W53" i="76"/>
  <c r="V53" i="76"/>
  <c r="U53" i="76"/>
  <c r="T53" i="76"/>
  <c r="S53" i="76"/>
  <c r="BG117" i="76"/>
  <c r="AD117" i="76"/>
  <c r="AE117" i="76" s="1"/>
  <c r="W117" i="76"/>
  <c r="V117" i="76"/>
  <c r="U117" i="76"/>
  <c r="T117" i="76"/>
  <c r="S117" i="76"/>
  <c r="BG116" i="76"/>
  <c r="AD116" i="76"/>
  <c r="AE116" i="76" s="1"/>
  <c r="W116" i="76"/>
  <c r="V116" i="76"/>
  <c r="U116" i="76"/>
  <c r="T116" i="76"/>
  <c r="S116" i="76"/>
  <c r="BG36" i="76"/>
  <c r="AD36" i="76"/>
  <c r="AE36" i="76" s="1"/>
  <c r="W36" i="76"/>
  <c r="V36" i="76"/>
  <c r="U36" i="76"/>
  <c r="T36" i="76"/>
  <c r="S36" i="76"/>
  <c r="BG77" i="76"/>
  <c r="AD77" i="76"/>
  <c r="AE77" i="76" s="1"/>
  <c r="W77" i="76"/>
  <c r="V77" i="76"/>
  <c r="U77" i="76"/>
  <c r="T77" i="76"/>
  <c r="S77" i="76"/>
  <c r="BG142" i="76"/>
  <c r="AD142" i="76"/>
  <c r="AE142" i="76" s="1"/>
  <c r="W142" i="76"/>
  <c r="V142" i="76"/>
  <c r="U142" i="76"/>
  <c r="T142" i="76"/>
  <c r="S142" i="76"/>
  <c r="BG148" i="76"/>
  <c r="W148" i="76"/>
  <c r="V148" i="76"/>
  <c r="U148" i="76"/>
  <c r="T148" i="76"/>
  <c r="S148" i="76"/>
  <c r="BG140" i="76"/>
  <c r="AD140" i="76"/>
  <c r="AE140" i="76" s="1"/>
  <c r="W140" i="76"/>
  <c r="V140" i="76"/>
  <c r="U140" i="76"/>
  <c r="T140" i="76"/>
  <c r="S140" i="76"/>
  <c r="BG146" i="76"/>
  <c r="AD146" i="76"/>
  <c r="AE146" i="76" s="1"/>
  <c r="W146" i="76"/>
  <c r="V146" i="76"/>
  <c r="U146" i="76"/>
  <c r="T146" i="76"/>
  <c r="S146" i="76"/>
  <c r="BG32" i="76"/>
  <c r="AD32" i="76"/>
  <c r="AE32" i="76" s="1"/>
  <c r="W32" i="76"/>
  <c r="V32" i="76"/>
  <c r="U32" i="76"/>
  <c r="T32" i="76"/>
  <c r="S32" i="76"/>
  <c r="BG34" i="76"/>
  <c r="AD34" i="76"/>
  <c r="AE34" i="76" s="1"/>
  <c r="W34" i="76"/>
  <c r="V34" i="76"/>
  <c r="U34" i="76"/>
  <c r="T34" i="76"/>
  <c r="S34" i="76"/>
  <c r="BG74" i="76"/>
  <c r="AD74" i="76"/>
  <c r="AE74" i="76" s="1"/>
  <c r="W74" i="76"/>
  <c r="V74" i="76"/>
  <c r="U74" i="76"/>
  <c r="T74" i="76"/>
  <c r="S74" i="76"/>
  <c r="BG138" i="76"/>
  <c r="AD138" i="76"/>
  <c r="AE138" i="76" s="1"/>
  <c r="W138" i="76"/>
  <c r="V138" i="76"/>
  <c r="U138" i="76"/>
  <c r="T138" i="76"/>
  <c r="S138" i="76"/>
  <c r="BG137" i="76"/>
  <c r="AD137" i="76"/>
  <c r="AE137" i="76" s="1"/>
  <c r="W137" i="76"/>
  <c r="V137" i="76"/>
  <c r="U137" i="76"/>
  <c r="T137" i="76"/>
  <c r="S137" i="76"/>
  <c r="BG136" i="76"/>
  <c r="AD136" i="76"/>
  <c r="AE136" i="76" s="1"/>
  <c r="W136" i="76"/>
  <c r="V136" i="76"/>
  <c r="U136" i="76"/>
  <c r="T136" i="76"/>
  <c r="S136" i="76"/>
  <c r="BG135" i="76"/>
  <c r="AD135" i="76"/>
  <c r="AE135" i="76" s="1"/>
  <c r="W135" i="76"/>
  <c r="V135" i="76"/>
  <c r="U135" i="76"/>
  <c r="T135" i="76"/>
  <c r="S135" i="76"/>
  <c r="BG79" i="76"/>
  <c r="AD79" i="76"/>
  <c r="AE79" i="76" s="1"/>
  <c r="W79" i="76"/>
  <c r="V79" i="76"/>
  <c r="U79" i="76"/>
  <c r="T79" i="76"/>
  <c r="S79" i="76"/>
  <c r="BG111" i="76"/>
  <c r="AD111" i="76"/>
  <c r="AE111" i="76" s="1"/>
  <c r="W111" i="76"/>
  <c r="V111" i="76"/>
  <c r="U111" i="76"/>
  <c r="T111" i="76"/>
  <c r="S111" i="76"/>
  <c r="BG100" i="76"/>
  <c r="AD100" i="76"/>
  <c r="AE100" i="76" s="1"/>
  <c r="W100" i="76"/>
  <c r="V100" i="76"/>
  <c r="U100" i="76"/>
  <c r="T100" i="76"/>
  <c r="S100" i="76"/>
  <c r="BG30" i="76"/>
  <c r="AD30" i="76"/>
  <c r="AE30" i="76" s="1"/>
  <c r="W30" i="76"/>
  <c r="V30" i="76"/>
  <c r="U30" i="76"/>
  <c r="T30" i="76"/>
  <c r="S30" i="76"/>
  <c r="BG143" i="76"/>
  <c r="AD143" i="76"/>
  <c r="AE143" i="76" s="1"/>
  <c r="W143" i="76"/>
  <c r="V143" i="76"/>
  <c r="U143" i="76"/>
  <c r="T143" i="76"/>
  <c r="S143" i="76"/>
  <c r="BG141" i="76"/>
  <c r="AD141" i="76"/>
  <c r="AE141" i="76" s="1"/>
  <c r="W141" i="76"/>
  <c r="V141" i="76"/>
  <c r="U141" i="76"/>
  <c r="T141" i="76"/>
  <c r="S141" i="76"/>
  <c r="BG129" i="76"/>
  <c r="AD129" i="76"/>
  <c r="AE129" i="76" s="1"/>
  <c r="W129" i="76"/>
  <c r="V129" i="76"/>
  <c r="U129" i="76"/>
  <c r="T129" i="76"/>
  <c r="S129" i="76"/>
  <c r="BG139" i="76"/>
  <c r="AD139" i="76"/>
  <c r="AE139" i="76" s="1"/>
  <c r="W139" i="76"/>
  <c r="V139" i="76"/>
  <c r="U139" i="76"/>
  <c r="T139" i="76"/>
  <c r="S139" i="76"/>
  <c r="BG134" i="76"/>
  <c r="AD134" i="76"/>
  <c r="AE134" i="76" s="1"/>
  <c r="W134" i="76"/>
  <c r="V134" i="76"/>
  <c r="U134" i="76"/>
  <c r="T134" i="76"/>
  <c r="S134" i="76"/>
  <c r="BG20" i="76"/>
  <c r="AD20" i="76"/>
  <c r="AE20" i="76" s="1"/>
  <c r="W20" i="76"/>
  <c r="V20" i="76"/>
  <c r="U20" i="76"/>
  <c r="T20" i="76"/>
  <c r="S20" i="76"/>
  <c r="BG132" i="76"/>
  <c r="W132" i="76"/>
  <c r="V132" i="76"/>
  <c r="U132" i="76"/>
  <c r="T132" i="76"/>
  <c r="S132" i="76"/>
  <c r="BG131" i="76"/>
  <c r="W131" i="76"/>
  <c r="V131" i="76"/>
  <c r="U131" i="76"/>
  <c r="T131" i="76"/>
  <c r="S131" i="76"/>
  <c r="BG39" i="76"/>
  <c r="AD39" i="76"/>
  <c r="AE39" i="76" s="1"/>
  <c r="W39" i="76"/>
  <c r="V39" i="76"/>
  <c r="U39" i="76"/>
  <c r="T39" i="76"/>
  <c r="S39" i="76"/>
  <c r="BG38" i="76"/>
  <c r="AD38" i="76"/>
  <c r="AE38" i="76" s="1"/>
  <c r="W38" i="76"/>
  <c r="V38" i="76"/>
  <c r="U38" i="76"/>
  <c r="T38" i="76"/>
  <c r="S38" i="76"/>
  <c r="BG130" i="76"/>
  <c r="AD130" i="76"/>
  <c r="AE130" i="76" s="1"/>
  <c r="W130" i="76"/>
  <c r="V130" i="76"/>
  <c r="U130" i="76"/>
  <c r="T130" i="76"/>
  <c r="S130" i="76"/>
  <c r="BG128" i="76"/>
  <c r="AD128" i="76"/>
  <c r="AE128" i="76" s="1"/>
  <c r="W128" i="76"/>
  <c r="V128" i="76"/>
  <c r="U128" i="76"/>
  <c r="T128" i="76"/>
  <c r="S128" i="76"/>
  <c r="BG127" i="76"/>
  <c r="AD127" i="76"/>
  <c r="AE127" i="76" s="1"/>
  <c r="W127" i="76"/>
  <c r="V127" i="76"/>
  <c r="U127" i="76"/>
  <c r="T127" i="76"/>
  <c r="S127" i="76"/>
  <c r="BG122" i="76"/>
  <c r="AD122" i="76"/>
  <c r="AE122" i="76" s="1"/>
  <c r="W122" i="76"/>
  <c r="V122" i="76"/>
  <c r="U122" i="76"/>
  <c r="T122" i="76"/>
  <c r="S122" i="76"/>
  <c r="BG126" i="76"/>
  <c r="AD126" i="76"/>
  <c r="AE126" i="76" s="1"/>
  <c r="W126" i="76"/>
  <c r="V126" i="76"/>
  <c r="U126" i="76"/>
  <c r="T126" i="76"/>
  <c r="S126" i="76"/>
  <c r="BG125" i="76"/>
  <c r="AD125" i="76"/>
  <c r="AE125" i="76" s="1"/>
  <c r="W125" i="76"/>
  <c r="V125" i="76"/>
  <c r="U125" i="76"/>
  <c r="T125" i="76"/>
  <c r="S125" i="76"/>
  <c r="BG88" i="76"/>
  <c r="AD88" i="76"/>
  <c r="AE88" i="76" s="1"/>
  <c r="W88" i="76"/>
  <c r="V88" i="76"/>
  <c r="U88" i="76"/>
  <c r="T88" i="76"/>
  <c r="S88" i="76"/>
  <c r="BG124" i="76"/>
  <c r="AD124" i="76"/>
  <c r="AE124" i="76" s="1"/>
  <c r="W124" i="76"/>
  <c r="V124" i="76"/>
  <c r="U124" i="76"/>
  <c r="T124" i="76"/>
  <c r="S124" i="76"/>
  <c r="BG123" i="76"/>
  <c r="AD123" i="76"/>
  <c r="AE123" i="76" s="1"/>
  <c r="W123" i="76"/>
  <c r="V123" i="76"/>
  <c r="U123" i="76"/>
  <c r="T123" i="76"/>
  <c r="S123" i="76"/>
  <c r="BG68" i="76"/>
  <c r="AD68" i="76"/>
  <c r="AE68" i="76" s="1"/>
  <c r="W68" i="76"/>
  <c r="V68" i="76"/>
  <c r="U68" i="76"/>
  <c r="T68" i="76"/>
  <c r="S68" i="76"/>
  <c r="BG81" i="76"/>
  <c r="AD81" i="76"/>
  <c r="AE81" i="76" s="1"/>
  <c r="W81" i="76"/>
  <c r="V81" i="76"/>
  <c r="U81" i="76"/>
  <c r="T81" i="76"/>
  <c r="S81" i="76"/>
  <c r="BG86" i="76"/>
  <c r="AD86" i="76"/>
  <c r="AE86" i="76" s="1"/>
  <c r="W86" i="76"/>
  <c r="V86" i="76"/>
  <c r="U86" i="76"/>
  <c r="T86" i="76"/>
  <c r="S86" i="76"/>
  <c r="BG115" i="76"/>
  <c r="AD115" i="76"/>
  <c r="AE115" i="76" s="1"/>
  <c r="W115" i="76"/>
  <c r="V115" i="76"/>
  <c r="U115" i="76"/>
  <c r="T115" i="76"/>
  <c r="S115" i="76"/>
  <c r="BG78" i="76"/>
  <c r="AD78" i="76"/>
  <c r="AE78" i="76" s="1"/>
  <c r="W78" i="76"/>
  <c r="V78" i="76"/>
  <c r="U78" i="76"/>
  <c r="T78" i="76"/>
  <c r="S78" i="76"/>
  <c r="BG113" i="76"/>
  <c r="AD113" i="76"/>
  <c r="AE113" i="76" s="1"/>
  <c r="W113" i="76"/>
  <c r="V113" i="76"/>
  <c r="U113" i="76"/>
  <c r="T113" i="76"/>
  <c r="S113" i="76"/>
  <c r="BG108" i="76"/>
  <c r="AD108" i="76"/>
  <c r="AE108" i="76" s="1"/>
  <c r="W108" i="76"/>
  <c r="V108" i="76"/>
  <c r="U108" i="76"/>
  <c r="T108" i="76"/>
  <c r="S108" i="76"/>
  <c r="BG21" i="76"/>
  <c r="AD21" i="76"/>
  <c r="AE21" i="76" s="1"/>
  <c r="W21" i="76"/>
  <c r="V21" i="76"/>
  <c r="U21" i="76"/>
  <c r="T21" i="76"/>
  <c r="S21" i="76"/>
  <c r="BG55" i="76"/>
  <c r="AD55" i="76"/>
  <c r="AE55" i="76" s="1"/>
  <c r="W55" i="76"/>
  <c r="V55" i="76"/>
  <c r="U55" i="76"/>
  <c r="T55" i="76"/>
  <c r="S55" i="76"/>
  <c r="BG110" i="76"/>
  <c r="AD110" i="76"/>
  <c r="AE110" i="76" s="1"/>
  <c r="W110" i="76"/>
  <c r="V110" i="76"/>
  <c r="U110" i="76"/>
  <c r="T110" i="76"/>
  <c r="S110" i="76"/>
  <c r="BG109" i="76"/>
  <c r="AD109" i="76"/>
  <c r="AE109" i="76" s="1"/>
  <c r="W109" i="76"/>
  <c r="V109" i="76"/>
  <c r="U109" i="76"/>
  <c r="T109" i="76"/>
  <c r="S109" i="76"/>
  <c r="BG75" i="76"/>
  <c r="AD75" i="76"/>
  <c r="AE75" i="76" s="1"/>
  <c r="W75" i="76"/>
  <c r="V75" i="76"/>
  <c r="U75" i="76"/>
  <c r="T75" i="76"/>
  <c r="S75" i="76"/>
  <c r="BG120" i="76"/>
  <c r="AD120" i="76"/>
  <c r="AE120" i="76" s="1"/>
  <c r="W120" i="76"/>
  <c r="V120" i="76"/>
  <c r="U120" i="76"/>
  <c r="T120" i="76"/>
  <c r="S120" i="76"/>
  <c r="BG106" i="76"/>
  <c r="AD106" i="76"/>
  <c r="AE106" i="76" s="1"/>
  <c r="W106" i="76"/>
  <c r="V106" i="76"/>
  <c r="U106" i="76"/>
  <c r="T106" i="76"/>
  <c r="S106" i="76"/>
  <c r="BG98" i="76"/>
  <c r="AD98" i="76"/>
  <c r="AE98" i="76" s="1"/>
  <c r="W98" i="76"/>
  <c r="V98" i="76"/>
  <c r="U98" i="76"/>
  <c r="T98" i="76"/>
  <c r="S98" i="76"/>
  <c r="BG80" i="76"/>
  <c r="AD80" i="76"/>
  <c r="AE80" i="76" s="1"/>
  <c r="W80" i="76"/>
  <c r="V80" i="76"/>
  <c r="U80" i="76"/>
  <c r="T80" i="76"/>
  <c r="S80" i="76"/>
  <c r="BG107" i="76"/>
  <c r="AD107" i="76"/>
  <c r="AE107" i="76" s="1"/>
  <c r="W107" i="76"/>
  <c r="V107" i="76"/>
  <c r="U107" i="76"/>
  <c r="T107" i="76"/>
  <c r="S107" i="76"/>
  <c r="BG65" i="76"/>
  <c r="AD65" i="76"/>
  <c r="AE65" i="76" s="1"/>
  <c r="W65" i="76"/>
  <c r="V65" i="76"/>
  <c r="U65" i="76"/>
  <c r="T65" i="76"/>
  <c r="S65" i="76"/>
  <c r="BG72" i="76"/>
  <c r="AD72" i="76"/>
  <c r="AE72" i="76" s="1"/>
  <c r="W72" i="76"/>
  <c r="V72" i="76"/>
  <c r="U72" i="76"/>
  <c r="T72" i="76"/>
  <c r="S72" i="76"/>
  <c r="BG112" i="76"/>
  <c r="AD112" i="76"/>
  <c r="AE112" i="76" s="1"/>
  <c r="W112" i="76"/>
  <c r="V112" i="76"/>
  <c r="U112" i="76"/>
  <c r="T112" i="76"/>
  <c r="S112" i="76"/>
  <c r="BG57" i="76"/>
  <c r="AD57" i="76"/>
  <c r="AE57" i="76" s="1"/>
  <c r="W57" i="76"/>
  <c r="V57" i="76"/>
  <c r="U57" i="76"/>
  <c r="T57" i="76"/>
  <c r="S57" i="76"/>
  <c r="BG49" i="76"/>
  <c r="AD49" i="76"/>
  <c r="AE49" i="76" s="1"/>
  <c r="W49" i="76"/>
  <c r="V49" i="76"/>
  <c r="U49" i="76"/>
  <c r="BG61" i="76"/>
  <c r="AD61" i="76"/>
  <c r="AE61" i="76" s="1"/>
  <c r="W61" i="76"/>
  <c r="V61" i="76"/>
  <c r="U61" i="76"/>
  <c r="T61" i="76"/>
  <c r="S61" i="76"/>
  <c r="BG51" i="76"/>
  <c r="AD51" i="76"/>
  <c r="AE51" i="76" s="1"/>
  <c r="W51" i="76"/>
  <c r="V51" i="76"/>
  <c r="U51" i="76"/>
  <c r="T51" i="76"/>
  <c r="S51" i="76"/>
  <c r="BG29" i="76"/>
  <c r="AD29" i="76"/>
  <c r="AE29" i="76" s="1"/>
  <c r="W29" i="76"/>
  <c r="V29" i="76"/>
  <c r="U29" i="76"/>
  <c r="T29" i="76"/>
  <c r="S29" i="76"/>
  <c r="BG90" i="76"/>
  <c r="AD90" i="76"/>
  <c r="AE90" i="76" s="1"/>
  <c r="W90" i="76"/>
  <c r="V90" i="76"/>
  <c r="U90" i="76"/>
  <c r="T90" i="76"/>
  <c r="S90" i="76"/>
  <c r="BG52" i="76"/>
  <c r="AD52" i="76"/>
  <c r="AE52" i="76" s="1"/>
  <c r="W52" i="76"/>
  <c r="V52" i="76"/>
  <c r="U52" i="76"/>
  <c r="T52" i="76"/>
  <c r="S52" i="76"/>
  <c r="BG24" i="76"/>
  <c r="AD24" i="76"/>
  <c r="AE24" i="76" s="1"/>
  <c r="W24" i="76"/>
  <c r="V24" i="76"/>
  <c r="U24" i="76"/>
  <c r="T24" i="76"/>
  <c r="S24" i="76"/>
  <c r="BG73" i="76"/>
  <c r="AD73" i="76"/>
  <c r="AE73" i="76" s="1"/>
  <c r="W73" i="76"/>
  <c r="V73" i="76"/>
  <c r="U73" i="76"/>
  <c r="T73" i="76"/>
  <c r="S73" i="76"/>
  <c r="BG102" i="76"/>
  <c r="AD102" i="76"/>
  <c r="AE102" i="76" s="1"/>
  <c r="W102" i="76"/>
  <c r="V102" i="76"/>
  <c r="U102" i="76"/>
  <c r="T102" i="76"/>
  <c r="S102" i="76"/>
  <c r="BG71" i="76"/>
  <c r="AD71" i="76"/>
  <c r="AE71" i="76" s="1"/>
  <c r="W71" i="76"/>
  <c r="V71" i="76"/>
  <c r="U71" i="76"/>
  <c r="T71" i="76"/>
  <c r="S71" i="76"/>
  <c r="BG62" i="76"/>
  <c r="AD62" i="76"/>
  <c r="AE62" i="76" s="1"/>
  <c r="W62" i="76"/>
  <c r="V62" i="76"/>
  <c r="U62" i="76"/>
  <c r="T62" i="76"/>
  <c r="S62" i="76"/>
  <c r="BG45" i="76"/>
  <c r="AD45" i="76"/>
  <c r="AE45" i="76" s="1"/>
  <c r="W45" i="76"/>
  <c r="V45" i="76"/>
  <c r="U45" i="76"/>
  <c r="T45" i="76"/>
  <c r="S45" i="76"/>
  <c r="BG42" i="76"/>
  <c r="AD42" i="76"/>
  <c r="AE42" i="76" s="1"/>
  <c r="W42" i="76"/>
  <c r="V42" i="76"/>
  <c r="U42" i="76"/>
  <c r="T42" i="76"/>
  <c r="S42" i="76"/>
  <c r="BG69" i="76"/>
  <c r="AD69" i="76"/>
  <c r="AE69" i="76" s="1"/>
  <c r="W69" i="76"/>
  <c r="V69" i="76"/>
  <c r="U69" i="76"/>
  <c r="T69" i="76"/>
  <c r="S69" i="76"/>
  <c r="BG70" i="76"/>
  <c r="AD70" i="76"/>
  <c r="AE70" i="76" s="1"/>
  <c r="W70" i="76"/>
  <c r="V70" i="76"/>
  <c r="U70" i="76"/>
  <c r="T70" i="76"/>
  <c r="S70" i="76"/>
  <c r="BG121" i="76"/>
  <c r="W121" i="76"/>
  <c r="V121" i="76"/>
  <c r="U121" i="76"/>
  <c r="T121" i="76"/>
  <c r="S121" i="76"/>
  <c r="BG48" i="76"/>
  <c r="AD48" i="76"/>
  <c r="AE48" i="76" s="1"/>
  <c r="W48" i="76"/>
  <c r="V48" i="76"/>
  <c r="U48" i="76"/>
  <c r="T48" i="76"/>
  <c r="S48" i="76"/>
  <c r="BG63" i="76"/>
  <c r="AD63" i="76"/>
  <c r="AE63" i="76" s="1"/>
  <c r="W63" i="76"/>
  <c r="V63" i="76"/>
  <c r="U63" i="76"/>
  <c r="T63" i="76"/>
  <c r="S63" i="76"/>
  <c r="BG54" i="76"/>
  <c r="AD54" i="76"/>
  <c r="AE54" i="76" s="1"/>
  <c r="W54" i="76"/>
  <c r="V54" i="76"/>
  <c r="U54" i="76"/>
  <c r="T54" i="76"/>
  <c r="S54" i="76"/>
  <c r="BG44" i="76"/>
  <c r="AD44" i="76"/>
  <c r="AE44" i="76" s="1"/>
  <c r="W44" i="76"/>
  <c r="V44" i="76"/>
  <c r="U44" i="76"/>
  <c r="T44" i="76"/>
  <c r="S44" i="76"/>
  <c r="BG76" i="76"/>
  <c r="AD76" i="76"/>
  <c r="AE76" i="76" s="1"/>
  <c r="W76" i="76"/>
  <c r="V76" i="76"/>
  <c r="U76" i="76"/>
  <c r="T76" i="76"/>
  <c r="S76" i="76"/>
  <c r="BG43" i="76"/>
  <c r="AD43" i="76"/>
  <c r="AE43" i="76" s="1"/>
  <c r="W43" i="76"/>
  <c r="V43" i="76"/>
  <c r="U43" i="76"/>
  <c r="T43" i="76"/>
  <c r="S43" i="76"/>
  <c r="BG46" i="76"/>
  <c r="AD46" i="76"/>
  <c r="AE46" i="76" s="1"/>
  <c r="W46" i="76"/>
  <c r="V46" i="76"/>
  <c r="U46" i="76"/>
  <c r="T46" i="76"/>
  <c r="S46" i="76"/>
  <c r="BG66" i="76"/>
  <c r="AD66" i="76"/>
  <c r="AE66" i="76" s="1"/>
  <c r="W66" i="76"/>
  <c r="V66" i="76"/>
  <c r="U66" i="76"/>
  <c r="T66" i="76"/>
  <c r="S66" i="76"/>
  <c r="BG50" i="76"/>
  <c r="AD50" i="76"/>
  <c r="AE50" i="76" s="1"/>
  <c r="W50" i="76"/>
  <c r="V50" i="76"/>
  <c r="U50" i="76"/>
  <c r="T50" i="76"/>
  <c r="S50" i="76"/>
  <c r="BG47" i="76"/>
  <c r="AD47" i="76"/>
  <c r="AE47" i="76" s="1"/>
  <c r="W47" i="76"/>
  <c r="V47" i="76"/>
  <c r="U47" i="76"/>
  <c r="T47" i="76"/>
  <c r="S47" i="76"/>
  <c r="BG64" i="76"/>
  <c r="AD64" i="76"/>
  <c r="AE64" i="76" s="1"/>
  <c r="W64" i="76"/>
  <c r="V64" i="76"/>
  <c r="U64" i="76"/>
  <c r="T64" i="76"/>
  <c r="S64" i="76"/>
  <c r="BG28" i="76"/>
  <c r="AD28" i="76"/>
  <c r="AE28" i="76" s="1"/>
  <c r="W28" i="76"/>
  <c r="V28" i="76"/>
  <c r="U28" i="76"/>
  <c r="T28" i="76"/>
  <c r="S28" i="76"/>
  <c r="BG27" i="76"/>
  <c r="AD27" i="76"/>
  <c r="AE27" i="76" s="1"/>
  <c r="W27" i="76"/>
  <c r="V27" i="76"/>
  <c r="U27" i="76"/>
  <c r="T27" i="76"/>
  <c r="S27" i="76"/>
  <c r="BG118" i="76"/>
  <c r="W118" i="76"/>
  <c r="V118" i="76"/>
  <c r="U118" i="76"/>
  <c r="T118" i="76"/>
  <c r="S118" i="76"/>
  <c r="BG114" i="76"/>
  <c r="W114" i="76"/>
  <c r="V114" i="76"/>
  <c r="U114" i="76"/>
  <c r="T114" i="76"/>
  <c r="S114" i="76"/>
  <c r="BG67" i="76"/>
  <c r="W67" i="76"/>
  <c r="V67" i="76"/>
  <c r="U67" i="76"/>
  <c r="T67" i="76"/>
  <c r="S67" i="76"/>
  <c r="BG22" i="76"/>
  <c r="AD22" i="76"/>
  <c r="AE22" i="76" s="1"/>
  <c r="W22" i="76"/>
  <c r="V22" i="76"/>
  <c r="U22" i="76"/>
  <c r="T22" i="76"/>
  <c r="S22" i="76"/>
  <c r="BG104" i="76"/>
  <c r="W104" i="76"/>
  <c r="V104" i="76"/>
  <c r="U104" i="76"/>
  <c r="T104" i="76"/>
  <c r="S104" i="76"/>
  <c r="BG19" i="76"/>
  <c r="AD19" i="76"/>
  <c r="AE19" i="76" s="1"/>
  <c r="W19" i="76"/>
  <c r="V19" i="76"/>
  <c r="U19" i="76"/>
  <c r="T19" i="76"/>
  <c r="S19" i="76"/>
  <c r="BG26" i="76"/>
  <c r="W26" i="76"/>
  <c r="V26" i="76"/>
  <c r="U26" i="76"/>
  <c r="T26" i="76"/>
  <c r="S26" i="76"/>
  <c r="BG99" i="76"/>
  <c r="AD99" i="76"/>
  <c r="AE99" i="76" s="1"/>
  <c r="W99" i="76"/>
  <c r="V99" i="76"/>
  <c r="U99" i="76"/>
  <c r="T99" i="76"/>
  <c r="S99" i="76"/>
  <c r="BG145" i="76"/>
  <c r="W145" i="76"/>
  <c r="V145" i="76"/>
  <c r="U145" i="76"/>
  <c r="T145" i="76"/>
  <c r="S145" i="76"/>
  <c r="BG41" i="76"/>
  <c r="AD41" i="76"/>
  <c r="AE41" i="76" s="1"/>
  <c r="W41" i="76"/>
  <c r="V41" i="76"/>
  <c r="U41" i="76"/>
  <c r="T41" i="76"/>
  <c r="S41" i="76"/>
  <c r="BG97" i="76"/>
  <c r="W97" i="76"/>
  <c r="V97" i="76"/>
  <c r="U97" i="76"/>
  <c r="T97" i="76"/>
  <c r="S97" i="76"/>
  <c r="BG96" i="76"/>
  <c r="AD96" i="76"/>
  <c r="AE96" i="76" s="1"/>
  <c r="W96" i="76"/>
  <c r="V96" i="76"/>
  <c r="U96" i="76"/>
  <c r="T96" i="76"/>
  <c r="S96" i="76"/>
  <c r="BG95" i="76"/>
  <c r="AD95" i="76"/>
  <c r="AE95" i="76" s="1"/>
  <c r="W95" i="76"/>
  <c r="V95" i="76"/>
  <c r="U95" i="76"/>
  <c r="T95" i="76"/>
  <c r="S95" i="76"/>
  <c r="BG94" i="76"/>
  <c r="W94" i="76"/>
  <c r="V94" i="76"/>
  <c r="U94" i="76"/>
  <c r="T94" i="76"/>
  <c r="S94" i="76"/>
  <c r="BG93" i="76"/>
  <c r="W93" i="76"/>
  <c r="V93" i="76"/>
  <c r="U93" i="76"/>
  <c r="T93" i="76"/>
  <c r="S93" i="76"/>
  <c r="BG92" i="76"/>
  <c r="AD92" i="76"/>
  <c r="AE92" i="76" s="1"/>
  <c r="W92" i="76"/>
  <c r="V92" i="76"/>
  <c r="U92" i="76"/>
  <c r="T92" i="76"/>
  <c r="S92" i="76"/>
  <c r="BG91" i="76"/>
  <c r="W91" i="76"/>
  <c r="V91" i="76"/>
  <c r="U91" i="76"/>
  <c r="T91" i="76"/>
  <c r="S91" i="76"/>
  <c r="BG25" i="76"/>
  <c r="AE25" i="76"/>
  <c r="W25" i="76"/>
  <c r="V25" i="76"/>
  <c r="U25" i="76"/>
  <c r="T25" i="76"/>
  <c r="S25" i="76"/>
  <c r="BG89" i="76"/>
  <c r="W89" i="76"/>
  <c r="V89" i="76"/>
  <c r="U89" i="76"/>
  <c r="T89" i="76"/>
  <c r="S89" i="76"/>
  <c r="BG87" i="76"/>
  <c r="AD87" i="76"/>
  <c r="AE87" i="76" s="1"/>
  <c r="W87" i="76"/>
  <c r="V87" i="76"/>
  <c r="U87" i="76"/>
  <c r="T87" i="76"/>
  <c r="S87" i="76"/>
  <c r="BG85" i="76"/>
  <c r="AD85" i="76"/>
  <c r="AE85" i="76" s="1"/>
  <c r="W85" i="76"/>
  <c r="V85" i="76"/>
  <c r="U85" i="76"/>
  <c r="T85" i="76"/>
  <c r="S85" i="76"/>
  <c r="BG84" i="76"/>
  <c r="AD84" i="76"/>
  <c r="AE84" i="76" s="1"/>
  <c r="W84" i="76"/>
  <c r="V84" i="76"/>
  <c r="U84" i="76"/>
  <c r="T84" i="76"/>
  <c r="S84" i="76"/>
  <c r="BG83" i="76"/>
  <c r="W83" i="76"/>
  <c r="V83" i="76"/>
  <c r="U83" i="76"/>
  <c r="T83" i="76"/>
  <c r="S83" i="76"/>
  <c r="BG82" i="76"/>
  <c r="AD82" i="76"/>
  <c r="AE82" i="76" s="1"/>
  <c r="W82" i="76"/>
  <c r="V82" i="76"/>
  <c r="U82" i="76"/>
  <c r="T82" i="76"/>
  <c r="S82" i="76"/>
  <c r="BG101" i="76"/>
  <c r="AD101" i="76"/>
  <c r="AE101" i="76" s="1"/>
  <c r="W101" i="76"/>
  <c r="V101" i="76"/>
  <c r="U101" i="76"/>
  <c r="T101" i="76"/>
  <c r="S101" i="76"/>
  <c r="BG23" i="76"/>
  <c r="AD23" i="76"/>
  <c r="AE23" i="76" s="1"/>
  <c r="W23" i="76"/>
  <c r="V23" i="76"/>
  <c r="U23" i="76"/>
  <c r="T23" i="76"/>
  <c r="S23" i="76"/>
  <c r="AI16" i="76"/>
  <c r="AI15" i="76"/>
  <c r="BI14" i="76"/>
  <c r="BH14" i="76"/>
  <c r="BG14" i="76"/>
  <c r="BI12" i="76"/>
  <c r="BH12" i="76"/>
  <c r="BG12" i="76"/>
  <c r="AD11" i="76"/>
  <c r="BE9" i="76"/>
  <c r="BC9" i="76"/>
  <c r="BA9" i="76"/>
  <c r="AY9" i="76"/>
  <c r="AW9" i="76"/>
  <c r="AU9" i="76"/>
  <c r="AS9" i="76"/>
  <c r="AQ9" i="76"/>
  <c r="AO9" i="76"/>
  <c r="AM9" i="76"/>
  <c r="AK9" i="76"/>
  <c r="AI9" i="76"/>
  <c r="AG9" i="76"/>
  <c r="BE8" i="76"/>
  <c r="BC8" i="76"/>
  <c r="BA8" i="76"/>
  <c r="AY8" i="76"/>
  <c r="AW8" i="76"/>
  <c r="AU8" i="76"/>
  <c r="AS8" i="76"/>
  <c r="AQ8" i="76"/>
  <c r="AO8" i="76"/>
  <c r="AM8" i="76"/>
  <c r="AK8" i="76"/>
  <c r="AI8" i="76"/>
  <c r="AG8" i="76"/>
  <c r="BE6" i="76"/>
  <c r="BC6" i="76"/>
  <c r="BA6" i="76"/>
  <c r="AY6" i="76"/>
  <c r="AW6" i="76"/>
  <c r="AU6" i="76"/>
  <c r="AS6" i="76"/>
  <c r="AQ6" i="76"/>
  <c r="AO6" i="76"/>
  <c r="AM6" i="76"/>
  <c r="AK6" i="76"/>
  <c r="AI6" i="76"/>
  <c r="AG6" i="76"/>
  <c r="BE5" i="76"/>
  <c r="BC5" i="76"/>
  <c r="BA5" i="76"/>
  <c r="AY5" i="76"/>
  <c r="AW5" i="76"/>
  <c r="AU5" i="76"/>
  <c r="AS5" i="76"/>
  <c r="AQ5" i="76"/>
  <c r="AO5" i="76"/>
  <c r="AM5" i="76"/>
  <c r="AK5" i="76"/>
  <c r="AI5" i="76"/>
  <c r="AG5" i="76"/>
  <c r="BE4" i="76"/>
  <c r="BC4" i="76"/>
  <c r="BA4" i="76"/>
  <c r="AY4" i="76"/>
  <c r="AW4" i="76"/>
  <c r="AU4" i="76"/>
  <c r="AS4" i="76"/>
  <c r="AQ4" i="76"/>
  <c r="AO4" i="76"/>
  <c r="AM4" i="76"/>
  <c r="AK4" i="76"/>
  <c r="AI4" i="76"/>
  <c r="S6" i="75" l="1"/>
  <c r="R5" i="75"/>
  <c r="Q5" i="75"/>
  <c r="R6" i="75"/>
  <c r="S5" i="75"/>
  <c r="Q4" i="75"/>
  <c r="Q6" i="75"/>
  <c r="Q7" i="75"/>
  <c r="S7" i="75"/>
  <c r="R7" i="75"/>
  <c r="R4" i="75"/>
  <c r="S4" i="75"/>
  <c r="X45" i="76"/>
  <c r="X29" i="76"/>
  <c r="X142" i="76"/>
  <c r="X53" i="76"/>
  <c r="X60" i="76"/>
  <c r="X96" i="76"/>
  <c r="X22" i="76"/>
  <c r="X50" i="76"/>
  <c r="X102" i="76"/>
  <c r="X88" i="76"/>
  <c r="X39" i="76"/>
  <c r="X84" i="76"/>
  <c r="X132" i="76"/>
  <c r="X155" i="76"/>
  <c r="X161" i="76"/>
  <c r="X75" i="76"/>
  <c r="X146" i="76"/>
  <c r="X110" i="76"/>
  <c r="X127" i="76"/>
  <c r="X136" i="76"/>
  <c r="X148" i="76"/>
  <c r="X100" i="76"/>
  <c r="X38" i="76"/>
  <c r="BH6" i="76"/>
  <c r="X19" i="76"/>
  <c r="X62" i="76"/>
  <c r="X118" i="76"/>
  <c r="X140" i="76"/>
  <c r="X63" i="76"/>
  <c r="X135" i="76"/>
  <c r="X33" i="76"/>
  <c r="AS7" i="76"/>
  <c r="X26" i="76"/>
  <c r="X71" i="76"/>
  <c r="X61" i="76"/>
  <c r="X32" i="76"/>
  <c r="X147" i="76"/>
  <c r="X152" i="76"/>
  <c r="X25" i="76"/>
  <c r="X114" i="76"/>
  <c r="X46" i="76"/>
  <c r="X42" i="76"/>
  <c r="X90" i="76"/>
  <c r="AK7" i="76"/>
  <c r="BA7" i="76"/>
  <c r="X55" i="76"/>
  <c r="X128" i="76"/>
  <c r="X137" i="76"/>
  <c r="X144" i="76"/>
  <c r="X104" i="76"/>
  <c r="X69" i="76"/>
  <c r="X51" i="76"/>
  <c r="X109" i="76"/>
  <c r="X86" i="76"/>
  <c r="X130" i="76"/>
  <c r="X143" i="76"/>
  <c r="X59" i="76"/>
  <c r="X87" i="76"/>
  <c r="X99" i="76"/>
  <c r="X54" i="76"/>
  <c r="X106" i="76"/>
  <c r="X116" i="76"/>
  <c r="AM7" i="76"/>
  <c r="BC7" i="76"/>
  <c r="AI10" i="76"/>
  <c r="AY10" i="76"/>
  <c r="X44" i="76"/>
  <c r="X24" i="76"/>
  <c r="X108" i="76"/>
  <c r="X126" i="76"/>
  <c r="X79" i="76"/>
  <c r="X41" i="76"/>
  <c r="X76" i="76"/>
  <c r="X72" i="76"/>
  <c r="X21" i="76"/>
  <c r="X20" i="76"/>
  <c r="X77" i="76"/>
  <c r="X119" i="76"/>
  <c r="X35" i="76"/>
  <c r="X154" i="76"/>
  <c r="AK10" i="76"/>
  <c r="BA10" i="76"/>
  <c r="X85" i="76"/>
  <c r="X27" i="76"/>
  <c r="X28" i="76"/>
  <c r="X64" i="76"/>
  <c r="X47" i="76"/>
  <c r="X52" i="76"/>
  <c r="X113" i="76"/>
  <c r="X115" i="76"/>
  <c r="X134" i="76"/>
  <c r="X139" i="76"/>
  <c r="X129" i="76"/>
  <c r="X141" i="76"/>
  <c r="X117" i="76"/>
  <c r="X153" i="76"/>
  <c r="X162" i="76"/>
  <c r="BH9" i="76"/>
  <c r="X56" i="76"/>
  <c r="AS10" i="76"/>
  <c r="X23" i="76"/>
  <c r="X145" i="76"/>
  <c r="X48" i="76"/>
  <c r="X70" i="76"/>
  <c r="X65" i="76"/>
  <c r="X107" i="76"/>
  <c r="X80" i="76"/>
  <c r="X98" i="76"/>
  <c r="X122" i="76"/>
  <c r="X138" i="76"/>
  <c r="X34" i="76"/>
  <c r="X103" i="76"/>
  <c r="AU10" i="76"/>
  <c r="BH8" i="76"/>
  <c r="X92" i="76"/>
  <c r="X93" i="76"/>
  <c r="X94" i="76"/>
  <c r="X95" i="76"/>
  <c r="X43" i="76"/>
  <c r="X49" i="76"/>
  <c r="X112" i="76"/>
  <c r="X81" i="76"/>
  <c r="X68" i="76"/>
  <c r="X123" i="76"/>
  <c r="X124" i="76"/>
  <c r="X111" i="76"/>
  <c r="X105" i="76"/>
  <c r="X151" i="76"/>
  <c r="BH4" i="76"/>
  <c r="BG163" i="76"/>
  <c r="BG4" i="76"/>
  <c r="AU7" i="76"/>
  <c r="AM10" i="76"/>
  <c r="BC10" i="76"/>
  <c r="X156" i="76"/>
  <c r="AG7" i="76"/>
  <c r="AW7" i="76"/>
  <c r="AO10" i="76"/>
  <c r="BE10" i="76"/>
  <c r="AI7" i="76"/>
  <c r="AY7" i="76"/>
  <c r="BI8" i="76"/>
  <c r="X82" i="76"/>
  <c r="X83" i="76"/>
  <c r="X150" i="76"/>
  <c r="X37" i="76"/>
  <c r="X31" i="76"/>
  <c r="X40" i="76"/>
  <c r="BG6" i="76"/>
  <c r="X101" i="76"/>
  <c r="X149" i="76"/>
  <c r="X58" i="76"/>
  <c r="AO7" i="76"/>
  <c r="BE7" i="76"/>
  <c r="AG10" i="76"/>
  <c r="AW10" i="76"/>
  <c r="X89" i="76"/>
  <c r="X91" i="76"/>
  <c r="X97" i="76"/>
  <c r="X67" i="76"/>
  <c r="X66" i="76"/>
  <c r="X121" i="76"/>
  <c r="X73" i="76"/>
  <c r="X57" i="76"/>
  <c r="X120" i="76"/>
  <c r="X78" i="76"/>
  <c r="X125" i="76"/>
  <c r="X131" i="76"/>
  <c r="X30" i="76"/>
  <c r="X74" i="76"/>
  <c r="X36" i="76"/>
  <c r="X133" i="76"/>
  <c r="BI5" i="76"/>
  <c r="BH5" i="76"/>
  <c r="BI9" i="76"/>
  <c r="X157" i="76"/>
  <c r="X158" i="76"/>
  <c r="X159" i="76"/>
  <c r="X160" i="76"/>
  <c r="BI6" i="76"/>
  <c r="BI4" i="76"/>
  <c r="BG5" i="76"/>
  <c r="AQ7" i="76"/>
  <c r="BG8" i="76"/>
  <c r="BG9" i="76"/>
  <c r="AQ10" i="76"/>
  <c r="Q8" i="75" l="1"/>
  <c r="S8" i="75"/>
  <c r="R8" i="75"/>
  <c r="T5" i="75"/>
  <c r="T6" i="75"/>
  <c r="T7" i="75"/>
  <c r="T4" i="75"/>
  <c r="AS11" i="76"/>
  <c r="AS13" i="76" s="1"/>
  <c r="AS16" i="76" s="1"/>
  <c r="BH7" i="76"/>
  <c r="BA11" i="76"/>
  <c r="BA13" i="76" s="1"/>
  <c r="BA16" i="76" s="1"/>
  <c r="BE11" i="76"/>
  <c r="BE13" i="76" s="1"/>
  <c r="BE16" i="76" s="1"/>
  <c r="AI11" i="76"/>
  <c r="BG10" i="76"/>
  <c r="AU11" i="76"/>
  <c r="AU13" i="76" s="1"/>
  <c r="AU15" i="76" s="1"/>
  <c r="AK11" i="76"/>
  <c r="AK13" i="76" s="1"/>
  <c r="AK16" i="76" s="1"/>
  <c r="BH10" i="76"/>
  <c r="AW11" i="76"/>
  <c r="AW13" i="76" s="1"/>
  <c r="AW15" i="76" s="1"/>
  <c r="BC11" i="76"/>
  <c r="BC13" i="76" s="1"/>
  <c r="BC15" i="76" s="1"/>
  <c r="AO11" i="76"/>
  <c r="AO13" i="76" s="1"/>
  <c r="AO15" i="76" s="1"/>
  <c r="AY11" i="76"/>
  <c r="AY13" i="76" s="1"/>
  <c r="AY15" i="76" s="1"/>
  <c r="AM11" i="76"/>
  <c r="AM13" i="76" s="1"/>
  <c r="BG7" i="76"/>
  <c r="AG11" i="76"/>
  <c r="AG13" i="76" s="1"/>
  <c r="AG15" i="76" s="1"/>
  <c r="BI7" i="76"/>
  <c r="BI10" i="76"/>
  <c r="AQ11" i="76"/>
  <c r="AQ13" i="76" s="1"/>
  <c r="AQ16" i="76" s="1"/>
  <c r="BG12" i="75"/>
  <c r="AG4" i="75"/>
  <c r="BI14" i="75"/>
  <c r="BH14" i="75"/>
  <c r="BG14" i="75"/>
  <c r="BI12" i="75"/>
  <c r="BH12" i="75"/>
  <c r="AD11" i="75"/>
  <c r="BE9" i="75"/>
  <c r="BC9" i="75"/>
  <c r="BA9" i="75"/>
  <c r="AY9" i="75"/>
  <c r="AW9" i="75"/>
  <c r="AU9" i="75"/>
  <c r="AS9" i="75"/>
  <c r="AQ9" i="75"/>
  <c r="AO9" i="75"/>
  <c r="AM9" i="75"/>
  <c r="AK9" i="75"/>
  <c r="AI9" i="75"/>
  <c r="AG9" i="75"/>
  <c r="BE8" i="75"/>
  <c r="BC8" i="75"/>
  <c r="BA8" i="75"/>
  <c r="AY8" i="75"/>
  <c r="AW8" i="75"/>
  <c r="AU8" i="75"/>
  <c r="AS8" i="75"/>
  <c r="AQ8" i="75"/>
  <c r="AO8" i="75"/>
  <c r="AM8" i="75"/>
  <c r="AK8" i="75"/>
  <c r="AI8" i="75"/>
  <c r="AG8" i="75"/>
  <c r="BE6" i="75"/>
  <c r="BC6" i="75"/>
  <c r="BA6" i="75"/>
  <c r="AY6" i="75"/>
  <c r="AW6" i="75"/>
  <c r="AU6" i="75"/>
  <c r="AS6" i="75"/>
  <c r="AQ6" i="75"/>
  <c r="AO6" i="75"/>
  <c r="AM6" i="75"/>
  <c r="AK6" i="75"/>
  <c r="AI6" i="75"/>
  <c r="AG6" i="75"/>
  <c r="BE5" i="75"/>
  <c r="BC5" i="75"/>
  <c r="BA5" i="75"/>
  <c r="AY5" i="75"/>
  <c r="AW5" i="75"/>
  <c r="AU5" i="75"/>
  <c r="AS5" i="75"/>
  <c r="AQ5" i="75"/>
  <c r="AO5" i="75"/>
  <c r="AM5" i="75"/>
  <c r="AK5" i="75"/>
  <c r="AI5" i="75"/>
  <c r="AG5" i="75"/>
  <c r="BE4" i="75"/>
  <c r="BC4" i="75"/>
  <c r="BA4" i="75"/>
  <c r="AY4" i="75"/>
  <c r="AW4" i="75"/>
  <c r="AU4" i="75"/>
  <c r="AS4" i="75"/>
  <c r="AQ4" i="75"/>
  <c r="AO4" i="75"/>
  <c r="AM4" i="75"/>
  <c r="AK4" i="75"/>
  <c r="AI4" i="75"/>
  <c r="T8" i="75" l="1"/>
  <c r="BE15" i="76"/>
  <c r="AS15" i="76"/>
  <c r="BH11" i="76"/>
  <c r="BH13" i="76" s="1"/>
  <c r="BH16" i="76" s="1"/>
  <c r="AU16" i="76"/>
  <c r="BC16" i="76"/>
  <c r="BA15" i="76"/>
  <c r="AO16" i="76"/>
  <c r="BG11" i="76"/>
  <c r="BG13" i="76" s="1"/>
  <c r="BG15" i="76" s="1"/>
  <c r="AK15" i="76"/>
  <c r="AM15" i="76"/>
  <c r="AM16" i="76"/>
  <c r="AY16" i="76"/>
  <c r="AW16" i="76"/>
  <c r="AQ15" i="76"/>
  <c r="BI11" i="76"/>
  <c r="BI13" i="76" s="1"/>
  <c r="AQ7" i="75"/>
  <c r="BC10" i="75"/>
  <c r="BG5" i="75"/>
  <c r="AK7" i="75"/>
  <c r="BA7" i="75"/>
  <c r="AG10" i="75"/>
  <c r="AW10" i="75"/>
  <c r="BC7" i="75"/>
  <c r="AI10" i="75"/>
  <c r="AY10" i="75"/>
  <c r="BG56" i="75"/>
  <c r="AS7" i="75"/>
  <c r="AO10" i="75"/>
  <c r="BE10" i="75"/>
  <c r="AU7" i="75"/>
  <c r="AQ10" i="75"/>
  <c r="AO7" i="75"/>
  <c r="BE7" i="75"/>
  <c r="AK10" i="75"/>
  <c r="BA10" i="75"/>
  <c r="BH6" i="75"/>
  <c r="BI8" i="75"/>
  <c r="AG7" i="75"/>
  <c r="AW7" i="75"/>
  <c r="BI6" i="75"/>
  <c r="AS10" i="75"/>
  <c r="AI7" i="75"/>
  <c r="AY7" i="75"/>
  <c r="AU10" i="75"/>
  <c r="BH9" i="75"/>
  <c r="BI9" i="75"/>
  <c r="BH4" i="75"/>
  <c r="BI5" i="75"/>
  <c r="BI4" i="75"/>
  <c r="AM7" i="75"/>
  <c r="BG4" i="75"/>
  <c r="BG6" i="75"/>
  <c r="BG8" i="75"/>
  <c r="BG9" i="75"/>
  <c r="AM10" i="75"/>
  <c r="BH5" i="75"/>
  <c r="BH8" i="75"/>
  <c r="BH15" i="76" l="1"/>
  <c r="BG16" i="76"/>
  <c r="BI16" i="76"/>
  <c r="BI15" i="76"/>
  <c r="AS11" i="75"/>
  <c r="AS13" i="75" s="1"/>
  <c r="AS15" i="75" s="1"/>
  <c r="BG10" i="75"/>
  <c r="BC11" i="75"/>
  <c r="BC13" i="75" s="1"/>
  <c r="BC16" i="75" s="1"/>
  <c r="BG7" i="75"/>
  <c r="AU11" i="75"/>
  <c r="AU13" i="75" s="1"/>
  <c r="AU15" i="75" s="1"/>
  <c r="AO11" i="75"/>
  <c r="AO13" i="75" s="1"/>
  <c r="AO16" i="75" s="1"/>
  <c r="AW11" i="75"/>
  <c r="AW13" i="75" s="1"/>
  <c r="AW15" i="75" s="1"/>
  <c r="AI11" i="75"/>
  <c r="AI13" i="75" s="1"/>
  <c r="AQ11" i="75"/>
  <c r="AQ13" i="75" s="1"/>
  <c r="AQ15" i="75" s="1"/>
  <c r="BE11" i="75"/>
  <c r="BE13" i="75" s="1"/>
  <c r="BE16" i="75" s="1"/>
  <c r="BA11" i="75"/>
  <c r="BA13" i="75" s="1"/>
  <c r="BA15" i="75" s="1"/>
  <c r="AK11" i="75"/>
  <c r="AK13" i="75" s="1"/>
  <c r="AG11" i="75"/>
  <c r="AG13" i="75" s="1"/>
  <c r="AY11" i="75"/>
  <c r="AY13" i="75" s="1"/>
  <c r="AY15" i="75" s="1"/>
  <c r="BI7" i="75"/>
  <c r="BI10" i="75"/>
  <c r="BH7" i="75"/>
  <c r="AM11" i="75"/>
  <c r="AM13" i="75" s="1"/>
  <c r="AM16" i="75" s="1"/>
  <c r="BH10" i="75"/>
  <c r="X53" i="71"/>
  <c r="K158" i="71"/>
  <c r="AS16" i="75" l="1"/>
  <c r="BG11" i="75"/>
  <c r="BG13" i="75" s="1"/>
  <c r="BG16" i="75" s="1"/>
  <c r="AU16" i="75"/>
  <c r="AO15" i="75"/>
  <c r="BC15" i="75"/>
  <c r="AW16" i="75"/>
  <c r="AQ16" i="75"/>
  <c r="BA16" i="75"/>
  <c r="BE15" i="75"/>
  <c r="BI11" i="75"/>
  <c r="BI13" i="75" s="1"/>
  <c r="BI15" i="75" s="1"/>
  <c r="AY16" i="75"/>
  <c r="AM15" i="75"/>
  <c r="BH11" i="75"/>
  <c r="BH13" i="75" s="1"/>
  <c r="BH16" i="75" s="1"/>
  <c r="Q48" i="71"/>
  <c r="R48" i="71" s="1"/>
  <c r="Q29" i="71"/>
  <c r="R29" i="71" s="1"/>
  <c r="Q26" i="71"/>
  <c r="R26" i="71" s="1"/>
  <c r="Q42" i="71"/>
  <c r="R42" i="71" s="1"/>
  <c r="Q47" i="71"/>
  <c r="R47" i="71" s="1"/>
  <c r="Q55" i="71"/>
  <c r="R55" i="71" s="1"/>
  <c r="Q53" i="71"/>
  <c r="R53" i="71" s="1"/>
  <c r="Q57" i="71"/>
  <c r="R57" i="71" s="1"/>
  <c r="Q25" i="71"/>
  <c r="R25" i="71" s="1"/>
  <c r="Q20" i="71"/>
  <c r="R20" i="71" s="1"/>
  <c r="Q52" i="71"/>
  <c r="R52" i="71" s="1"/>
  <c r="Q61" i="71"/>
  <c r="R61" i="71" s="1"/>
  <c r="Q28" i="71"/>
  <c r="R28" i="71" s="1"/>
  <c r="Q21" i="71"/>
  <c r="R21" i="71" s="1"/>
  <c r="Q30" i="71"/>
  <c r="R30" i="71" s="1"/>
  <c r="Q62" i="71"/>
  <c r="R62" i="71" s="1"/>
  <c r="Q60" i="71"/>
  <c r="R60" i="71" s="1"/>
  <c r="Q33" i="71"/>
  <c r="R33" i="71" s="1"/>
  <c r="Q31" i="71"/>
  <c r="R31" i="71" s="1"/>
  <c r="Q35" i="71"/>
  <c r="R35" i="71" s="1"/>
  <c r="Q24" i="71"/>
  <c r="R24" i="71" s="1"/>
  <c r="Q36" i="71"/>
  <c r="R36" i="71" s="1"/>
  <c r="Q19" i="71"/>
  <c r="R19" i="71" s="1"/>
  <c r="Q32" i="71"/>
  <c r="R32" i="71" s="1"/>
  <c r="Q34" i="71"/>
  <c r="R34" i="71" s="1"/>
  <c r="Q37" i="71"/>
  <c r="R37" i="71" s="1"/>
  <c r="Q40" i="71"/>
  <c r="R40" i="71" s="1"/>
  <c r="Q63" i="71"/>
  <c r="R63" i="71" s="1"/>
  <c r="Q41" i="71"/>
  <c r="R41" i="71" s="1"/>
  <c r="Q46" i="71"/>
  <c r="R46" i="71" s="1"/>
  <c r="Q76" i="71"/>
  <c r="R76" i="71" s="1"/>
  <c r="Q43" i="71"/>
  <c r="R43" i="71" s="1"/>
  <c r="Q44" i="71"/>
  <c r="R44" i="71" s="1"/>
  <c r="Q45" i="71"/>
  <c r="R45" i="71" s="1"/>
  <c r="Q50" i="71"/>
  <c r="R50" i="71" s="1"/>
  <c r="Q51" i="71"/>
  <c r="R51" i="71" s="1"/>
  <c r="Q67" i="71"/>
  <c r="R67" i="71" s="1"/>
  <c r="Q79" i="71"/>
  <c r="R79" i="71" s="1"/>
  <c r="Q64" i="71"/>
  <c r="R64" i="71" s="1"/>
  <c r="Q54" i="71"/>
  <c r="R54" i="71" s="1"/>
  <c r="Q65" i="71"/>
  <c r="R65" i="71" s="1"/>
  <c r="Q80" i="71"/>
  <c r="R80" i="71" s="1"/>
  <c r="Q73" i="71"/>
  <c r="R73" i="71" s="1"/>
  <c r="Q66" i="71"/>
  <c r="R66" i="71" s="1"/>
  <c r="Q59" i="71"/>
  <c r="R59" i="71" s="1"/>
  <c r="Q82" i="71"/>
  <c r="R82" i="71" s="1"/>
  <c r="Q87" i="71"/>
  <c r="R87" i="71" s="1"/>
  <c r="Q77" i="71"/>
  <c r="R77" i="71" s="1"/>
  <c r="Q78" i="71"/>
  <c r="R78" i="71" s="1"/>
  <c r="Q58" i="71"/>
  <c r="R58" i="71" s="1"/>
  <c r="Q81" i="71"/>
  <c r="R81" i="71" s="1"/>
  <c r="Q74" i="71"/>
  <c r="R74" i="71" s="1"/>
  <c r="Q75" i="71"/>
  <c r="R75" i="71" s="1"/>
  <c r="Q83" i="71"/>
  <c r="R83" i="71" s="1"/>
  <c r="Q89" i="71"/>
  <c r="R89" i="71" s="1"/>
  <c r="Q86" i="71"/>
  <c r="R86" i="71" s="1"/>
  <c r="Q49" i="71"/>
  <c r="R49" i="71" s="1"/>
  <c r="Q94" i="71"/>
  <c r="R94" i="71" s="1"/>
  <c r="Q95" i="71"/>
  <c r="R95" i="71" s="1"/>
  <c r="Q56" i="71"/>
  <c r="R56" i="71" s="1"/>
  <c r="Q72" i="71"/>
  <c r="R72" i="71" s="1"/>
  <c r="Q97" i="71"/>
  <c r="R97" i="71" s="1"/>
  <c r="Q96" i="71"/>
  <c r="R96" i="71" s="1"/>
  <c r="Q98" i="71"/>
  <c r="R98" i="71" s="1"/>
  <c r="Q84" i="71"/>
  <c r="R84" i="71" s="1"/>
  <c r="Q106" i="71"/>
  <c r="R106" i="71" s="1"/>
  <c r="Q91" i="71"/>
  <c r="R91" i="71" s="1"/>
  <c r="Q108" i="71"/>
  <c r="R108" i="71" s="1"/>
  <c r="Q112" i="71"/>
  <c r="R112" i="71" s="1"/>
  <c r="Q113" i="71"/>
  <c r="R113" i="71" s="1"/>
  <c r="Q92" i="71"/>
  <c r="R92" i="71" s="1"/>
  <c r="Q90" i="71"/>
  <c r="R90" i="71" s="1"/>
  <c r="Q88" i="71"/>
  <c r="R88" i="71" s="1"/>
  <c r="Q85" i="71"/>
  <c r="R85" i="71" s="1"/>
  <c r="Q93" i="71"/>
  <c r="R93" i="71" s="1"/>
  <c r="Q116" i="71"/>
  <c r="R116" i="71" s="1"/>
  <c r="Q117" i="71"/>
  <c r="R117" i="71" s="1"/>
  <c r="Q102" i="71"/>
  <c r="R102" i="71" s="1"/>
  <c r="Q104" i="71"/>
  <c r="R104" i="71" s="1"/>
  <c r="Q103" i="71"/>
  <c r="R103" i="71" s="1"/>
  <c r="Q100" i="71"/>
  <c r="R100" i="71" s="1"/>
  <c r="Q99" i="71"/>
  <c r="R99" i="71" s="1"/>
  <c r="Q107" i="71"/>
  <c r="R107" i="71" s="1"/>
  <c r="Q132" i="71"/>
  <c r="R132" i="71" s="1"/>
  <c r="Q105" i="71"/>
  <c r="R105" i="71" s="1"/>
  <c r="Q121" i="71"/>
  <c r="R121" i="71" s="1"/>
  <c r="Q101" i="71"/>
  <c r="R101" i="71" s="1"/>
  <c r="Q109" i="71"/>
  <c r="R109" i="71" s="1"/>
  <c r="Q110" i="71"/>
  <c r="R110" i="71" s="1"/>
  <c r="Q111" i="71"/>
  <c r="R111" i="71" s="1"/>
  <c r="Q114" i="71"/>
  <c r="R114" i="71" s="1"/>
  <c r="Q115" i="71"/>
  <c r="R115" i="71" s="1"/>
  <c r="Q118" i="71"/>
  <c r="R118" i="71" s="1"/>
  <c r="Q133" i="71"/>
  <c r="R133" i="71" s="1"/>
  <c r="Q119" i="71"/>
  <c r="R119" i="71" s="1"/>
  <c r="Q120" i="71"/>
  <c r="R120" i="71" s="1"/>
  <c r="Q122" i="71"/>
  <c r="R122" i="71" s="1"/>
  <c r="Q123" i="71"/>
  <c r="R123" i="71" s="1"/>
  <c r="Q126" i="71"/>
  <c r="R126" i="71" s="1"/>
  <c r="Q127" i="71"/>
  <c r="R127" i="71" s="1"/>
  <c r="Q128" i="71"/>
  <c r="R128" i="71" s="1"/>
  <c r="Q129" i="71"/>
  <c r="R129" i="71" s="1"/>
  <c r="Q124" i="71"/>
  <c r="R124" i="71" s="1"/>
  <c r="Q130" i="71"/>
  <c r="R130" i="71" s="1"/>
  <c r="Q134" i="71"/>
  <c r="R134" i="71" s="1"/>
  <c r="Q23" i="71"/>
  <c r="R23" i="71" s="1"/>
  <c r="Q125" i="71"/>
  <c r="R125" i="71" s="1"/>
  <c r="Q135" i="71"/>
  <c r="R135" i="71" s="1"/>
  <c r="Q136" i="71"/>
  <c r="R136" i="71" s="1"/>
  <c r="Q137" i="71"/>
  <c r="R137" i="71" s="1"/>
  <c r="Q38" i="71"/>
  <c r="R38" i="71" s="1"/>
  <c r="Q22" i="71"/>
  <c r="R22" i="71" s="1"/>
  <c r="Q138" i="71"/>
  <c r="R138" i="71" s="1"/>
  <c r="Q139" i="71"/>
  <c r="R139" i="71" s="1"/>
  <c r="Q140" i="71"/>
  <c r="R140" i="71" s="1"/>
  <c r="Q141" i="71"/>
  <c r="R141" i="71" s="1"/>
  <c r="Q142" i="71"/>
  <c r="R142" i="71" s="1"/>
  <c r="Q143" i="71"/>
  <c r="R143" i="71" s="1"/>
  <c r="Q144" i="71"/>
  <c r="R144" i="71" s="1"/>
  <c r="Q145" i="71"/>
  <c r="R145" i="71" s="1"/>
  <c r="Q146" i="71"/>
  <c r="R146" i="71" s="1"/>
  <c r="Q147" i="71"/>
  <c r="R147" i="71" s="1"/>
  <c r="Q131" i="71"/>
  <c r="R131" i="71" s="1"/>
  <c r="Q148" i="71"/>
  <c r="R148" i="71" s="1"/>
  <c r="Q149" i="71"/>
  <c r="R149" i="71" s="1"/>
  <c r="Q150" i="71"/>
  <c r="R150" i="71" s="1"/>
  <c r="Q151" i="71"/>
  <c r="R151" i="71" s="1"/>
  <c r="Q68" i="71"/>
  <c r="R68" i="71" s="1"/>
  <c r="Q27" i="71"/>
  <c r="R27" i="71" s="1"/>
  <c r="Q152" i="71"/>
  <c r="R152" i="71" s="1"/>
  <c r="Q153" i="71"/>
  <c r="R153" i="71" s="1"/>
  <c r="Q39" i="71"/>
  <c r="R39" i="71" s="1"/>
  <c r="Q69" i="71"/>
  <c r="R69" i="71" s="1"/>
  <c r="Q70" i="71"/>
  <c r="R70" i="71" s="1"/>
  <c r="Q71" i="71"/>
  <c r="R71" i="71" s="1"/>
  <c r="Q154" i="71"/>
  <c r="R154" i="71" s="1"/>
  <c r="Q155" i="71"/>
  <c r="R155" i="71" s="1"/>
  <c r="Q156" i="71"/>
  <c r="R156" i="71" s="1"/>
  <c r="Q157" i="71"/>
  <c r="R157" i="71" s="1"/>
  <c r="AK158" i="71"/>
  <c r="AL158" i="71"/>
  <c r="AM158" i="71"/>
  <c r="AN158" i="71"/>
  <c r="AO158" i="71"/>
  <c r="AP158" i="71"/>
  <c r="AQ158" i="71"/>
  <c r="AR158" i="71"/>
  <c r="AS158" i="71"/>
  <c r="AT158" i="71"/>
  <c r="AU158" i="71"/>
  <c r="AV158" i="71"/>
  <c r="AW158" i="71"/>
  <c r="AX158" i="71"/>
  <c r="AY158" i="71"/>
  <c r="AZ158" i="71"/>
  <c r="BA158" i="71"/>
  <c r="BB158" i="71"/>
  <c r="BC158" i="71"/>
  <c r="BD158" i="71"/>
  <c r="BE158" i="71"/>
  <c r="BF158" i="71"/>
  <c r="BG158" i="71"/>
  <c r="BH158" i="71"/>
  <c r="BI158" i="71"/>
  <c r="BJ158" i="71"/>
  <c r="BG15" i="75" l="1"/>
  <c r="BI16" i="75"/>
  <c r="BH15" i="75"/>
  <c r="W89" i="71"/>
  <c r="W59" i="71" l="1"/>
  <c r="N108" i="71"/>
  <c r="P108" i="71" s="1"/>
  <c r="N61" i="71"/>
  <c r="P61" i="71" s="1"/>
  <c r="N29" i="71"/>
  <c r="P29" i="71" s="1"/>
  <c r="N42" i="71"/>
  <c r="P42" i="71" s="1"/>
  <c r="N136" i="71"/>
  <c r="P136" i="71" s="1"/>
  <c r="N62" i="71"/>
  <c r="P62" i="71" s="1"/>
  <c r="N94" i="71"/>
  <c r="P94" i="71" s="1"/>
  <c r="N80" i="71"/>
  <c r="P80" i="71" s="1"/>
  <c r="N20" i="71"/>
  <c r="P20" i="71" s="1"/>
  <c r="N47" i="71"/>
  <c r="P47" i="71" s="1"/>
  <c r="N26" i="71"/>
  <c r="P26" i="71" s="1"/>
  <c r="N87" i="71"/>
  <c r="P87" i="71" s="1"/>
  <c r="N44" i="71"/>
  <c r="P44" i="71" s="1"/>
  <c r="N25" i="71"/>
  <c r="P25" i="71" s="1"/>
  <c r="N43" i="71"/>
  <c r="P43" i="71" s="1"/>
  <c r="N79" i="71"/>
  <c r="P79" i="71" s="1"/>
  <c r="N138" i="71"/>
  <c r="P138" i="71" s="1"/>
  <c r="N40" i="71"/>
  <c r="P40" i="71" s="1"/>
  <c r="N24" i="71"/>
  <c r="P24" i="71" s="1"/>
  <c r="N134" i="71"/>
  <c r="P134" i="71" s="1"/>
  <c r="N59" i="71"/>
  <c r="P59" i="71" s="1"/>
  <c r="N19" i="71"/>
  <c r="P19" i="71" s="1"/>
  <c r="N78" i="71"/>
  <c r="P78" i="71" s="1"/>
  <c r="N30" i="71"/>
  <c r="P30" i="71" s="1"/>
  <c r="N48" i="71"/>
  <c r="P48" i="71" s="1"/>
  <c r="N135" i="71"/>
  <c r="P135" i="71" s="1"/>
  <c r="N37" i="71"/>
  <c r="P37" i="71" s="1"/>
  <c r="N140" i="71"/>
  <c r="P140" i="71" s="1"/>
  <c r="N32" i="71"/>
  <c r="P32" i="71" s="1"/>
  <c r="N34" i="71"/>
  <c r="P34" i="71" s="1"/>
  <c r="N106" i="71"/>
  <c r="P106" i="71" s="1"/>
  <c r="N137" i="71"/>
  <c r="P137" i="71" s="1"/>
  <c r="N139" i="71"/>
  <c r="P139" i="71" s="1"/>
  <c r="N143" i="71"/>
  <c r="P143" i="71" s="1"/>
  <c r="N144" i="71"/>
  <c r="P144" i="71" s="1"/>
  <c r="N109" i="71"/>
  <c r="P109" i="71" s="1"/>
  <c r="N145" i="71"/>
  <c r="P145" i="71" s="1"/>
  <c r="N86" i="71"/>
  <c r="P86" i="71" s="1"/>
  <c r="N146" i="71"/>
  <c r="P146" i="71" s="1"/>
  <c r="N147" i="71"/>
  <c r="P147" i="71" s="1"/>
  <c r="N131" i="71"/>
  <c r="P131" i="71" s="1"/>
  <c r="N73" i="71"/>
  <c r="P73" i="71" s="1"/>
  <c r="N141" i="71"/>
  <c r="P141" i="71" s="1"/>
  <c r="N84" i="71"/>
  <c r="P84" i="71" s="1"/>
  <c r="N126" i="71"/>
  <c r="P126" i="71" s="1"/>
  <c r="N129" i="71"/>
  <c r="P129" i="71" s="1"/>
  <c r="N95" i="71"/>
  <c r="P95" i="71" s="1"/>
  <c r="N81" i="71"/>
  <c r="P81" i="71" s="1"/>
  <c r="N149" i="71"/>
  <c r="P149" i="71" s="1"/>
  <c r="N35" i="71"/>
  <c r="P35" i="71" s="1"/>
  <c r="N36" i="71"/>
  <c r="P36" i="71" s="1"/>
  <c r="N150" i="71"/>
  <c r="P150" i="71" s="1"/>
  <c r="N152" i="71"/>
  <c r="P152" i="71" s="1"/>
  <c r="N21" i="71"/>
  <c r="P21" i="71" s="1"/>
  <c r="N28" i="71"/>
  <c r="P28" i="71" s="1"/>
  <c r="N77" i="71"/>
  <c r="P77" i="71" s="1"/>
  <c r="N54" i="71"/>
  <c r="P54" i="71" s="1"/>
  <c r="N96" i="71"/>
  <c r="P96" i="71" s="1"/>
  <c r="N97" i="71"/>
  <c r="P97" i="71" s="1"/>
  <c r="N46" i="71"/>
  <c r="P46" i="71" s="1"/>
  <c r="N60" i="71"/>
  <c r="P60" i="71" s="1"/>
  <c r="N89" i="71"/>
  <c r="P89" i="71" s="1"/>
  <c r="N66" i="71"/>
  <c r="P66" i="71" s="1"/>
  <c r="N101" i="71"/>
  <c r="P101" i="71" s="1"/>
  <c r="N65" i="71"/>
  <c r="P65" i="71" s="1"/>
  <c r="N83" i="71"/>
  <c r="P83" i="71" s="1"/>
  <c r="N41" i="71"/>
  <c r="P41" i="71" s="1"/>
  <c r="N142" i="71"/>
  <c r="P142" i="71" s="1"/>
  <c r="N148" i="71"/>
  <c r="P148" i="71" s="1"/>
  <c r="N151" i="71"/>
  <c r="P151" i="71" s="1"/>
  <c r="N67" i="71"/>
  <c r="P67" i="71" s="1"/>
  <c r="N50" i="71"/>
  <c r="P50" i="71" s="1"/>
  <c r="N99" i="71"/>
  <c r="P99" i="71" s="1"/>
  <c r="N45" i="71"/>
  <c r="P45" i="71" s="1"/>
  <c r="N154" i="71"/>
  <c r="P154" i="71" s="1"/>
  <c r="N82" i="71"/>
  <c r="P82" i="71" s="1"/>
  <c r="N153" i="71"/>
  <c r="P153" i="71" s="1"/>
  <c r="N98" i="71"/>
  <c r="P98" i="71" s="1"/>
  <c r="N58" i="71"/>
  <c r="P58" i="71" s="1"/>
  <c r="N64" i="71"/>
  <c r="P64" i="71" s="1"/>
  <c r="N91" i="71"/>
  <c r="P91" i="71" s="1"/>
  <c r="N104" i="71"/>
  <c r="P104" i="71" s="1"/>
  <c r="N92" i="71"/>
  <c r="P92" i="71" s="1"/>
  <c r="N132" i="71"/>
  <c r="P132" i="71" s="1"/>
  <c r="N63" i="71"/>
  <c r="P63" i="71" s="1"/>
  <c r="N107" i="71"/>
  <c r="P107" i="71" s="1"/>
  <c r="N127" i="71"/>
  <c r="P127" i="71" s="1"/>
  <c r="N85" i="71"/>
  <c r="P85" i="71" s="1"/>
  <c r="N114" i="71"/>
  <c r="P114" i="71" s="1"/>
  <c r="N120" i="71"/>
  <c r="P120" i="71" s="1"/>
  <c r="N118" i="71"/>
  <c r="P118" i="71" s="1"/>
  <c r="N119" i="71"/>
  <c r="P119" i="71" s="1"/>
  <c r="N110" i="71"/>
  <c r="P110" i="71" s="1"/>
  <c r="N133" i="71"/>
  <c r="P133" i="71" s="1"/>
  <c r="N88" i="71"/>
  <c r="P88" i="71" s="1"/>
  <c r="N103" i="71"/>
  <c r="P103" i="71" s="1"/>
  <c r="N90" i="71"/>
  <c r="P90" i="71" s="1"/>
  <c r="N49" i="71"/>
  <c r="P49" i="71" s="1"/>
  <c r="N102" i="71"/>
  <c r="P102" i="71" s="1"/>
  <c r="N155" i="71"/>
  <c r="P155" i="71" s="1"/>
  <c r="N55" i="71"/>
  <c r="P55" i="71" s="1"/>
  <c r="N51" i="71"/>
  <c r="P51" i="71" s="1"/>
  <c r="N115" i="71"/>
  <c r="P115" i="71" s="1"/>
  <c r="N31" i="71"/>
  <c r="P31" i="71" s="1"/>
  <c r="N75" i="71"/>
  <c r="P75" i="71" s="1"/>
  <c r="N23" i="71"/>
  <c r="P23" i="71" s="1"/>
  <c r="N111" i="71"/>
  <c r="P111" i="71" s="1"/>
  <c r="N128" i="71"/>
  <c r="P128" i="71" s="1"/>
  <c r="N68" i="71"/>
  <c r="P68" i="71" s="1"/>
  <c r="N52" i="71"/>
  <c r="P52" i="71" s="1"/>
  <c r="N38" i="71"/>
  <c r="P38" i="71" s="1"/>
  <c r="N22" i="71"/>
  <c r="P22" i="71" s="1"/>
  <c r="N112" i="71"/>
  <c r="P112" i="71" s="1"/>
  <c r="N121" i="71"/>
  <c r="P121" i="71" s="1"/>
  <c r="N116" i="71"/>
  <c r="P116" i="71" s="1"/>
  <c r="N125" i="71"/>
  <c r="P125" i="71" s="1"/>
  <c r="N117" i="71"/>
  <c r="P117" i="71" s="1"/>
  <c r="N124" i="71"/>
  <c r="P124" i="71" s="1"/>
  <c r="N113" i="71"/>
  <c r="P113" i="71" s="1"/>
  <c r="N123" i="71"/>
  <c r="P123" i="71" s="1"/>
  <c r="N33" i="71"/>
  <c r="P33" i="71" s="1"/>
  <c r="N74" i="71"/>
  <c r="P74" i="71" s="1"/>
  <c r="N53" i="71"/>
  <c r="P53" i="71" s="1"/>
  <c r="N76" i="71"/>
  <c r="P76" i="71" s="1"/>
  <c r="N100" i="71"/>
  <c r="P100" i="71" s="1"/>
  <c r="N122" i="71"/>
  <c r="P122" i="71" s="1"/>
  <c r="N57" i="71"/>
  <c r="P57" i="71" s="1"/>
  <c r="N56" i="71"/>
  <c r="P56" i="71" s="1"/>
  <c r="N27" i="71"/>
  <c r="P27" i="71" s="1"/>
  <c r="N130" i="71"/>
  <c r="P130" i="71" s="1"/>
  <c r="N69" i="71"/>
  <c r="P69" i="71" s="1"/>
  <c r="N39" i="71"/>
  <c r="P39" i="71" s="1"/>
  <c r="N70" i="71"/>
  <c r="P70" i="71" s="1"/>
  <c r="N71" i="71"/>
  <c r="P71" i="71" s="1"/>
  <c r="N72" i="71"/>
  <c r="P72" i="71" s="1"/>
  <c r="N93" i="71"/>
  <c r="P93" i="71" s="1"/>
  <c r="N105" i="71"/>
  <c r="P105" i="71" s="1"/>
  <c r="N156" i="71"/>
  <c r="P156" i="71" s="1"/>
  <c r="N157" i="71"/>
  <c r="P157" i="71" s="1"/>
  <c r="BK157" i="71"/>
  <c r="AH157" i="71"/>
  <c r="AI157" i="71" s="1"/>
  <c r="AA157" i="71"/>
  <c r="Z157" i="71"/>
  <c r="Y157" i="71"/>
  <c r="X157" i="71"/>
  <c r="W157" i="71"/>
  <c r="BK156" i="71"/>
  <c r="AH156" i="71"/>
  <c r="AI156" i="71" s="1"/>
  <c r="AA156" i="71"/>
  <c r="Z156" i="71"/>
  <c r="Y156" i="71"/>
  <c r="X156" i="71"/>
  <c r="W156" i="71"/>
  <c r="BK105" i="71"/>
  <c r="AH105" i="71"/>
  <c r="AI105" i="71" s="1"/>
  <c r="AA105" i="71"/>
  <c r="Z105" i="71"/>
  <c r="Y105" i="71"/>
  <c r="X105" i="71"/>
  <c r="W105" i="71"/>
  <c r="BK93" i="71"/>
  <c r="AH93" i="71"/>
  <c r="AI93" i="71" s="1"/>
  <c r="AA93" i="71"/>
  <c r="Z93" i="71"/>
  <c r="Y93" i="71"/>
  <c r="X93" i="71"/>
  <c r="W93" i="71"/>
  <c r="BK72" i="71"/>
  <c r="AH72" i="71"/>
  <c r="AI72" i="71" s="1"/>
  <c r="AA72" i="71"/>
  <c r="Z72" i="71"/>
  <c r="Y72" i="71"/>
  <c r="X72" i="71"/>
  <c r="W72" i="71"/>
  <c r="BK71" i="71"/>
  <c r="AH71" i="71"/>
  <c r="AI71" i="71" s="1"/>
  <c r="AA71" i="71"/>
  <c r="Z71" i="71"/>
  <c r="Y71" i="71"/>
  <c r="X71" i="71"/>
  <c r="W71" i="71"/>
  <c r="BK70" i="71"/>
  <c r="AH70" i="71"/>
  <c r="AI70" i="71" s="1"/>
  <c r="AA70" i="71"/>
  <c r="Z70" i="71"/>
  <c r="Y70" i="71"/>
  <c r="X70" i="71"/>
  <c r="W70" i="71"/>
  <c r="BK39" i="71"/>
  <c r="AH39" i="71"/>
  <c r="AI39" i="71" s="1"/>
  <c r="AA39" i="71"/>
  <c r="Z39" i="71"/>
  <c r="Y39" i="71"/>
  <c r="X39" i="71"/>
  <c r="W39" i="71"/>
  <c r="BK69" i="71"/>
  <c r="AH69" i="71"/>
  <c r="AI69" i="71" s="1"/>
  <c r="AA69" i="71"/>
  <c r="Z69" i="71"/>
  <c r="Y69" i="71"/>
  <c r="X69" i="71"/>
  <c r="W69" i="71"/>
  <c r="BK130" i="71"/>
  <c r="AH130" i="71"/>
  <c r="AI130" i="71" s="1"/>
  <c r="AA130" i="71"/>
  <c r="Z130" i="71"/>
  <c r="Y130" i="71"/>
  <c r="X130" i="71"/>
  <c r="W130" i="71"/>
  <c r="BK27" i="71"/>
  <c r="AH27" i="71"/>
  <c r="AI27" i="71" s="1"/>
  <c r="AA27" i="71"/>
  <c r="Z27" i="71"/>
  <c r="Y27" i="71"/>
  <c r="X27" i="71"/>
  <c r="W27" i="71"/>
  <c r="BK56" i="71"/>
  <c r="AH56" i="71"/>
  <c r="AI56" i="71" s="1"/>
  <c r="AA56" i="71"/>
  <c r="Z56" i="71"/>
  <c r="Y56" i="71"/>
  <c r="X56" i="71"/>
  <c r="W56" i="71"/>
  <c r="BK57" i="71"/>
  <c r="AH57" i="71"/>
  <c r="AI57" i="71" s="1"/>
  <c r="AA57" i="71"/>
  <c r="Z57" i="71"/>
  <c r="Y57" i="71"/>
  <c r="BK122" i="71"/>
  <c r="AH122" i="71"/>
  <c r="AI122" i="71" s="1"/>
  <c r="AA122" i="71"/>
  <c r="Z122" i="71"/>
  <c r="Y122" i="71"/>
  <c r="X122" i="71"/>
  <c r="W122" i="71"/>
  <c r="BK100" i="71"/>
  <c r="AH100" i="71"/>
  <c r="AI100" i="71" s="1"/>
  <c r="AA100" i="71"/>
  <c r="Z100" i="71"/>
  <c r="Y100" i="71"/>
  <c r="X100" i="71"/>
  <c r="W100" i="71"/>
  <c r="BK76" i="71"/>
  <c r="AH76" i="71"/>
  <c r="AI76" i="71" s="1"/>
  <c r="AA76" i="71"/>
  <c r="Z76" i="71"/>
  <c r="Y76" i="71"/>
  <c r="X76" i="71"/>
  <c r="W76" i="71"/>
  <c r="BK53" i="71"/>
  <c r="AH53" i="71"/>
  <c r="AI53" i="71" s="1"/>
  <c r="AA53" i="71"/>
  <c r="Z53" i="71"/>
  <c r="Y53" i="71"/>
  <c r="BK74" i="71"/>
  <c r="AH74" i="71"/>
  <c r="AI74" i="71" s="1"/>
  <c r="AA74" i="71"/>
  <c r="Z74" i="71"/>
  <c r="Y74" i="71"/>
  <c r="X74" i="71"/>
  <c r="W74" i="71"/>
  <c r="BK33" i="71"/>
  <c r="AA33" i="71"/>
  <c r="Z33" i="71"/>
  <c r="Y33" i="71"/>
  <c r="X33" i="71"/>
  <c r="W33" i="71"/>
  <c r="BK123" i="71"/>
  <c r="AH123" i="71"/>
  <c r="AI123" i="71" s="1"/>
  <c r="AA123" i="71"/>
  <c r="Z123" i="71"/>
  <c r="Y123" i="71"/>
  <c r="X123" i="71"/>
  <c r="W123" i="71"/>
  <c r="BK113" i="71"/>
  <c r="AH113" i="71"/>
  <c r="AI113" i="71" s="1"/>
  <c r="AA113" i="71"/>
  <c r="Z113" i="71"/>
  <c r="Y113" i="71"/>
  <c r="X113" i="71"/>
  <c r="W113" i="71"/>
  <c r="BK124" i="71"/>
  <c r="AH124" i="71"/>
  <c r="AI124" i="71" s="1"/>
  <c r="AA124" i="71"/>
  <c r="Z124" i="71"/>
  <c r="Y124" i="71"/>
  <c r="X124" i="71"/>
  <c r="W124" i="71"/>
  <c r="BK117" i="71"/>
  <c r="AH117" i="71"/>
  <c r="AI117" i="71" s="1"/>
  <c r="AA117" i="71"/>
  <c r="Z117" i="71"/>
  <c r="Y117" i="71"/>
  <c r="X117" i="71"/>
  <c r="W117" i="71"/>
  <c r="BK125" i="71"/>
  <c r="AH125" i="71"/>
  <c r="AI125" i="71" s="1"/>
  <c r="AA125" i="71"/>
  <c r="Z125" i="71"/>
  <c r="Y125" i="71"/>
  <c r="X125" i="71"/>
  <c r="W125" i="71"/>
  <c r="BK116" i="71"/>
  <c r="AH116" i="71"/>
  <c r="AI116" i="71" s="1"/>
  <c r="AA116" i="71"/>
  <c r="Z116" i="71"/>
  <c r="Y116" i="71"/>
  <c r="X116" i="71"/>
  <c r="W116" i="71"/>
  <c r="BK121" i="71"/>
  <c r="AH121" i="71"/>
  <c r="AI121" i="71" s="1"/>
  <c r="AA121" i="71"/>
  <c r="Z121" i="71"/>
  <c r="Y121" i="71"/>
  <c r="X121" i="71"/>
  <c r="W121" i="71"/>
  <c r="BK112" i="71"/>
  <c r="AH112" i="71"/>
  <c r="AI112" i="71" s="1"/>
  <c r="AA112" i="71"/>
  <c r="Z112" i="71"/>
  <c r="Y112" i="71"/>
  <c r="X112" i="71"/>
  <c r="W112" i="71"/>
  <c r="BK22" i="71"/>
  <c r="AH22" i="71"/>
  <c r="AI22" i="71" s="1"/>
  <c r="AA22" i="71"/>
  <c r="Z22" i="71"/>
  <c r="Y22" i="71"/>
  <c r="X22" i="71"/>
  <c r="W22" i="71"/>
  <c r="BK38" i="71"/>
  <c r="AH38" i="71"/>
  <c r="AI38" i="71" s="1"/>
  <c r="AA38" i="71"/>
  <c r="Z38" i="71"/>
  <c r="Y38" i="71"/>
  <c r="X38" i="71"/>
  <c r="W38" i="71"/>
  <c r="BK52" i="71"/>
  <c r="AH52" i="71"/>
  <c r="AI52" i="71" s="1"/>
  <c r="AA52" i="71"/>
  <c r="Z52" i="71"/>
  <c r="Y52" i="71"/>
  <c r="X52" i="71"/>
  <c r="W52" i="71"/>
  <c r="BK68" i="71"/>
  <c r="AH68" i="71"/>
  <c r="AI68" i="71" s="1"/>
  <c r="AA68" i="71"/>
  <c r="Z68" i="71"/>
  <c r="Y68" i="71"/>
  <c r="X68" i="71"/>
  <c r="W68" i="71"/>
  <c r="BK128" i="71"/>
  <c r="AH128" i="71"/>
  <c r="AI128" i="71" s="1"/>
  <c r="AA128" i="71"/>
  <c r="Z128" i="71"/>
  <c r="Y128" i="71"/>
  <c r="X128" i="71"/>
  <c r="W128" i="71"/>
  <c r="BK111" i="71"/>
  <c r="AH111" i="71"/>
  <c r="AI111" i="71" s="1"/>
  <c r="AA111" i="71"/>
  <c r="Z111" i="71"/>
  <c r="Y111" i="71"/>
  <c r="X111" i="71"/>
  <c r="W111" i="71"/>
  <c r="BK23" i="71"/>
  <c r="AH23" i="71"/>
  <c r="AI23" i="71" s="1"/>
  <c r="AA23" i="71"/>
  <c r="Z23" i="71"/>
  <c r="Y23" i="71"/>
  <c r="X23" i="71"/>
  <c r="W23" i="71"/>
  <c r="BK75" i="71"/>
  <c r="AI75" i="71"/>
  <c r="AA75" i="71"/>
  <c r="Z75" i="71"/>
  <c r="Y75" i="71"/>
  <c r="X75" i="71"/>
  <c r="W75" i="71"/>
  <c r="BK31" i="71"/>
  <c r="AA31" i="71"/>
  <c r="Z31" i="71"/>
  <c r="Y31" i="71"/>
  <c r="X31" i="71"/>
  <c r="W31" i="71"/>
  <c r="BK115" i="71"/>
  <c r="AH115" i="71"/>
  <c r="AI115" i="71" s="1"/>
  <c r="AA115" i="71"/>
  <c r="Z115" i="71"/>
  <c r="Y115" i="71"/>
  <c r="X115" i="71"/>
  <c r="W115" i="71"/>
  <c r="BK51" i="71"/>
  <c r="AH51" i="71"/>
  <c r="AI51" i="71" s="1"/>
  <c r="AA51" i="71"/>
  <c r="Z51" i="71"/>
  <c r="Y51" i="71"/>
  <c r="BK55" i="71"/>
  <c r="AH55" i="71"/>
  <c r="AI55" i="71" s="1"/>
  <c r="AA55" i="71"/>
  <c r="Z55" i="71"/>
  <c r="Y55" i="71"/>
  <c r="X55" i="71"/>
  <c r="W55" i="71"/>
  <c r="BK155" i="71"/>
  <c r="AH155" i="71"/>
  <c r="AI155" i="71" s="1"/>
  <c r="AA155" i="71"/>
  <c r="Z155" i="71"/>
  <c r="Y155" i="71"/>
  <c r="X155" i="71"/>
  <c r="W155" i="71"/>
  <c r="BK102" i="71"/>
  <c r="AH102" i="71"/>
  <c r="AI102" i="71" s="1"/>
  <c r="AA102" i="71"/>
  <c r="Z102" i="71"/>
  <c r="Y102" i="71"/>
  <c r="X102" i="71"/>
  <c r="W102" i="71"/>
  <c r="BK49" i="71"/>
  <c r="AH49" i="71"/>
  <c r="AI49" i="71" s="1"/>
  <c r="AA49" i="71"/>
  <c r="Z49" i="71"/>
  <c r="Y49" i="71"/>
  <c r="X49" i="71"/>
  <c r="BK90" i="71"/>
  <c r="AH90" i="71"/>
  <c r="AI90" i="71" s="1"/>
  <c r="AA90" i="71"/>
  <c r="Z90" i="71"/>
  <c r="Y90" i="71"/>
  <c r="X90" i="71"/>
  <c r="W90" i="71"/>
  <c r="BK103" i="71"/>
  <c r="AH103" i="71"/>
  <c r="AI103" i="71" s="1"/>
  <c r="AA103" i="71"/>
  <c r="Z103" i="71"/>
  <c r="Y103" i="71"/>
  <c r="X103" i="71"/>
  <c r="W103" i="71"/>
  <c r="BK88" i="71"/>
  <c r="AH88" i="71"/>
  <c r="AI88" i="71" s="1"/>
  <c r="AA88" i="71"/>
  <c r="Z88" i="71"/>
  <c r="Y88" i="71"/>
  <c r="X88" i="71"/>
  <c r="W88" i="71"/>
  <c r="BK133" i="71"/>
  <c r="AH133" i="71"/>
  <c r="AI133" i="71" s="1"/>
  <c r="AA133" i="71"/>
  <c r="Z133" i="71"/>
  <c r="Y133" i="71"/>
  <c r="X133" i="71"/>
  <c r="W133" i="71"/>
  <c r="BK110" i="71"/>
  <c r="AH110" i="71"/>
  <c r="AI110" i="71" s="1"/>
  <c r="AA110" i="71"/>
  <c r="Z110" i="71"/>
  <c r="Y110" i="71"/>
  <c r="X110" i="71"/>
  <c r="W110" i="71"/>
  <c r="BK119" i="71"/>
  <c r="AH119" i="71"/>
  <c r="AI119" i="71" s="1"/>
  <c r="AA119" i="71"/>
  <c r="Z119" i="71"/>
  <c r="Y119" i="71"/>
  <c r="X119" i="71"/>
  <c r="W119" i="71"/>
  <c r="BK118" i="71"/>
  <c r="AH118" i="71"/>
  <c r="AI118" i="71" s="1"/>
  <c r="AA118" i="71"/>
  <c r="Z118" i="71"/>
  <c r="Y118" i="71"/>
  <c r="X118" i="71"/>
  <c r="W118" i="71"/>
  <c r="BK120" i="71"/>
  <c r="AH120" i="71"/>
  <c r="AI120" i="71" s="1"/>
  <c r="AA120" i="71"/>
  <c r="Z120" i="71"/>
  <c r="Y120" i="71"/>
  <c r="X120" i="71"/>
  <c r="W120" i="71"/>
  <c r="BK114" i="71"/>
  <c r="AH114" i="71"/>
  <c r="AI114" i="71" s="1"/>
  <c r="AA114" i="71"/>
  <c r="Z114" i="71"/>
  <c r="Y114" i="71"/>
  <c r="X114" i="71"/>
  <c r="W114" i="71"/>
  <c r="BK85" i="71"/>
  <c r="AH85" i="71"/>
  <c r="AI85" i="71" s="1"/>
  <c r="AA85" i="71"/>
  <c r="Z85" i="71"/>
  <c r="Y85" i="71"/>
  <c r="X85" i="71"/>
  <c r="W85" i="71"/>
  <c r="BK127" i="71"/>
  <c r="AH127" i="71"/>
  <c r="AI127" i="71" s="1"/>
  <c r="AA127" i="71"/>
  <c r="Z127" i="71"/>
  <c r="Y127" i="71"/>
  <c r="X127" i="71"/>
  <c r="W127" i="71"/>
  <c r="BK107" i="71"/>
  <c r="AH107" i="71"/>
  <c r="AI107" i="71" s="1"/>
  <c r="AA107" i="71"/>
  <c r="Z107" i="71"/>
  <c r="Y107" i="71"/>
  <c r="X107" i="71"/>
  <c r="W107" i="71"/>
  <c r="BK63" i="71"/>
  <c r="AH63" i="71"/>
  <c r="AI63" i="71" s="1"/>
  <c r="AA63" i="71"/>
  <c r="Z63" i="71"/>
  <c r="Y63" i="71"/>
  <c r="X63" i="71"/>
  <c r="W63" i="71"/>
  <c r="BK132" i="71"/>
  <c r="AH132" i="71"/>
  <c r="AI132" i="71" s="1"/>
  <c r="AA132" i="71"/>
  <c r="Z132" i="71"/>
  <c r="Y132" i="71"/>
  <c r="X132" i="71"/>
  <c r="W132" i="71"/>
  <c r="BK92" i="71"/>
  <c r="AH92" i="71"/>
  <c r="AI92" i="71" s="1"/>
  <c r="AA92" i="71"/>
  <c r="Z92" i="71"/>
  <c r="Y92" i="71"/>
  <c r="X92" i="71"/>
  <c r="W92" i="71"/>
  <c r="BK104" i="71"/>
  <c r="AH104" i="71"/>
  <c r="AI104" i="71" s="1"/>
  <c r="AA104" i="71"/>
  <c r="Z104" i="71"/>
  <c r="Y104" i="71"/>
  <c r="X104" i="71"/>
  <c r="W104" i="71"/>
  <c r="BK91" i="71"/>
  <c r="AH91" i="71"/>
  <c r="AI91" i="71" s="1"/>
  <c r="AA91" i="71"/>
  <c r="Z91" i="71"/>
  <c r="Y91" i="71"/>
  <c r="X91" i="71"/>
  <c r="W91" i="71"/>
  <c r="BK64" i="71"/>
  <c r="AH64" i="71"/>
  <c r="AI64" i="71" s="1"/>
  <c r="AA64" i="71"/>
  <c r="Z64" i="71"/>
  <c r="Y64" i="71"/>
  <c r="X64" i="71"/>
  <c r="BK58" i="71"/>
  <c r="AH58" i="71"/>
  <c r="AI58" i="71" s="1"/>
  <c r="AA58" i="71"/>
  <c r="Z58" i="71"/>
  <c r="Y58" i="71"/>
  <c r="X58" i="71"/>
  <c r="W58" i="71"/>
  <c r="BK98" i="71"/>
  <c r="AH98" i="71"/>
  <c r="AI98" i="71" s="1"/>
  <c r="AA98" i="71"/>
  <c r="Z98" i="71"/>
  <c r="Y98" i="71"/>
  <c r="X98" i="71"/>
  <c r="W98" i="71"/>
  <c r="BK153" i="71"/>
  <c r="AH153" i="71"/>
  <c r="AI153" i="71" s="1"/>
  <c r="AA153" i="71"/>
  <c r="Z153" i="71"/>
  <c r="Y153" i="71"/>
  <c r="X153" i="71"/>
  <c r="W153" i="71"/>
  <c r="BK82" i="71"/>
  <c r="AH82" i="71"/>
  <c r="AI82" i="71" s="1"/>
  <c r="AA82" i="71"/>
  <c r="Z82" i="71"/>
  <c r="Y82" i="71"/>
  <c r="X82" i="71"/>
  <c r="W82" i="71"/>
  <c r="BK154" i="71"/>
  <c r="AH154" i="71"/>
  <c r="AI154" i="71" s="1"/>
  <c r="AA154" i="71"/>
  <c r="Z154" i="71"/>
  <c r="Y154" i="71"/>
  <c r="X154" i="71"/>
  <c r="W154" i="71"/>
  <c r="BK45" i="71"/>
  <c r="AH45" i="71"/>
  <c r="AI45" i="71" s="1"/>
  <c r="AA45" i="71"/>
  <c r="Z45" i="71"/>
  <c r="Y45" i="71"/>
  <c r="BK99" i="71"/>
  <c r="AH99" i="71"/>
  <c r="AI99" i="71" s="1"/>
  <c r="AA99" i="71"/>
  <c r="Z99" i="71"/>
  <c r="Y99" i="71"/>
  <c r="X99" i="71"/>
  <c r="W99" i="71"/>
  <c r="BK50" i="71"/>
  <c r="AH50" i="71"/>
  <c r="AI50" i="71" s="1"/>
  <c r="AA50" i="71"/>
  <c r="Z50" i="71"/>
  <c r="Y50" i="71"/>
  <c r="BK67" i="71"/>
  <c r="AH67" i="71"/>
  <c r="AI67" i="71" s="1"/>
  <c r="AA67" i="71"/>
  <c r="Z67" i="71"/>
  <c r="Y67" i="71"/>
  <c r="X67" i="71"/>
  <c r="BK151" i="71"/>
  <c r="AH151" i="71"/>
  <c r="AI151" i="71" s="1"/>
  <c r="AA151" i="71"/>
  <c r="Z151" i="71"/>
  <c r="Y151" i="71"/>
  <c r="X151" i="71"/>
  <c r="W151" i="71"/>
  <c r="BK148" i="71"/>
  <c r="AH148" i="71"/>
  <c r="AI148" i="71" s="1"/>
  <c r="AA148" i="71"/>
  <c r="Z148" i="71"/>
  <c r="Y148" i="71"/>
  <c r="X148" i="71"/>
  <c r="W148" i="71"/>
  <c r="BK142" i="71"/>
  <c r="AH142" i="71"/>
  <c r="AI142" i="71" s="1"/>
  <c r="AA142" i="71"/>
  <c r="Z142" i="71"/>
  <c r="Y142" i="71"/>
  <c r="X142" i="71"/>
  <c r="W142" i="71"/>
  <c r="BK41" i="71"/>
  <c r="AH41" i="71"/>
  <c r="AI41" i="71" s="1"/>
  <c r="AA41" i="71"/>
  <c r="Z41" i="71"/>
  <c r="Y41" i="71"/>
  <c r="BK83" i="71"/>
  <c r="AH83" i="71"/>
  <c r="AI83" i="71" s="1"/>
  <c r="AA83" i="71"/>
  <c r="Z83" i="71"/>
  <c r="Y83" i="71"/>
  <c r="X83" i="71"/>
  <c r="W83" i="71"/>
  <c r="BK65" i="71"/>
  <c r="AH65" i="71"/>
  <c r="AI65" i="71" s="1"/>
  <c r="AA65" i="71"/>
  <c r="Z65" i="71"/>
  <c r="Y65" i="71"/>
  <c r="X65" i="71"/>
  <c r="BK101" i="71"/>
  <c r="AH101" i="71"/>
  <c r="AI101" i="71" s="1"/>
  <c r="AA101" i="71"/>
  <c r="Z101" i="71"/>
  <c r="Y101" i="71"/>
  <c r="X101" i="71"/>
  <c r="W101" i="71"/>
  <c r="BK66" i="71"/>
  <c r="AH66" i="71"/>
  <c r="AI66" i="71" s="1"/>
  <c r="AA66" i="71"/>
  <c r="Z66" i="71"/>
  <c r="Y66" i="71"/>
  <c r="X66" i="71"/>
  <c r="BK89" i="71"/>
  <c r="AH89" i="71"/>
  <c r="AI89" i="71" s="1"/>
  <c r="AA89" i="71"/>
  <c r="Z89" i="71"/>
  <c r="Y89" i="71"/>
  <c r="X89" i="71"/>
  <c r="BK60" i="71"/>
  <c r="AH60" i="71"/>
  <c r="AI60" i="71" s="1"/>
  <c r="AA60" i="71"/>
  <c r="Z60" i="71"/>
  <c r="Y60" i="71"/>
  <c r="X60" i="71"/>
  <c r="W60" i="71"/>
  <c r="BK46" i="71"/>
  <c r="AH46" i="71"/>
  <c r="AI46" i="71" s="1"/>
  <c r="AA46" i="71"/>
  <c r="Z46" i="71"/>
  <c r="Y46" i="71"/>
  <c r="X46" i="71"/>
  <c r="BK97" i="71"/>
  <c r="AH97" i="71"/>
  <c r="AI97" i="71" s="1"/>
  <c r="AA97" i="71"/>
  <c r="Z97" i="71"/>
  <c r="Y97" i="71"/>
  <c r="X97" i="71"/>
  <c r="W97" i="71"/>
  <c r="BK96" i="71"/>
  <c r="AH96" i="71"/>
  <c r="AI96" i="71" s="1"/>
  <c r="AA96" i="71"/>
  <c r="Z96" i="71"/>
  <c r="Y96" i="71"/>
  <c r="X96" i="71"/>
  <c r="W96" i="71"/>
  <c r="BK54" i="71"/>
  <c r="AH54" i="71"/>
  <c r="AI54" i="71" s="1"/>
  <c r="AA54" i="71"/>
  <c r="Z54" i="71"/>
  <c r="Y54" i="71"/>
  <c r="BK77" i="71"/>
  <c r="AH77" i="71"/>
  <c r="AI77" i="71" s="1"/>
  <c r="AA77" i="71"/>
  <c r="Z77" i="71"/>
  <c r="Y77" i="71"/>
  <c r="X77" i="71"/>
  <c r="W77" i="71"/>
  <c r="BK28" i="71"/>
  <c r="AA28" i="71"/>
  <c r="Z28" i="71"/>
  <c r="Y28" i="71"/>
  <c r="X28" i="71"/>
  <c r="W28" i="71"/>
  <c r="BK21" i="71"/>
  <c r="AA21" i="71"/>
  <c r="Z21" i="71"/>
  <c r="Y21" i="71"/>
  <c r="X21" i="71"/>
  <c r="W21" i="71"/>
  <c r="BK152" i="71"/>
  <c r="AH152" i="71"/>
  <c r="AI152" i="71" s="1"/>
  <c r="AA152" i="71"/>
  <c r="Z152" i="71"/>
  <c r="Y152" i="71"/>
  <c r="X152" i="71"/>
  <c r="W152" i="71"/>
  <c r="BK150" i="71"/>
  <c r="AH150" i="71"/>
  <c r="AI150" i="71" s="1"/>
  <c r="AA150" i="71"/>
  <c r="Z150" i="71"/>
  <c r="Y150" i="71"/>
  <c r="X150" i="71"/>
  <c r="W150" i="71"/>
  <c r="BK36" i="71"/>
  <c r="AA36" i="71"/>
  <c r="Z36" i="71"/>
  <c r="Y36" i="71"/>
  <c r="X36" i="71"/>
  <c r="W36" i="71"/>
  <c r="BK35" i="71"/>
  <c r="AA35" i="71"/>
  <c r="Z35" i="71"/>
  <c r="Y35" i="71"/>
  <c r="X35" i="71"/>
  <c r="W35" i="71"/>
  <c r="BK149" i="71"/>
  <c r="AH149" i="71"/>
  <c r="AI149" i="71" s="1"/>
  <c r="AA149" i="71"/>
  <c r="Z149" i="71"/>
  <c r="Y149" i="71"/>
  <c r="X149" i="71"/>
  <c r="W149" i="71"/>
  <c r="BK81" i="71"/>
  <c r="AH81" i="71"/>
  <c r="AI81" i="71" s="1"/>
  <c r="AA81" i="71"/>
  <c r="Z81" i="71"/>
  <c r="Y81" i="71"/>
  <c r="X81" i="71"/>
  <c r="W81" i="71"/>
  <c r="BK95" i="71"/>
  <c r="AH95" i="71"/>
  <c r="AI95" i="71" s="1"/>
  <c r="AA95" i="71"/>
  <c r="Z95" i="71"/>
  <c r="Y95" i="71"/>
  <c r="X95" i="71"/>
  <c r="W95" i="71"/>
  <c r="BK129" i="71"/>
  <c r="AH129" i="71"/>
  <c r="AI129" i="71" s="1"/>
  <c r="AA129" i="71"/>
  <c r="Z129" i="71"/>
  <c r="Y129" i="71"/>
  <c r="X129" i="71"/>
  <c r="W129" i="71"/>
  <c r="BK126" i="71"/>
  <c r="AH126" i="71"/>
  <c r="AI126" i="71" s="1"/>
  <c r="AA126" i="71"/>
  <c r="Z126" i="71"/>
  <c r="Y126" i="71"/>
  <c r="X126" i="71"/>
  <c r="W126" i="71"/>
  <c r="BK84" i="71"/>
  <c r="AH84" i="71"/>
  <c r="AI84" i="71" s="1"/>
  <c r="AA84" i="71"/>
  <c r="Z84" i="71"/>
  <c r="Y84" i="71"/>
  <c r="X84" i="71"/>
  <c r="W84" i="71"/>
  <c r="BK141" i="71"/>
  <c r="AH141" i="71"/>
  <c r="AI141" i="71" s="1"/>
  <c r="AA141" i="71"/>
  <c r="Z141" i="71"/>
  <c r="Y141" i="71"/>
  <c r="X141" i="71"/>
  <c r="W141" i="71"/>
  <c r="BK73" i="71"/>
  <c r="AH73" i="71"/>
  <c r="AI73" i="71" s="1"/>
  <c r="AA73" i="71"/>
  <c r="Z73" i="71"/>
  <c r="Y73" i="71"/>
  <c r="X73" i="71"/>
  <c r="W73" i="71"/>
  <c r="BK131" i="71"/>
  <c r="AH131" i="71"/>
  <c r="AI131" i="71" s="1"/>
  <c r="AA131" i="71"/>
  <c r="Z131" i="71"/>
  <c r="Y131" i="71"/>
  <c r="X131" i="71"/>
  <c r="W131" i="71"/>
  <c r="BK147" i="71"/>
  <c r="AH147" i="71"/>
  <c r="AI147" i="71" s="1"/>
  <c r="AA147" i="71"/>
  <c r="Z147" i="71"/>
  <c r="Y147" i="71"/>
  <c r="X147" i="71"/>
  <c r="W147" i="71"/>
  <c r="BK146" i="71"/>
  <c r="AH146" i="71"/>
  <c r="AI146" i="71" s="1"/>
  <c r="AA146" i="71"/>
  <c r="Z146" i="71"/>
  <c r="Y146" i="71"/>
  <c r="X146" i="71"/>
  <c r="W146" i="71"/>
  <c r="BK86" i="71"/>
  <c r="AH86" i="71"/>
  <c r="AI86" i="71" s="1"/>
  <c r="AA86" i="71"/>
  <c r="Z86" i="71"/>
  <c r="Y86" i="71"/>
  <c r="X86" i="71"/>
  <c r="W86" i="71"/>
  <c r="BK145" i="71"/>
  <c r="AH145" i="71"/>
  <c r="AI145" i="71" s="1"/>
  <c r="AA145" i="71"/>
  <c r="Z145" i="71"/>
  <c r="Y145" i="71"/>
  <c r="X145" i="71"/>
  <c r="W145" i="71"/>
  <c r="BK109" i="71"/>
  <c r="AH109" i="71"/>
  <c r="AI109" i="71" s="1"/>
  <c r="AA109" i="71"/>
  <c r="Z109" i="71"/>
  <c r="Y109" i="71"/>
  <c r="X109" i="71"/>
  <c r="W109" i="71"/>
  <c r="BK144" i="71"/>
  <c r="AH144" i="71"/>
  <c r="AI144" i="71" s="1"/>
  <c r="AA144" i="71"/>
  <c r="Z144" i="71"/>
  <c r="Y144" i="71"/>
  <c r="X144" i="71"/>
  <c r="W144" i="71"/>
  <c r="BK143" i="71"/>
  <c r="AH143" i="71"/>
  <c r="AI143" i="71" s="1"/>
  <c r="AA143" i="71"/>
  <c r="Z143" i="71"/>
  <c r="Y143" i="71"/>
  <c r="X143" i="71"/>
  <c r="W143" i="71"/>
  <c r="BK139" i="71"/>
  <c r="AH139" i="71"/>
  <c r="AI139" i="71" s="1"/>
  <c r="AA139" i="71"/>
  <c r="Z139" i="71"/>
  <c r="Y139" i="71"/>
  <c r="X139" i="71"/>
  <c r="W139" i="71"/>
  <c r="BK137" i="71"/>
  <c r="AH137" i="71"/>
  <c r="AI137" i="71" s="1"/>
  <c r="AA137" i="71"/>
  <c r="Z137" i="71"/>
  <c r="Y137" i="71"/>
  <c r="X137" i="71"/>
  <c r="W137" i="71"/>
  <c r="BK106" i="71"/>
  <c r="AH106" i="71"/>
  <c r="AI106" i="71" s="1"/>
  <c r="AA106" i="71"/>
  <c r="Z106" i="71"/>
  <c r="Y106" i="71"/>
  <c r="X106" i="71"/>
  <c r="W106" i="71"/>
  <c r="BK34" i="71"/>
  <c r="AA34" i="71"/>
  <c r="Z34" i="71"/>
  <c r="Y34" i="71"/>
  <c r="X34" i="71"/>
  <c r="W34" i="71"/>
  <c r="BK32" i="71"/>
  <c r="AA32" i="71"/>
  <c r="Z32" i="71"/>
  <c r="Y32" i="71"/>
  <c r="X32" i="71"/>
  <c r="W32" i="71"/>
  <c r="BK140" i="71"/>
  <c r="AH140" i="71"/>
  <c r="AI140" i="71" s="1"/>
  <c r="AA140" i="71"/>
  <c r="Z140" i="71"/>
  <c r="Y140" i="71"/>
  <c r="X140" i="71"/>
  <c r="W140" i="71"/>
  <c r="BK37" i="71"/>
  <c r="AA37" i="71"/>
  <c r="Z37" i="71"/>
  <c r="Y37" i="71"/>
  <c r="X37" i="71"/>
  <c r="W37" i="71"/>
  <c r="BK135" i="71"/>
  <c r="AH135" i="71"/>
  <c r="AI135" i="71" s="1"/>
  <c r="AA135" i="71"/>
  <c r="Z135" i="71"/>
  <c r="Y135" i="71"/>
  <c r="X135" i="71"/>
  <c r="W135" i="71"/>
  <c r="BK48" i="71"/>
  <c r="AA48" i="71"/>
  <c r="Z48" i="71"/>
  <c r="Y48" i="71"/>
  <c r="X48" i="71"/>
  <c r="W48" i="71"/>
  <c r="BK30" i="71"/>
  <c r="AA30" i="71"/>
  <c r="Z30" i="71"/>
  <c r="Y30" i="71"/>
  <c r="X30" i="71"/>
  <c r="W30" i="71"/>
  <c r="BK78" i="71"/>
  <c r="AH78" i="71"/>
  <c r="AI78" i="71" s="1"/>
  <c r="AA78" i="71"/>
  <c r="Z78" i="71"/>
  <c r="Y78" i="71"/>
  <c r="X78" i="71"/>
  <c r="W78" i="71"/>
  <c r="BK19" i="71"/>
  <c r="AA19" i="71"/>
  <c r="Z19" i="71"/>
  <c r="Y19" i="71"/>
  <c r="X19" i="71"/>
  <c r="W19" i="71"/>
  <c r="BK59" i="71"/>
  <c r="AH59" i="71"/>
  <c r="AI59" i="71" s="1"/>
  <c r="AA59" i="71"/>
  <c r="Z59" i="71"/>
  <c r="Y59" i="71"/>
  <c r="X59" i="71"/>
  <c r="BK134" i="71"/>
  <c r="AH134" i="71"/>
  <c r="AI134" i="71" s="1"/>
  <c r="AA134" i="71"/>
  <c r="Z134" i="71"/>
  <c r="Y134" i="71"/>
  <c r="X134" i="71"/>
  <c r="W134" i="71"/>
  <c r="BK24" i="71"/>
  <c r="AA24" i="71"/>
  <c r="Z24" i="71"/>
  <c r="Y24" i="71"/>
  <c r="X24" i="71"/>
  <c r="W24" i="71"/>
  <c r="BK40" i="71"/>
  <c r="AH40" i="71"/>
  <c r="AI40" i="71" s="1"/>
  <c r="AA40" i="71"/>
  <c r="Z40" i="71"/>
  <c r="Y40" i="71"/>
  <c r="BK138" i="71"/>
  <c r="AH138" i="71"/>
  <c r="AI138" i="71" s="1"/>
  <c r="AA138" i="71"/>
  <c r="Z138" i="71"/>
  <c r="Y138" i="71"/>
  <c r="X138" i="71"/>
  <c r="W138" i="71"/>
  <c r="BK79" i="71"/>
  <c r="AH79" i="71"/>
  <c r="AI79" i="71" s="1"/>
  <c r="AA79" i="71"/>
  <c r="Z79" i="71"/>
  <c r="Y79" i="71"/>
  <c r="X79" i="71"/>
  <c r="W79" i="71"/>
  <c r="BK43" i="71"/>
  <c r="AH43" i="71"/>
  <c r="AI43" i="71" s="1"/>
  <c r="AA43" i="71"/>
  <c r="Z43" i="71"/>
  <c r="Y43" i="71"/>
  <c r="BK25" i="71"/>
  <c r="AA25" i="71"/>
  <c r="Z25" i="71"/>
  <c r="Y25" i="71"/>
  <c r="X25" i="71"/>
  <c r="W25" i="71"/>
  <c r="BK44" i="71"/>
  <c r="AH44" i="71"/>
  <c r="AI44" i="71" s="1"/>
  <c r="AA44" i="71"/>
  <c r="Z44" i="71"/>
  <c r="Y44" i="71"/>
  <c r="BK87" i="71"/>
  <c r="AH87" i="71"/>
  <c r="AI87" i="71" s="1"/>
  <c r="AA87" i="71"/>
  <c r="Z87" i="71"/>
  <c r="Y87" i="71"/>
  <c r="X87" i="71"/>
  <c r="W87" i="71"/>
  <c r="BK26" i="71"/>
  <c r="AA26" i="71"/>
  <c r="Z26" i="71"/>
  <c r="Y26" i="71"/>
  <c r="X26" i="71"/>
  <c r="W26" i="71"/>
  <c r="BK47" i="71"/>
  <c r="AH47" i="71"/>
  <c r="AI47" i="71" s="1"/>
  <c r="AA47" i="71"/>
  <c r="Z47" i="71"/>
  <c r="Y47" i="71"/>
  <c r="BK20" i="71"/>
  <c r="AA20" i="71"/>
  <c r="Z20" i="71"/>
  <c r="Y20" i="71"/>
  <c r="X20" i="71"/>
  <c r="W20" i="71"/>
  <c r="BK80" i="71"/>
  <c r="AH80" i="71"/>
  <c r="AI80" i="71" s="1"/>
  <c r="AA80" i="71"/>
  <c r="Z80" i="71"/>
  <c r="Y80" i="71"/>
  <c r="X80" i="71"/>
  <c r="W80" i="71"/>
  <c r="BK94" i="71"/>
  <c r="AH94" i="71"/>
  <c r="AI94" i="71" s="1"/>
  <c r="AA94" i="71"/>
  <c r="Z94" i="71"/>
  <c r="Y94" i="71"/>
  <c r="X94" i="71"/>
  <c r="W94" i="71"/>
  <c r="BK62" i="71"/>
  <c r="AH62" i="71"/>
  <c r="AI62" i="71" s="1"/>
  <c r="AA62" i="71"/>
  <c r="Z62" i="71"/>
  <c r="Y62" i="71"/>
  <c r="W62" i="71"/>
  <c r="BK136" i="71"/>
  <c r="AH136" i="71"/>
  <c r="AI136" i="71" s="1"/>
  <c r="AA136" i="71"/>
  <c r="Z136" i="71"/>
  <c r="Y136" i="71"/>
  <c r="X136" i="71"/>
  <c r="W136" i="71"/>
  <c r="BK42" i="71"/>
  <c r="AH42" i="71"/>
  <c r="AI42" i="71" s="1"/>
  <c r="AA42" i="71"/>
  <c r="Z42" i="71"/>
  <c r="Y42" i="71"/>
  <c r="BK29" i="71"/>
  <c r="AA29" i="71"/>
  <c r="Z29" i="71"/>
  <c r="Y29" i="71"/>
  <c r="X29" i="71"/>
  <c r="W29" i="71"/>
  <c r="BK61" i="71"/>
  <c r="AH61" i="71"/>
  <c r="AI61" i="71" s="1"/>
  <c r="AA61" i="71"/>
  <c r="Z61" i="71"/>
  <c r="Y61" i="71"/>
  <c r="X61" i="71"/>
  <c r="W61" i="71"/>
  <c r="BK108" i="71"/>
  <c r="AH108" i="71"/>
  <c r="AI108" i="71" s="1"/>
  <c r="AA108" i="71"/>
  <c r="Z108" i="71"/>
  <c r="Y108" i="71"/>
  <c r="X108" i="71"/>
  <c r="W108" i="71"/>
  <c r="BL14" i="71"/>
  <c r="BK14" i="71"/>
  <c r="AH11" i="71"/>
  <c r="BI9" i="71"/>
  <c r="BG9" i="71"/>
  <c r="BE9" i="71"/>
  <c r="BC9" i="71"/>
  <c r="BA9" i="71"/>
  <c r="AY9" i="71"/>
  <c r="AW9" i="71"/>
  <c r="AU9" i="71"/>
  <c r="AS9" i="71"/>
  <c r="AQ9" i="71"/>
  <c r="AO9" i="71"/>
  <c r="AM9" i="71"/>
  <c r="AK9" i="71"/>
  <c r="BI8" i="71"/>
  <c r="BG8" i="71"/>
  <c r="BE8" i="71"/>
  <c r="BC8" i="71"/>
  <c r="BA8" i="71"/>
  <c r="AY8" i="71"/>
  <c r="AW8" i="71"/>
  <c r="AU8" i="71"/>
  <c r="AS8" i="71"/>
  <c r="AQ8" i="71"/>
  <c r="AO8" i="71"/>
  <c r="AM8" i="71"/>
  <c r="AK8" i="71"/>
  <c r="BI6" i="71"/>
  <c r="BG6" i="71"/>
  <c r="BE6" i="71"/>
  <c r="BC6" i="71"/>
  <c r="BA6" i="71"/>
  <c r="AY6" i="71"/>
  <c r="AW6" i="71"/>
  <c r="AU6" i="71"/>
  <c r="AS6" i="71"/>
  <c r="AQ6" i="71"/>
  <c r="AO6" i="71"/>
  <c r="AM6" i="71"/>
  <c r="AK6" i="71"/>
  <c r="BI5" i="71"/>
  <c r="BG5" i="71"/>
  <c r="BE5" i="71"/>
  <c r="BC5" i="71"/>
  <c r="BA5" i="71"/>
  <c r="AY5" i="71"/>
  <c r="AW5" i="71"/>
  <c r="AU5" i="71"/>
  <c r="AS5" i="71"/>
  <c r="AQ5" i="71"/>
  <c r="AO5" i="71"/>
  <c r="AM5" i="71"/>
  <c r="AK5" i="71"/>
  <c r="BI4" i="71"/>
  <c r="BG4" i="71"/>
  <c r="BE4" i="71"/>
  <c r="BC4" i="71"/>
  <c r="BA4" i="71"/>
  <c r="AY4" i="71"/>
  <c r="AW4" i="71"/>
  <c r="AU4" i="71"/>
  <c r="AS4" i="71"/>
  <c r="AQ4" i="71"/>
  <c r="AO4" i="71"/>
  <c r="AM4" i="71"/>
  <c r="L157" i="70"/>
  <c r="AQ7" i="71" l="1"/>
  <c r="AO7" i="71"/>
  <c r="AS7" i="71"/>
  <c r="BK158" i="71"/>
  <c r="AM7" i="71"/>
  <c r="AW10" i="71"/>
  <c r="AB59" i="71"/>
  <c r="AB32" i="71"/>
  <c r="AB153" i="71"/>
  <c r="AB63" i="71"/>
  <c r="AB110" i="71"/>
  <c r="AB25" i="71"/>
  <c r="AB19" i="71"/>
  <c r="AB34" i="71"/>
  <c r="AB98" i="71"/>
  <c r="AB107" i="71"/>
  <c r="AB133" i="71"/>
  <c r="BE7" i="71"/>
  <c r="AB138" i="71"/>
  <c r="AB99" i="71"/>
  <c r="AB113" i="71"/>
  <c r="AB57" i="71"/>
  <c r="AB72" i="71"/>
  <c r="AQ10" i="71"/>
  <c r="BG10" i="71"/>
  <c r="AB81" i="71"/>
  <c r="AB77" i="71"/>
  <c r="AB101" i="71"/>
  <c r="AB93" i="71"/>
  <c r="AB71" i="71"/>
  <c r="AB128" i="71"/>
  <c r="AB26" i="71"/>
  <c r="AB36" i="71"/>
  <c r="AB97" i="71"/>
  <c r="AB41" i="71"/>
  <c r="AB157" i="71"/>
  <c r="AB29" i="71"/>
  <c r="AB44" i="71"/>
  <c r="AB116" i="71"/>
  <c r="AB53" i="71"/>
  <c r="AB69" i="71"/>
  <c r="AB108" i="71"/>
  <c r="AB147" i="71"/>
  <c r="AB154" i="71"/>
  <c r="AB115" i="71"/>
  <c r="AB31" i="71"/>
  <c r="AB27" i="71"/>
  <c r="AB20" i="71"/>
  <c r="AB145" i="71"/>
  <c r="AB65" i="71"/>
  <c r="AB92" i="71"/>
  <c r="AB55" i="71"/>
  <c r="AB38" i="71"/>
  <c r="AB22" i="71"/>
  <c r="AB123" i="71"/>
  <c r="AB56" i="71"/>
  <c r="AB105" i="71"/>
  <c r="BI10" i="71"/>
  <c r="AS10" i="71"/>
  <c r="AS11" i="71" s="1"/>
  <c r="AY7" i="71"/>
  <c r="AB48" i="71"/>
  <c r="AB50" i="71"/>
  <c r="AB91" i="71"/>
  <c r="AB114" i="71"/>
  <c r="AB68" i="71"/>
  <c r="AB124" i="71"/>
  <c r="AB122" i="71"/>
  <c r="BC7" i="71"/>
  <c r="AY10" i="71"/>
  <c r="AB62" i="71"/>
  <c r="AB90" i="71"/>
  <c r="AB86" i="71"/>
  <c r="AB51" i="71"/>
  <c r="AB30" i="71"/>
  <c r="AB144" i="71"/>
  <c r="AB149" i="71"/>
  <c r="AB60" i="71"/>
  <c r="AB89" i="71"/>
  <c r="AB127" i="71"/>
  <c r="AB85" i="71"/>
  <c r="AB102" i="71"/>
  <c r="AB112" i="71"/>
  <c r="AB76" i="71"/>
  <c r="AB100" i="71"/>
  <c r="AB156" i="71"/>
  <c r="BC10" i="71"/>
  <c r="AB80" i="71"/>
  <c r="AB24" i="71"/>
  <c r="AB139" i="71"/>
  <c r="AB126" i="71"/>
  <c r="AB129" i="71"/>
  <c r="AB52" i="71"/>
  <c r="AB136" i="71"/>
  <c r="AB137" i="71"/>
  <c r="AB141" i="71"/>
  <c r="AB54" i="71"/>
  <c r="AB148" i="71"/>
  <c r="AB151" i="71"/>
  <c r="AB88" i="71"/>
  <c r="AB103" i="71"/>
  <c r="AB111" i="71"/>
  <c r="AB33" i="71"/>
  <c r="AB39" i="71"/>
  <c r="AB70" i="71"/>
  <c r="AK7" i="71"/>
  <c r="BL5" i="71"/>
  <c r="BG7" i="71"/>
  <c r="BL6" i="71"/>
  <c r="BA7" i="71"/>
  <c r="AB79" i="71"/>
  <c r="AB37" i="71"/>
  <c r="AB131" i="71"/>
  <c r="AB152" i="71"/>
  <c r="AB21" i="71"/>
  <c r="AB58" i="71"/>
  <c r="AB64" i="71"/>
  <c r="AB118" i="71"/>
  <c r="AB75" i="71"/>
  <c r="AB125" i="71"/>
  <c r="AB117" i="71"/>
  <c r="BL4" i="71"/>
  <c r="AU10" i="71"/>
  <c r="AB61" i="71"/>
  <c r="AB42" i="71"/>
  <c r="AB94" i="71"/>
  <c r="AB47" i="71"/>
  <c r="AB87" i="71"/>
  <c r="AB43" i="71"/>
  <c r="AB40" i="71"/>
  <c r="AB134" i="71"/>
  <c r="AB78" i="71"/>
  <c r="AB135" i="71"/>
  <c r="AB140" i="71"/>
  <c r="AB106" i="71"/>
  <c r="AB143" i="71"/>
  <c r="AB109" i="71"/>
  <c r="AB146" i="71"/>
  <c r="AB73" i="71"/>
  <c r="AB84" i="71"/>
  <c r="AB95" i="71"/>
  <c r="AB35" i="71"/>
  <c r="AB150" i="71"/>
  <c r="AB28" i="71"/>
  <c r="AB96" i="71"/>
  <c r="AB46" i="71"/>
  <c r="AB66" i="71"/>
  <c r="AB83" i="71"/>
  <c r="AB142" i="71"/>
  <c r="AB67" i="71"/>
  <c r="AB45" i="71"/>
  <c r="AB82" i="71"/>
  <c r="AB104" i="71"/>
  <c r="AB132" i="71"/>
  <c r="AB120" i="71"/>
  <c r="AB119" i="71"/>
  <c r="AB49" i="71"/>
  <c r="AB155" i="71"/>
  <c r="AB23" i="71"/>
  <c r="AB121" i="71"/>
  <c r="AB74" i="71"/>
  <c r="AB130" i="71"/>
  <c r="BK6" i="71"/>
  <c r="BK5" i="71"/>
  <c r="BI7" i="71"/>
  <c r="AK10" i="71"/>
  <c r="BA10" i="71"/>
  <c r="BL9" i="71"/>
  <c r="AU7" i="71"/>
  <c r="AM10" i="71"/>
  <c r="BK4" i="71"/>
  <c r="AO10" i="71"/>
  <c r="BE10" i="71"/>
  <c r="BK9" i="71"/>
  <c r="BK8" i="71"/>
  <c r="BL8" i="71"/>
  <c r="AW7" i="71"/>
  <c r="P83" i="70"/>
  <c r="AO11" i="71" l="1"/>
  <c r="AO13" i="71" s="1"/>
  <c r="AO15" i="71" s="1"/>
  <c r="AQ11" i="71"/>
  <c r="AQ13" i="71" s="1"/>
  <c r="AQ15" i="71" s="1"/>
  <c r="AM11" i="71"/>
  <c r="AM13" i="71" s="1"/>
  <c r="AW11" i="71"/>
  <c r="AW13" i="71" s="1"/>
  <c r="AW15" i="71" s="1"/>
  <c r="AS13" i="71"/>
  <c r="AS15" i="71" s="1"/>
  <c r="BE11" i="71"/>
  <c r="BE13" i="71" s="1"/>
  <c r="BE16" i="71" s="1"/>
  <c r="BG11" i="71"/>
  <c r="BG13" i="71" s="1"/>
  <c r="BG16" i="71" s="1"/>
  <c r="BC11" i="71"/>
  <c r="BC13" i="71" s="1"/>
  <c r="BC15" i="71" s="1"/>
  <c r="AY11" i="71"/>
  <c r="AY13" i="71" s="1"/>
  <c r="AY16" i="71" s="1"/>
  <c r="BL7" i="71"/>
  <c r="AK11" i="71"/>
  <c r="AK13" i="71" s="1"/>
  <c r="AK16" i="71" s="1"/>
  <c r="BI11" i="71"/>
  <c r="BI13" i="71" s="1"/>
  <c r="BI15" i="71" s="1"/>
  <c r="BL10" i="71"/>
  <c r="BA11" i="71"/>
  <c r="BA13" i="71" s="1"/>
  <c r="BA15" i="71" s="1"/>
  <c r="BK7" i="71"/>
  <c r="AU11" i="71"/>
  <c r="AU13" i="71" s="1"/>
  <c r="BK10" i="71"/>
  <c r="N96" i="70"/>
  <c r="P96" i="70" s="1"/>
  <c r="N76" i="70"/>
  <c r="P76" i="70" s="1"/>
  <c r="N19" i="70"/>
  <c r="P19" i="70" s="1"/>
  <c r="N30" i="70"/>
  <c r="P30" i="70" s="1"/>
  <c r="N130" i="70"/>
  <c r="P130" i="70" s="1"/>
  <c r="N78" i="70"/>
  <c r="P78" i="70" s="1"/>
  <c r="N89" i="70"/>
  <c r="P89" i="70" s="1"/>
  <c r="N75" i="70"/>
  <c r="P75" i="70" s="1"/>
  <c r="N101" i="70"/>
  <c r="P101" i="70" s="1"/>
  <c r="N36" i="70"/>
  <c r="P36" i="70" s="1"/>
  <c r="N21" i="70"/>
  <c r="P21" i="70" s="1"/>
  <c r="N69" i="70"/>
  <c r="P69" i="70" s="1"/>
  <c r="N33" i="70"/>
  <c r="P33" i="70" s="1"/>
  <c r="N26" i="70"/>
  <c r="P26" i="70" s="1"/>
  <c r="N31" i="70"/>
  <c r="P31" i="70" s="1"/>
  <c r="N73" i="70"/>
  <c r="P73" i="70" s="1"/>
  <c r="N131" i="70"/>
  <c r="P131" i="70" s="1"/>
  <c r="N27" i="70"/>
  <c r="P27" i="70" s="1"/>
  <c r="N105" i="70"/>
  <c r="P105" i="70" s="1"/>
  <c r="N132" i="70"/>
  <c r="P132" i="70" s="1"/>
  <c r="N55" i="70"/>
  <c r="P55" i="70" s="1"/>
  <c r="N110" i="70"/>
  <c r="P110" i="70" s="1"/>
  <c r="N54" i="70"/>
  <c r="P54" i="70" s="1"/>
  <c r="N111" i="70"/>
  <c r="P111" i="70" s="1"/>
  <c r="N116" i="70"/>
  <c r="P116" i="70" s="1"/>
  <c r="N133" i="70"/>
  <c r="P133" i="70" s="1"/>
  <c r="N124" i="70"/>
  <c r="P124" i="70" s="1"/>
  <c r="N134" i="70"/>
  <c r="P134" i="70" s="1"/>
  <c r="N125" i="70"/>
  <c r="P125" i="70" s="1"/>
  <c r="N126" i="70"/>
  <c r="P126" i="70" s="1"/>
  <c r="N95" i="70"/>
  <c r="P95" i="70" s="1"/>
  <c r="N135" i="70"/>
  <c r="P135" i="70" s="1"/>
  <c r="N136" i="70"/>
  <c r="P136" i="70" s="1"/>
  <c r="N137" i="70"/>
  <c r="P137" i="70" s="1"/>
  <c r="N138" i="70"/>
  <c r="P138" i="70" s="1"/>
  <c r="N99" i="70"/>
  <c r="P99" i="70" s="1"/>
  <c r="N139" i="70"/>
  <c r="P139" i="70" s="1"/>
  <c r="N70" i="70"/>
  <c r="P70" i="70" s="1"/>
  <c r="N140" i="70"/>
  <c r="P140" i="70" s="1"/>
  <c r="N141" i="70"/>
  <c r="P141" i="70" s="1"/>
  <c r="N142" i="70"/>
  <c r="P142" i="70" s="1"/>
  <c r="N48" i="70"/>
  <c r="P48" i="70" s="1"/>
  <c r="N143" i="70"/>
  <c r="P143" i="70" s="1"/>
  <c r="N71" i="70"/>
  <c r="P71" i="70" s="1"/>
  <c r="N120" i="70"/>
  <c r="P120" i="70" s="1"/>
  <c r="N119" i="70"/>
  <c r="P119" i="70" s="1"/>
  <c r="N90" i="70"/>
  <c r="P90" i="70" s="1"/>
  <c r="N46" i="70"/>
  <c r="P46" i="70" s="1"/>
  <c r="N144" i="70"/>
  <c r="P144" i="70" s="1"/>
  <c r="N127" i="70"/>
  <c r="P127" i="70" s="1"/>
  <c r="N128" i="70"/>
  <c r="P128" i="70" s="1"/>
  <c r="N145" i="70"/>
  <c r="P145" i="70" s="1"/>
  <c r="N146" i="70"/>
  <c r="P146" i="70" s="1"/>
  <c r="N32" i="70"/>
  <c r="P32" i="70" s="1"/>
  <c r="N129" i="70"/>
  <c r="P129" i="70" s="1"/>
  <c r="N44" i="70"/>
  <c r="P44" i="70" s="1"/>
  <c r="N43" i="70"/>
  <c r="P43" i="70" s="1"/>
  <c r="N91" i="70"/>
  <c r="P91" i="70" s="1"/>
  <c r="N97" i="70"/>
  <c r="P97" i="70" s="1"/>
  <c r="N29" i="70"/>
  <c r="P29" i="70" s="1"/>
  <c r="N82" i="70"/>
  <c r="P82" i="70" s="1"/>
  <c r="N45" i="70"/>
  <c r="P45" i="70" s="1"/>
  <c r="N65" i="70"/>
  <c r="P65" i="70" s="1"/>
  <c r="N81" i="70"/>
  <c r="P81" i="70" s="1"/>
  <c r="N67" i="70"/>
  <c r="P67" i="70" s="1"/>
  <c r="N66" i="70"/>
  <c r="P66" i="70" s="1"/>
  <c r="N28" i="70"/>
  <c r="P28" i="70" s="1"/>
  <c r="N147" i="70"/>
  <c r="P147" i="70" s="1"/>
  <c r="N148" i="70"/>
  <c r="P148" i="70" s="1"/>
  <c r="N149" i="70"/>
  <c r="P149" i="70" s="1"/>
  <c r="N87" i="70"/>
  <c r="P87" i="70" s="1"/>
  <c r="N40" i="70"/>
  <c r="P40" i="70" s="1"/>
  <c r="N88" i="70"/>
  <c r="P88" i="70" s="1"/>
  <c r="N35" i="70"/>
  <c r="P35" i="70" s="1"/>
  <c r="N150" i="70"/>
  <c r="P150" i="70" s="1"/>
  <c r="N50" i="70"/>
  <c r="P50" i="70" s="1"/>
  <c r="N151" i="70"/>
  <c r="P151" i="70" s="1"/>
  <c r="N92" i="70"/>
  <c r="P92" i="70" s="1"/>
  <c r="N49" i="70"/>
  <c r="P49" i="70" s="1"/>
  <c r="N84" i="70"/>
  <c r="P84" i="70" s="1"/>
  <c r="N74" i="70"/>
  <c r="P74" i="70" s="1"/>
  <c r="N86" i="70"/>
  <c r="P86" i="70" s="1"/>
  <c r="N77" i="70"/>
  <c r="P77" i="70" s="1"/>
  <c r="N152" i="70"/>
  <c r="P152" i="70" s="1"/>
  <c r="N58" i="70"/>
  <c r="P58" i="70" s="1"/>
  <c r="N121" i="70"/>
  <c r="P121" i="70" s="1"/>
  <c r="N57" i="70"/>
  <c r="P57" i="70" s="1"/>
  <c r="N104" i="70"/>
  <c r="P104" i="70" s="1"/>
  <c r="N107" i="70"/>
  <c r="P107" i="70" s="1"/>
  <c r="N112" i="70"/>
  <c r="P112" i="70" s="1"/>
  <c r="N106" i="70"/>
  <c r="P106" i="70" s="1"/>
  <c r="N93" i="70"/>
  <c r="P93" i="70" s="1"/>
  <c r="N153" i="70"/>
  <c r="P153" i="70" s="1"/>
  <c r="N60" i="70"/>
  <c r="P60" i="70" s="1"/>
  <c r="N79" i="70"/>
  <c r="P79" i="70" s="1"/>
  <c r="N68" i="70"/>
  <c r="P68" i="70" s="1"/>
  <c r="N94" i="70"/>
  <c r="P94" i="70" s="1"/>
  <c r="N85" i="70"/>
  <c r="P85" i="70" s="1"/>
  <c r="N154" i="70"/>
  <c r="P154" i="70" s="1"/>
  <c r="N37" i="70"/>
  <c r="P37" i="70" s="1"/>
  <c r="N39" i="70"/>
  <c r="P39" i="70" s="1"/>
  <c r="N100" i="70"/>
  <c r="P100" i="70" s="1"/>
  <c r="N34" i="70"/>
  <c r="P34" i="70" s="1"/>
  <c r="N51" i="70"/>
  <c r="P51" i="70" s="1"/>
  <c r="N20" i="70"/>
  <c r="P20" i="70" s="1"/>
  <c r="N80" i="70"/>
  <c r="P80" i="70" s="1"/>
  <c r="N122" i="70"/>
  <c r="P122" i="70" s="1"/>
  <c r="N59" i="70"/>
  <c r="P59" i="70" s="1"/>
  <c r="N41" i="70"/>
  <c r="P41" i="70" s="1"/>
  <c r="N22" i="70"/>
  <c r="P22" i="70" s="1"/>
  <c r="N23" i="70"/>
  <c r="P23" i="70" s="1"/>
  <c r="N102" i="70"/>
  <c r="P102" i="70" s="1"/>
  <c r="N114" i="70"/>
  <c r="P114" i="70" s="1"/>
  <c r="N108" i="70"/>
  <c r="P108" i="70" s="1"/>
  <c r="N117" i="70"/>
  <c r="P117" i="70" s="1"/>
  <c r="N109" i="70"/>
  <c r="P109" i="70" s="1"/>
  <c r="N115" i="70"/>
  <c r="P115" i="70" s="1"/>
  <c r="N103" i="70"/>
  <c r="P103" i="70" s="1"/>
  <c r="N113" i="70"/>
  <c r="P113" i="70" s="1"/>
  <c r="N38" i="70"/>
  <c r="P38" i="70" s="1"/>
  <c r="N56" i="70"/>
  <c r="P56" i="70" s="1"/>
  <c r="N42" i="70"/>
  <c r="P42" i="70" s="1"/>
  <c r="N61" i="70"/>
  <c r="P61" i="70" s="1"/>
  <c r="N98" i="70"/>
  <c r="P98" i="70" s="1"/>
  <c r="N118" i="70"/>
  <c r="P118" i="70" s="1"/>
  <c r="N52" i="70"/>
  <c r="P52" i="70" s="1"/>
  <c r="N47" i="70"/>
  <c r="P47" i="70" s="1"/>
  <c r="N24" i="70"/>
  <c r="P24" i="70" s="1"/>
  <c r="N123" i="70"/>
  <c r="P123" i="70" s="1"/>
  <c r="N155" i="70"/>
  <c r="P155" i="70" s="1"/>
  <c r="N156" i="70"/>
  <c r="P156" i="70" s="1"/>
  <c r="BH157" i="70"/>
  <c r="BG157" i="70"/>
  <c r="BF157" i="70"/>
  <c r="BE157" i="70"/>
  <c r="BD157" i="70"/>
  <c r="BC157" i="70"/>
  <c r="BB157" i="70"/>
  <c r="BA157" i="70"/>
  <c r="AZ157" i="70"/>
  <c r="AY157" i="70"/>
  <c r="AX157" i="70"/>
  <c r="AW157" i="70"/>
  <c r="AV157" i="70"/>
  <c r="AU157" i="70"/>
  <c r="AT157" i="70"/>
  <c r="AS157" i="70"/>
  <c r="AR157" i="70"/>
  <c r="AQ157" i="70"/>
  <c r="AP157" i="70"/>
  <c r="AO157" i="70"/>
  <c r="AN157" i="70"/>
  <c r="AM157" i="70"/>
  <c r="AL157" i="70"/>
  <c r="AK157" i="70"/>
  <c r="AJ157" i="70"/>
  <c r="AI157" i="70"/>
  <c r="K157" i="70"/>
  <c r="BI156" i="70"/>
  <c r="AF156" i="70"/>
  <c r="AG156" i="70" s="1"/>
  <c r="Y156" i="70"/>
  <c r="X156" i="70"/>
  <c r="W156" i="70"/>
  <c r="V156" i="70"/>
  <c r="U156" i="70"/>
  <c r="BI155" i="70"/>
  <c r="AF155" i="70"/>
  <c r="AG155" i="70" s="1"/>
  <c r="Y155" i="70"/>
  <c r="X155" i="70"/>
  <c r="W155" i="70"/>
  <c r="V155" i="70"/>
  <c r="U155" i="70"/>
  <c r="BI72" i="70"/>
  <c r="AF72" i="70"/>
  <c r="AG72" i="70" s="1"/>
  <c r="Y72" i="70"/>
  <c r="X72" i="70"/>
  <c r="W72" i="70"/>
  <c r="V72" i="70"/>
  <c r="U72" i="70"/>
  <c r="BI53" i="70"/>
  <c r="AF53" i="70"/>
  <c r="AG53" i="70" s="1"/>
  <c r="Y53" i="70"/>
  <c r="X53" i="70"/>
  <c r="W53" i="70"/>
  <c r="V53" i="70"/>
  <c r="U53" i="70"/>
  <c r="BI64" i="70"/>
  <c r="AF64" i="70"/>
  <c r="AG64" i="70" s="1"/>
  <c r="Y64" i="70"/>
  <c r="X64" i="70"/>
  <c r="W64" i="70"/>
  <c r="V64" i="70"/>
  <c r="U64" i="70"/>
  <c r="BI63" i="70"/>
  <c r="AF63" i="70"/>
  <c r="AG63" i="70" s="1"/>
  <c r="Y63" i="70"/>
  <c r="X63" i="70"/>
  <c r="W63" i="70"/>
  <c r="V63" i="70"/>
  <c r="U63" i="70"/>
  <c r="BI25" i="70"/>
  <c r="AF25" i="70"/>
  <c r="AG25" i="70" s="1"/>
  <c r="Y25" i="70"/>
  <c r="X25" i="70"/>
  <c r="W25" i="70"/>
  <c r="V25" i="70"/>
  <c r="U25" i="70"/>
  <c r="BI62" i="70"/>
  <c r="AF62" i="70"/>
  <c r="AG62" i="70" s="1"/>
  <c r="Y62" i="70"/>
  <c r="X62" i="70"/>
  <c r="W62" i="70"/>
  <c r="V62" i="70"/>
  <c r="U62" i="70"/>
  <c r="BI123" i="70"/>
  <c r="AF123" i="70"/>
  <c r="AG123" i="70" s="1"/>
  <c r="Y123" i="70"/>
  <c r="X123" i="70"/>
  <c r="W123" i="70"/>
  <c r="V123" i="70"/>
  <c r="U123" i="70"/>
  <c r="BI24" i="70"/>
  <c r="AF24" i="70"/>
  <c r="AG24" i="70" s="1"/>
  <c r="Y24" i="70"/>
  <c r="X24" i="70"/>
  <c r="W24" i="70"/>
  <c r="V24" i="70"/>
  <c r="U24" i="70"/>
  <c r="BI47" i="70"/>
  <c r="AF47" i="70"/>
  <c r="AG47" i="70" s="1"/>
  <c r="Y47" i="70"/>
  <c r="X47" i="70"/>
  <c r="W47" i="70"/>
  <c r="V47" i="70"/>
  <c r="U47" i="70"/>
  <c r="BI52" i="70"/>
  <c r="AF52" i="70"/>
  <c r="AG52" i="70" s="1"/>
  <c r="Y52" i="70"/>
  <c r="X52" i="70"/>
  <c r="W52" i="70"/>
  <c r="V52" i="70"/>
  <c r="U52" i="70"/>
  <c r="BI118" i="70"/>
  <c r="AF118" i="70"/>
  <c r="AG118" i="70" s="1"/>
  <c r="Y118" i="70"/>
  <c r="X118" i="70"/>
  <c r="W118" i="70"/>
  <c r="V118" i="70"/>
  <c r="U118" i="70"/>
  <c r="BI98" i="70"/>
  <c r="AF98" i="70"/>
  <c r="AG98" i="70" s="1"/>
  <c r="Y98" i="70"/>
  <c r="X98" i="70"/>
  <c r="W98" i="70"/>
  <c r="V98" i="70"/>
  <c r="U98" i="70"/>
  <c r="BI61" i="70"/>
  <c r="AF61" i="70"/>
  <c r="AG61" i="70" s="1"/>
  <c r="Y61" i="70"/>
  <c r="X61" i="70"/>
  <c r="W61" i="70"/>
  <c r="V61" i="70"/>
  <c r="U61" i="70"/>
  <c r="BI42" i="70"/>
  <c r="AF42" i="70"/>
  <c r="AG42" i="70" s="1"/>
  <c r="Y42" i="70"/>
  <c r="X42" i="70"/>
  <c r="W42" i="70"/>
  <c r="V42" i="70"/>
  <c r="U42" i="70"/>
  <c r="BI56" i="70"/>
  <c r="AF56" i="70"/>
  <c r="AG56" i="70" s="1"/>
  <c r="Y56" i="70"/>
  <c r="X56" i="70"/>
  <c r="W56" i="70"/>
  <c r="V56" i="70"/>
  <c r="U56" i="70"/>
  <c r="BI38" i="70"/>
  <c r="Y38" i="70"/>
  <c r="X38" i="70"/>
  <c r="W38" i="70"/>
  <c r="V38" i="70"/>
  <c r="U38" i="70"/>
  <c r="BI113" i="70"/>
  <c r="AF113" i="70"/>
  <c r="AG113" i="70" s="1"/>
  <c r="Y113" i="70"/>
  <c r="X113" i="70"/>
  <c r="W113" i="70"/>
  <c r="V113" i="70"/>
  <c r="U113" i="70"/>
  <c r="BI103" i="70"/>
  <c r="AF103" i="70"/>
  <c r="AG103" i="70" s="1"/>
  <c r="Y103" i="70"/>
  <c r="X103" i="70"/>
  <c r="W103" i="70"/>
  <c r="V103" i="70"/>
  <c r="U103" i="70"/>
  <c r="BI115" i="70"/>
  <c r="AF115" i="70"/>
  <c r="AG115" i="70" s="1"/>
  <c r="Y115" i="70"/>
  <c r="X115" i="70"/>
  <c r="W115" i="70"/>
  <c r="V115" i="70"/>
  <c r="U115" i="70"/>
  <c r="BI109" i="70"/>
  <c r="AF109" i="70"/>
  <c r="AG109" i="70" s="1"/>
  <c r="Y109" i="70"/>
  <c r="X109" i="70"/>
  <c r="W109" i="70"/>
  <c r="V109" i="70"/>
  <c r="U109" i="70"/>
  <c r="BI117" i="70"/>
  <c r="AF117" i="70"/>
  <c r="AG117" i="70" s="1"/>
  <c r="Y117" i="70"/>
  <c r="X117" i="70"/>
  <c r="W117" i="70"/>
  <c r="V117" i="70"/>
  <c r="U117" i="70"/>
  <c r="BI108" i="70"/>
  <c r="AF108" i="70"/>
  <c r="AG108" i="70" s="1"/>
  <c r="Y108" i="70"/>
  <c r="X108" i="70"/>
  <c r="W108" i="70"/>
  <c r="V108" i="70"/>
  <c r="U108" i="70"/>
  <c r="BI114" i="70"/>
  <c r="AF114" i="70"/>
  <c r="AG114" i="70" s="1"/>
  <c r="Y114" i="70"/>
  <c r="X114" i="70"/>
  <c r="W114" i="70"/>
  <c r="V114" i="70"/>
  <c r="U114" i="70"/>
  <c r="BI102" i="70"/>
  <c r="AF102" i="70"/>
  <c r="AG102" i="70" s="1"/>
  <c r="Y102" i="70"/>
  <c r="X102" i="70"/>
  <c r="W102" i="70"/>
  <c r="V102" i="70"/>
  <c r="U102" i="70"/>
  <c r="BI23" i="70"/>
  <c r="AF23" i="70"/>
  <c r="AG23" i="70" s="1"/>
  <c r="Y23" i="70"/>
  <c r="X23" i="70"/>
  <c r="W23" i="70"/>
  <c r="V23" i="70"/>
  <c r="U23" i="70"/>
  <c r="BI22" i="70"/>
  <c r="AF22" i="70"/>
  <c r="AG22" i="70" s="1"/>
  <c r="Y22" i="70"/>
  <c r="X22" i="70"/>
  <c r="W22" i="70"/>
  <c r="V22" i="70"/>
  <c r="U22" i="70"/>
  <c r="BI41" i="70"/>
  <c r="AF41" i="70"/>
  <c r="AG41" i="70" s="1"/>
  <c r="Y41" i="70"/>
  <c r="X41" i="70"/>
  <c r="W41" i="70"/>
  <c r="V41" i="70"/>
  <c r="U41" i="70"/>
  <c r="BI59" i="70"/>
  <c r="AF59" i="70"/>
  <c r="AG59" i="70" s="1"/>
  <c r="Y59" i="70"/>
  <c r="X59" i="70"/>
  <c r="W59" i="70"/>
  <c r="V59" i="70"/>
  <c r="U59" i="70"/>
  <c r="BI122" i="70"/>
  <c r="AF122" i="70"/>
  <c r="AG122" i="70" s="1"/>
  <c r="Y122" i="70"/>
  <c r="X122" i="70"/>
  <c r="W122" i="70"/>
  <c r="V122" i="70"/>
  <c r="U122" i="70"/>
  <c r="BI80" i="70"/>
  <c r="AF80" i="70"/>
  <c r="AG80" i="70" s="1"/>
  <c r="Y80" i="70"/>
  <c r="X80" i="70"/>
  <c r="W80" i="70"/>
  <c r="V80" i="70"/>
  <c r="U80" i="70"/>
  <c r="BI20" i="70"/>
  <c r="AF20" i="70"/>
  <c r="AG20" i="70" s="1"/>
  <c r="Y20" i="70"/>
  <c r="X20" i="70"/>
  <c r="W20" i="70"/>
  <c r="V20" i="70"/>
  <c r="U20" i="70"/>
  <c r="BI51" i="70"/>
  <c r="AF51" i="70"/>
  <c r="AG51" i="70" s="1"/>
  <c r="Y51" i="70"/>
  <c r="X51" i="70"/>
  <c r="W51" i="70"/>
  <c r="V51" i="70"/>
  <c r="U51" i="70"/>
  <c r="BI34" i="70"/>
  <c r="Y34" i="70"/>
  <c r="X34" i="70"/>
  <c r="W34" i="70"/>
  <c r="V34" i="70"/>
  <c r="U34" i="70"/>
  <c r="BI100" i="70"/>
  <c r="AF100" i="70"/>
  <c r="AG100" i="70" s="1"/>
  <c r="Y100" i="70"/>
  <c r="X100" i="70"/>
  <c r="W100" i="70"/>
  <c r="V100" i="70"/>
  <c r="U100" i="70"/>
  <c r="BI39" i="70"/>
  <c r="AF39" i="70"/>
  <c r="AG39" i="70" s="1"/>
  <c r="Y39" i="70"/>
  <c r="X39" i="70"/>
  <c r="W39" i="70"/>
  <c r="V39" i="70"/>
  <c r="U39" i="70"/>
  <c r="BI37" i="70"/>
  <c r="AF37" i="70"/>
  <c r="AG37" i="70" s="1"/>
  <c r="Y37" i="70"/>
  <c r="X37" i="70"/>
  <c r="W37" i="70"/>
  <c r="V37" i="70"/>
  <c r="U37" i="70"/>
  <c r="BI154" i="70"/>
  <c r="AF154" i="70"/>
  <c r="AG154" i="70" s="1"/>
  <c r="Y154" i="70"/>
  <c r="X154" i="70"/>
  <c r="W154" i="70"/>
  <c r="V154" i="70"/>
  <c r="U154" i="70"/>
  <c r="BI85" i="70"/>
  <c r="AF85" i="70"/>
  <c r="AG85" i="70" s="1"/>
  <c r="Y85" i="70"/>
  <c r="X85" i="70"/>
  <c r="W85" i="70"/>
  <c r="V85" i="70"/>
  <c r="U85" i="70"/>
  <c r="BI94" i="70"/>
  <c r="AF94" i="70"/>
  <c r="AG94" i="70" s="1"/>
  <c r="Y94" i="70"/>
  <c r="X94" i="70"/>
  <c r="W94" i="70"/>
  <c r="V94" i="70"/>
  <c r="U94" i="70"/>
  <c r="BI68" i="70"/>
  <c r="AF68" i="70"/>
  <c r="AG68" i="70" s="1"/>
  <c r="Y68" i="70"/>
  <c r="X68" i="70"/>
  <c r="W68" i="70"/>
  <c r="V68" i="70"/>
  <c r="U68" i="70"/>
  <c r="BI79" i="70"/>
  <c r="AF79" i="70"/>
  <c r="AG79" i="70" s="1"/>
  <c r="Y79" i="70"/>
  <c r="X79" i="70"/>
  <c r="W79" i="70"/>
  <c r="V79" i="70"/>
  <c r="U79" i="70"/>
  <c r="BI60" i="70"/>
  <c r="AF60" i="70"/>
  <c r="AG60" i="70" s="1"/>
  <c r="Y60" i="70"/>
  <c r="X60" i="70"/>
  <c r="W60" i="70"/>
  <c r="V60" i="70"/>
  <c r="U60" i="70"/>
  <c r="BI153" i="70"/>
  <c r="AF153" i="70"/>
  <c r="AG153" i="70" s="1"/>
  <c r="Y153" i="70"/>
  <c r="X153" i="70"/>
  <c r="W153" i="70"/>
  <c r="V153" i="70"/>
  <c r="U153" i="70"/>
  <c r="BI93" i="70"/>
  <c r="AF93" i="70"/>
  <c r="AG93" i="70" s="1"/>
  <c r="Y93" i="70"/>
  <c r="X93" i="70"/>
  <c r="W93" i="70"/>
  <c r="V93" i="70"/>
  <c r="U93" i="70"/>
  <c r="BI106" i="70"/>
  <c r="AF106" i="70"/>
  <c r="AG106" i="70" s="1"/>
  <c r="Y106" i="70"/>
  <c r="X106" i="70"/>
  <c r="W106" i="70"/>
  <c r="V106" i="70"/>
  <c r="U106" i="70"/>
  <c r="BI112" i="70"/>
  <c r="AF112" i="70"/>
  <c r="AG112" i="70" s="1"/>
  <c r="Y112" i="70"/>
  <c r="X112" i="70"/>
  <c r="W112" i="70"/>
  <c r="V112" i="70"/>
  <c r="U112" i="70"/>
  <c r="BI107" i="70"/>
  <c r="AF107" i="70"/>
  <c r="AG107" i="70" s="1"/>
  <c r="Y107" i="70"/>
  <c r="X107" i="70"/>
  <c r="W107" i="70"/>
  <c r="V107" i="70"/>
  <c r="U107" i="70"/>
  <c r="BI104" i="70"/>
  <c r="AF104" i="70"/>
  <c r="AG104" i="70" s="1"/>
  <c r="Y104" i="70"/>
  <c r="X104" i="70"/>
  <c r="W104" i="70"/>
  <c r="V104" i="70"/>
  <c r="U104" i="70"/>
  <c r="BI57" i="70"/>
  <c r="AF57" i="70"/>
  <c r="AG57" i="70" s="1"/>
  <c r="Y57" i="70"/>
  <c r="X57" i="70"/>
  <c r="W57" i="70"/>
  <c r="V57" i="70"/>
  <c r="U57" i="70"/>
  <c r="BI121" i="70"/>
  <c r="AF121" i="70"/>
  <c r="AG121" i="70" s="1"/>
  <c r="Y121" i="70"/>
  <c r="X121" i="70"/>
  <c r="W121" i="70"/>
  <c r="V121" i="70"/>
  <c r="U121" i="70"/>
  <c r="BI83" i="70"/>
  <c r="AF83" i="70"/>
  <c r="AG83" i="70" s="1"/>
  <c r="Y83" i="70"/>
  <c r="X83" i="70"/>
  <c r="W83" i="70"/>
  <c r="V83" i="70"/>
  <c r="U83" i="70"/>
  <c r="BI58" i="70"/>
  <c r="AF58" i="70"/>
  <c r="AG58" i="70" s="1"/>
  <c r="Y58" i="70"/>
  <c r="X58" i="70"/>
  <c r="W58" i="70"/>
  <c r="V58" i="70"/>
  <c r="U58" i="70"/>
  <c r="BI152" i="70"/>
  <c r="AF152" i="70"/>
  <c r="AG152" i="70" s="1"/>
  <c r="Y152" i="70"/>
  <c r="X152" i="70"/>
  <c r="W152" i="70"/>
  <c r="V152" i="70"/>
  <c r="U152" i="70"/>
  <c r="BI77" i="70"/>
  <c r="AF77" i="70"/>
  <c r="AG77" i="70" s="1"/>
  <c r="Y77" i="70"/>
  <c r="X77" i="70"/>
  <c r="W77" i="70"/>
  <c r="V77" i="70"/>
  <c r="U77" i="70"/>
  <c r="BI86" i="70"/>
  <c r="AF86" i="70"/>
  <c r="AG86" i="70" s="1"/>
  <c r="Y86" i="70"/>
  <c r="X86" i="70"/>
  <c r="W86" i="70"/>
  <c r="V86" i="70"/>
  <c r="U86" i="70"/>
  <c r="BI74" i="70"/>
  <c r="AF74" i="70"/>
  <c r="AG74" i="70" s="1"/>
  <c r="Y74" i="70"/>
  <c r="X74" i="70"/>
  <c r="W74" i="70"/>
  <c r="V74" i="70"/>
  <c r="U74" i="70"/>
  <c r="BI84" i="70"/>
  <c r="AF84" i="70"/>
  <c r="AG84" i="70" s="1"/>
  <c r="Y84" i="70"/>
  <c r="X84" i="70"/>
  <c r="W84" i="70"/>
  <c r="V84" i="70"/>
  <c r="U84" i="70"/>
  <c r="BI49" i="70"/>
  <c r="AF49" i="70"/>
  <c r="AG49" i="70" s="1"/>
  <c r="Y49" i="70"/>
  <c r="X49" i="70"/>
  <c r="W49" i="70"/>
  <c r="V49" i="70"/>
  <c r="U49" i="70"/>
  <c r="BI92" i="70"/>
  <c r="AF92" i="70"/>
  <c r="AG92" i="70" s="1"/>
  <c r="Y92" i="70"/>
  <c r="X92" i="70"/>
  <c r="W92" i="70"/>
  <c r="V92" i="70"/>
  <c r="U92" i="70"/>
  <c r="BI151" i="70"/>
  <c r="AF151" i="70"/>
  <c r="AG151" i="70" s="1"/>
  <c r="Y151" i="70"/>
  <c r="X151" i="70"/>
  <c r="W151" i="70"/>
  <c r="V151" i="70"/>
  <c r="U151" i="70"/>
  <c r="BI50" i="70"/>
  <c r="AF50" i="70"/>
  <c r="AG50" i="70" s="1"/>
  <c r="Y50" i="70"/>
  <c r="X50" i="70"/>
  <c r="W50" i="70"/>
  <c r="V50" i="70"/>
  <c r="U50" i="70"/>
  <c r="BI150" i="70"/>
  <c r="AF150" i="70"/>
  <c r="AG150" i="70" s="1"/>
  <c r="Y150" i="70"/>
  <c r="X150" i="70"/>
  <c r="W150" i="70"/>
  <c r="V150" i="70"/>
  <c r="U150" i="70"/>
  <c r="BI35" i="70"/>
  <c r="AF35" i="70"/>
  <c r="AG35" i="70" s="1"/>
  <c r="Y35" i="70"/>
  <c r="X35" i="70"/>
  <c r="W35" i="70"/>
  <c r="V35" i="70"/>
  <c r="U35" i="70"/>
  <c r="BI88" i="70"/>
  <c r="AF88" i="70"/>
  <c r="AG88" i="70" s="1"/>
  <c r="Y88" i="70"/>
  <c r="X88" i="70"/>
  <c r="W88" i="70"/>
  <c r="V88" i="70"/>
  <c r="U88" i="70"/>
  <c r="BI40" i="70"/>
  <c r="AF40" i="70"/>
  <c r="AG40" i="70" s="1"/>
  <c r="Y40" i="70"/>
  <c r="X40" i="70"/>
  <c r="W40" i="70"/>
  <c r="V40" i="70"/>
  <c r="U40" i="70"/>
  <c r="BI87" i="70"/>
  <c r="AF87" i="70"/>
  <c r="AG87" i="70" s="1"/>
  <c r="Y87" i="70"/>
  <c r="X87" i="70"/>
  <c r="W87" i="70"/>
  <c r="V87" i="70"/>
  <c r="U87" i="70"/>
  <c r="BI149" i="70"/>
  <c r="AF149" i="70"/>
  <c r="AG149" i="70" s="1"/>
  <c r="Y149" i="70"/>
  <c r="X149" i="70"/>
  <c r="W149" i="70"/>
  <c r="V149" i="70"/>
  <c r="U149" i="70"/>
  <c r="BI148" i="70"/>
  <c r="AF148" i="70"/>
  <c r="AG148" i="70" s="1"/>
  <c r="Y148" i="70"/>
  <c r="X148" i="70"/>
  <c r="W148" i="70"/>
  <c r="V148" i="70"/>
  <c r="U148" i="70"/>
  <c r="BI147" i="70"/>
  <c r="AF147" i="70"/>
  <c r="AG147" i="70" s="1"/>
  <c r="Y147" i="70"/>
  <c r="X147" i="70"/>
  <c r="W147" i="70"/>
  <c r="V147" i="70"/>
  <c r="U147" i="70"/>
  <c r="BI28" i="70"/>
  <c r="AF28" i="70"/>
  <c r="AG28" i="70" s="1"/>
  <c r="Y28" i="70"/>
  <c r="X28" i="70"/>
  <c r="W28" i="70"/>
  <c r="V28" i="70"/>
  <c r="U28" i="70"/>
  <c r="BI66" i="70"/>
  <c r="AF66" i="70"/>
  <c r="AG66" i="70" s="1"/>
  <c r="Y66" i="70"/>
  <c r="X66" i="70"/>
  <c r="W66" i="70"/>
  <c r="V66" i="70"/>
  <c r="U66" i="70"/>
  <c r="BI67" i="70"/>
  <c r="AF67" i="70"/>
  <c r="AG67" i="70" s="1"/>
  <c r="Y67" i="70"/>
  <c r="X67" i="70"/>
  <c r="W67" i="70"/>
  <c r="V67" i="70"/>
  <c r="U67" i="70"/>
  <c r="BI81" i="70"/>
  <c r="AF81" i="70"/>
  <c r="AG81" i="70" s="1"/>
  <c r="Y81" i="70"/>
  <c r="X81" i="70"/>
  <c r="W81" i="70"/>
  <c r="V81" i="70"/>
  <c r="U81" i="70"/>
  <c r="BI65" i="70"/>
  <c r="AF65" i="70"/>
  <c r="AG65" i="70" s="1"/>
  <c r="Y65" i="70"/>
  <c r="X65" i="70"/>
  <c r="W65" i="70"/>
  <c r="V65" i="70"/>
  <c r="U65" i="70"/>
  <c r="BI45" i="70"/>
  <c r="AF45" i="70"/>
  <c r="AG45" i="70" s="1"/>
  <c r="Y45" i="70"/>
  <c r="X45" i="70"/>
  <c r="W45" i="70"/>
  <c r="V45" i="70"/>
  <c r="U45" i="70"/>
  <c r="BI82" i="70"/>
  <c r="AF82" i="70"/>
  <c r="AG82" i="70" s="1"/>
  <c r="Y82" i="70"/>
  <c r="X82" i="70"/>
  <c r="W82" i="70"/>
  <c r="V82" i="70"/>
  <c r="U82" i="70"/>
  <c r="BI29" i="70"/>
  <c r="AF29" i="70"/>
  <c r="AG29" i="70" s="1"/>
  <c r="Y29" i="70"/>
  <c r="X29" i="70"/>
  <c r="W29" i="70"/>
  <c r="V29" i="70"/>
  <c r="U29" i="70"/>
  <c r="BI97" i="70"/>
  <c r="AF97" i="70"/>
  <c r="AG97" i="70" s="1"/>
  <c r="Y97" i="70"/>
  <c r="X97" i="70"/>
  <c r="W97" i="70"/>
  <c r="V97" i="70"/>
  <c r="U97" i="70"/>
  <c r="BI91" i="70"/>
  <c r="AF91" i="70"/>
  <c r="AG91" i="70" s="1"/>
  <c r="Y91" i="70"/>
  <c r="X91" i="70"/>
  <c r="W91" i="70"/>
  <c r="V91" i="70"/>
  <c r="U91" i="70"/>
  <c r="BI43" i="70"/>
  <c r="AF43" i="70"/>
  <c r="AG43" i="70" s="1"/>
  <c r="Y43" i="70"/>
  <c r="X43" i="70"/>
  <c r="W43" i="70"/>
  <c r="V43" i="70"/>
  <c r="U43" i="70"/>
  <c r="BI44" i="70"/>
  <c r="AF44" i="70"/>
  <c r="AG44" i="70" s="1"/>
  <c r="Y44" i="70"/>
  <c r="X44" i="70"/>
  <c r="W44" i="70"/>
  <c r="V44" i="70"/>
  <c r="U44" i="70"/>
  <c r="BI129" i="70"/>
  <c r="Y129" i="70"/>
  <c r="X129" i="70"/>
  <c r="W129" i="70"/>
  <c r="V129" i="70"/>
  <c r="U129" i="70"/>
  <c r="BI32" i="70"/>
  <c r="Y32" i="70"/>
  <c r="X32" i="70"/>
  <c r="W32" i="70"/>
  <c r="V32" i="70"/>
  <c r="U32" i="70"/>
  <c r="BI146" i="70"/>
  <c r="AF146" i="70"/>
  <c r="AG146" i="70" s="1"/>
  <c r="Y146" i="70"/>
  <c r="X146" i="70"/>
  <c r="W146" i="70"/>
  <c r="V146" i="70"/>
  <c r="U146" i="70"/>
  <c r="BI145" i="70"/>
  <c r="AF145" i="70"/>
  <c r="AG145" i="70" s="1"/>
  <c r="Y145" i="70"/>
  <c r="X145" i="70"/>
  <c r="W145" i="70"/>
  <c r="V145" i="70"/>
  <c r="U145" i="70"/>
  <c r="BI128" i="70"/>
  <c r="Y128" i="70"/>
  <c r="X128" i="70"/>
  <c r="W128" i="70"/>
  <c r="V128" i="70"/>
  <c r="U128" i="70"/>
  <c r="BI127" i="70"/>
  <c r="Y127" i="70"/>
  <c r="X127" i="70"/>
  <c r="W127" i="70"/>
  <c r="V127" i="70"/>
  <c r="U127" i="70"/>
  <c r="BI144" i="70"/>
  <c r="AF144" i="70"/>
  <c r="AG144" i="70" s="1"/>
  <c r="Y144" i="70"/>
  <c r="X144" i="70"/>
  <c r="W144" i="70"/>
  <c r="V144" i="70"/>
  <c r="U144" i="70"/>
  <c r="BI46" i="70"/>
  <c r="AF46" i="70"/>
  <c r="AG46" i="70" s="1"/>
  <c r="Y46" i="70"/>
  <c r="X46" i="70"/>
  <c r="W46" i="70"/>
  <c r="V46" i="70"/>
  <c r="U46" i="70"/>
  <c r="BI90" i="70"/>
  <c r="AF90" i="70"/>
  <c r="AG90" i="70" s="1"/>
  <c r="Y90" i="70"/>
  <c r="X90" i="70"/>
  <c r="W90" i="70"/>
  <c r="V90" i="70"/>
  <c r="U90" i="70"/>
  <c r="BI119" i="70"/>
  <c r="AF119" i="70"/>
  <c r="AG119" i="70" s="1"/>
  <c r="Y119" i="70"/>
  <c r="X119" i="70"/>
  <c r="W119" i="70"/>
  <c r="V119" i="70"/>
  <c r="U119" i="70"/>
  <c r="BI120" i="70"/>
  <c r="AF120" i="70"/>
  <c r="AG120" i="70" s="1"/>
  <c r="Y120" i="70"/>
  <c r="X120" i="70"/>
  <c r="W120" i="70"/>
  <c r="V120" i="70"/>
  <c r="U120" i="70"/>
  <c r="BI71" i="70"/>
  <c r="AF71" i="70"/>
  <c r="AG71" i="70" s="1"/>
  <c r="Y71" i="70"/>
  <c r="X71" i="70"/>
  <c r="W71" i="70"/>
  <c r="V71" i="70"/>
  <c r="U71" i="70"/>
  <c r="BI143" i="70"/>
  <c r="AF143" i="70"/>
  <c r="AG143" i="70" s="1"/>
  <c r="Y143" i="70"/>
  <c r="X143" i="70"/>
  <c r="W143" i="70"/>
  <c r="V143" i="70"/>
  <c r="U143" i="70"/>
  <c r="BI48" i="70"/>
  <c r="AF48" i="70"/>
  <c r="AG48" i="70" s="1"/>
  <c r="Y48" i="70"/>
  <c r="X48" i="70"/>
  <c r="W48" i="70"/>
  <c r="V48" i="70"/>
  <c r="U48" i="70"/>
  <c r="BI142" i="70"/>
  <c r="AF142" i="70"/>
  <c r="AG142" i="70" s="1"/>
  <c r="Y142" i="70"/>
  <c r="X142" i="70"/>
  <c r="W142" i="70"/>
  <c r="V142" i="70"/>
  <c r="U142" i="70"/>
  <c r="BI141" i="70"/>
  <c r="AF141" i="70"/>
  <c r="AG141" i="70" s="1"/>
  <c r="Y141" i="70"/>
  <c r="X141" i="70"/>
  <c r="W141" i="70"/>
  <c r="V141" i="70"/>
  <c r="U141" i="70"/>
  <c r="BI140" i="70"/>
  <c r="AF140" i="70"/>
  <c r="AG140" i="70" s="1"/>
  <c r="Y140" i="70"/>
  <c r="X140" i="70"/>
  <c r="W140" i="70"/>
  <c r="V140" i="70"/>
  <c r="U140" i="70"/>
  <c r="BI70" i="70"/>
  <c r="AF70" i="70"/>
  <c r="AG70" i="70" s="1"/>
  <c r="Y70" i="70"/>
  <c r="X70" i="70"/>
  <c r="W70" i="70"/>
  <c r="V70" i="70"/>
  <c r="U70" i="70"/>
  <c r="BI139" i="70"/>
  <c r="AF139" i="70"/>
  <c r="AG139" i="70" s="1"/>
  <c r="Y139" i="70"/>
  <c r="X139" i="70"/>
  <c r="W139" i="70"/>
  <c r="V139" i="70"/>
  <c r="U139" i="70"/>
  <c r="BI99" i="70"/>
  <c r="AF99" i="70"/>
  <c r="AG99" i="70" s="1"/>
  <c r="Y99" i="70"/>
  <c r="X99" i="70"/>
  <c r="W99" i="70"/>
  <c r="V99" i="70"/>
  <c r="U99" i="70"/>
  <c r="BI138" i="70"/>
  <c r="AF138" i="70"/>
  <c r="AG138" i="70" s="1"/>
  <c r="Y138" i="70"/>
  <c r="X138" i="70"/>
  <c r="W138" i="70"/>
  <c r="V138" i="70"/>
  <c r="U138" i="70"/>
  <c r="BI137" i="70"/>
  <c r="AF137" i="70"/>
  <c r="AG137" i="70" s="1"/>
  <c r="Y137" i="70"/>
  <c r="X137" i="70"/>
  <c r="W137" i="70"/>
  <c r="V137" i="70"/>
  <c r="U137" i="70"/>
  <c r="BI136" i="70"/>
  <c r="AF136" i="70"/>
  <c r="AG136" i="70" s="1"/>
  <c r="Y136" i="70"/>
  <c r="X136" i="70"/>
  <c r="W136" i="70"/>
  <c r="V136" i="70"/>
  <c r="U136" i="70"/>
  <c r="BI135" i="70"/>
  <c r="AF135" i="70"/>
  <c r="AG135" i="70" s="1"/>
  <c r="Y135" i="70"/>
  <c r="X135" i="70"/>
  <c r="W135" i="70"/>
  <c r="V135" i="70"/>
  <c r="U135" i="70"/>
  <c r="BI95" i="70"/>
  <c r="AF95" i="70"/>
  <c r="AG95" i="70" s="1"/>
  <c r="Y95" i="70"/>
  <c r="X95" i="70"/>
  <c r="W95" i="70"/>
  <c r="V95" i="70"/>
  <c r="U95" i="70"/>
  <c r="BI126" i="70"/>
  <c r="Y126" i="70"/>
  <c r="X126" i="70"/>
  <c r="W126" i="70"/>
  <c r="V126" i="70"/>
  <c r="U126" i="70"/>
  <c r="BI125" i="70"/>
  <c r="Y125" i="70"/>
  <c r="X125" i="70"/>
  <c r="W125" i="70"/>
  <c r="V125" i="70"/>
  <c r="U125" i="70"/>
  <c r="BI134" i="70"/>
  <c r="AF134" i="70"/>
  <c r="AG134" i="70" s="1"/>
  <c r="Y134" i="70"/>
  <c r="X134" i="70"/>
  <c r="W134" i="70"/>
  <c r="V134" i="70"/>
  <c r="U134" i="70"/>
  <c r="BI124" i="70"/>
  <c r="Y124" i="70"/>
  <c r="X124" i="70"/>
  <c r="W124" i="70"/>
  <c r="V124" i="70"/>
  <c r="U124" i="70"/>
  <c r="BI133" i="70"/>
  <c r="AF133" i="70"/>
  <c r="AG133" i="70" s="1"/>
  <c r="Y133" i="70"/>
  <c r="X133" i="70"/>
  <c r="W133" i="70"/>
  <c r="V133" i="70"/>
  <c r="U133" i="70"/>
  <c r="BI116" i="70"/>
  <c r="Y116" i="70"/>
  <c r="X116" i="70"/>
  <c r="W116" i="70"/>
  <c r="V116" i="70"/>
  <c r="U116" i="70"/>
  <c r="BI111" i="70"/>
  <c r="Y111" i="70"/>
  <c r="X111" i="70"/>
  <c r="W111" i="70"/>
  <c r="V111" i="70"/>
  <c r="U111" i="70"/>
  <c r="BI54" i="70"/>
  <c r="AF54" i="70"/>
  <c r="AG54" i="70" s="1"/>
  <c r="Y54" i="70"/>
  <c r="X54" i="70"/>
  <c r="W54" i="70"/>
  <c r="V54" i="70"/>
  <c r="U54" i="70"/>
  <c r="BI110" i="70"/>
  <c r="Y110" i="70"/>
  <c r="X110" i="70"/>
  <c r="W110" i="70"/>
  <c r="V110" i="70"/>
  <c r="U110" i="70"/>
  <c r="BI55" i="70"/>
  <c r="AF55" i="70"/>
  <c r="AG55" i="70" s="1"/>
  <c r="Y55" i="70"/>
  <c r="X55" i="70"/>
  <c r="W55" i="70"/>
  <c r="V55" i="70"/>
  <c r="U55" i="70"/>
  <c r="BI132" i="70"/>
  <c r="AF132" i="70"/>
  <c r="AG132" i="70" s="1"/>
  <c r="Y132" i="70"/>
  <c r="X132" i="70"/>
  <c r="W132" i="70"/>
  <c r="V132" i="70"/>
  <c r="U132" i="70"/>
  <c r="BI105" i="70"/>
  <c r="Y105" i="70"/>
  <c r="X105" i="70"/>
  <c r="W105" i="70"/>
  <c r="V105" i="70"/>
  <c r="U105" i="70"/>
  <c r="BI27" i="70"/>
  <c r="AF27" i="70"/>
  <c r="AG27" i="70" s="1"/>
  <c r="Y27" i="70"/>
  <c r="X27" i="70"/>
  <c r="W27" i="70"/>
  <c r="V27" i="70"/>
  <c r="U27" i="70"/>
  <c r="BI131" i="70"/>
  <c r="AF131" i="70"/>
  <c r="AG131" i="70" s="1"/>
  <c r="Y131" i="70"/>
  <c r="X131" i="70"/>
  <c r="W131" i="70"/>
  <c r="V131" i="70"/>
  <c r="U131" i="70"/>
  <c r="BI73" i="70"/>
  <c r="AF73" i="70"/>
  <c r="AG73" i="70" s="1"/>
  <c r="Y73" i="70"/>
  <c r="X73" i="70"/>
  <c r="W73" i="70"/>
  <c r="V73" i="70"/>
  <c r="U73" i="70"/>
  <c r="BI31" i="70"/>
  <c r="AF31" i="70"/>
  <c r="AG31" i="70" s="1"/>
  <c r="Y31" i="70"/>
  <c r="X31" i="70"/>
  <c r="W31" i="70"/>
  <c r="V31" i="70"/>
  <c r="U31" i="70"/>
  <c r="BI26" i="70"/>
  <c r="Y26" i="70"/>
  <c r="X26" i="70"/>
  <c r="W26" i="70"/>
  <c r="V26" i="70"/>
  <c r="U26" i="70"/>
  <c r="BI33" i="70"/>
  <c r="AF33" i="70"/>
  <c r="AG33" i="70" s="1"/>
  <c r="Y33" i="70"/>
  <c r="X33" i="70"/>
  <c r="W33" i="70"/>
  <c r="V33" i="70"/>
  <c r="U33" i="70"/>
  <c r="BI69" i="70"/>
  <c r="AF69" i="70"/>
  <c r="AG69" i="70" s="1"/>
  <c r="Y69" i="70"/>
  <c r="X69" i="70"/>
  <c r="W69" i="70"/>
  <c r="V69" i="70"/>
  <c r="U69" i="70"/>
  <c r="BI21" i="70"/>
  <c r="Y21" i="70"/>
  <c r="X21" i="70"/>
  <c r="W21" i="70"/>
  <c r="V21" i="70"/>
  <c r="U21" i="70"/>
  <c r="BI36" i="70"/>
  <c r="AF36" i="70"/>
  <c r="AG36" i="70" s="1"/>
  <c r="Y36" i="70"/>
  <c r="X36" i="70"/>
  <c r="W36" i="70"/>
  <c r="V36" i="70"/>
  <c r="U36" i="70"/>
  <c r="BI101" i="70"/>
  <c r="Y101" i="70"/>
  <c r="X101" i="70"/>
  <c r="W101" i="70"/>
  <c r="V101" i="70"/>
  <c r="U101" i="70"/>
  <c r="BI75" i="70"/>
  <c r="AF75" i="70"/>
  <c r="AG75" i="70" s="1"/>
  <c r="Y75" i="70"/>
  <c r="X75" i="70"/>
  <c r="W75" i="70"/>
  <c r="V75" i="70"/>
  <c r="U75" i="70"/>
  <c r="BI89" i="70"/>
  <c r="AF89" i="70"/>
  <c r="AG89" i="70" s="1"/>
  <c r="Y89" i="70"/>
  <c r="X89" i="70"/>
  <c r="W89" i="70"/>
  <c r="V89" i="70"/>
  <c r="U89" i="70"/>
  <c r="BI78" i="70"/>
  <c r="AF78" i="70"/>
  <c r="AG78" i="70" s="1"/>
  <c r="Y78" i="70"/>
  <c r="X78" i="70"/>
  <c r="W78" i="70"/>
  <c r="V78" i="70"/>
  <c r="U78" i="70"/>
  <c r="BI130" i="70"/>
  <c r="AF130" i="70"/>
  <c r="AG130" i="70" s="1"/>
  <c r="Y130" i="70"/>
  <c r="X130" i="70"/>
  <c r="W130" i="70"/>
  <c r="V130" i="70"/>
  <c r="U130" i="70"/>
  <c r="BI30" i="70"/>
  <c r="AF30" i="70"/>
  <c r="AG30" i="70" s="1"/>
  <c r="Y30" i="70"/>
  <c r="X30" i="70"/>
  <c r="W30" i="70"/>
  <c r="V30" i="70"/>
  <c r="U30" i="70"/>
  <c r="BI19" i="70"/>
  <c r="Y19" i="70"/>
  <c r="X19" i="70"/>
  <c r="W19" i="70"/>
  <c r="V19" i="70"/>
  <c r="U19" i="70"/>
  <c r="BI76" i="70"/>
  <c r="AF76" i="70"/>
  <c r="AG76" i="70" s="1"/>
  <c r="Y76" i="70"/>
  <c r="X76" i="70"/>
  <c r="W76" i="70"/>
  <c r="V76" i="70"/>
  <c r="U76" i="70"/>
  <c r="BI96" i="70"/>
  <c r="AF96" i="70"/>
  <c r="AG96" i="70" s="1"/>
  <c r="Y96" i="70"/>
  <c r="X96" i="70"/>
  <c r="W96" i="70"/>
  <c r="V96" i="70"/>
  <c r="U96" i="70"/>
  <c r="AK16" i="70"/>
  <c r="AK15" i="70"/>
  <c r="BJ14" i="70"/>
  <c r="BI14" i="70"/>
  <c r="AF11" i="70"/>
  <c r="BG9" i="70"/>
  <c r="BE9" i="70"/>
  <c r="BC9" i="70"/>
  <c r="BA9" i="70"/>
  <c r="AY9" i="70"/>
  <c r="AW9" i="70"/>
  <c r="AU9" i="70"/>
  <c r="AS9" i="70"/>
  <c r="AQ9" i="70"/>
  <c r="AO9" i="70"/>
  <c r="AM9" i="70"/>
  <c r="AK9" i="70"/>
  <c r="AI9" i="70"/>
  <c r="BG8" i="70"/>
  <c r="BE8" i="70"/>
  <c r="BC8" i="70"/>
  <c r="BA8" i="70"/>
  <c r="AY8" i="70"/>
  <c r="AW8" i="70"/>
  <c r="AU8" i="70"/>
  <c r="AS8" i="70"/>
  <c r="AQ8" i="70"/>
  <c r="AO8" i="70"/>
  <c r="AM8" i="70"/>
  <c r="AK8" i="70"/>
  <c r="AI8" i="70"/>
  <c r="BG6" i="70"/>
  <c r="BE6" i="70"/>
  <c r="BC6" i="70"/>
  <c r="BA6" i="70"/>
  <c r="AY6" i="70"/>
  <c r="AW6" i="70"/>
  <c r="AU6" i="70"/>
  <c r="AS6" i="70"/>
  <c r="AQ6" i="70"/>
  <c r="AO6" i="70"/>
  <c r="AM6" i="70"/>
  <c r="AK6" i="70"/>
  <c r="AI6" i="70"/>
  <c r="BG5" i="70"/>
  <c r="BE5" i="70"/>
  <c r="BC5" i="70"/>
  <c r="BA5" i="70"/>
  <c r="AY5" i="70"/>
  <c r="AW5" i="70"/>
  <c r="AU5" i="70"/>
  <c r="AS5" i="70"/>
  <c r="AQ5" i="70"/>
  <c r="AO5" i="70"/>
  <c r="AM5" i="70"/>
  <c r="AK5" i="70"/>
  <c r="AI5" i="70"/>
  <c r="BG4" i="70"/>
  <c r="BE4" i="70"/>
  <c r="BC4" i="70"/>
  <c r="BA4" i="70"/>
  <c r="AY4" i="70"/>
  <c r="AW4" i="70"/>
  <c r="AU4" i="70"/>
  <c r="AS4" i="70"/>
  <c r="AQ4" i="70"/>
  <c r="AO4" i="70"/>
  <c r="AM4" i="70"/>
  <c r="AK4" i="70"/>
  <c r="AF48" i="69"/>
  <c r="AG48" i="69" s="1"/>
  <c r="N133" i="69"/>
  <c r="P133" i="69" s="1"/>
  <c r="U133" i="69"/>
  <c r="N48" i="69"/>
  <c r="P48" i="69" s="1"/>
  <c r="N46" i="69"/>
  <c r="P46" i="69" s="1"/>
  <c r="N49" i="69"/>
  <c r="P49" i="69" s="1"/>
  <c r="N19" i="69"/>
  <c r="P19" i="69" s="1"/>
  <c r="N52" i="69"/>
  <c r="P52" i="69" s="1"/>
  <c r="N127" i="69"/>
  <c r="P127" i="69" s="1"/>
  <c r="N53" i="69"/>
  <c r="P53" i="69" s="1"/>
  <c r="N50" i="69"/>
  <c r="P50" i="69" s="1"/>
  <c r="N55" i="69"/>
  <c r="P55" i="69" s="1"/>
  <c r="N51" i="69"/>
  <c r="P51" i="69" s="1"/>
  <c r="N47" i="69"/>
  <c r="P47" i="69" s="1"/>
  <c r="N56" i="69"/>
  <c r="P56" i="69" s="1"/>
  <c r="N54" i="69"/>
  <c r="P54" i="69" s="1"/>
  <c r="N57" i="69"/>
  <c r="P57" i="69" s="1"/>
  <c r="N61" i="69"/>
  <c r="P61" i="69" s="1"/>
  <c r="N20" i="69"/>
  <c r="P20" i="69" s="1"/>
  <c r="N70" i="69"/>
  <c r="P70" i="69" s="1"/>
  <c r="N58" i="69"/>
  <c r="P58" i="69" s="1"/>
  <c r="N21" i="69"/>
  <c r="P21" i="69" s="1"/>
  <c r="N71" i="69"/>
  <c r="P71" i="69" s="1"/>
  <c r="N59" i="69"/>
  <c r="P59" i="69" s="1"/>
  <c r="N60" i="69"/>
  <c r="P60" i="69" s="1"/>
  <c r="N62" i="69"/>
  <c r="P62" i="69" s="1"/>
  <c r="N22" i="69"/>
  <c r="P22" i="69" s="1"/>
  <c r="N64" i="69"/>
  <c r="P64" i="69" s="1"/>
  <c r="N23" i="69"/>
  <c r="P23" i="69" s="1"/>
  <c r="N65" i="69"/>
  <c r="P65" i="69" s="1"/>
  <c r="N68" i="69"/>
  <c r="P68" i="69" s="1"/>
  <c r="N135" i="69"/>
  <c r="P135" i="69" s="1"/>
  <c r="N24" i="69"/>
  <c r="P24" i="69" s="1"/>
  <c r="N25" i="69"/>
  <c r="P25" i="69" s="1"/>
  <c r="N26" i="69"/>
  <c r="P26" i="69" s="1"/>
  <c r="N27" i="69"/>
  <c r="P27" i="69" s="1"/>
  <c r="N134" i="69"/>
  <c r="P134" i="69" s="1"/>
  <c r="N28" i="69"/>
  <c r="P28" i="69" s="1"/>
  <c r="N111" i="69"/>
  <c r="P111" i="69" s="1"/>
  <c r="N29" i="69"/>
  <c r="P29" i="69" s="1"/>
  <c r="N30" i="69"/>
  <c r="P30" i="69" s="1"/>
  <c r="N31" i="69"/>
  <c r="P31" i="69" s="1"/>
  <c r="N69" i="69"/>
  <c r="P69" i="69" s="1"/>
  <c r="N32" i="69"/>
  <c r="P32" i="69" s="1"/>
  <c r="N112" i="69"/>
  <c r="P112" i="69" s="1"/>
  <c r="N72" i="69"/>
  <c r="P72" i="69" s="1"/>
  <c r="N153" i="69"/>
  <c r="P153" i="69" s="1"/>
  <c r="N152" i="69"/>
  <c r="P152" i="69" s="1"/>
  <c r="N73" i="69"/>
  <c r="P73" i="69" s="1"/>
  <c r="N74" i="69"/>
  <c r="P74" i="69" s="1"/>
  <c r="N33" i="69"/>
  <c r="P33" i="69" s="1"/>
  <c r="N75" i="69"/>
  <c r="P75" i="69" s="1"/>
  <c r="N77" i="69"/>
  <c r="P77" i="69" s="1"/>
  <c r="N34" i="69"/>
  <c r="P34" i="69" s="1"/>
  <c r="N35" i="69"/>
  <c r="P35" i="69" s="1"/>
  <c r="N78" i="69"/>
  <c r="P78" i="69" s="1"/>
  <c r="N82" i="69"/>
  <c r="P82" i="69" s="1"/>
  <c r="N83" i="69"/>
  <c r="P83" i="69" s="1"/>
  <c r="N84" i="69"/>
  <c r="P84" i="69" s="1"/>
  <c r="N121" i="69"/>
  <c r="P121" i="69" s="1"/>
  <c r="N85" i="69"/>
  <c r="P85" i="69" s="1"/>
  <c r="N86" i="69"/>
  <c r="P86" i="69" s="1"/>
  <c r="N87" i="69"/>
  <c r="P87" i="69" s="1"/>
  <c r="N89" i="69"/>
  <c r="P89" i="69" s="1"/>
  <c r="N90" i="69"/>
  <c r="P90" i="69" s="1"/>
  <c r="N125" i="69"/>
  <c r="P125" i="69" s="1"/>
  <c r="N91" i="69"/>
  <c r="P91" i="69" s="1"/>
  <c r="N109" i="69"/>
  <c r="P109" i="69" s="1"/>
  <c r="N92" i="69"/>
  <c r="P92" i="69" s="1"/>
  <c r="N36" i="69"/>
  <c r="P36" i="69" s="1"/>
  <c r="N37" i="69"/>
  <c r="P37" i="69" s="1"/>
  <c r="N38" i="69"/>
  <c r="P38" i="69" s="1"/>
  <c r="N93" i="69"/>
  <c r="P93" i="69" s="1"/>
  <c r="N94" i="69"/>
  <c r="P94" i="69" s="1"/>
  <c r="N124" i="69"/>
  <c r="P124" i="69" s="1"/>
  <c r="N95" i="69"/>
  <c r="P95" i="69" s="1"/>
  <c r="N39" i="69"/>
  <c r="P39" i="69" s="1"/>
  <c r="N110" i="69"/>
  <c r="P110" i="69" s="1"/>
  <c r="N40" i="69"/>
  <c r="P40" i="69" s="1"/>
  <c r="N122" i="69"/>
  <c r="P122" i="69" s="1"/>
  <c r="N99" i="69"/>
  <c r="P99" i="69" s="1"/>
  <c r="N100" i="69"/>
  <c r="P100" i="69" s="1"/>
  <c r="N115" i="69"/>
  <c r="P115" i="69" s="1"/>
  <c r="N130" i="69"/>
  <c r="P130" i="69" s="1"/>
  <c r="N123" i="69"/>
  <c r="P123" i="69" s="1"/>
  <c r="N41" i="69"/>
  <c r="P41" i="69" s="1"/>
  <c r="N88" i="69"/>
  <c r="P88" i="69" s="1"/>
  <c r="N131" i="69"/>
  <c r="N154" i="69"/>
  <c r="P154" i="69" s="1"/>
  <c r="N113" i="69"/>
  <c r="P113" i="69" s="1"/>
  <c r="N140" i="69"/>
  <c r="P140" i="69" s="1"/>
  <c r="N141" i="69"/>
  <c r="P141" i="69" s="1"/>
  <c r="N143" i="69"/>
  <c r="P143" i="69" s="1"/>
  <c r="N142" i="69"/>
  <c r="P142" i="69" s="1"/>
  <c r="N136" i="69"/>
  <c r="P136" i="69" s="1"/>
  <c r="N42" i="69"/>
  <c r="P42" i="69" s="1"/>
  <c r="N120" i="69"/>
  <c r="P120" i="69" s="1"/>
  <c r="N117" i="69"/>
  <c r="P117" i="69" s="1"/>
  <c r="N116" i="69"/>
  <c r="P116" i="69" s="1"/>
  <c r="N101" i="69"/>
  <c r="P101" i="69" s="1"/>
  <c r="N126" i="69"/>
  <c r="P126" i="69" s="1"/>
  <c r="N43" i="69"/>
  <c r="P43" i="69" s="1"/>
  <c r="N102" i="69"/>
  <c r="P102" i="69" s="1"/>
  <c r="N76" i="69"/>
  <c r="P76" i="69" s="1"/>
  <c r="N137" i="69"/>
  <c r="P137" i="69" s="1"/>
  <c r="N103" i="69"/>
  <c r="P103" i="69" s="1"/>
  <c r="N104" i="69"/>
  <c r="P104" i="69" s="1"/>
  <c r="N105" i="69"/>
  <c r="P105" i="69" s="1"/>
  <c r="N118" i="69"/>
  <c r="P118" i="69" s="1"/>
  <c r="N155" i="69"/>
  <c r="P155" i="69" s="1"/>
  <c r="N81" i="69"/>
  <c r="P81" i="69" s="1"/>
  <c r="N106" i="69"/>
  <c r="P106" i="69" s="1"/>
  <c r="N63" i="69"/>
  <c r="P63" i="69" s="1"/>
  <c r="N107" i="69"/>
  <c r="P107" i="69" s="1"/>
  <c r="N138" i="69"/>
  <c r="P138" i="69" s="1"/>
  <c r="N146" i="69"/>
  <c r="P146" i="69" s="1"/>
  <c r="N144" i="69"/>
  <c r="P144" i="69" s="1"/>
  <c r="N149" i="69"/>
  <c r="P149" i="69" s="1"/>
  <c r="N145" i="69"/>
  <c r="P145" i="69" s="1"/>
  <c r="N147" i="69"/>
  <c r="P147" i="69" s="1"/>
  <c r="N139" i="69"/>
  <c r="P139" i="69" s="1"/>
  <c r="N150" i="69"/>
  <c r="P150" i="69" s="1"/>
  <c r="N114" i="69"/>
  <c r="P114" i="69" s="1"/>
  <c r="N108" i="69"/>
  <c r="P108" i="69" s="1"/>
  <c r="N128" i="69"/>
  <c r="P128" i="69" s="1"/>
  <c r="N129" i="69"/>
  <c r="P129" i="69" s="1"/>
  <c r="N132" i="69"/>
  <c r="P132" i="69" s="1"/>
  <c r="N148" i="69"/>
  <c r="P148" i="69" s="1"/>
  <c r="N79" i="69"/>
  <c r="P79" i="69" s="1"/>
  <c r="N80" i="69"/>
  <c r="P80" i="69" s="1"/>
  <c r="N66" i="69"/>
  <c r="P66" i="69" s="1"/>
  <c r="N156" i="69"/>
  <c r="P156" i="69" s="1"/>
  <c r="N96" i="69"/>
  <c r="N67" i="69"/>
  <c r="N97" i="69"/>
  <c r="N98" i="69"/>
  <c r="N151" i="69"/>
  <c r="N119" i="69"/>
  <c r="N44" i="69"/>
  <c r="P44" i="69" s="1"/>
  <c r="N45" i="69"/>
  <c r="P45" i="69" s="1"/>
  <c r="BH157" i="69"/>
  <c r="BG157" i="69"/>
  <c r="BF157" i="69"/>
  <c r="BE157" i="69"/>
  <c r="BD157" i="69"/>
  <c r="BC157" i="69"/>
  <c r="BB157" i="69"/>
  <c r="BA157" i="69"/>
  <c r="AZ157" i="69"/>
  <c r="AY157" i="69"/>
  <c r="AX157" i="69"/>
  <c r="AW157" i="69"/>
  <c r="AV157" i="69"/>
  <c r="AU157" i="69"/>
  <c r="AT157" i="69"/>
  <c r="AS157" i="69"/>
  <c r="AR157" i="69"/>
  <c r="AQ157" i="69"/>
  <c r="AP157" i="69"/>
  <c r="AO157" i="69"/>
  <c r="AN157" i="69"/>
  <c r="AM157" i="69"/>
  <c r="AL157" i="69"/>
  <c r="AK157" i="69"/>
  <c r="AJ157" i="69"/>
  <c r="AI157" i="69"/>
  <c r="K157" i="69"/>
  <c r="BI45" i="69"/>
  <c r="AF45" i="69"/>
  <c r="AG45" i="69" s="1"/>
  <c r="Y45" i="69"/>
  <c r="X45" i="69"/>
  <c r="W45" i="69"/>
  <c r="V45" i="69"/>
  <c r="U45" i="69"/>
  <c r="BI44" i="69"/>
  <c r="AF44" i="69"/>
  <c r="AG44" i="69" s="1"/>
  <c r="Y44" i="69"/>
  <c r="X44" i="69"/>
  <c r="W44" i="69"/>
  <c r="V44" i="69"/>
  <c r="U44" i="69"/>
  <c r="BI119" i="69"/>
  <c r="AF119" i="69"/>
  <c r="AG119" i="69" s="1"/>
  <c r="Y119" i="69"/>
  <c r="X119" i="69"/>
  <c r="W119" i="69"/>
  <c r="V119" i="69"/>
  <c r="U119" i="69"/>
  <c r="BI151" i="69"/>
  <c r="AF151" i="69"/>
  <c r="AG151" i="69" s="1"/>
  <c r="Y151" i="69"/>
  <c r="X151" i="69"/>
  <c r="W151" i="69"/>
  <c r="V151" i="69"/>
  <c r="U151" i="69"/>
  <c r="BI98" i="69"/>
  <c r="AF98" i="69"/>
  <c r="AG98" i="69" s="1"/>
  <c r="Y98" i="69"/>
  <c r="X98" i="69"/>
  <c r="W98" i="69"/>
  <c r="V98" i="69"/>
  <c r="U98" i="69"/>
  <c r="BI97" i="69"/>
  <c r="AF97" i="69"/>
  <c r="AG97" i="69" s="1"/>
  <c r="Y97" i="69"/>
  <c r="X97" i="69"/>
  <c r="W97" i="69"/>
  <c r="V97" i="69"/>
  <c r="U97" i="69"/>
  <c r="BI67" i="69"/>
  <c r="AF67" i="69"/>
  <c r="AG67" i="69" s="1"/>
  <c r="Y67" i="69"/>
  <c r="X67" i="69"/>
  <c r="W67" i="69"/>
  <c r="V67" i="69"/>
  <c r="U67" i="69"/>
  <c r="BI96" i="69"/>
  <c r="AF96" i="69"/>
  <c r="AG96" i="69" s="1"/>
  <c r="Y96" i="69"/>
  <c r="X96" i="69"/>
  <c r="W96" i="69"/>
  <c r="V96" i="69"/>
  <c r="U96" i="69"/>
  <c r="BI156" i="69"/>
  <c r="AF156" i="69"/>
  <c r="AG156" i="69" s="1"/>
  <c r="Y156" i="69"/>
  <c r="X156" i="69"/>
  <c r="W156" i="69"/>
  <c r="V156" i="69"/>
  <c r="U156" i="69"/>
  <c r="BI66" i="69"/>
  <c r="AF66" i="69"/>
  <c r="AG66" i="69" s="1"/>
  <c r="Y66" i="69"/>
  <c r="X66" i="69"/>
  <c r="W66" i="69"/>
  <c r="V66" i="69"/>
  <c r="U66" i="69"/>
  <c r="BI80" i="69"/>
  <c r="AF80" i="69"/>
  <c r="AG80" i="69" s="1"/>
  <c r="Y80" i="69"/>
  <c r="X80" i="69"/>
  <c r="W80" i="69"/>
  <c r="V80" i="69"/>
  <c r="U80" i="69"/>
  <c r="BI79" i="69"/>
  <c r="AF79" i="69"/>
  <c r="AG79" i="69" s="1"/>
  <c r="Y79" i="69"/>
  <c r="X79" i="69"/>
  <c r="W79" i="69"/>
  <c r="V79" i="69"/>
  <c r="U79" i="69"/>
  <c r="BI148" i="69"/>
  <c r="AF148" i="69"/>
  <c r="AG148" i="69" s="1"/>
  <c r="Y148" i="69"/>
  <c r="X148" i="69"/>
  <c r="W148" i="69"/>
  <c r="V148" i="69"/>
  <c r="U148" i="69"/>
  <c r="BI132" i="69"/>
  <c r="AF132" i="69"/>
  <c r="AG132" i="69" s="1"/>
  <c r="Y132" i="69"/>
  <c r="X132" i="69"/>
  <c r="W132" i="69"/>
  <c r="V132" i="69"/>
  <c r="U132" i="69"/>
  <c r="BI129" i="69"/>
  <c r="AF129" i="69"/>
  <c r="AG129" i="69" s="1"/>
  <c r="Y129" i="69"/>
  <c r="X129" i="69"/>
  <c r="W129" i="69"/>
  <c r="V129" i="69"/>
  <c r="U129" i="69"/>
  <c r="BI128" i="69"/>
  <c r="AF128" i="69"/>
  <c r="AG128" i="69" s="1"/>
  <c r="Y128" i="69"/>
  <c r="X128" i="69"/>
  <c r="W128" i="69"/>
  <c r="V128" i="69"/>
  <c r="U128" i="69"/>
  <c r="BI108" i="69"/>
  <c r="AF108" i="69"/>
  <c r="AG108" i="69" s="1"/>
  <c r="Y108" i="69"/>
  <c r="X108" i="69"/>
  <c r="W108" i="69"/>
  <c r="V108" i="69"/>
  <c r="U108" i="69"/>
  <c r="BI114" i="69"/>
  <c r="Y114" i="69"/>
  <c r="X114" i="69"/>
  <c r="W114" i="69"/>
  <c r="V114" i="69"/>
  <c r="U114" i="69"/>
  <c r="BI150" i="69"/>
  <c r="AF150" i="69"/>
  <c r="AG150" i="69" s="1"/>
  <c r="Y150" i="69"/>
  <c r="X150" i="69"/>
  <c r="W150" i="69"/>
  <c r="V150" i="69"/>
  <c r="U150" i="69"/>
  <c r="BI139" i="69"/>
  <c r="AF139" i="69"/>
  <c r="AG139" i="69" s="1"/>
  <c r="Y139" i="69"/>
  <c r="X139" i="69"/>
  <c r="W139" i="69"/>
  <c r="V139" i="69"/>
  <c r="U139" i="69"/>
  <c r="BI147" i="69"/>
  <c r="AF147" i="69"/>
  <c r="AG147" i="69" s="1"/>
  <c r="Y147" i="69"/>
  <c r="X147" i="69"/>
  <c r="W147" i="69"/>
  <c r="V147" i="69"/>
  <c r="U147" i="69"/>
  <c r="BI145" i="69"/>
  <c r="AF145" i="69"/>
  <c r="AG145" i="69" s="1"/>
  <c r="Y145" i="69"/>
  <c r="X145" i="69"/>
  <c r="W145" i="69"/>
  <c r="V145" i="69"/>
  <c r="U145" i="69"/>
  <c r="BI149" i="69"/>
  <c r="AF149" i="69"/>
  <c r="AG149" i="69" s="1"/>
  <c r="Y149" i="69"/>
  <c r="X149" i="69"/>
  <c r="W149" i="69"/>
  <c r="V149" i="69"/>
  <c r="U149" i="69"/>
  <c r="BI144" i="69"/>
  <c r="AF144" i="69"/>
  <c r="AG144" i="69" s="1"/>
  <c r="Y144" i="69"/>
  <c r="X144" i="69"/>
  <c r="W144" i="69"/>
  <c r="V144" i="69"/>
  <c r="U144" i="69"/>
  <c r="BI146" i="69"/>
  <c r="AF146" i="69"/>
  <c r="AG146" i="69" s="1"/>
  <c r="Y146" i="69"/>
  <c r="X146" i="69"/>
  <c r="W146" i="69"/>
  <c r="V146" i="69"/>
  <c r="U146" i="69"/>
  <c r="BI138" i="69"/>
  <c r="AF138" i="69"/>
  <c r="AG138" i="69" s="1"/>
  <c r="Y138" i="69"/>
  <c r="X138" i="69"/>
  <c r="W138" i="69"/>
  <c r="V138" i="69"/>
  <c r="U138" i="69"/>
  <c r="BI107" i="69"/>
  <c r="AF107" i="69"/>
  <c r="AG107" i="69" s="1"/>
  <c r="Y107" i="69"/>
  <c r="X107" i="69"/>
  <c r="W107" i="69"/>
  <c r="V107" i="69"/>
  <c r="U107" i="69"/>
  <c r="BI63" i="69"/>
  <c r="AF63" i="69"/>
  <c r="AG63" i="69" s="1"/>
  <c r="Y63" i="69"/>
  <c r="X63" i="69"/>
  <c r="W63" i="69"/>
  <c r="V63" i="69"/>
  <c r="U63" i="69"/>
  <c r="BI106" i="69"/>
  <c r="AF106" i="69"/>
  <c r="AG106" i="69" s="1"/>
  <c r="Y106" i="69"/>
  <c r="X106" i="69"/>
  <c r="W106" i="69"/>
  <c r="V106" i="69"/>
  <c r="U106" i="69"/>
  <c r="BI81" i="69"/>
  <c r="AF81" i="69"/>
  <c r="AG81" i="69" s="1"/>
  <c r="Y81" i="69"/>
  <c r="X81" i="69"/>
  <c r="W81" i="69"/>
  <c r="V81" i="69"/>
  <c r="U81" i="69"/>
  <c r="BI155" i="69"/>
  <c r="AF155" i="69"/>
  <c r="AG155" i="69" s="1"/>
  <c r="Y155" i="69"/>
  <c r="X155" i="69"/>
  <c r="W155" i="69"/>
  <c r="V155" i="69"/>
  <c r="U155" i="69"/>
  <c r="BI118" i="69"/>
  <c r="AF118" i="69"/>
  <c r="AG118" i="69" s="1"/>
  <c r="Y118" i="69"/>
  <c r="X118" i="69"/>
  <c r="W118" i="69"/>
  <c r="V118" i="69"/>
  <c r="U118" i="69"/>
  <c r="BI105" i="69"/>
  <c r="AF105" i="69"/>
  <c r="AG105" i="69" s="1"/>
  <c r="Y105" i="69"/>
  <c r="X105" i="69"/>
  <c r="W105" i="69"/>
  <c r="V105" i="69"/>
  <c r="U105" i="69"/>
  <c r="BI104" i="69"/>
  <c r="AF104" i="69"/>
  <c r="AG104" i="69" s="1"/>
  <c r="Y104" i="69"/>
  <c r="X104" i="69"/>
  <c r="W104" i="69"/>
  <c r="V104" i="69"/>
  <c r="U104" i="69"/>
  <c r="BI103" i="69"/>
  <c r="Y103" i="69"/>
  <c r="X103" i="69"/>
  <c r="W103" i="69"/>
  <c r="V103" i="69"/>
  <c r="U103" i="69"/>
  <c r="BI137" i="69"/>
  <c r="AF137" i="69"/>
  <c r="AG137" i="69" s="1"/>
  <c r="Y137" i="69"/>
  <c r="X137" i="69"/>
  <c r="W137" i="69"/>
  <c r="V137" i="69"/>
  <c r="U137" i="69"/>
  <c r="BI76" i="69"/>
  <c r="AF76" i="69"/>
  <c r="AG76" i="69" s="1"/>
  <c r="Y76" i="69"/>
  <c r="X76" i="69"/>
  <c r="W76" i="69"/>
  <c r="V76" i="69"/>
  <c r="U76" i="69"/>
  <c r="BI102" i="69"/>
  <c r="AF102" i="69"/>
  <c r="AG102" i="69" s="1"/>
  <c r="Y102" i="69"/>
  <c r="X102" i="69"/>
  <c r="W102" i="69"/>
  <c r="V102" i="69"/>
  <c r="U102" i="69"/>
  <c r="BI43" i="69"/>
  <c r="AF43" i="69"/>
  <c r="AG43" i="69" s="1"/>
  <c r="Y43" i="69"/>
  <c r="X43" i="69"/>
  <c r="W43" i="69"/>
  <c r="V43" i="69"/>
  <c r="U43" i="69"/>
  <c r="BI126" i="69"/>
  <c r="AF126" i="69"/>
  <c r="AG126" i="69" s="1"/>
  <c r="Y126" i="69"/>
  <c r="X126" i="69"/>
  <c r="W126" i="69"/>
  <c r="V126" i="69"/>
  <c r="U126" i="69"/>
  <c r="BI101" i="69"/>
  <c r="AF101" i="69"/>
  <c r="AG101" i="69" s="1"/>
  <c r="Y101" i="69"/>
  <c r="X101" i="69"/>
  <c r="W101" i="69"/>
  <c r="V101" i="69"/>
  <c r="U101" i="69"/>
  <c r="BI116" i="69"/>
  <c r="AF116" i="69"/>
  <c r="AG116" i="69" s="1"/>
  <c r="Y116" i="69"/>
  <c r="X116" i="69"/>
  <c r="W116" i="69"/>
  <c r="V116" i="69"/>
  <c r="U116" i="69"/>
  <c r="BI117" i="69"/>
  <c r="AF117" i="69"/>
  <c r="AG117" i="69" s="1"/>
  <c r="Y117" i="69"/>
  <c r="X117" i="69"/>
  <c r="W117" i="69"/>
  <c r="V117" i="69"/>
  <c r="U117" i="69"/>
  <c r="BI120" i="69"/>
  <c r="AF120" i="69"/>
  <c r="AG120" i="69" s="1"/>
  <c r="Y120" i="69"/>
  <c r="X120" i="69"/>
  <c r="W120" i="69"/>
  <c r="V120" i="69"/>
  <c r="U120" i="69"/>
  <c r="BI42" i="69"/>
  <c r="AF42" i="69"/>
  <c r="AG42" i="69" s="1"/>
  <c r="Y42" i="69"/>
  <c r="X42" i="69"/>
  <c r="W42" i="69"/>
  <c r="V42" i="69"/>
  <c r="U42" i="69"/>
  <c r="BI136" i="69"/>
  <c r="AF136" i="69"/>
  <c r="AG136" i="69" s="1"/>
  <c r="Y136" i="69"/>
  <c r="X136" i="69"/>
  <c r="W136" i="69"/>
  <c r="V136" i="69"/>
  <c r="U136" i="69"/>
  <c r="BI142" i="69"/>
  <c r="AF142" i="69"/>
  <c r="AG142" i="69" s="1"/>
  <c r="Y142" i="69"/>
  <c r="X142" i="69"/>
  <c r="W142" i="69"/>
  <c r="V142" i="69"/>
  <c r="U142" i="69"/>
  <c r="BI143" i="69"/>
  <c r="AF143" i="69"/>
  <c r="AG143" i="69" s="1"/>
  <c r="Y143" i="69"/>
  <c r="X143" i="69"/>
  <c r="W143" i="69"/>
  <c r="V143" i="69"/>
  <c r="U143" i="69"/>
  <c r="BI141" i="69"/>
  <c r="AF141" i="69"/>
  <c r="AG141" i="69" s="1"/>
  <c r="Y141" i="69"/>
  <c r="X141" i="69"/>
  <c r="W141" i="69"/>
  <c r="V141" i="69"/>
  <c r="U141" i="69"/>
  <c r="BI140" i="69"/>
  <c r="AF140" i="69"/>
  <c r="AG140" i="69" s="1"/>
  <c r="Y140" i="69"/>
  <c r="X140" i="69"/>
  <c r="W140" i="69"/>
  <c r="V140" i="69"/>
  <c r="U140" i="69"/>
  <c r="BI113" i="69"/>
  <c r="AF113" i="69"/>
  <c r="AG113" i="69" s="1"/>
  <c r="Y113" i="69"/>
  <c r="X113" i="69"/>
  <c r="W113" i="69"/>
  <c r="V113" i="69"/>
  <c r="U113" i="69"/>
  <c r="BI154" i="69"/>
  <c r="AF154" i="69"/>
  <c r="AG154" i="69" s="1"/>
  <c r="Y154" i="69"/>
  <c r="X154" i="69"/>
  <c r="W154" i="69"/>
  <c r="V154" i="69"/>
  <c r="U154" i="69"/>
  <c r="BI131" i="69"/>
  <c r="AF131" i="69"/>
  <c r="AG131" i="69" s="1"/>
  <c r="Y131" i="69"/>
  <c r="X131" i="69"/>
  <c r="W131" i="69"/>
  <c r="V131" i="69"/>
  <c r="U131" i="69"/>
  <c r="BI88" i="69"/>
  <c r="AF88" i="69"/>
  <c r="AG88" i="69" s="1"/>
  <c r="Y88" i="69"/>
  <c r="X88" i="69"/>
  <c r="W88" i="69"/>
  <c r="V88" i="69"/>
  <c r="U88" i="69"/>
  <c r="BI41" i="69"/>
  <c r="AF41" i="69"/>
  <c r="AG41" i="69" s="1"/>
  <c r="Y41" i="69"/>
  <c r="X41" i="69"/>
  <c r="W41" i="69"/>
  <c r="V41" i="69"/>
  <c r="U41" i="69"/>
  <c r="BI123" i="69"/>
  <c r="AF123" i="69"/>
  <c r="AG123" i="69" s="1"/>
  <c r="Y123" i="69"/>
  <c r="X123" i="69"/>
  <c r="W123" i="69"/>
  <c r="V123" i="69"/>
  <c r="U123" i="69"/>
  <c r="BI130" i="69"/>
  <c r="AF130" i="69"/>
  <c r="AG130" i="69" s="1"/>
  <c r="Y130" i="69"/>
  <c r="X130" i="69"/>
  <c r="W130" i="69"/>
  <c r="V130" i="69"/>
  <c r="U130" i="69"/>
  <c r="BI115" i="69"/>
  <c r="AF115" i="69"/>
  <c r="AG115" i="69" s="1"/>
  <c r="Y115" i="69"/>
  <c r="X115" i="69"/>
  <c r="W115" i="69"/>
  <c r="V115" i="69"/>
  <c r="U115" i="69"/>
  <c r="BI100" i="69"/>
  <c r="AF100" i="69"/>
  <c r="AG100" i="69" s="1"/>
  <c r="Y100" i="69"/>
  <c r="X100" i="69"/>
  <c r="W100" i="69"/>
  <c r="V100" i="69"/>
  <c r="U100" i="69"/>
  <c r="BI99" i="69"/>
  <c r="AF99" i="69"/>
  <c r="AG99" i="69" s="1"/>
  <c r="Y99" i="69"/>
  <c r="X99" i="69"/>
  <c r="W99" i="69"/>
  <c r="V99" i="69"/>
  <c r="U99" i="69"/>
  <c r="BI122" i="69"/>
  <c r="AF122" i="69"/>
  <c r="AG122" i="69" s="1"/>
  <c r="Y122" i="69"/>
  <c r="X122" i="69"/>
  <c r="W122" i="69"/>
  <c r="V122" i="69"/>
  <c r="U122" i="69"/>
  <c r="BI40" i="69"/>
  <c r="AF40" i="69"/>
  <c r="AG40" i="69" s="1"/>
  <c r="Y40" i="69"/>
  <c r="X40" i="69"/>
  <c r="W40" i="69"/>
  <c r="V40" i="69"/>
  <c r="U40" i="69"/>
  <c r="BI110" i="69"/>
  <c r="AF110" i="69"/>
  <c r="AG110" i="69" s="1"/>
  <c r="Y110" i="69"/>
  <c r="X110" i="69"/>
  <c r="W110" i="69"/>
  <c r="V110" i="69"/>
  <c r="U110" i="69"/>
  <c r="BI39" i="69"/>
  <c r="AF39" i="69"/>
  <c r="AG39" i="69" s="1"/>
  <c r="Y39" i="69"/>
  <c r="X39" i="69"/>
  <c r="W39" i="69"/>
  <c r="V39" i="69"/>
  <c r="U39" i="69"/>
  <c r="BI95" i="69"/>
  <c r="AF95" i="69"/>
  <c r="AG95" i="69" s="1"/>
  <c r="Y95" i="69"/>
  <c r="X95" i="69"/>
  <c r="W95" i="69"/>
  <c r="V95" i="69"/>
  <c r="U95" i="69"/>
  <c r="BI124" i="69"/>
  <c r="AF124" i="69"/>
  <c r="AG124" i="69" s="1"/>
  <c r="Y124" i="69"/>
  <c r="X124" i="69"/>
  <c r="W124" i="69"/>
  <c r="V124" i="69"/>
  <c r="U124" i="69"/>
  <c r="BI94" i="69"/>
  <c r="AF94" i="69"/>
  <c r="AG94" i="69" s="1"/>
  <c r="Y94" i="69"/>
  <c r="X94" i="69"/>
  <c r="W94" i="69"/>
  <c r="V94" i="69"/>
  <c r="U94" i="69"/>
  <c r="BI93" i="69"/>
  <c r="AF93" i="69"/>
  <c r="AG93" i="69" s="1"/>
  <c r="Y93" i="69"/>
  <c r="X93" i="69"/>
  <c r="W93" i="69"/>
  <c r="V93" i="69"/>
  <c r="U93" i="69"/>
  <c r="BI38" i="69"/>
  <c r="AF38" i="69"/>
  <c r="AG38" i="69" s="1"/>
  <c r="Y38" i="69"/>
  <c r="X38" i="69"/>
  <c r="W38" i="69"/>
  <c r="V38" i="69"/>
  <c r="U38" i="69"/>
  <c r="BI37" i="69"/>
  <c r="AF37" i="69"/>
  <c r="AG37" i="69" s="1"/>
  <c r="Y37" i="69"/>
  <c r="X37" i="69"/>
  <c r="W37" i="69"/>
  <c r="V37" i="69"/>
  <c r="U37" i="69"/>
  <c r="BI36" i="69"/>
  <c r="AF36" i="69"/>
  <c r="AG36" i="69" s="1"/>
  <c r="Y36" i="69"/>
  <c r="X36" i="69"/>
  <c r="W36" i="69"/>
  <c r="V36" i="69"/>
  <c r="U36" i="69"/>
  <c r="BI92" i="69"/>
  <c r="AF92" i="69"/>
  <c r="AG92" i="69" s="1"/>
  <c r="Y92" i="69"/>
  <c r="X92" i="69"/>
  <c r="W92" i="69"/>
  <c r="V92" i="69"/>
  <c r="U92" i="69"/>
  <c r="BI109" i="69"/>
  <c r="AF109" i="69"/>
  <c r="AG109" i="69" s="1"/>
  <c r="Y109" i="69"/>
  <c r="X109" i="69"/>
  <c r="W109" i="69"/>
  <c r="V109" i="69"/>
  <c r="U109" i="69"/>
  <c r="BI91" i="69"/>
  <c r="AF91" i="69"/>
  <c r="AG91" i="69" s="1"/>
  <c r="Y91" i="69"/>
  <c r="X91" i="69"/>
  <c r="W91" i="69"/>
  <c r="V91" i="69"/>
  <c r="U91" i="69"/>
  <c r="BI125" i="69"/>
  <c r="AF125" i="69"/>
  <c r="AG125" i="69" s="1"/>
  <c r="Y125" i="69"/>
  <c r="X125" i="69"/>
  <c r="W125" i="69"/>
  <c r="V125" i="69"/>
  <c r="U125" i="69"/>
  <c r="BI90" i="69"/>
  <c r="AF90" i="69"/>
  <c r="AG90" i="69" s="1"/>
  <c r="Y90" i="69"/>
  <c r="X90" i="69"/>
  <c r="W90" i="69"/>
  <c r="V90" i="69"/>
  <c r="U90" i="69"/>
  <c r="BI89" i="69"/>
  <c r="AF89" i="69"/>
  <c r="AG89" i="69" s="1"/>
  <c r="Y89" i="69"/>
  <c r="X89" i="69"/>
  <c r="W89" i="69"/>
  <c r="V89" i="69"/>
  <c r="U89" i="69"/>
  <c r="BI87" i="69"/>
  <c r="AF87" i="69"/>
  <c r="AG87" i="69" s="1"/>
  <c r="Y87" i="69"/>
  <c r="X87" i="69"/>
  <c r="W87" i="69"/>
  <c r="V87" i="69"/>
  <c r="U87" i="69"/>
  <c r="BI86" i="69"/>
  <c r="AF86" i="69"/>
  <c r="AG86" i="69" s="1"/>
  <c r="Y86" i="69"/>
  <c r="X86" i="69"/>
  <c r="W86" i="69"/>
  <c r="V86" i="69"/>
  <c r="U86" i="69"/>
  <c r="BI85" i="69"/>
  <c r="AF85" i="69"/>
  <c r="AG85" i="69" s="1"/>
  <c r="Y85" i="69"/>
  <c r="X85" i="69"/>
  <c r="W85" i="69"/>
  <c r="V85" i="69"/>
  <c r="U85" i="69"/>
  <c r="BI121" i="69"/>
  <c r="AF121" i="69"/>
  <c r="AG121" i="69" s="1"/>
  <c r="Y121" i="69"/>
  <c r="X121" i="69"/>
  <c r="W121" i="69"/>
  <c r="V121" i="69"/>
  <c r="U121" i="69"/>
  <c r="BI84" i="69"/>
  <c r="AF84" i="69"/>
  <c r="AG84" i="69" s="1"/>
  <c r="Y84" i="69"/>
  <c r="X84" i="69"/>
  <c r="W84" i="69"/>
  <c r="V84" i="69"/>
  <c r="U84" i="69"/>
  <c r="BI83" i="69"/>
  <c r="AF83" i="69"/>
  <c r="AG83" i="69" s="1"/>
  <c r="Y83" i="69"/>
  <c r="X83" i="69"/>
  <c r="W83" i="69"/>
  <c r="V83" i="69"/>
  <c r="U83" i="69"/>
  <c r="BI82" i="69"/>
  <c r="Y82" i="69"/>
  <c r="X82" i="69"/>
  <c r="W82" i="69"/>
  <c r="V82" i="69"/>
  <c r="U82" i="69"/>
  <c r="BI78" i="69"/>
  <c r="Y78" i="69"/>
  <c r="X78" i="69"/>
  <c r="W78" i="69"/>
  <c r="V78" i="69"/>
  <c r="U78" i="69"/>
  <c r="BI35" i="69"/>
  <c r="AF35" i="69"/>
  <c r="AG35" i="69" s="1"/>
  <c r="Y35" i="69"/>
  <c r="X35" i="69"/>
  <c r="W35" i="69"/>
  <c r="V35" i="69"/>
  <c r="U35" i="69"/>
  <c r="BI34" i="69"/>
  <c r="AF34" i="69"/>
  <c r="AG34" i="69" s="1"/>
  <c r="Y34" i="69"/>
  <c r="X34" i="69"/>
  <c r="W34" i="69"/>
  <c r="V34" i="69"/>
  <c r="U34" i="69"/>
  <c r="BI77" i="69"/>
  <c r="Y77" i="69"/>
  <c r="X77" i="69"/>
  <c r="W77" i="69"/>
  <c r="V77" i="69"/>
  <c r="U77" i="69"/>
  <c r="BI75" i="69"/>
  <c r="Y75" i="69"/>
  <c r="X75" i="69"/>
  <c r="W75" i="69"/>
  <c r="V75" i="69"/>
  <c r="U75" i="69"/>
  <c r="BI33" i="69"/>
  <c r="AF33" i="69"/>
  <c r="AG33" i="69" s="1"/>
  <c r="Y33" i="69"/>
  <c r="X33" i="69"/>
  <c r="W33" i="69"/>
  <c r="V33" i="69"/>
  <c r="U33" i="69"/>
  <c r="BI74" i="69"/>
  <c r="AF74" i="69"/>
  <c r="AG74" i="69" s="1"/>
  <c r="Y74" i="69"/>
  <c r="X74" i="69"/>
  <c r="W74" i="69"/>
  <c r="V74" i="69"/>
  <c r="U74" i="69"/>
  <c r="BI73" i="69"/>
  <c r="AF73" i="69"/>
  <c r="AG73" i="69" s="1"/>
  <c r="Y73" i="69"/>
  <c r="X73" i="69"/>
  <c r="W73" i="69"/>
  <c r="V73" i="69"/>
  <c r="U73" i="69"/>
  <c r="BI152" i="69"/>
  <c r="AF152" i="69"/>
  <c r="AG152" i="69" s="1"/>
  <c r="Y152" i="69"/>
  <c r="X152" i="69"/>
  <c r="W152" i="69"/>
  <c r="V152" i="69"/>
  <c r="U152" i="69"/>
  <c r="BI153" i="69"/>
  <c r="AF153" i="69"/>
  <c r="AG153" i="69" s="1"/>
  <c r="Y153" i="69"/>
  <c r="X153" i="69"/>
  <c r="W153" i="69"/>
  <c r="V153" i="69"/>
  <c r="U153" i="69"/>
  <c r="BI72" i="69"/>
  <c r="AF72" i="69"/>
  <c r="AG72" i="69" s="1"/>
  <c r="Y72" i="69"/>
  <c r="X72" i="69"/>
  <c r="W72" i="69"/>
  <c r="V72" i="69"/>
  <c r="U72" i="69"/>
  <c r="BI112" i="69"/>
  <c r="AF112" i="69"/>
  <c r="AG112" i="69" s="1"/>
  <c r="Y112" i="69"/>
  <c r="X112" i="69"/>
  <c r="W112" i="69"/>
  <c r="V112" i="69"/>
  <c r="U112" i="69"/>
  <c r="BI32" i="69"/>
  <c r="AF32" i="69"/>
  <c r="AG32" i="69" s="1"/>
  <c r="Y32" i="69"/>
  <c r="X32" i="69"/>
  <c r="W32" i="69"/>
  <c r="V32" i="69"/>
  <c r="U32" i="69"/>
  <c r="BI69" i="69"/>
  <c r="AF69" i="69"/>
  <c r="AG69" i="69" s="1"/>
  <c r="Y69" i="69"/>
  <c r="X69" i="69"/>
  <c r="W69" i="69"/>
  <c r="V69" i="69"/>
  <c r="U69" i="69"/>
  <c r="BI31" i="69"/>
  <c r="AF31" i="69"/>
  <c r="AG31" i="69" s="1"/>
  <c r="Y31" i="69"/>
  <c r="X31" i="69"/>
  <c r="W31" i="69"/>
  <c r="V31" i="69"/>
  <c r="U31" i="69"/>
  <c r="BI30" i="69"/>
  <c r="AF30" i="69"/>
  <c r="AG30" i="69" s="1"/>
  <c r="Y30" i="69"/>
  <c r="X30" i="69"/>
  <c r="W30" i="69"/>
  <c r="V30" i="69"/>
  <c r="U30" i="69"/>
  <c r="BI29" i="69"/>
  <c r="AF29" i="69"/>
  <c r="AG29" i="69" s="1"/>
  <c r="Y29" i="69"/>
  <c r="X29" i="69"/>
  <c r="W29" i="69"/>
  <c r="V29" i="69"/>
  <c r="U29" i="69"/>
  <c r="BI111" i="69"/>
  <c r="AF111" i="69"/>
  <c r="AG111" i="69" s="1"/>
  <c r="Y111" i="69"/>
  <c r="X111" i="69"/>
  <c r="W111" i="69"/>
  <c r="V111" i="69"/>
  <c r="U111" i="69"/>
  <c r="BI28" i="69"/>
  <c r="AF28" i="69"/>
  <c r="AG28" i="69" s="1"/>
  <c r="Y28" i="69"/>
  <c r="X28" i="69"/>
  <c r="W28" i="69"/>
  <c r="V28" i="69"/>
  <c r="U28" i="69"/>
  <c r="BI134" i="69"/>
  <c r="AF134" i="69"/>
  <c r="AG134" i="69" s="1"/>
  <c r="Y134" i="69"/>
  <c r="X134" i="69"/>
  <c r="W134" i="69"/>
  <c r="V134" i="69"/>
  <c r="U134" i="69"/>
  <c r="BI27" i="69"/>
  <c r="AF27" i="69"/>
  <c r="AG27" i="69" s="1"/>
  <c r="Y27" i="69"/>
  <c r="X27" i="69"/>
  <c r="W27" i="69"/>
  <c r="V27" i="69"/>
  <c r="U27" i="69"/>
  <c r="BI26" i="69"/>
  <c r="AF26" i="69"/>
  <c r="AG26" i="69" s="1"/>
  <c r="Y26" i="69"/>
  <c r="X26" i="69"/>
  <c r="W26" i="69"/>
  <c r="V26" i="69"/>
  <c r="U26" i="69"/>
  <c r="BI25" i="69"/>
  <c r="AF25" i="69"/>
  <c r="AG25" i="69" s="1"/>
  <c r="Y25" i="69"/>
  <c r="X25" i="69"/>
  <c r="W25" i="69"/>
  <c r="V25" i="69"/>
  <c r="U25" i="69"/>
  <c r="BI24" i="69"/>
  <c r="AF24" i="69"/>
  <c r="AG24" i="69" s="1"/>
  <c r="Y24" i="69"/>
  <c r="X24" i="69"/>
  <c r="W24" i="69"/>
  <c r="V24" i="69"/>
  <c r="U24" i="69"/>
  <c r="BI135" i="69"/>
  <c r="AF135" i="69"/>
  <c r="AG135" i="69" s="1"/>
  <c r="Y135" i="69"/>
  <c r="X135" i="69"/>
  <c r="W135" i="69"/>
  <c r="V135" i="69"/>
  <c r="U135" i="69"/>
  <c r="BI68" i="69"/>
  <c r="Y68" i="69"/>
  <c r="X68" i="69"/>
  <c r="W68" i="69"/>
  <c r="V68" i="69"/>
  <c r="U68" i="69"/>
  <c r="BI65" i="69"/>
  <c r="Y65" i="69"/>
  <c r="X65" i="69"/>
  <c r="W65" i="69"/>
  <c r="V65" i="69"/>
  <c r="U65" i="69"/>
  <c r="BI23" i="69"/>
  <c r="AF23" i="69"/>
  <c r="AG23" i="69" s="1"/>
  <c r="Y23" i="69"/>
  <c r="X23" i="69"/>
  <c r="W23" i="69"/>
  <c r="V23" i="69"/>
  <c r="U23" i="69"/>
  <c r="BI64" i="69"/>
  <c r="Y64" i="69"/>
  <c r="X64" i="69"/>
  <c r="W64" i="69"/>
  <c r="V64" i="69"/>
  <c r="U64" i="69"/>
  <c r="BI22" i="69"/>
  <c r="AF22" i="69"/>
  <c r="AG22" i="69" s="1"/>
  <c r="Y22" i="69"/>
  <c r="X22" i="69"/>
  <c r="W22" i="69"/>
  <c r="V22" i="69"/>
  <c r="U22" i="69"/>
  <c r="BI62" i="69"/>
  <c r="Y62" i="69"/>
  <c r="X62" i="69"/>
  <c r="W62" i="69"/>
  <c r="V62" i="69"/>
  <c r="U62" i="69"/>
  <c r="BI60" i="69"/>
  <c r="Y60" i="69"/>
  <c r="X60" i="69"/>
  <c r="W60" i="69"/>
  <c r="V60" i="69"/>
  <c r="U60" i="69"/>
  <c r="BI59" i="69"/>
  <c r="Y59" i="69"/>
  <c r="X59" i="69"/>
  <c r="W59" i="69"/>
  <c r="V59" i="69"/>
  <c r="U59" i="69"/>
  <c r="BI71" i="69"/>
  <c r="AF71" i="69"/>
  <c r="AG71" i="69" s="1"/>
  <c r="Y71" i="69"/>
  <c r="X71" i="69"/>
  <c r="W71" i="69"/>
  <c r="V71" i="69"/>
  <c r="U71" i="69"/>
  <c r="BI21" i="69"/>
  <c r="AF21" i="69"/>
  <c r="AG21" i="69" s="1"/>
  <c r="Y21" i="69"/>
  <c r="X21" i="69"/>
  <c r="W21" i="69"/>
  <c r="V21" i="69"/>
  <c r="U21" i="69"/>
  <c r="BI58" i="69"/>
  <c r="Y58" i="69"/>
  <c r="X58" i="69"/>
  <c r="W58" i="69"/>
  <c r="V58" i="69"/>
  <c r="U58" i="69"/>
  <c r="BI70" i="69"/>
  <c r="AF70" i="69"/>
  <c r="AG70" i="69" s="1"/>
  <c r="Y70" i="69"/>
  <c r="X70" i="69"/>
  <c r="W70" i="69"/>
  <c r="V70" i="69"/>
  <c r="U70" i="69"/>
  <c r="BI20" i="69"/>
  <c r="AF20" i="69"/>
  <c r="AG20" i="69" s="1"/>
  <c r="Y20" i="69"/>
  <c r="X20" i="69"/>
  <c r="W20" i="69"/>
  <c r="V20" i="69"/>
  <c r="U20" i="69"/>
  <c r="BI61" i="69"/>
  <c r="AF61" i="69"/>
  <c r="AG61" i="69" s="1"/>
  <c r="Y61" i="69"/>
  <c r="X61" i="69"/>
  <c r="W61" i="69"/>
  <c r="V61" i="69"/>
  <c r="U61" i="69"/>
  <c r="BI57" i="69"/>
  <c r="AF57" i="69"/>
  <c r="AG57" i="69" s="1"/>
  <c r="Y57" i="69"/>
  <c r="X57" i="69"/>
  <c r="W57" i="69"/>
  <c r="V57" i="69"/>
  <c r="U57" i="69"/>
  <c r="BI54" i="69"/>
  <c r="Y54" i="69"/>
  <c r="X54" i="69"/>
  <c r="W54" i="69"/>
  <c r="V54" i="69"/>
  <c r="U54" i="69"/>
  <c r="BI56" i="69"/>
  <c r="AF56" i="69"/>
  <c r="AG56" i="69" s="1"/>
  <c r="Y56" i="69"/>
  <c r="X56" i="69"/>
  <c r="W56" i="69"/>
  <c r="V56" i="69"/>
  <c r="U56" i="69"/>
  <c r="BI47" i="69"/>
  <c r="AF47" i="69"/>
  <c r="AG47" i="69" s="1"/>
  <c r="Y47" i="69"/>
  <c r="X47" i="69"/>
  <c r="W47" i="69"/>
  <c r="V47" i="69"/>
  <c r="U47" i="69"/>
  <c r="BI51" i="69"/>
  <c r="Y51" i="69"/>
  <c r="X51" i="69"/>
  <c r="W51" i="69"/>
  <c r="V51" i="69"/>
  <c r="U51" i="69"/>
  <c r="BI55" i="69"/>
  <c r="AF55" i="69"/>
  <c r="AG55" i="69" s="1"/>
  <c r="Y55" i="69"/>
  <c r="X55" i="69"/>
  <c r="W55" i="69"/>
  <c r="V55" i="69"/>
  <c r="U55" i="69"/>
  <c r="BI50" i="69"/>
  <c r="Y50" i="69"/>
  <c r="X50" i="69"/>
  <c r="W50" i="69"/>
  <c r="V50" i="69"/>
  <c r="U50" i="69"/>
  <c r="BI53" i="69"/>
  <c r="AF53" i="69"/>
  <c r="AG53" i="69" s="1"/>
  <c r="Y53" i="69"/>
  <c r="X53" i="69"/>
  <c r="W53" i="69"/>
  <c r="V53" i="69"/>
  <c r="U53" i="69"/>
  <c r="BI127" i="69"/>
  <c r="AF127" i="69"/>
  <c r="AG127" i="69" s="1"/>
  <c r="Y127" i="69"/>
  <c r="X127" i="69"/>
  <c r="W127" i="69"/>
  <c r="V127" i="69"/>
  <c r="U127" i="69"/>
  <c r="BI52" i="69"/>
  <c r="AF52" i="69"/>
  <c r="AG52" i="69" s="1"/>
  <c r="Y52" i="69"/>
  <c r="X52" i="69"/>
  <c r="W52" i="69"/>
  <c r="V52" i="69"/>
  <c r="U52" i="69"/>
  <c r="BI19" i="69"/>
  <c r="AF19" i="69"/>
  <c r="AG19" i="69" s="1"/>
  <c r="Y19" i="69"/>
  <c r="X19" i="69"/>
  <c r="W19" i="69"/>
  <c r="V19" i="69"/>
  <c r="U19" i="69"/>
  <c r="BI49" i="69"/>
  <c r="AF49" i="69"/>
  <c r="AG49" i="69" s="1"/>
  <c r="Y49" i="69"/>
  <c r="X49" i="69"/>
  <c r="W49" i="69"/>
  <c r="V49" i="69"/>
  <c r="U49" i="69"/>
  <c r="BI46" i="69"/>
  <c r="Y46" i="69"/>
  <c r="X46" i="69"/>
  <c r="W46" i="69"/>
  <c r="V46" i="69"/>
  <c r="U46" i="69"/>
  <c r="BI48" i="69"/>
  <c r="Y48" i="69"/>
  <c r="X48" i="69"/>
  <c r="W48" i="69"/>
  <c r="V48" i="69"/>
  <c r="U48" i="69"/>
  <c r="BI133" i="69"/>
  <c r="AF133" i="69"/>
  <c r="AG133" i="69" s="1"/>
  <c r="Y133" i="69"/>
  <c r="X133" i="69"/>
  <c r="W133" i="69"/>
  <c r="V133" i="69"/>
  <c r="AK16" i="69"/>
  <c r="AK15" i="69"/>
  <c r="BJ14" i="69"/>
  <c r="BI14" i="69"/>
  <c r="AF11" i="69"/>
  <c r="BG9" i="69"/>
  <c r="BE9" i="69"/>
  <c r="BC9" i="69"/>
  <c r="BA9" i="69"/>
  <c r="AY9" i="69"/>
  <c r="AW9" i="69"/>
  <c r="AU9" i="69"/>
  <c r="AS9" i="69"/>
  <c r="AQ9" i="69"/>
  <c r="AO9" i="69"/>
  <c r="AM9" i="69"/>
  <c r="AK9" i="69"/>
  <c r="AI9" i="69"/>
  <c r="BG8" i="69"/>
  <c r="BE8" i="69"/>
  <c r="BC8" i="69"/>
  <c r="BA8" i="69"/>
  <c r="AY8" i="69"/>
  <c r="AW8" i="69"/>
  <c r="AU8" i="69"/>
  <c r="AS8" i="69"/>
  <c r="AQ8" i="69"/>
  <c r="AO8" i="69"/>
  <c r="AM8" i="69"/>
  <c r="AK8" i="69"/>
  <c r="AI8" i="69"/>
  <c r="BG6" i="69"/>
  <c r="BE6" i="69"/>
  <c r="BC6" i="69"/>
  <c r="BA6" i="69"/>
  <c r="AY6" i="69"/>
  <c r="AW6" i="69"/>
  <c r="AU6" i="69"/>
  <c r="AS6" i="69"/>
  <c r="AQ6" i="69"/>
  <c r="AO6" i="69"/>
  <c r="AM6" i="69"/>
  <c r="AK6" i="69"/>
  <c r="AI6" i="69"/>
  <c r="BG5" i="69"/>
  <c r="BE5" i="69"/>
  <c r="BC5" i="69"/>
  <c r="BA5" i="69"/>
  <c r="AY5" i="69"/>
  <c r="AW5" i="69"/>
  <c r="AU5" i="69"/>
  <c r="AS5" i="69"/>
  <c r="AQ5" i="69"/>
  <c r="AO5" i="69"/>
  <c r="AM5" i="69"/>
  <c r="AK5" i="69"/>
  <c r="AI5" i="69"/>
  <c r="BG4" i="69"/>
  <c r="BE4" i="69"/>
  <c r="BC4" i="69"/>
  <c r="BA4" i="69"/>
  <c r="AY4" i="69"/>
  <c r="AW4" i="69"/>
  <c r="AU4" i="69"/>
  <c r="AS4" i="69"/>
  <c r="AQ4" i="69"/>
  <c r="AO4" i="69"/>
  <c r="AM4" i="69"/>
  <c r="AK4" i="69"/>
  <c r="BK11" i="71" l="1"/>
  <c r="BK13" i="71" s="1"/>
  <c r="BK15" i="71" s="1"/>
  <c r="AM15" i="71"/>
  <c r="AM16" i="71"/>
  <c r="AO16" i="71"/>
  <c r="AW16" i="71"/>
  <c r="BE15" i="71"/>
  <c r="BI16" i="71"/>
  <c r="AS16" i="71"/>
  <c r="BG15" i="71"/>
  <c r="BC16" i="71"/>
  <c r="AQ16" i="71"/>
  <c r="BL11" i="71"/>
  <c r="BL13" i="71" s="1"/>
  <c r="BL16" i="71" s="1"/>
  <c r="AK15" i="71"/>
  <c r="AY15" i="71"/>
  <c r="BA16" i="71"/>
  <c r="AU16" i="71"/>
  <c r="AU15" i="71"/>
  <c r="Z91" i="70"/>
  <c r="Z66" i="70"/>
  <c r="Z114" i="70"/>
  <c r="Z35" i="70"/>
  <c r="Z107" i="70"/>
  <c r="Z56" i="70"/>
  <c r="AW7" i="70"/>
  <c r="AU7" i="70"/>
  <c r="AQ10" i="70"/>
  <c r="BG10" i="70"/>
  <c r="Z116" i="70"/>
  <c r="Z136" i="70"/>
  <c r="Z142" i="70"/>
  <c r="Z95" i="70"/>
  <c r="Z140" i="70"/>
  <c r="Z122" i="70"/>
  <c r="Z61" i="70"/>
  <c r="Z146" i="70"/>
  <c r="Z82" i="70"/>
  <c r="Z93" i="70"/>
  <c r="Z48" i="70"/>
  <c r="Z54" i="70"/>
  <c r="Z62" i="70"/>
  <c r="Z156" i="70"/>
  <c r="Z26" i="70"/>
  <c r="Z49" i="70"/>
  <c r="Z60" i="70"/>
  <c r="Z100" i="70"/>
  <c r="Z43" i="70"/>
  <c r="Z59" i="70"/>
  <c r="Z109" i="70"/>
  <c r="Z98" i="70"/>
  <c r="AI7" i="70"/>
  <c r="AY7" i="70"/>
  <c r="AU10" i="70"/>
  <c r="Z130" i="70"/>
  <c r="Z33" i="70"/>
  <c r="Z55" i="70"/>
  <c r="Z126" i="70"/>
  <c r="Z70" i="70"/>
  <c r="Z121" i="70"/>
  <c r="Z94" i="70"/>
  <c r="AW10" i="70"/>
  <c r="Z69" i="70"/>
  <c r="Z132" i="70"/>
  <c r="Z125" i="70"/>
  <c r="Z139" i="70"/>
  <c r="Z120" i="70"/>
  <c r="Z45" i="70"/>
  <c r="Z149" i="70"/>
  <c r="Z92" i="70"/>
  <c r="Z20" i="70"/>
  <c r="AY10" i="70"/>
  <c r="Z76" i="70"/>
  <c r="Z147" i="70"/>
  <c r="Z50" i="70"/>
  <c r="Z151" i="70"/>
  <c r="Z58" i="70"/>
  <c r="AI10" i="70"/>
  <c r="BI9" i="70"/>
  <c r="Z96" i="70"/>
  <c r="Z127" i="70"/>
  <c r="Z28" i="70"/>
  <c r="Z150" i="70"/>
  <c r="Z22" i="70"/>
  <c r="Z103" i="70"/>
  <c r="Z53" i="70"/>
  <c r="Z89" i="70"/>
  <c r="Z31" i="70"/>
  <c r="Z97" i="70"/>
  <c r="Z29" i="70"/>
  <c r="Z148" i="70"/>
  <c r="Z57" i="70"/>
  <c r="Z41" i="70"/>
  <c r="Z118" i="70"/>
  <c r="Z52" i="70"/>
  <c r="AK10" i="70"/>
  <c r="BA10" i="70"/>
  <c r="Z46" i="70"/>
  <c r="AQ7" i="70"/>
  <c r="BG7" i="70"/>
  <c r="AM10" i="70"/>
  <c r="BC10" i="70"/>
  <c r="Z79" i="70"/>
  <c r="Z80" i="70"/>
  <c r="AO10" i="70"/>
  <c r="BE10" i="70"/>
  <c r="Z21" i="70"/>
  <c r="Z105" i="70"/>
  <c r="Z134" i="70"/>
  <c r="Z99" i="70"/>
  <c r="Z129" i="70"/>
  <c r="Z67" i="70"/>
  <c r="Z88" i="70"/>
  <c r="Z74" i="70"/>
  <c r="Z86" i="70"/>
  <c r="BJ4" i="70"/>
  <c r="Z36" i="70"/>
  <c r="Z27" i="70"/>
  <c r="Z124" i="70"/>
  <c r="Z138" i="70"/>
  <c r="Z102" i="70"/>
  <c r="Z38" i="70"/>
  <c r="Z24" i="70"/>
  <c r="Z123" i="70"/>
  <c r="Z101" i="70"/>
  <c r="Z131" i="70"/>
  <c r="Z133" i="70"/>
  <c r="Z137" i="70"/>
  <c r="Z65" i="70"/>
  <c r="Z87" i="70"/>
  <c r="Z37" i="70"/>
  <c r="Z23" i="70"/>
  <c r="Z113" i="70"/>
  <c r="Z47" i="70"/>
  <c r="Z90" i="70"/>
  <c r="Z144" i="70"/>
  <c r="Z112" i="70"/>
  <c r="Z106" i="70"/>
  <c r="Z153" i="70"/>
  <c r="Z68" i="70"/>
  <c r="BI5" i="70"/>
  <c r="Z143" i="70"/>
  <c r="Z71" i="70"/>
  <c r="Z119" i="70"/>
  <c r="Z77" i="70"/>
  <c r="Z152" i="70"/>
  <c r="Z83" i="70"/>
  <c r="Z104" i="70"/>
  <c r="Z25" i="70"/>
  <c r="Z63" i="70"/>
  <c r="Z64" i="70"/>
  <c r="Z72" i="70"/>
  <c r="Z155" i="70"/>
  <c r="BI157" i="70"/>
  <c r="Z141" i="70"/>
  <c r="Z84" i="70"/>
  <c r="BI4" i="70"/>
  <c r="BJ6" i="70"/>
  <c r="Z135" i="70"/>
  <c r="Z40" i="70"/>
  <c r="Z42" i="70"/>
  <c r="AK7" i="70"/>
  <c r="BA7" i="70"/>
  <c r="BJ8" i="70"/>
  <c r="BJ9" i="70"/>
  <c r="Z110" i="70"/>
  <c r="Z111" i="70"/>
  <c r="Z81" i="70"/>
  <c r="Z108" i="70"/>
  <c r="Z117" i="70"/>
  <c r="Z115" i="70"/>
  <c r="AM7" i="70"/>
  <c r="BC7" i="70"/>
  <c r="Z73" i="70"/>
  <c r="AO7" i="70"/>
  <c r="BE7" i="70"/>
  <c r="BI8" i="70"/>
  <c r="Z19" i="70"/>
  <c r="Z30" i="70"/>
  <c r="Z78" i="70"/>
  <c r="Z75" i="70"/>
  <c r="Z128" i="70"/>
  <c r="Z145" i="70"/>
  <c r="Z32" i="70"/>
  <c r="Z44" i="70"/>
  <c r="Z85" i="70"/>
  <c r="Z154" i="70"/>
  <c r="Z39" i="70"/>
  <c r="Z34" i="70"/>
  <c r="Z51" i="70"/>
  <c r="BJ5" i="70"/>
  <c r="AS10" i="70"/>
  <c r="AS7" i="70"/>
  <c r="BI6" i="70"/>
  <c r="Z25" i="69"/>
  <c r="Z125" i="69"/>
  <c r="Z94" i="69"/>
  <c r="Z100" i="69"/>
  <c r="Z117" i="69"/>
  <c r="Z103" i="69"/>
  <c r="Z119" i="69"/>
  <c r="Z70" i="69"/>
  <c r="AM10" i="69"/>
  <c r="BC10" i="69"/>
  <c r="Z45" i="69"/>
  <c r="AO10" i="69"/>
  <c r="BE10" i="69"/>
  <c r="Z37" i="69"/>
  <c r="Z51" i="69"/>
  <c r="AI7" i="69"/>
  <c r="Z144" i="69"/>
  <c r="AM7" i="69"/>
  <c r="BC7" i="69"/>
  <c r="AI10" i="69"/>
  <c r="AY10" i="69"/>
  <c r="Z90" i="69"/>
  <c r="Z93" i="69"/>
  <c r="Z99" i="69"/>
  <c r="Z151" i="69"/>
  <c r="Z106" i="69"/>
  <c r="Z148" i="69"/>
  <c r="Z98" i="69"/>
  <c r="AU7" i="69"/>
  <c r="Z86" i="69"/>
  <c r="Z110" i="69"/>
  <c r="Z43" i="69"/>
  <c r="Z67" i="69"/>
  <c r="Z64" i="69"/>
  <c r="Z27" i="69"/>
  <c r="Z32" i="69"/>
  <c r="Z75" i="69"/>
  <c r="Z105" i="69"/>
  <c r="Z108" i="69"/>
  <c r="Z156" i="69"/>
  <c r="AY7" i="69"/>
  <c r="AU10" i="69"/>
  <c r="Z92" i="69"/>
  <c r="Z20" i="69"/>
  <c r="Z127" i="69"/>
  <c r="Z57" i="69"/>
  <c r="Z60" i="69"/>
  <c r="Z135" i="69"/>
  <c r="Z78" i="69"/>
  <c r="Z19" i="69"/>
  <c r="Z132" i="69"/>
  <c r="Z46" i="69"/>
  <c r="Z65" i="69"/>
  <c r="Z48" i="69"/>
  <c r="Z96" i="69"/>
  <c r="Z121" i="69"/>
  <c r="Z53" i="69"/>
  <c r="Z61" i="69"/>
  <c r="Z26" i="69"/>
  <c r="Z115" i="69"/>
  <c r="Z140" i="69"/>
  <c r="Z116" i="69"/>
  <c r="Z104" i="69"/>
  <c r="Z114" i="69"/>
  <c r="Z40" i="69"/>
  <c r="Z63" i="69"/>
  <c r="BJ4" i="69"/>
  <c r="Z52" i="69"/>
  <c r="Z109" i="69"/>
  <c r="Z95" i="69"/>
  <c r="Z39" i="69"/>
  <c r="Z123" i="69"/>
  <c r="Z143" i="69"/>
  <c r="Z126" i="69"/>
  <c r="Z81" i="69"/>
  <c r="AW7" i="69"/>
  <c r="AS10" i="69"/>
  <c r="Z54" i="69"/>
  <c r="Z59" i="69"/>
  <c r="Z30" i="69"/>
  <c r="Z91" i="69"/>
  <c r="Z124" i="69"/>
  <c r="Z130" i="69"/>
  <c r="Z141" i="69"/>
  <c r="Z101" i="69"/>
  <c r="Z155" i="69"/>
  <c r="Z129" i="69"/>
  <c r="Z97" i="69"/>
  <c r="Z56" i="69"/>
  <c r="Z71" i="69"/>
  <c r="Z82" i="69"/>
  <c r="Z128" i="69"/>
  <c r="Z58" i="69"/>
  <c r="Z28" i="69"/>
  <c r="Z120" i="69"/>
  <c r="Z146" i="69"/>
  <c r="BE7" i="69"/>
  <c r="AK10" i="69"/>
  <c r="BA10" i="69"/>
  <c r="Z133" i="69"/>
  <c r="Z50" i="69"/>
  <c r="Z55" i="69"/>
  <c r="Z134" i="69"/>
  <c r="Z72" i="69"/>
  <c r="Z34" i="69"/>
  <c r="Z131" i="69"/>
  <c r="Z42" i="69"/>
  <c r="Z76" i="69"/>
  <c r="Z138" i="69"/>
  <c r="Z150" i="69"/>
  <c r="Z80" i="69"/>
  <c r="Z66" i="69"/>
  <c r="Z44" i="69"/>
  <c r="BJ9" i="69"/>
  <c r="BI4" i="69"/>
  <c r="BI6" i="69"/>
  <c r="Z47" i="69"/>
  <c r="Z24" i="69"/>
  <c r="Z73" i="69"/>
  <c r="Z74" i="69"/>
  <c r="Z33" i="69"/>
  <c r="Z77" i="69"/>
  <c r="Z35" i="69"/>
  <c r="Z38" i="69"/>
  <c r="Z79" i="69"/>
  <c r="AK7" i="69"/>
  <c r="BA7" i="69"/>
  <c r="BJ8" i="69"/>
  <c r="Z152" i="69"/>
  <c r="Z36" i="69"/>
  <c r="Z154" i="69"/>
  <c r="Z113" i="69"/>
  <c r="Z142" i="69"/>
  <c r="Z136" i="69"/>
  <c r="Z107" i="69"/>
  <c r="Z149" i="69"/>
  <c r="Z145" i="69"/>
  <c r="Z147" i="69"/>
  <c r="Z139" i="69"/>
  <c r="BI157" i="69"/>
  <c r="AQ10" i="69"/>
  <c r="BG10" i="69"/>
  <c r="Z111" i="69"/>
  <c r="BI5" i="69"/>
  <c r="BJ6" i="69"/>
  <c r="Z49" i="69"/>
  <c r="Z62" i="69"/>
  <c r="Z22" i="69"/>
  <c r="Z23" i="69"/>
  <c r="Z68" i="69"/>
  <c r="Z31" i="69"/>
  <c r="Z69" i="69"/>
  <c r="Z112" i="69"/>
  <c r="Z153" i="69"/>
  <c r="Z89" i="69"/>
  <c r="Z41" i="69"/>
  <c r="Z88" i="69"/>
  <c r="AQ7" i="69"/>
  <c r="Z137" i="69"/>
  <c r="BG7" i="69"/>
  <c r="AS7" i="69"/>
  <c r="AW10" i="69"/>
  <c r="Z21" i="69"/>
  <c r="Z29" i="69"/>
  <c r="Z83" i="69"/>
  <c r="Z84" i="69"/>
  <c r="Z85" i="69"/>
  <c r="Z87" i="69"/>
  <c r="Z122" i="69"/>
  <c r="Z102" i="69"/>
  <c r="Z118" i="69"/>
  <c r="AO7" i="69"/>
  <c r="BI9" i="69"/>
  <c r="BI8" i="69"/>
  <c r="BJ5" i="69"/>
  <c r="BL15" i="71" l="1"/>
  <c r="BK16" i="71"/>
  <c r="BE11" i="70"/>
  <c r="BE13" i="70" s="1"/>
  <c r="BE16" i="70" s="1"/>
  <c r="AU11" i="70"/>
  <c r="AU13" i="70" s="1"/>
  <c r="AU16" i="70" s="1"/>
  <c r="AM11" i="70"/>
  <c r="AM13" i="70" s="1"/>
  <c r="AM15" i="70" s="1"/>
  <c r="AY11" i="70"/>
  <c r="AY13" i="70" s="1"/>
  <c r="AY15" i="70" s="1"/>
  <c r="AW11" i="70"/>
  <c r="AW13" i="70" s="1"/>
  <c r="AW16" i="70" s="1"/>
  <c r="BG11" i="70"/>
  <c r="BG13" i="70" s="1"/>
  <c r="BG15" i="70" s="1"/>
  <c r="AK11" i="70"/>
  <c r="AO11" i="70"/>
  <c r="AO13" i="70" s="1"/>
  <c r="AO16" i="70" s="1"/>
  <c r="AQ11" i="70"/>
  <c r="AQ13" i="70" s="1"/>
  <c r="AQ16" i="70" s="1"/>
  <c r="BA11" i="70"/>
  <c r="BA13" i="70" s="1"/>
  <c r="BA16" i="70" s="1"/>
  <c r="AI11" i="70"/>
  <c r="AI13" i="70" s="1"/>
  <c r="AI15" i="70" s="1"/>
  <c r="AS11" i="70"/>
  <c r="AS13" i="70" s="1"/>
  <c r="AS16" i="70" s="1"/>
  <c r="BI10" i="70"/>
  <c r="BJ7" i="70"/>
  <c r="BI7" i="70"/>
  <c r="BC11" i="70"/>
  <c r="BC13" i="70" s="1"/>
  <c r="BC16" i="70" s="1"/>
  <c r="BJ10" i="70"/>
  <c r="BC11" i="69"/>
  <c r="BC13" i="69" s="1"/>
  <c r="BC16" i="69" s="1"/>
  <c r="AM11" i="69"/>
  <c r="AM13" i="69" s="1"/>
  <c r="AM15" i="69" s="1"/>
  <c r="AY11" i="69"/>
  <c r="AY13" i="69" s="1"/>
  <c r="AY15" i="69" s="1"/>
  <c r="AW11" i="69"/>
  <c r="AW13" i="69" s="1"/>
  <c r="AW16" i="69" s="1"/>
  <c r="BE11" i="69"/>
  <c r="BE13" i="69" s="1"/>
  <c r="BE15" i="69" s="1"/>
  <c r="AI11" i="69"/>
  <c r="AI13" i="69" s="1"/>
  <c r="AI15" i="69" s="1"/>
  <c r="AQ11" i="69"/>
  <c r="AQ13" i="69" s="1"/>
  <c r="AQ15" i="69" s="1"/>
  <c r="AO11" i="69"/>
  <c r="AO13" i="69" s="1"/>
  <c r="AO15" i="69" s="1"/>
  <c r="BA11" i="69"/>
  <c r="BA13" i="69" s="1"/>
  <c r="BA16" i="69" s="1"/>
  <c r="AS11" i="69"/>
  <c r="AS13" i="69" s="1"/>
  <c r="AS16" i="69" s="1"/>
  <c r="BJ7" i="69"/>
  <c r="AU11" i="69"/>
  <c r="AU13" i="69" s="1"/>
  <c r="AU16" i="69" s="1"/>
  <c r="AK11" i="69"/>
  <c r="BG11" i="69"/>
  <c r="BG13" i="69" s="1"/>
  <c r="BG16" i="69" s="1"/>
  <c r="BI10" i="69"/>
  <c r="BI7" i="69"/>
  <c r="BJ10" i="69"/>
  <c r="BE15" i="70" l="1"/>
  <c r="AY16" i="70"/>
  <c r="AU15" i="70"/>
  <c r="AS15" i="70"/>
  <c r="BG16" i="70"/>
  <c r="AM16" i="70"/>
  <c r="BA15" i="70"/>
  <c r="AQ15" i="70"/>
  <c r="AW15" i="70"/>
  <c r="AO15" i="70"/>
  <c r="AI16" i="70"/>
  <c r="BJ11" i="70"/>
  <c r="BJ13" i="70" s="1"/>
  <c r="BJ15" i="70" s="1"/>
  <c r="BI11" i="70"/>
  <c r="BI13" i="70" s="1"/>
  <c r="BI16" i="70" s="1"/>
  <c r="BC15" i="70"/>
  <c r="AW15" i="69"/>
  <c r="AY16" i="69"/>
  <c r="BC15" i="69"/>
  <c r="AQ16" i="69"/>
  <c r="AM16" i="69"/>
  <c r="AO16" i="69"/>
  <c r="BE16" i="69"/>
  <c r="BA15" i="69"/>
  <c r="AI16" i="69"/>
  <c r="AS15" i="69"/>
  <c r="AU15" i="69"/>
  <c r="BJ11" i="69"/>
  <c r="BJ13" i="69" s="1"/>
  <c r="BJ16" i="69" s="1"/>
  <c r="BG15" i="69"/>
  <c r="BI11" i="69"/>
  <c r="BI13" i="69" s="1"/>
  <c r="BI16" i="69" s="1"/>
  <c r="BJ16" i="70" l="1"/>
  <c r="BI15" i="70"/>
  <c r="BJ15" i="69"/>
  <c r="BI15" i="69"/>
  <c r="P35" i="67" l="1"/>
  <c r="P32" i="67"/>
  <c r="P31" i="67"/>
  <c r="P30" i="67"/>
  <c r="P29" i="67"/>
  <c r="P28" i="67"/>
  <c r="P27" i="67"/>
  <c r="P26" i="67"/>
  <c r="P25" i="67"/>
  <c r="P23" i="67"/>
  <c r="P22" i="67"/>
  <c r="P21" i="67"/>
  <c r="P20" i="67"/>
  <c r="P19" i="67"/>
  <c r="P18" i="67"/>
  <c r="P17" i="67"/>
  <c r="P16" i="67"/>
  <c r="AD89" i="76" l="1"/>
  <c r="AE89" i="76" s="1"/>
  <c r="AD67" i="76"/>
  <c r="AE67" i="76" s="1"/>
  <c r="AD83" i="76"/>
  <c r="AE83" i="76" s="1"/>
  <c r="AD97" i="76"/>
  <c r="AE97" i="76" s="1"/>
  <c r="AD93" i="76"/>
  <c r="AE93" i="76" s="1"/>
  <c r="AD118" i="76"/>
  <c r="AE118" i="76" s="1"/>
  <c r="AD91" i="76"/>
  <c r="AE91" i="76" s="1"/>
  <c r="AD25" i="76"/>
  <c r="AD114" i="76"/>
  <c r="AE114" i="76" s="1"/>
  <c r="AD94" i="76"/>
  <c r="AE94" i="76" s="1"/>
  <c r="AD26" i="76"/>
  <c r="AE26" i="76" s="1"/>
  <c r="AD131" i="76"/>
  <c r="AE131" i="76" s="1"/>
  <c r="AD148" i="76"/>
  <c r="AE148" i="76" s="1"/>
  <c r="AD132" i="76"/>
  <c r="AE132" i="76" s="1"/>
  <c r="AD104" i="76"/>
  <c r="AE104" i="76" s="1"/>
  <c r="AD145" i="76"/>
  <c r="AE145" i="76" s="1"/>
  <c r="AD121" i="76"/>
  <c r="AE121" i="76" s="1"/>
  <c r="AF101" i="70"/>
  <c r="AG101" i="70" s="1"/>
  <c r="AH20" i="71"/>
  <c r="AI20" i="71" s="1"/>
  <c r="AF19" i="70"/>
  <c r="AG19" i="70" s="1"/>
  <c r="AH29" i="71"/>
  <c r="AI29" i="71" s="1"/>
  <c r="AF21" i="70"/>
  <c r="AG21" i="70" s="1"/>
  <c r="AH26" i="71"/>
  <c r="AI26" i="71" s="1"/>
  <c r="AF26" i="70"/>
  <c r="AG26" i="70" s="1"/>
  <c r="AH25" i="71"/>
  <c r="AI25" i="71" s="1"/>
  <c r="AF127" i="70"/>
  <c r="AG127" i="70" s="1"/>
  <c r="AH35" i="71"/>
  <c r="AI35" i="71" s="1"/>
  <c r="AF124" i="70"/>
  <c r="AG124" i="70" s="1"/>
  <c r="AH37" i="71"/>
  <c r="AI37" i="71" s="1"/>
  <c r="AF116" i="70"/>
  <c r="AG116" i="70" s="1"/>
  <c r="AH48" i="71"/>
  <c r="AI48" i="71" s="1"/>
  <c r="AF32" i="70"/>
  <c r="AG32" i="70" s="1"/>
  <c r="AH21" i="71"/>
  <c r="AI21" i="71" s="1"/>
  <c r="AF125" i="70"/>
  <c r="AG125" i="70" s="1"/>
  <c r="AH32" i="71"/>
  <c r="AI32" i="71" s="1"/>
  <c r="AF105" i="70"/>
  <c r="AG105" i="70" s="1"/>
  <c r="AH24" i="71"/>
  <c r="AI24" i="71" s="1"/>
  <c r="AF129" i="70"/>
  <c r="AG129" i="70" s="1"/>
  <c r="AH28" i="71"/>
  <c r="AI28" i="71" s="1"/>
  <c r="AF126" i="70"/>
  <c r="AG126" i="70" s="1"/>
  <c r="AH34" i="71"/>
  <c r="AI34" i="71" s="1"/>
  <c r="AF111" i="70"/>
  <c r="AG111" i="70" s="1"/>
  <c r="AH30" i="71"/>
  <c r="AI30" i="71" s="1"/>
  <c r="AF34" i="70"/>
  <c r="AG34" i="70" s="1"/>
  <c r="AH31" i="71"/>
  <c r="AI31" i="71" s="1"/>
  <c r="AF128" i="70"/>
  <c r="AG128" i="70" s="1"/>
  <c r="AH36" i="71"/>
  <c r="AI36" i="71" s="1"/>
  <c r="AF110" i="70"/>
  <c r="AG110" i="70" s="1"/>
  <c r="AH19" i="71"/>
  <c r="AI19" i="71" s="1"/>
  <c r="AF38" i="70"/>
  <c r="AG38" i="70" s="1"/>
  <c r="AH33" i="71"/>
  <c r="AI33" i="71" s="1"/>
  <c r="AF54" i="69"/>
  <c r="AG54" i="69" s="1"/>
  <c r="AF60" i="69"/>
  <c r="AG60" i="69" s="1"/>
  <c r="AF58" i="69"/>
  <c r="AG58" i="69" s="1"/>
  <c r="AF51" i="69"/>
  <c r="AG51" i="69" s="1"/>
  <c r="AF62" i="69"/>
  <c r="AG62" i="69" s="1"/>
  <c r="AF59" i="69"/>
  <c r="AG59" i="69" s="1"/>
  <c r="AF64" i="69"/>
  <c r="AG64" i="69" s="1"/>
  <c r="AF75" i="69"/>
  <c r="AG75" i="69" s="1"/>
  <c r="AF78" i="69"/>
  <c r="AG78" i="69" s="1"/>
  <c r="AF65" i="69"/>
  <c r="AG65" i="69" s="1"/>
  <c r="AF46" i="69"/>
  <c r="AG46" i="69" s="1"/>
  <c r="AF82" i="69"/>
  <c r="AG82" i="69" s="1"/>
  <c r="AF68" i="69"/>
  <c r="AG68" i="69" s="1"/>
  <c r="AF50" i="69"/>
  <c r="AG50" i="69" s="1"/>
  <c r="AF103" i="69"/>
  <c r="AG103" i="69" s="1"/>
  <c r="AF77" i="69"/>
  <c r="AG77" i="69" s="1"/>
  <c r="AF114" i="69"/>
  <c r="AG114" i="69" s="1"/>
  <c r="M34" i="66" l="1"/>
  <c r="M97" i="66"/>
  <c r="M98" i="66"/>
  <c r="M74" i="66"/>
  <c r="M121" i="66"/>
  <c r="M132" i="66"/>
  <c r="M96" i="66"/>
  <c r="M32" i="66"/>
  <c r="O32" i="66" s="1"/>
  <c r="M52" i="66"/>
  <c r="O52" i="66" s="1"/>
  <c r="M82" i="66"/>
  <c r="O82" i="66" s="1"/>
  <c r="M63" i="66"/>
  <c r="O63" i="66" s="1"/>
  <c r="M38" i="66"/>
  <c r="O38" i="66" s="1"/>
  <c r="M36" i="66"/>
  <c r="O36" i="66" s="1"/>
  <c r="M80" i="66"/>
  <c r="O80" i="66" s="1"/>
  <c r="M41" i="66"/>
  <c r="O41" i="66" s="1"/>
  <c r="M42" i="66"/>
  <c r="O42" i="66" s="1"/>
  <c r="M37" i="66"/>
  <c r="O37" i="66" s="1"/>
  <c r="M39" i="66"/>
  <c r="O39" i="66" s="1"/>
  <c r="M43" i="66"/>
  <c r="O43" i="66" s="1"/>
  <c r="M46" i="66"/>
  <c r="O46" i="66" s="1"/>
  <c r="M47" i="66"/>
  <c r="O47" i="66" s="1"/>
  <c r="M48" i="66"/>
  <c r="O48" i="66" s="1"/>
  <c r="M49" i="66"/>
  <c r="O49" i="66" s="1"/>
  <c r="M50" i="66"/>
  <c r="O50" i="66" s="1"/>
  <c r="M51" i="66"/>
  <c r="O51" i="66" s="1"/>
  <c r="M44" i="66"/>
  <c r="O44" i="66" s="1"/>
  <c r="M45" i="66"/>
  <c r="O45" i="66" s="1"/>
  <c r="M54" i="66"/>
  <c r="O54" i="66" s="1"/>
  <c r="M58" i="66"/>
  <c r="O58" i="66" s="1"/>
  <c r="M53" i="66"/>
  <c r="O53" i="66" s="1"/>
  <c r="M55" i="66"/>
  <c r="O55" i="66" s="1"/>
  <c r="M56" i="66"/>
  <c r="O56" i="66" s="1"/>
  <c r="M59" i="66"/>
  <c r="O59" i="66" s="1"/>
  <c r="M113" i="66"/>
  <c r="O113" i="66" s="1"/>
  <c r="M61" i="66"/>
  <c r="O61" i="66" s="1"/>
  <c r="M57" i="66"/>
  <c r="O57" i="66" s="1"/>
  <c r="M148" i="66"/>
  <c r="O148" i="66" s="1"/>
  <c r="M99" i="66"/>
  <c r="O99" i="66" s="1"/>
  <c r="M65" i="66"/>
  <c r="O65" i="66" s="1"/>
  <c r="M23" i="66"/>
  <c r="O23" i="66" s="1"/>
  <c r="M67" i="66"/>
  <c r="O67" i="66" s="1"/>
  <c r="M76" i="66"/>
  <c r="O76" i="66" s="1"/>
  <c r="M69" i="66"/>
  <c r="O69" i="66" s="1"/>
  <c r="M105" i="66"/>
  <c r="O105" i="66" s="1"/>
  <c r="M71" i="66"/>
  <c r="O71" i="66" s="1"/>
  <c r="M72" i="66"/>
  <c r="O72" i="66" s="1"/>
  <c r="M73" i="66"/>
  <c r="O73" i="66" s="1"/>
  <c r="M19" i="66"/>
  <c r="O19" i="66" s="1"/>
  <c r="M75" i="66"/>
  <c r="O75" i="66" s="1"/>
  <c r="M83" i="66"/>
  <c r="O83" i="66" s="1"/>
  <c r="M77" i="66"/>
  <c r="O77" i="66" s="1"/>
  <c r="M106" i="66"/>
  <c r="O106" i="66" s="1"/>
  <c r="M124" i="66"/>
  <c r="O124" i="66" s="1"/>
  <c r="M35" i="66"/>
  <c r="O35" i="66" s="1"/>
  <c r="M60" i="66"/>
  <c r="O60" i="66" s="1"/>
  <c r="M62" i="66"/>
  <c r="O62" i="66" s="1"/>
  <c r="M30" i="66"/>
  <c r="O30" i="66" s="1"/>
  <c r="M120" i="66"/>
  <c r="O120" i="66" s="1"/>
  <c r="M135" i="66"/>
  <c r="O135" i="66" s="1"/>
  <c r="M21" i="66"/>
  <c r="O21" i="66" s="1"/>
  <c r="M123" i="66"/>
  <c r="O123" i="66" s="1"/>
  <c r="M84" i="66"/>
  <c r="O84" i="66" s="1"/>
  <c r="M85" i="66"/>
  <c r="O85" i="66" s="1"/>
  <c r="M20" i="66"/>
  <c r="O20" i="66" s="1"/>
  <c r="M26" i="66"/>
  <c r="O26" i="66" s="1"/>
  <c r="M25" i="66"/>
  <c r="O25" i="66" s="1"/>
  <c r="M24" i="66"/>
  <c r="O24" i="66" s="1"/>
  <c r="M81" i="66"/>
  <c r="O81" i="66" s="1"/>
  <c r="M134" i="66"/>
  <c r="O134" i="66" s="1"/>
  <c r="M136" i="66"/>
  <c r="O136" i="66" s="1"/>
  <c r="M125" i="66"/>
  <c r="O125" i="66" s="1"/>
  <c r="M100" i="66"/>
  <c r="O100" i="66" s="1"/>
  <c r="M40" i="66"/>
  <c r="O40" i="66" s="1"/>
  <c r="M86" i="66"/>
  <c r="O86" i="66" s="1"/>
  <c r="M152" i="66"/>
  <c r="O152" i="66" s="1"/>
  <c r="M103" i="66"/>
  <c r="O103" i="66" s="1"/>
  <c r="M126" i="66"/>
  <c r="O126" i="66" s="1"/>
  <c r="M115" i="66"/>
  <c r="O115" i="66" s="1"/>
  <c r="M64" i="66"/>
  <c r="O64" i="66" s="1"/>
  <c r="M66" i="66"/>
  <c r="O66" i="66" s="1"/>
  <c r="M87" i="66"/>
  <c r="O87" i="66" s="1"/>
  <c r="M68" i="66"/>
  <c r="O68" i="66" s="1"/>
  <c r="M156" i="66"/>
  <c r="O156" i="66" s="1"/>
  <c r="M95" i="66"/>
  <c r="O95" i="66" s="1"/>
  <c r="M107" i="66"/>
  <c r="O107" i="66" s="1"/>
  <c r="M101" i="66"/>
  <c r="O101" i="66" s="1"/>
  <c r="M70" i="66"/>
  <c r="O70" i="66" s="1"/>
  <c r="M88" i="66"/>
  <c r="O88" i="66" s="1"/>
  <c r="M22" i="66"/>
  <c r="O22" i="66" s="1"/>
  <c r="M117" i="66"/>
  <c r="O117" i="66" s="1"/>
  <c r="M102" i="66"/>
  <c r="O102" i="66" s="1"/>
  <c r="M89" i="66"/>
  <c r="O89" i="66" s="1"/>
  <c r="M79" i="66"/>
  <c r="O79" i="66" s="1"/>
  <c r="M108" i="66"/>
  <c r="O108" i="66" s="1"/>
  <c r="M90" i="66"/>
  <c r="O90" i="66" s="1"/>
  <c r="M27" i="66"/>
  <c r="O27" i="66" s="1"/>
  <c r="M127" i="66"/>
  <c r="O127" i="66" s="1"/>
  <c r="M78" i="66"/>
  <c r="O78" i="66" s="1"/>
  <c r="M94" i="66"/>
  <c r="O94" i="66" s="1"/>
  <c r="M114" i="66"/>
  <c r="O114" i="66" s="1"/>
  <c r="M104" i="66"/>
  <c r="O104" i="66" s="1"/>
  <c r="M91" i="66"/>
  <c r="O91" i="66" s="1"/>
  <c r="M29" i="66"/>
  <c r="O29" i="66" s="1"/>
  <c r="M112" i="66"/>
  <c r="O112" i="66" s="1"/>
  <c r="M31" i="66"/>
  <c r="O31" i="66" s="1"/>
  <c r="M28" i="66"/>
  <c r="O28" i="66" s="1"/>
  <c r="M140" i="66"/>
  <c r="O140" i="66" s="1"/>
  <c r="M110" i="66"/>
  <c r="O110" i="66" s="1"/>
  <c r="M122" i="66"/>
  <c r="O122" i="66" s="1"/>
  <c r="M128" i="66"/>
  <c r="O128" i="66" s="1"/>
  <c r="M109" i="66"/>
  <c r="O109" i="66" s="1"/>
  <c r="M153" i="66"/>
  <c r="O153" i="66" s="1"/>
  <c r="M138" i="66"/>
  <c r="O138" i="66" s="1"/>
  <c r="M92" i="66"/>
  <c r="O92" i="66" s="1"/>
  <c r="M131" i="66"/>
  <c r="O131" i="66" s="1"/>
  <c r="M147" i="66"/>
  <c r="O147" i="66" s="1"/>
  <c r="M142" i="66"/>
  <c r="O142" i="66" s="1"/>
  <c r="M93" i="66"/>
  <c r="O93" i="66" s="1"/>
  <c r="M119" i="66"/>
  <c r="O119" i="66" s="1"/>
  <c r="M133" i="66"/>
  <c r="O133" i="66" s="1"/>
  <c r="M118" i="66"/>
  <c r="O118" i="66" s="1"/>
  <c r="M33" i="66"/>
  <c r="O33" i="66" s="1"/>
  <c r="M129" i="66"/>
  <c r="O129" i="66" s="1"/>
  <c r="M137" i="66"/>
  <c r="O137" i="66" s="1"/>
  <c r="M139" i="66"/>
  <c r="O139" i="66" s="1"/>
  <c r="M143" i="66"/>
  <c r="O143" i="66" s="1"/>
  <c r="M141" i="66"/>
  <c r="O141" i="66" s="1"/>
  <c r="M144" i="66"/>
  <c r="O144" i="66" s="1"/>
  <c r="M111" i="66"/>
  <c r="O111" i="66" s="1"/>
  <c r="M151" i="66"/>
  <c r="O151" i="66" s="1"/>
  <c r="M149" i="66"/>
  <c r="O149" i="66" s="1"/>
  <c r="M130" i="66"/>
  <c r="O130" i="66" s="1"/>
  <c r="M116" i="66"/>
  <c r="O116" i="66" s="1"/>
  <c r="M145" i="66"/>
  <c r="O145" i="66" s="1"/>
  <c r="M155" i="66"/>
  <c r="O155" i="66" s="1"/>
  <c r="M150" i="66"/>
  <c r="O150" i="66" s="1"/>
  <c r="M146" i="66"/>
  <c r="O146" i="66" s="1"/>
  <c r="M154" i="66"/>
  <c r="O154" i="66" s="1"/>
  <c r="BJ157" i="66" l="1"/>
  <c r="BI157" i="66"/>
  <c r="BH157" i="66"/>
  <c r="BG157" i="66"/>
  <c r="BF157" i="66"/>
  <c r="BE157" i="66"/>
  <c r="BD157" i="66"/>
  <c r="BC157" i="66"/>
  <c r="BB157" i="66"/>
  <c r="BA157" i="66"/>
  <c r="AZ157" i="66"/>
  <c r="AY157" i="66"/>
  <c r="AX157" i="66"/>
  <c r="AW157" i="66"/>
  <c r="AV157" i="66"/>
  <c r="AU157" i="66"/>
  <c r="AT157" i="66"/>
  <c r="AS157" i="66"/>
  <c r="AR157" i="66"/>
  <c r="AQ157" i="66"/>
  <c r="AP157" i="66"/>
  <c r="AO157" i="66"/>
  <c r="AN157" i="66"/>
  <c r="AM157" i="66"/>
  <c r="AL157" i="66"/>
  <c r="AK157" i="66"/>
  <c r="J157" i="66"/>
  <c r="BK121" i="66"/>
  <c r="AD121" i="66"/>
  <c r="AC121" i="66"/>
  <c r="AB121" i="66"/>
  <c r="X121" i="66"/>
  <c r="W121" i="66"/>
  <c r="V121" i="66"/>
  <c r="U121" i="66"/>
  <c r="T121" i="66"/>
  <c r="BK74" i="66"/>
  <c r="AD74" i="66"/>
  <c r="AC74" i="66"/>
  <c r="AB74" i="66"/>
  <c r="X74" i="66"/>
  <c r="W74" i="66"/>
  <c r="V74" i="66"/>
  <c r="U74" i="66"/>
  <c r="T74" i="66"/>
  <c r="BK98" i="66"/>
  <c r="AD98" i="66"/>
  <c r="AC98" i="66"/>
  <c r="AB98" i="66"/>
  <c r="X98" i="66"/>
  <c r="W98" i="66"/>
  <c r="V98" i="66"/>
  <c r="U98" i="66"/>
  <c r="T98" i="66"/>
  <c r="BK97" i="66"/>
  <c r="AD97" i="66"/>
  <c r="AC97" i="66"/>
  <c r="AB97" i="66"/>
  <c r="X97" i="66"/>
  <c r="W97" i="66"/>
  <c r="V97" i="66"/>
  <c r="U97" i="66"/>
  <c r="T97" i="66"/>
  <c r="BK34" i="66"/>
  <c r="AD34" i="66"/>
  <c r="AC34" i="66"/>
  <c r="AB34" i="66"/>
  <c r="X34" i="66"/>
  <c r="W34" i="66"/>
  <c r="V34" i="66"/>
  <c r="U34" i="66"/>
  <c r="T34" i="66"/>
  <c r="BK154" i="66"/>
  <c r="AD154" i="66"/>
  <c r="AC154" i="66"/>
  <c r="AB154" i="66"/>
  <c r="X154" i="66"/>
  <c r="W154" i="66"/>
  <c r="V154" i="66"/>
  <c r="U154" i="66"/>
  <c r="T154" i="66"/>
  <c r="BK146" i="66"/>
  <c r="AD146" i="66"/>
  <c r="AC146" i="66"/>
  <c r="AB146" i="66"/>
  <c r="X146" i="66"/>
  <c r="W146" i="66"/>
  <c r="V146" i="66"/>
  <c r="U146" i="66"/>
  <c r="T146" i="66"/>
  <c r="BK150" i="66"/>
  <c r="AD150" i="66"/>
  <c r="AC150" i="66"/>
  <c r="AB150" i="66"/>
  <c r="X150" i="66"/>
  <c r="W150" i="66"/>
  <c r="V150" i="66"/>
  <c r="U150" i="66"/>
  <c r="T150" i="66"/>
  <c r="BK155" i="66"/>
  <c r="AD155" i="66"/>
  <c r="AC155" i="66"/>
  <c r="AB155" i="66"/>
  <c r="X155" i="66"/>
  <c r="W155" i="66"/>
  <c r="V155" i="66"/>
  <c r="U155" i="66"/>
  <c r="T155" i="66"/>
  <c r="BK145" i="66"/>
  <c r="AD145" i="66"/>
  <c r="AC145" i="66"/>
  <c r="AB145" i="66"/>
  <c r="X145" i="66"/>
  <c r="W145" i="66"/>
  <c r="V145" i="66"/>
  <c r="U145" i="66"/>
  <c r="T145" i="66"/>
  <c r="BK116" i="66"/>
  <c r="AD116" i="66"/>
  <c r="AC116" i="66"/>
  <c r="AB116" i="66"/>
  <c r="X116" i="66"/>
  <c r="W116" i="66"/>
  <c r="V116" i="66"/>
  <c r="U116" i="66"/>
  <c r="T116" i="66"/>
  <c r="BK130" i="66"/>
  <c r="AD130" i="66"/>
  <c r="AC130" i="66"/>
  <c r="AB130" i="66"/>
  <c r="X130" i="66"/>
  <c r="W130" i="66"/>
  <c r="V130" i="66"/>
  <c r="U130" i="66"/>
  <c r="T130" i="66"/>
  <c r="BK149" i="66"/>
  <c r="AD149" i="66"/>
  <c r="AC149" i="66"/>
  <c r="AB149" i="66"/>
  <c r="X149" i="66"/>
  <c r="W149" i="66"/>
  <c r="V149" i="66"/>
  <c r="U149" i="66"/>
  <c r="T149" i="66"/>
  <c r="BK151" i="66"/>
  <c r="AD151" i="66"/>
  <c r="AC151" i="66"/>
  <c r="AB151" i="66"/>
  <c r="X151" i="66"/>
  <c r="W151" i="66"/>
  <c r="V151" i="66"/>
  <c r="U151" i="66"/>
  <c r="T151" i="66"/>
  <c r="BK111" i="66"/>
  <c r="AD111" i="66"/>
  <c r="AC111" i="66"/>
  <c r="AB111" i="66"/>
  <c r="X111" i="66"/>
  <c r="W111" i="66"/>
  <c r="V111" i="66"/>
  <c r="U111" i="66"/>
  <c r="T111" i="66"/>
  <c r="BK144" i="66"/>
  <c r="AD144" i="66"/>
  <c r="AC144" i="66"/>
  <c r="AB144" i="66"/>
  <c r="X144" i="66"/>
  <c r="W144" i="66"/>
  <c r="V144" i="66"/>
  <c r="U144" i="66"/>
  <c r="T144" i="66"/>
  <c r="BK141" i="66"/>
  <c r="AD141" i="66"/>
  <c r="AC141" i="66"/>
  <c r="AB141" i="66"/>
  <c r="X141" i="66"/>
  <c r="W141" i="66"/>
  <c r="V141" i="66"/>
  <c r="U141" i="66"/>
  <c r="T141" i="66"/>
  <c r="BK143" i="66"/>
  <c r="AD143" i="66"/>
  <c r="AC143" i="66"/>
  <c r="AB143" i="66"/>
  <c r="X143" i="66"/>
  <c r="W143" i="66"/>
  <c r="V143" i="66"/>
  <c r="U143" i="66"/>
  <c r="T143" i="66"/>
  <c r="BK139" i="66"/>
  <c r="AD139" i="66"/>
  <c r="AC139" i="66"/>
  <c r="AB139" i="66"/>
  <c r="X139" i="66"/>
  <c r="W139" i="66"/>
  <c r="V139" i="66"/>
  <c r="U139" i="66"/>
  <c r="T139" i="66"/>
  <c r="BK137" i="66"/>
  <c r="AD137" i="66"/>
  <c r="AC137" i="66"/>
  <c r="AB137" i="66"/>
  <c r="X137" i="66"/>
  <c r="W137" i="66"/>
  <c r="V137" i="66"/>
  <c r="U137" i="66"/>
  <c r="T137" i="66"/>
  <c r="BK96" i="66"/>
  <c r="AD96" i="66"/>
  <c r="AC96" i="66"/>
  <c r="AB96" i="66"/>
  <c r="X96" i="66"/>
  <c r="W96" i="66"/>
  <c r="V96" i="66"/>
  <c r="U96" i="66"/>
  <c r="T96" i="66"/>
  <c r="BK129" i="66"/>
  <c r="AD129" i="66"/>
  <c r="AC129" i="66"/>
  <c r="AB129" i="66"/>
  <c r="X129" i="66"/>
  <c r="W129" i="66"/>
  <c r="V129" i="66"/>
  <c r="U129" i="66"/>
  <c r="T129" i="66"/>
  <c r="BK33" i="66"/>
  <c r="AD33" i="66"/>
  <c r="AC33" i="66"/>
  <c r="AB33" i="66"/>
  <c r="X33" i="66"/>
  <c r="W33" i="66"/>
  <c r="V33" i="66"/>
  <c r="U33" i="66"/>
  <c r="T33" i="66"/>
  <c r="BK118" i="66"/>
  <c r="AD118" i="66"/>
  <c r="AC118" i="66"/>
  <c r="AB118" i="66"/>
  <c r="X118" i="66"/>
  <c r="W118" i="66"/>
  <c r="V118" i="66"/>
  <c r="U118" i="66"/>
  <c r="T118" i="66"/>
  <c r="BK133" i="66"/>
  <c r="AD133" i="66"/>
  <c r="AC133" i="66"/>
  <c r="AB133" i="66"/>
  <c r="X133" i="66"/>
  <c r="W133" i="66"/>
  <c r="V133" i="66"/>
  <c r="U133" i="66"/>
  <c r="T133" i="66"/>
  <c r="BK119" i="66"/>
  <c r="AD119" i="66"/>
  <c r="AC119" i="66"/>
  <c r="AB119" i="66"/>
  <c r="X119" i="66"/>
  <c r="W119" i="66"/>
  <c r="V119" i="66"/>
  <c r="U119" i="66"/>
  <c r="T119" i="66"/>
  <c r="BK93" i="66"/>
  <c r="AD93" i="66"/>
  <c r="AC93" i="66"/>
  <c r="AB93" i="66"/>
  <c r="X93" i="66"/>
  <c r="W93" i="66"/>
  <c r="V93" i="66"/>
  <c r="U93" i="66"/>
  <c r="T93" i="66"/>
  <c r="BK142" i="66"/>
  <c r="AD142" i="66"/>
  <c r="AC142" i="66"/>
  <c r="AB142" i="66"/>
  <c r="X142" i="66"/>
  <c r="W142" i="66"/>
  <c r="V142" i="66"/>
  <c r="U142" i="66"/>
  <c r="T142" i="66"/>
  <c r="BK147" i="66"/>
  <c r="AD147" i="66"/>
  <c r="AC147" i="66"/>
  <c r="AB147" i="66"/>
  <c r="X147" i="66"/>
  <c r="W147" i="66"/>
  <c r="V147" i="66"/>
  <c r="U147" i="66"/>
  <c r="T147" i="66"/>
  <c r="BK131" i="66"/>
  <c r="AD131" i="66"/>
  <c r="AC131" i="66"/>
  <c r="AB131" i="66"/>
  <c r="X131" i="66"/>
  <c r="W131" i="66"/>
  <c r="V131" i="66"/>
  <c r="U131" i="66"/>
  <c r="T131" i="66"/>
  <c r="BK92" i="66"/>
  <c r="AD92" i="66"/>
  <c r="AC92" i="66"/>
  <c r="AB92" i="66"/>
  <c r="X92" i="66"/>
  <c r="W92" i="66"/>
  <c r="V92" i="66"/>
  <c r="U92" i="66"/>
  <c r="T92" i="66"/>
  <c r="BK138" i="66"/>
  <c r="AD138" i="66"/>
  <c r="AC138" i="66"/>
  <c r="AB138" i="66"/>
  <c r="X138" i="66"/>
  <c r="W138" i="66"/>
  <c r="V138" i="66"/>
  <c r="U138" i="66"/>
  <c r="T138" i="66"/>
  <c r="BK153" i="66"/>
  <c r="AD153" i="66"/>
  <c r="AC153" i="66"/>
  <c r="AB153" i="66"/>
  <c r="X153" i="66"/>
  <c r="W153" i="66"/>
  <c r="V153" i="66"/>
  <c r="U153" i="66"/>
  <c r="T153" i="66"/>
  <c r="BK132" i="66"/>
  <c r="AD132" i="66"/>
  <c r="AC132" i="66"/>
  <c r="AB132" i="66"/>
  <c r="X132" i="66"/>
  <c r="W132" i="66"/>
  <c r="V132" i="66"/>
  <c r="U132" i="66"/>
  <c r="T132" i="66"/>
  <c r="BK109" i="66"/>
  <c r="AD109" i="66"/>
  <c r="AC109" i="66"/>
  <c r="AB109" i="66"/>
  <c r="X109" i="66"/>
  <c r="W109" i="66"/>
  <c r="V109" i="66"/>
  <c r="U109" i="66"/>
  <c r="T109" i="66"/>
  <c r="BK128" i="66"/>
  <c r="AD128" i="66"/>
  <c r="AC128" i="66"/>
  <c r="AB128" i="66"/>
  <c r="X128" i="66"/>
  <c r="W128" i="66"/>
  <c r="V128" i="66"/>
  <c r="U128" i="66"/>
  <c r="T128" i="66"/>
  <c r="BK122" i="66"/>
  <c r="AD122" i="66"/>
  <c r="AC122" i="66"/>
  <c r="AB122" i="66"/>
  <c r="X122" i="66"/>
  <c r="W122" i="66"/>
  <c r="V122" i="66"/>
  <c r="U122" i="66"/>
  <c r="T122" i="66"/>
  <c r="BK110" i="66"/>
  <c r="AD110" i="66"/>
  <c r="AC110" i="66"/>
  <c r="AB110" i="66"/>
  <c r="X110" i="66"/>
  <c r="W110" i="66"/>
  <c r="V110" i="66"/>
  <c r="U110" i="66"/>
  <c r="T110" i="66"/>
  <c r="BK140" i="66"/>
  <c r="AD140" i="66"/>
  <c r="AC140" i="66"/>
  <c r="AB140" i="66"/>
  <c r="X140" i="66"/>
  <c r="W140" i="66"/>
  <c r="V140" i="66"/>
  <c r="U140" i="66"/>
  <c r="T140" i="66"/>
  <c r="BK28" i="66"/>
  <c r="AD28" i="66"/>
  <c r="AC28" i="66"/>
  <c r="AB28" i="66"/>
  <c r="X28" i="66"/>
  <c r="W28" i="66"/>
  <c r="V28" i="66"/>
  <c r="U28" i="66"/>
  <c r="T28" i="66"/>
  <c r="BK31" i="66"/>
  <c r="AD31" i="66"/>
  <c r="AC31" i="66"/>
  <c r="AB31" i="66"/>
  <c r="X31" i="66"/>
  <c r="W31" i="66"/>
  <c r="V31" i="66"/>
  <c r="U31" i="66"/>
  <c r="T31" i="66"/>
  <c r="BK112" i="66"/>
  <c r="AD112" i="66"/>
  <c r="AC112" i="66"/>
  <c r="AB112" i="66"/>
  <c r="X112" i="66"/>
  <c r="W112" i="66"/>
  <c r="V112" i="66"/>
  <c r="U112" i="66"/>
  <c r="T112" i="66"/>
  <c r="BK29" i="66"/>
  <c r="AD29" i="66"/>
  <c r="AC29" i="66"/>
  <c r="AB29" i="66"/>
  <c r="X29" i="66"/>
  <c r="W29" i="66"/>
  <c r="V29" i="66"/>
  <c r="U29" i="66"/>
  <c r="T29" i="66"/>
  <c r="BK91" i="66"/>
  <c r="AD91" i="66"/>
  <c r="AC91" i="66"/>
  <c r="AB91" i="66"/>
  <c r="X91" i="66"/>
  <c r="W91" i="66"/>
  <c r="V91" i="66"/>
  <c r="U91" i="66"/>
  <c r="T91" i="66"/>
  <c r="BK104" i="66"/>
  <c r="AD104" i="66"/>
  <c r="AC104" i="66"/>
  <c r="AB104" i="66"/>
  <c r="X104" i="66"/>
  <c r="W104" i="66"/>
  <c r="V104" i="66"/>
  <c r="U104" i="66"/>
  <c r="T104" i="66"/>
  <c r="BK114" i="66"/>
  <c r="AD114" i="66"/>
  <c r="AC114" i="66"/>
  <c r="AB114" i="66"/>
  <c r="X114" i="66"/>
  <c r="W114" i="66"/>
  <c r="V114" i="66"/>
  <c r="U114" i="66"/>
  <c r="T114" i="66"/>
  <c r="BK94" i="66"/>
  <c r="AD94" i="66"/>
  <c r="AC94" i="66"/>
  <c r="AB94" i="66"/>
  <c r="X94" i="66"/>
  <c r="W94" i="66"/>
  <c r="V94" i="66"/>
  <c r="U94" i="66"/>
  <c r="T94" i="66"/>
  <c r="BK78" i="66"/>
  <c r="AD78" i="66"/>
  <c r="AC78" i="66"/>
  <c r="AB78" i="66"/>
  <c r="X78" i="66"/>
  <c r="W78" i="66"/>
  <c r="V78" i="66"/>
  <c r="U78" i="66"/>
  <c r="T78" i="66"/>
  <c r="BK127" i="66"/>
  <c r="AD127" i="66"/>
  <c r="AC127" i="66"/>
  <c r="AB127" i="66"/>
  <c r="X127" i="66"/>
  <c r="W127" i="66"/>
  <c r="V127" i="66"/>
  <c r="U127" i="66"/>
  <c r="T127" i="66"/>
  <c r="BK27" i="66"/>
  <c r="AD27" i="66"/>
  <c r="AC27" i="66"/>
  <c r="AB27" i="66"/>
  <c r="X27" i="66"/>
  <c r="W27" i="66"/>
  <c r="V27" i="66"/>
  <c r="U27" i="66"/>
  <c r="T27" i="66"/>
  <c r="BK90" i="66"/>
  <c r="AD90" i="66"/>
  <c r="AC90" i="66"/>
  <c r="AB90" i="66"/>
  <c r="X90" i="66"/>
  <c r="W90" i="66"/>
  <c r="V90" i="66"/>
  <c r="U90" i="66"/>
  <c r="T90" i="66"/>
  <c r="BK108" i="66"/>
  <c r="AD108" i="66"/>
  <c r="AC108" i="66"/>
  <c r="AB108" i="66"/>
  <c r="X108" i="66"/>
  <c r="W108" i="66"/>
  <c r="V108" i="66"/>
  <c r="U108" i="66"/>
  <c r="T108" i="66"/>
  <c r="BK79" i="66"/>
  <c r="AD79" i="66"/>
  <c r="AC79" i="66"/>
  <c r="AB79" i="66"/>
  <c r="X79" i="66"/>
  <c r="W79" i="66"/>
  <c r="V79" i="66"/>
  <c r="U79" i="66"/>
  <c r="T79" i="66"/>
  <c r="BK89" i="66"/>
  <c r="AD89" i="66"/>
  <c r="AC89" i="66"/>
  <c r="AB89" i="66"/>
  <c r="X89" i="66"/>
  <c r="W89" i="66"/>
  <c r="V89" i="66"/>
  <c r="U89" i="66"/>
  <c r="T89" i="66"/>
  <c r="BK102" i="66"/>
  <c r="AE102" i="66"/>
  <c r="AD102" i="66"/>
  <c r="AC102" i="66"/>
  <c r="AB102" i="66"/>
  <c r="X102" i="66"/>
  <c r="W102" i="66"/>
  <c r="V102" i="66"/>
  <c r="U102" i="66"/>
  <c r="T102" i="66"/>
  <c r="BK117" i="66"/>
  <c r="AD117" i="66"/>
  <c r="AC117" i="66"/>
  <c r="AB117" i="66"/>
  <c r="X117" i="66"/>
  <c r="W117" i="66"/>
  <c r="V117" i="66"/>
  <c r="U117" i="66"/>
  <c r="T117" i="66"/>
  <c r="BK22" i="66"/>
  <c r="AD22" i="66"/>
  <c r="AC22" i="66"/>
  <c r="AB22" i="66"/>
  <c r="X22" i="66"/>
  <c r="W22" i="66"/>
  <c r="V22" i="66"/>
  <c r="U22" i="66"/>
  <c r="T22" i="66"/>
  <c r="BK88" i="66"/>
  <c r="AD88" i="66"/>
  <c r="AC88" i="66"/>
  <c r="AB88" i="66"/>
  <c r="X88" i="66"/>
  <c r="W88" i="66"/>
  <c r="V88" i="66"/>
  <c r="U88" i="66"/>
  <c r="T88" i="66"/>
  <c r="BK70" i="66"/>
  <c r="AD70" i="66"/>
  <c r="AC70" i="66"/>
  <c r="AB70" i="66"/>
  <c r="X70" i="66"/>
  <c r="W70" i="66"/>
  <c r="V70" i="66"/>
  <c r="U70" i="66"/>
  <c r="T70" i="66"/>
  <c r="BK101" i="66"/>
  <c r="AD101" i="66"/>
  <c r="AC101" i="66"/>
  <c r="AB101" i="66"/>
  <c r="X101" i="66"/>
  <c r="W101" i="66"/>
  <c r="V101" i="66"/>
  <c r="U101" i="66"/>
  <c r="T101" i="66"/>
  <c r="BK107" i="66"/>
  <c r="AD107" i="66"/>
  <c r="AC107" i="66"/>
  <c r="AB107" i="66"/>
  <c r="X107" i="66"/>
  <c r="W107" i="66"/>
  <c r="V107" i="66"/>
  <c r="U107" i="66"/>
  <c r="T107" i="66"/>
  <c r="BK95" i="66"/>
  <c r="AE95" i="66"/>
  <c r="AD95" i="66"/>
  <c r="AC95" i="66"/>
  <c r="AB95" i="66"/>
  <c r="X95" i="66"/>
  <c r="W95" i="66"/>
  <c r="V95" i="66"/>
  <c r="U95" i="66"/>
  <c r="T95" i="66"/>
  <c r="BK156" i="66"/>
  <c r="AD156" i="66"/>
  <c r="AC156" i="66"/>
  <c r="AB156" i="66"/>
  <c r="X156" i="66"/>
  <c r="W156" i="66"/>
  <c r="V156" i="66"/>
  <c r="U156" i="66"/>
  <c r="T156" i="66"/>
  <c r="BK68" i="66"/>
  <c r="AD68" i="66"/>
  <c r="AC68" i="66"/>
  <c r="AB68" i="66"/>
  <c r="X68" i="66"/>
  <c r="W68" i="66"/>
  <c r="V68" i="66"/>
  <c r="U68" i="66"/>
  <c r="T68" i="66"/>
  <c r="BK87" i="66"/>
  <c r="AD87" i="66"/>
  <c r="AC87" i="66"/>
  <c r="AB87" i="66"/>
  <c r="X87" i="66"/>
  <c r="W87" i="66"/>
  <c r="V87" i="66"/>
  <c r="U87" i="66"/>
  <c r="T87" i="66"/>
  <c r="BK66" i="66"/>
  <c r="AD66" i="66"/>
  <c r="AC66" i="66"/>
  <c r="AB66" i="66"/>
  <c r="X66" i="66"/>
  <c r="W66" i="66"/>
  <c r="V66" i="66"/>
  <c r="U66" i="66"/>
  <c r="T66" i="66"/>
  <c r="BK64" i="66"/>
  <c r="AD64" i="66"/>
  <c r="AC64" i="66"/>
  <c r="AB64" i="66"/>
  <c r="X64" i="66"/>
  <c r="W64" i="66"/>
  <c r="V64" i="66"/>
  <c r="U64" i="66"/>
  <c r="T64" i="66"/>
  <c r="BK115" i="66"/>
  <c r="AD115" i="66"/>
  <c r="AC115" i="66"/>
  <c r="AB115" i="66"/>
  <c r="X115" i="66"/>
  <c r="W115" i="66"/>
  <c r="V115" i="66"/>
  <c r="U115" i="66"/>
  <c r="T115" i="66"/>
  <c r="BK126" i="66"/>
  <c r="AD126" i="66"/>
  <c r="AC126" i="66"/>
  <c r="AB126" i="66"/>
  <c r="X126" i="66"/>
  <c r="W126" i="66"/>
  <c r="V126" i="66"/>
  <c r="U126" i="66"/>
  <c r="T126" i="66"/>
  <c r="BK103" i="66"/>
  <c r="AD103" i="66"/>
  <c r="AC103" i="66"/>
  <c r="AB103" i="66"/>
  <c r="X103" i="66"/>
  <c r="W103" i="66"/>
  <c r="V103" i="66"/>
  <c r="U103" i="66"/>
  <c r="T103" i="66"/>
  <c r="BK152" i="66"/>
  <c r="AD152" i="66"/>
  <c r="AC152" i="66"/>
  <c r="AB152" i="66"/>
  <c r="X152" i="66"/>
  <c r="W152" i="66"/>
  <c r="V152" i="66"/>
  <c r="U152" i="66"/>
  <c r="T152" i="66"/>
  <c r="BK86" i="66"/>
  <c r="AD86" i="66"/>
  <c r="AC86" i="66"/>
  <c r="AB86" i="66"/>
  <c r="X86" i="66"/>
  <c r="W86" i="66"/>
  <c r="V86" i="66"/>
  <c r="U86" i="66"/>
  <c r="T86" i="66"/>
  <c r="BK40" i="66"/>
  <c r="AD40" i="66"/>
  <c r="AC40" i="66"/>
  <c r="AB40" i="66"/>
  <c r="X40" i="66"/>
  <c r="W40" i="66"/>
  <c r="V40" i="66"/>
  <c r="U40" i="66"/>
  <c r="T40" i="66"/>
  <c r="BK100" i="66"/>
  <c r="AD100" i="66"/>
  <c r="AC100" i="66"/>
  <c r="AB100" i="66"/>
  <c r="X100" i="66"/>
  <c r="W100" i="66"/>
  <c r="V100" i="66"/>
  <c r="U100" i="66"/>
  <c r="T100" i="66"/>
  <c r="BK125" i="66"/>
  <c r="AD125" i="66"/>
  <c r="AC125" i="66"/>
  <c r="AB125" i="66"/>
  <c r="X125" i="66"/>
  <c r="W125" i="66"/>
  <c r="V125" i="66"/>
  <c r="U125" i="66"/>
  <c r="T125" i="66"/>
  <c r="BK136" i="66"/>
  <c r="AD136" i="66"/>
  <c r="AC136" i="66"/>
  <c r="AB136" i="66"/>
  <c r="X136" i="66"/>
  <c r="W136" i="66"/>
  <c r="V136" i="66"/>
  <c r="U136" i="66"/>
  <c r="T136" i="66"/>
  <c r="BK134" i="66"/>
  <c r="AD134" i="66"/>
  <c r="AC134" i="66"/>
  <c r="AB134" i="66"/>
  <c r="X134" i="66"/>
  <c r="W134" i="66"/>
  <c r="V134" i="66"/>
  <c r="U134" i="66"/>
  <c r="T134" i="66"/>
  <c r="BK81" i="66"/>
  <c r="AE81" i="66"/>
  <c r="AD81" i="66"/>
  <c r="AC81" i="66"/>
  <c r="AB81" i="66"/>
  <c r="X81" i="66"/>
  <c r="W81" i="66"/>
  <c r="V81" i="66"/>
  <c r="U81" i="66"/>
  <c r="T81" i="66"/>
  <c r="BK24" i="66"/>
  <c r="AD24" i="66"/>
  <c r="AC24" i="66"/>
  <c r="AB24" i="66"/>
  <c r="X24" i="66"/>
  <c r="W24" i="66"/>
  <c r="V24" i="66"/>
  <c r="U24" i="66"/>
  <c r="T24" i="66"/>
  <c r="BK25" i="66"/>
  <c r="AD25" i="66"/>
  <c r="AC25" i="66"/>
  <c r="AB25" i="66"/>
  <c r="X25" i="66"/>
  <c r="W25" i="66"/>
  <c r="V25" i="66"/>
  <c r="U25" i="66"/>
  <c r="T25" i="66"/>
  <c r="BK26" i="66"/>
  <c r="AD26" i="66"/>
  <c r="AC26" i="66"/>
  <c r="AB26" i="66"/>
  <c r="X26" i="66"/>
  <c r="W26" i="66"/>
  <c r="V26" i="66"/>
  <c r="U26" i="66"/>
  <c r="T26" i="66"/>
  <c r="BK20" i="66"/>
  <c r="AD20" i="66"/>
  <c r="AC20" i="66"/>
  <c r="AB20" i="66"/>
  <c r="X20" i="66"/>
  <c r="W20" i="66"/>
  <c r="V20" i="66"/>
  <c r="U20" i="66"/>
  <c r="T20" i="66"/>
  <c r="BK85" i="66"/>
  <c r="AD85" i="66"/>
  <c r="AC85" i="66"/>
  <c r="AB85" i="66"/>
  <c r="X85" i="66"/>
  <c r="W85" i="66"/>
  <c r="V85" i="66"/>
  <c r="U85" i="66"/>
  <c r="T85" i="66"/>
  <c r="BK84" i="66"/>
  <c r="AD84" i="66"/>
  <c r="AC84" i="66"/>
  <c r="AB84" i="66"/>
  <c r="X84" i="66"/>
  <c r="W84" i="66"/>
  <c r="V84" i="66"/>
  <c r="U84" i="66"/>
  <c r="T84" i="66"/>
  <c r="BK123" i="66"/>
  <c r="AD123" i="66"/>
  <c r="AC123" i="66"/>
  <c r="AB123" i="66"/>
  <c r="X123" i="66"/>
  <c r="W123" i="66"/>
  <c r="V123" i="66"/>
  <c r="U123" i="66"/>
  <c r="T123" i="66"/>
  <c r="BK21" i="66"/>
  <c r="AD21" i="66"/>
  <c r="AC21" i="66"/>
  <c r="AB21" i="66"/>
  <c r="X21" i="66"/>
  <c r="W21" i="66"/>
  <c r="V21" i="66"/>
  <c r="U21" i="66"/>
  <c r="T21" i="66"/>
  <c r="BK135" i="66"/>
  <c r="AD135" i="66"/>
  <c r="AC135" i="66"/>
  <c r="AB135" i="66"/>
  <c r="X135" i="66"/>
  <c r="W135" i="66"/>
  <c r="V135" i="66"/>
  <c r="U135" i="66"/>
  <c r="T135" i="66"/>
  <c r="BK120" i="66"/>
  <c r="AD120" i="66"/>
  <c r="AC120" i="66"/>
  <c r="AB120" i="66"/>
  <c r="X120" i="66"/>
  <c r="W120" i="66"/>
  <c r="V120" i="66"/>
  <c r="U120" i="66"/>
  <c r="T120" i="66"/>
  <c r="BK30" i="66"/>
  <c r="AD30" i="66"/>
  <c r="AC30" i="66"/>
  <c r="AB30" i="66"/>
  <c r="X30" i="66"/>
  <c r="W30" i="66"/>
  <c r="V30" i="66"/>
  <c r="U30" i="66"/>
  <c r="T30" i="66"/>
  <c r="BK62" i="66"/>
  <c r="AD62" i="66"/>
  <c r="AC62" i="66"/>
  <c r="AB62" i="66"/>
  <c r="X62" i="66"/>
  <c r="W62" i="66"/>
  <c r="V62" i="66"/>
  <c r="U62" i="66"/>
  <c r="T62" i="66"/>
  <c r="BK60" i="66"/>
  <c r="AE60" i="66"/>
  <c r="AD60" i="66"/>
  <c r="AC60" i="66"/>
  <c r="AB60" i="66"/>
  <c r="X60" i="66"/>
  <c r="W60" i="66"/>
  <c r="V60" i="66"/>
  <c r="U60" i="66"/>
  <c r="T60" i="66"/>
  <c r="BK35" i="66"/>
  <c r="AE35" i="66"/>
  <c r="AD35" i="66"/>
  <c r="AC35" i="66"/>
  <c r="AB35" i="66"/>
  <c r="X35" i="66"/>
  <c r="W35" i="66"/>
  <c r="V35" i="66"/>
  <c r="U35" i="66"/>
  <c r="T35" i="66"/>
  <c r="BK124" i="66"/>
  <c r="AD124" i="66"/>
  <c r="AC124" i="66"/>
  <c r="AB124" i="66"/>
  <c r="X124" i="66"/>
  <c r="W124" i="66"/>
  <c r="V124" i="66"/>
  <c r="U124" i="66"/>
  <c r="T124" i="66"/>
  <c r="BK106" i="66"/>
  <c r="AD106" i="66"/>
  <c r="AC106" i="66"/>
  <c r="AB106" i="66"/>
  <c r="X106" i="66"/>
  <c r="W106" i="66"/>
  <c r="V106" i="66"/>
  <c r="U106" i="66"/>
  <c r="T106" i="66"/>
  <c r="BK77" i="66"/>
  <c r="AE77" i="66"/>
  <c r="AD77" i="66"/>
  <c r="AC77" i="66"/>
  <c r="AB77" i="66"/>
  <c r="X77" i="66"/>
  <c r="W77" i="66"/>
  <c r="V77" i="66"/>
  <c r="U77" i="66"/>
  <c r="T77" i="66"/>
  <c r="BK83" i="66"/>
  <c r="AD83" i="66"/>
  <c r="AC83" i="66"/>
  <c r="AB83" i="66"/>
  <c r="X83" i="66"/>
  <c r="W83" i="66"/>
  <c r="V83" i="66"/>
  <c r="U83" i="66"/>
  <c r="T83" i="66"/>
  <c r="BK75" i="66"/>
  <c r="AD75" i="66"/>
  <c r="AC75" i="66"/>
  <c r="AB75" i="66"/>
  <c r="X75" i="66"/>
  <c r="W75" i="66"/>
  <c r="V75" i="66"/>
  <c r="U75" i="66"/>
  <c r="T75" i="66"/>
  <c r="BK19" i="66"/>
  <c r="AD19" i="66"/>
  <c r="AC19" i="66"/>
  <c r="AB19" i="66"/>
  <c r="X19" i="66"/>
  <c r="W19" i="66"/>
  <c r="V19" i="66"/>
  <c r="U19" i="66"/>
  <c r="T19" i="66"/>
  <c r="BK73" i="66"/>
  <c r="AD73" i="66"/>
  <c r="AC73" i="66"/>
  <c r="AB73" i="66"/>
  <c r="X73" i="66"/>
  <c r="W73" i="66"/>
  <c r="V73" i="66"/>
  <c r="U73" i="66"/>
  <c r="T73" i="66"/>
  <c r="BK72" i="66"/>
  <c r="AE72" i="66"/>
  <c r="AD72" i="66"/>
  <c r="AC72" i="66"/>
  <c r="AB72" i="66"/>
  <c r="X72" i="66"/>
  <c r="W72" i="66"/>
  <c r="V72" i="66"/>
  <c r="U72" i="66"/>
  <c r="T72" i="66"/>
  <c r="BK71" i="66"/>
  <c r="AE71" i="66"/>
  <c r="AD71" i="66"/>
  <c r="AC71" i="66"/>
  <c r="AB71" i="66"/>
  <c r="X71" i="66"/>
  <c r="W71" i="66"/>
  <c r="V71" i="66"/>
  <c r="U71" i="66"/>
  <c r="T71" i="66"/>
  <c r="BK105" i="66"/>
  <c r="AD105" i="66"/>
  <c r="AC105" i="66"/>
  <c r="AB105" i="66"/>
  <c r="X105" i="66"/>
  <c r="W105" i="66"/>
  <c r="V105" i="66"/>
  <c r="U105" i="66"/>
  <c r="T105" i="66"/>
  <c r="BK69" i="66"/>
  <c r="AE69" i="66"/>
  <c r="AD69" i="66"/>
  <c r="AC69" i="66"/>
  <c r="AB69" i="66"/>
  <c r="X69" i="66"/>
  <c r="W69" i="66"/>
  <c r="V69" i="66"/>
  <c r="U69" i="66"/>
  <c r="T69" i="66"/>
  <c r="BK76" i="66"/>
  <c r="AD76" i="66"/>
  <c r="AC76" i="66"/>
  <c r="AB76" i="66"/>
  <c r="X76" i="66"/>
  <c r="W76" i="66"/>
  <c r="V76" i="66"/>
  <c r="U76" i="66"/>
  <c r="T76" i="66"/>
  <c r="BK67" i="66"/>
  <c r="AE67" i="66"/>
  <c r="AD67" i="66"/>
  <c r="AC67" i="66"/>
  <c r="AB67" i="66"/>
  <c r="X67" i="66"/>
  <c r="W67" i="66"/>
  <c r="V67" i="66"/>
  <c r="U67" i="66"/>
  <c r="T67" i="66"/>
  <c r="BK23" i="66"/>
  <c r="AD23" i="66"/>
  <c r="AC23" i="66"/>
  <c r="AB23" i="66"/>
  <c r="X23" i="66"/>
  <c r="W23" i="66"/>
  <c r="V23" i="66"/>
  <c r="U23" i="66"/>
  <c r="T23" i="66"/>
  <c r="BK65" i="66"/>
  <c r="AE65" i="66"/>
  <c r="AD65" i="66"/>
  <c r="AC65" i="66"/>
  <c r="AB65" i="66"/>
  <c r="X65" i="66"/>
  <c r="W65" i="66"/>
  <c r="V65" i="66"/>
  <c r="U65" i="66"/>
  <c r="T65" i="66"/>
  <c r="BK99" i="66"/>
  <c r="AD99" i="66"/>
  <c r="AC99" i="66"/>
  <c r="AB99" i="66"/>
  <c r="X99" i="66"/>
  <c r="W99" i="66"/>
  <c r="V99" i="66"/>
  <c r="U99" i="66"/>
  <c r="T99" i="66"/>
  <c r="BK148" i="66"/>
  <c r="AE148" i="66"/>
  <c r="AD148" i="66"/>
  <c r="AC148" i="66"/>
  <c r="AB148" i="66"/>
  <c r="X148" i="66"/>
  <c r="W148" i="66"/>
  <c r="V148" i="66"/>
  <c r="U148" i="66"/>
  <c r="T148" i="66"/>
  <c r="BK57" i="66"/>
  <c r="AD57" i="66"/>
  <c r="AC57" i="66"/>
  <c r="AB57" i="66"/>
  <c r="X57" i="66"/>
  <c r="W57" i="66"/>
  <c r="V57" i="66"/>
  <c r="U57" i="66"/>
  <c r="T57" i="66"/>
  <c r="BK61" i="66"/>
  <c r="AD61" i="66"/>
  <c r="AC61" i="66"/>
  <c r="AB61" i="66"/>
  <c r="X61" i="66"/>
  <c r="W61" i="66"/>
  <c r="V61" i="66"/>
  <c r="U61" i="66"/>
  <c r="T61" i="66"/>
  <c r="BK113" i="66"/>
  <c r="AD113" i="66"/>
  <c r="AC113" i="66"/>
  <c r="AB113" i="66"/>
  <c r="X113" i="66"/>
  <c r="W113" i="66"/>
  <c r="V113" i="66"/>
  <c r="U113" i="66"/>
  <c r="T113" i="66"/>
  <c r="BK59" i="66"/>
  <c r="AE59" i="66"/>
  <c r="AD59" i="66"/>
  <c r="AC59" i="66"/>
  <c r="AB59" i="66"/>
  <c r="X59" i="66"/>
  <c r="W59" i="66"/>
  <c r="V59" i="66"/>
  <c r="U59" i="66"/>
  <c r="T59" i="66"/>
  <c r="BK56" i="66"/>
  <c r="AE56" i="66"/>
  <c r="AD56" i="66"/>
  <c r="AC56" i="66"/>
  <c r="AB56" i="66"/>
  <c r="X56" i="66"/>
  <c r="W56" i="66"/>
  <c r="V56" i="66"/>
  <c r="U56" i="66"/>
  <c r="T56" i="66"/>
  <c r="BK55" i="66"/>
  <c r="AE55" i="66"/>
  <c r="AD55" i="66"/>
  <c r="AC55" i="66"/>
  <c r="AB55" i="66"/>
  <c r="X55" i="66"/>
  <c r="W55" i="66"/>
  <c r="V55" i="66"/>
  <c r="U55" i="66"/>
  <c r="T55" i="66"/>
  <c r="BK53" i="66"/>
  <c r="AE53" i="66"/>
  <c r="AD53" i="66"/>
  <c r="AC53" i="66"/>
  <c r="AB53" i="66"/>
  <c r="X53" i="66"/>
  <c r="W53" i="66"/>
  <c r="V53" i="66"/>
  <c r="U53" i="66"/>
  <c r="T53" i="66"/>
  <c r="BK58" i="66"/>
  <c r="AE58" i="66"/>
  <c r="AD58" i="66"/>
  <c r="AC58" i="66"/>
  <c r="AB58" i="66"/>
  <c r="X58" i="66"/>
  <c r="W58" i="66"/>
  <c r="V58" i="66"/>
  <c r="U58" i="66"/>
  <c r="T58" i="66"/>
  <c r="BK54" i="66"/>
  <c r="AD54" i="66"/>
  <c r="AC54" i="66"/>
  <c r="AB54" i="66"/>
  <c r="X54" i="66"/>
  <c r="W54" i="66"/>
  <c r="V54" i="66"/>
  <c r="U54" i="66"/>
  <c r="T54" i="66"/>
  <c r="BK45" i="66"/>
  <c r="AE45" i="66"/>
  <c r="AD45" i="66"/>
  <c r="AC45" i="66"/>
  <c r="AB45" i="66"/>
  <c r="X45" i="66"/>
  <c r="W45" i="66"/>
  <c r="V45" i="66"/>
  <c r="U45" i="66"/>
  <c r="T45" i="66"/>
  <c r="BK44" i="66"/>
  <c r="AE44" i="66"/>
  <c r="AD44" i="66"/>
  <c r="AC44" i="66"/>
  <c r="AB44" i="66"/>
  <c r="X44" i="66"/>
  <c r="W44" i="66"/>
  <c r="V44" i="66"/>
  <c r="U44" i="66"/>
  <c r="T44" i="66"/>
  <c r="BK51" i="66"/>
  <c r="AD51" i="66"/>
  <c r="AC51" i="66"/>
  <c r="AB51" i="66"/>
  <c r="X51" i="66"/>
  <c r="W51" i="66"/>
  <c r="V51" i="66"/>
  <c r="U51" i="66"/>
  <c r="T51" i="66"/>
  <c r="BK50" i="66"/>
  <c r="AD50" i="66"/>
  <c r="AC50" i="66"/>
  <c r="AB50" i="66"/>
  <c r="X50" i="66"/>
  <c r="W50" i="66"/>
  <c r="V50" i="66"/>
  <c r="U50" i="66"/>
  <c r="T50" i="66"/>
  <c r="BK49" i="66"/>
  <c r="AE49" i="66"/>
  <c r="AD49" i="66"/>
  <c r="AC49" i="66"/>
  <c r="AB49" i="66"/>
  <c r="X49" i="66"/>
  <c r="W49" i="66"/>
  <c r="V49" i="66"/>
  <c r="U49" i="66"/>
  <c r="T49" i="66"/>
  <c r="BK48" i="66"/>
  <c r="AD48" i="66"/>
  <c r="AC48" i="66"/>
  <c r="AB48" i="66"/>
  <c r="X48" i="66"/>
  <c r="W48" i="66"/>
  <c r="V48" i="66"/>
  <c r="U48" i="66"/>
  <c r="T48" i="66"/>
  <c r="BK47" i="66"/>
  <c r="AD47" i="66"/>
  <c r="AC47" i="66"/>
  <c r="AB47" i="66"/>
  <c r="X47" i="66"/>
  <c r="W47" i="66"/>
  <c r="V47" i="66"/>
  <c r="U47" i="66"/>
  <c r="T47" i="66"/>
  <c r="BK46" i="66"/>
  <c r="AD46" i="66"/>
  <c r="AC46" i="66"/>
  <c r="AB46" i="66"/>
  <c r="X46" i="66"/>
  <c r="W46" i="66"/>
  <c r="V46" i="66"/>
  <c r="U46" i="66"/>
  <c r="T46" i="66"/>
  <c r="BK43" i="66"/>
  <c r="AE43" i="66"/>
  <c r="AD43" i="66"/>
  <c r="AC43" i="66"/>
  <c r="AB43" i="66"/>
  <c r="X43" i="66"/>
  <c r="W43" i="66"/>
  <c r="V43" i="66"/>
  <c r="U43" i="66"/>
  <c r="T43" i="66"/>
  <c r="BK39" i="66"/>
  <c r="AE39" i="66"/>
  <c r="AD39" i="66"/>
  <c r="AC39" i="66"/>
  <c r="AB39" i="66"/>
  <c r="X39" i="66"/>
  <c r="W39" i="66"/>
  <c r="V39" i="66"/>
  <c r="U39" i="66"/>
  <c r="T39" i="66"/>
  <c r="BK37" i="66"/>
  <c r="AD37" i="66"/>
  <c r="AC37" i="66"/>
  <c r="AB37" i="66"/>
  <c r="X37" i="66"/>
  <c r="W37" i="66"/>
  <c r="V37" i="66"/>
  <c r="U37" i="66"/>
  <c r="T37" i="66"/>
  <c r="BK42" i="66"/>
  <c r="AD42" i="66"/>
  <c r="AC42" i="66"/>
  <c r="AB42" i="66"/>
  <c r="X42" i="66"/>
  <c r="W42" i="66"/>
  <c r="V42" i="66"/>
  <c r="U42" i="66"/>
  <c r="T42" i="66"/>
  <c r="BK41" i="66"/>
  <c r="AD41" i="66"/>
  <c r="AC41" i="66"/>
  <c r="AB41" i="66"/>
  <c r="X41" i="66"/>
  <c r="W41" i="66"/>
  <c r="V41" i="66"/>
  <c r="U41" i="66"/>
  <c r="T41" i="66"/>
  <c r="BK80" i="66"/>
  <c r="AD80" i="66"/>
  <c r="AC80" i="66"/>
  <c r="AB80" i="66"/>
  <c r="X80" i="66"/>
  <c r="W80" i="66"/>
  <c r="V80" i="66"/>
  <c r="U80" i="66"/>
  <c r="T80" i="66"/>
  <c r="BK36" i="66"/>
  <c r="AD36" i="66"/>
  <c r="AC36" i="66"/>
  <c r="AB36" i="66"/>
  <c r="X36" i="66"/>
  <c r="W36" i="66"/>
  <c r="V36" i="66"/>
  <c r="U36" i="66"/>
  <c r="T36" i="66"/>
  <c r="BK38" i="66"/>
  <c r="AE38" i="66"/>
  <c r="AD38" i="66"/>
  <c r="AC38" i="66"/>
  <c r="AB38" i="66"/>
  <c r="X38" i="66"/>
  <c r="W38" i="66"/>
  <c r="V38" i="66"/>
  <c r="U38" i="66"/>
  <c r="T38" i="66"/>
  <c r="BK63" i="66"/>
  <c r="AD63" i="66"/>
  <c r="AC63" i="66"/>
  <c r="AB63" i="66"/>
  <c r="X63" i="66"/>
  <c r="W63" i="66"/>
  <c r="V63" i="66"/>
  <c r="U63" i="66"/>
  <c r="T63" i="66"/>
  <c r="BK82" i="66"/>
  <c r="AD82" i="66"/>
  <c r="AC82" i="66"/>
  <c r="AB82" i="66"/>
  <c r="X82" i="66"/>
  <c r="W82" i="66"/>
  <c r="V82" i="66"/>
  <c r="U82" i="66"/>
  <c r="T82" i="66"/>
  <c r="BK52" i="66"/>
  <c r="AE52" i="66"/>
  <c r="AD52" i="66"/>
  <c r="AC52" i="66"/>
  <c r="AB52" i="66"/>
  <c r="X52" i="66"/>
  <c r="W52" i="66"/>
  <c r="V52" i="66"/>
  <c r="U52" i="66"/>
  <c r="T52" i="66"/>
  <c r="BK32" i="66"/>
  <c r="AD32" i="66"/>
  <c r="AC32" i="66"/>
  <c r="AB32" i="66"/>
  <c r="X32" i="66"/>
  <c r="W32" i="66"/>
  <c r="V32" i="66"/>
  <c r="U32" i="66"/>
  <c r="T32" i="66"/>
  <c r="AM16" i="66"/>
  <c r="AM15" i="66"/>
  <c r="BL14" i="66"/>
  <c r="BK14" i="66"/>
  <c r="AI11" i="66"/>
  <c r="BI9" i="66"/>
  <c r="BG9" i="66"/>
  <c r="BE9" i="66"/>
  <c r="BC9" i="66"/>
  <c r="BA9" i="66"/>
  <c r="AY9" i="66"/>
  <c r="AW9" i="66"/>
  <c r="AU9" i="66"/>
  <c r="AS9" i="66"/>
  <c r="AQ9" i="66"/>
  <c r="AO9" i="66"/>
  <c r="AM9" i="66"/>
  <c r="AK9" i="66"/>
  <c r="BI8" i="66"/>
  <c r="BG8" i="66"/>
  <c r="BE8" i="66"/>
  <c r="BC8" i="66"/>
  <c r="BA8" i="66"/>
  <c r="AY8" i="66"/>
  <c r="AW8" i="66"/>
  <c r="AU8" i="66"/>
  <c r="AS8" i="66"/>
  <c r="AQ8" i="66"/>
  <c r="AO8" i="66"/>
  <c r="AM8" i="66"/>
  <c r="AK8" i="66"/>
  <c r="BI6" i="66"/>
  <c r="BG6" i="66"/>
  <c r="BE6" i="66"/>
  <c r="BC6" i="66"/>
  <c r="BA6" i="66"/>
  <c r="AY6" i="66"/>
  <c r="AW6" i="66"/>
  <c r="AU6" i="66"/>
  <c r="AS6" i="66"/>
  <c r="AQ6" i="66"/>
  <c r="AO6" i="66"/>
  <c r="AM6" i="66"/>
  <c r="AK6" i="66"/>
  <c r="BI5" i="66"/>
  <c r="BG5" i="66"/>
  <c r="BE5" i="66"/>
  <c r="BC5" i="66"/>
  <c r="BA5" i="66"/>
  <c r="AY5" i="66"/>
  <c r="AW5" i="66"/>
  <c r="AU5" i="66"/>
  <c r="AS5" i="66"/>
  <c r="AQ5" i="66"/>
  <c r="AO5" i="66"/>
  <c r="AM5" i="66"/>
  <c r="AK5" i="66"/>
  <c r="BI4" i="66"/>
  <c r="BG4" i="66"/>
  <c r="BE4" i="66"/>
  <c r="BC4" i="66"/>
  <c r="BA4" i="66"/>
  <c r="AY4" i="66"/>
  <c r="AW4" i="66"/>
  <c r="AU4" i="66"/>
  <c r="AS4" i="66"/>
  <c r="AQ4" i="66"/>
  <c r="AO4" i="66"/>
  <c r="AM4" i="66"/>
  <c r="Y34" i="66" l="1"/>
  <c r="Y50" i="66"/>
  <c r="Y125" i="66"/>
  <c r="Y74" i="66"/>
  <c r="Y32" i="66"/>
  <c r="AK7" i="66"/>
  <c r="BA7" i="66"/>
  <c r="AW10" i="66"/>
  <c r="Y115" i="66"/>
  <c r="Y121" i="66"/>
  <c r="Y119" i="66"/>
  <c r="Y65" i="66"/>
  <c r="Y51" i="66"/>
  <c r="Y90" i="66"/>
  <c r="Y109" i="66"/>
  <c r="Y98" i="66"/>
  <c r="Y73" i="66"/>
  <c r="AE76" i="66"/>
  <c r="AE156" i="66"/>
  <c r="AW7" i="66"/>
  <c r="Y36" i="66"/>
  <c r="Y53" i="66"/>
  <c r="Y61" i="66"/>
  <c r="Y72" i="66"/>
  <c r="Y100" i="66"/>
  <c r="Y91" i="66"/>
  <c r="Y137" i="66"/>
  <c r="Y130" i="66"/>
  <c r="Y97" i="66"/>
  <c r="BI7" i="66"/>
  <c r="Y48" i="66"/>
  <c r="Y19" i="66"/>
  <c r="AE135" i="66"/>
  <c r="AE100" i="66"/>
  <c r="Y156" i="66"/>
  <c r="Y75" i="66"/>
  <c r="Y78" i="66"/>
  <c r="Y138" i="66"/>
  <c r="AE118" i="66"/>
  <c r="AE140" i="66"/>
  <c r="Y80" i="66"/>
  <c r="Y41" i="66"/>
  <c r="Y55" i="66"/>
  <c r="Y148" i="66"/>
  <c r="Y35" i="66"/>
  <c r="Y81" i="66"/>
  <c r="AE107" i="66"/>
  <c r="Y29" i="66"/>
  <c r="Y112" i="66"/>
  <c r="AE92" i="66"/>
  <c r="Y139" i="66"/>
  <c r="AU10" i="66"/>
  <c r="Y49" i="66"/>
  <c r="Y54" i="66"/>
  <c r="Y99" i="66"/>
  <c r="Y60" i="66"/>
  <c r="Y134" i="66"/>
  <c r="Y103" i="66"/>
  <c r="Y85" i="66"/>
  <c r="Y136" i="66"/>
  <c r="AE27" i="66"/>
  <c r="AE127" i="66"/>
  <c r="Y94" i="66"/>
  <c r="AE97" i="66"/>
  <c r="AM7" i="66"/>
  <c r="BC7" i="66"/>
  <c r="AY10" i="66"/>
  <c r="AE82" i="66"/>
  <c r="AE28" i="66"/>
  <c r="AE132" i="66"/>
  <c r="Y92" i="66"/>
  <c r="AU7" i="66"/>
  <c r="Y101" i="66"/>
  <c r="Y79" i="66"/>
  <c r="Y122" i="66"/>
  <c r="AE120" i="66"/>
  <c r="AE25" i="66"/>
  <c r="AE86" i="66"/>
  <c r="AE129" i="66"/>
  <c r="AE150" i="66"/>
  <c r="AE83" i="66"/>
  <c r="AE153" i="66"/>
  <c r="AE149" i="66"/>
  <c r="AE117" i="66"/>
  <c r="AE94" i="66"/>
  <c r="AE20" i="66"/>
  <c r="AE61" i="66"/>
  <c r="AE121" i="66"/>
  <c r="AE63" i="66"/>
  <c r="Y59" i="66"/>
  <c r="Y105" i="66"/>
  <c r="Y135" i="66"/>
  <c r="Y26" i="66"/>
  <c r="AE152" i="66"/>
  <c r="Y64" i="66"/>
  <c r="AE104" i="66"/>
  <c r="AE29" i="66"/>
  <c r="Y142" i="66"/>
  <c r="Y96" i="66"/>
  <c r="AE144" i="66"/>
  <c r="Y151" i="66"/>
  <c r="AE32" i="66"/>
  <c r="AE50" i="66"/>
  <c r="Y44" i="66"/>
  <c r="AE125" i="66"/>
  <c r="AE78" i="66"/>
  <c r="AE128" i="66"/>
  <c r="Y93" i="66"/>
  <c r="AE33" i="66"/>
  <c r="AE96" i="66"/>
  <c r="AE36" i="66"/>
  <c r="Y42" i="66"/>
  <c r="AE113" i="66"/>
  <c r="Y123" i="66"/>
  <c r="AE24" i="66"/>
  <c r="AE115" i="66"/>
  <c r="Y87" i="66"/>
  <c r="Y70" i="66"/>
  <c r="Y88" i="66"/>
  <c r="AE89" i="66"/>
  <c r="Y108" i="66"/>
  <c r="Y114" i="66"/>
  <c r="AE93" i="66"/>
  <c r="AE111" i="66"/>
  <c r="AE154" i="66"/>
  <c r="BG7" i="66"/>
  <c r="AK10" i="66"/>
  <c r="BA10" i="66"/>
  <c r="Y116" i="66"/>
  <c r="Y145" i="66"/>
  <c r="AE146" i="66"/>
  <c r="AS7" i="66"/>
  <c r="Y37" i="66"/>
  <c r="Y84" i="66"/>
  <c r="AE68" i="66"/>
  <c r="AE138" i="66"/>
  <c r="AE137" i="66"/>
  <c r="AE116" i="66"/>
  <c r="AQ7" i="66"/>
  <c r="AO10" i="66"/>
  <c r="BE10" i="66"/>
  <c r="AE37" i="66"/>
  <c r="Y124" i="66"/>
  <c r="Y20" i="66"/>
  <c r="AE110" i="66"/>
  <c r="Y128" i="66"/>
  <c r="Y131" i="66"/>
  <c r="AQ10" i="66"/>
  <c r="BG10" i="66"/>
  <c r="AE106" i="66"/>
  <c r="AE103" i="66"/>
  <c r="AE108" i="66"/>
  <c r="AE122" i="66"/>
  <c r="AE143" i="66"/>
  <c r="AE141" i="66"/>
  <c r="Y144" i="66"/>
  <c r="Y111" i="66"/>
  <c r="AO7" i="66"/>
  <c r="BE7" i="66"/>
  <c r="AS10" i="66"/>
  <c r="BI10" i="66"/>
  <c r="Y38" i="66"/>
  <c r="AE80" i="66"/>
  <c r="AE41" i="66"/>
  <c r="Y45" i="66"/>
  <c r="Y113" i="66"/>
  <c r="Y69" i="66"/>
  <c r="Y106" i="66"/>
  <c r="Y62" i="66"/>
  <c r="AE21" i="66"/>
  <c r="Y24" i="66"/>
  <c r="AE134" i="66"/>
  <c r="Y126" i="66"/>
  <c r="AE66" i="66"/>
  <c r="AE87" i="66"/>
  <c r="Y68" i="66"/>
  <c r="Y89" i="66"/>
  <c r="Y127" i="66"/>
  <c r="Y110" i="66"/>
  <c r="Y153" i="66"/>
  <c r="Y129" i="66"/>
  <c r="Y141" i="66"/>
  <c r="Y154" i="66"/>
  <c r="AE74" i="66"/>
  <c r="Y30" i="66"/>
  <c r="AE136" i="66"/>
  <c r="AE47" i="66"/>
  <c r="Y52" i="66"/>
  <c r="Y43" i="66"/>
  <c r="Y58" i="66"/>
  <c r="Y56" i="66"/>
  <c r="Y57" i="66"/>
  <c r="AE99" i="66"/>
  <c r="Y23" i="66"/>
  <c r="Y71" i="66"/>
  <c r="AE73" i="66"/>
  <c r="AE62" i="66"/>
  <c r="AE30" i="66"/>
  <c r="Y120" i="66"/>
  <c r="AE123" i="66"/>
  <c r="Y40" i="66"/>
  <c r="Y95" i="66"/>
  <c r="AE101" i="66"/>
  <c r="AE70" i="66"/>
  <c r="AE91" i="66"/>
  <c r="AE142" i="66"/>
  <c r="AE130" i="66"/>
  <c r="Y39" i="66"/>
  <c r="BK9" i="66"/>
  <c r="AE48" i="66"/>
  <c r="AE54" i="66"/>
  <c r="AE105" i="66"/>
  <c r="AE40" i="66"/>
  <c r="Y86" i="66"/>
  <c r="AE126" i="66"/>
  <c r="Y22" i="66"/>
  <c r="Y31" i="66"/>
  <c r="Y133" i="66"/>
  <c r="Y155" i="66"/>
  <c r="BL4" i="66"/>
  <c r="AY7" i="66"/>
  <c r="AM10" i="66"/>
  <c r="BC10" i="66"/>
  <c r="Y82" i="66"/>
  <c r="Y46" i="66"/>
  <c r="BK157" i="66"/>
  <c r="AE57" i="66"/>
  <c r="Y67" i="66"/>
  <c r="AE19" i="66"/>
  <c r="AE75" i="66"/>
  <c r="Y83" i="66"/>
  <c r="AE124" i="66"/>
  <c r="AE84" i="66"/>
  <c r="AE85" i="66"/>
  <c r="Y152" i="66"/>
  <c r="Y66" i="66"/>
  <c r="Y107" i="66"/>
  <c r="AE88" i="66"/>
  <c r="AE22" i="66"/>
  <c r="Y117" i="66"/>
  <c r="AE79" i="66"/>
  <c r="Y104" i="66"/>
  <c r="AE112" i="66"/>
  <c r="AE31" i="66"/>
  <c r="Y28" i="66"/>
  <c r="Y147" i="66"/>
  <c r="AE119" i="66"/>
  <c r="AE133" i="66"/>
  <c r="Y118" i="66"/>
  <c r="Y149" i="66"/>
  <c r="AE145" i="66"/>
  <c r="AE155" i="66"/>
  <c r="Y150" i="66"/>
  <c r="AE34" i="66"/>
  <c r="AE42" i="66"/>
  <c r="BL6" i="66"/>
  <c r="Y63" i="66"/>
  <c r="Y47" i="66"/>
  <c r="AE23" i="66"/>
  <c r="Y77" i="66"/>
  <c r="Y21" i="66"/>
  <c r="AE64" i="66"/>
  <c r="Y102" i="66"/>
  <c r="Y27" i="66"/>
  <c r="AE114" i="66"/>
  <c r="Y140" i="66"/>
  <c r="Y132" i="66"/>
  <c r="AE131" i="66"/>
  <c r="Y33" i="66"/>
  <c r="Y143" i="66"/>
  <c r="AE151" i="66"/>
  <c r="Y146" i="66"/>
  <c r="BL9" i="66"/>
  <c r="AE46" i="66"/>
  <c r="AE51" i="66"/>
  <c r="Y76" i="66"/>
  <c r="AE26" i="66"/>
  <c r="Y25" i="66"/>
  <c r="AE90" i="66"/>
  <c r="AE109" i="66"/>
  <c r="AE147" i="66"/>
  <c r="AE139" i="66"/>
  <c r="AE98" i="66"/>
  <c r="BK8" i="66"/>
  <c r="BK6" i="66"/>
  <c r="BK5" i="66"/>
  <c r="BK4" i="66"/>
  <c r="BL5" i="66"/>
  <c r="BL8" i="66"/>
  <c r="U51" i="60"/>
  <c r="U52" i="60"/>
  <c r="U53" i="60"/>
  <c r="U54" i="60"/>
  <c r="U69" i="60"/>
  <c r="U56" i="60"/>
  <c r="U57" i="60"/>
  <c r="U58" i="60"/>
  <c r="U59" i="60"/>
  <c r="U60" i="60"/>
  <c r="U73" i="60"/>
  <c r="U62" i="60"/>
  <c r="U63" i="60"/>
  <c r="U64" i="60"/>
  <c r="U65" i="60"/>
  <c r="U55" i="60"/>
  <c r="U66" i="60"/>
  <c r="U67" i="60"/>
  <c r="U74" i="60"/>
  <c r="U77" i="60"/>
  <c r="U81" i="60"/>
  <c r="U21" i="60"/>
  <c r="U22" i="60"/>
  <c r="U23" i="60"/>
  <c r="U24" i="60"/>
  <c r="U25" i="60"/>
  <c r="U28" i="60"/>
  <c r="U27" i="60"/>
  <c r="U29" i="60"/>
  <c r="U30" i="60"/>
  <c r="U31" i="60"/>
  <c r="U33" i="60"/>
  <c r="U46" i="60"/>
  <c r="U72" i="60"/>
  <c r="U19" i="60"/>
  <c r="U20" i="60"/>
  <c r="U26" i="60"/>
  <c r="U32" i="60"/>
  <c r="U36" i="60"/>
  <c r="U34" i="60"/>
  <c r="U35" i="60"/>
  <c r="U37" i="60"/>
  <c r="U38" i="60"/>
  <c r="U39" i="60"/>
  <c r="U40" i="60"/>
  <c r="U50" i="60"/>
  <c r="U41" i="60"/>
  <c r="U42" i="60"/>
  <c r="U75" i="60"/>
  <c r="U47" i="60"/>
  <c r="U48" i="60"/>
  <c r="U43" i="60"/>
  <c r="U49" i="60"/>
  <c r="U44" i="60"/>
  <c r="U45" i="60"/>
  <c r="U78" i="60"/>
  <c r="U76" i="60"/>
  <c r="U86" i="60"/>
  <c r="U79" i="60"/>
  <c r="U80" i="60"/>
  <c r="U70" i="60"/>
  <c r="U82" i="60"/>
  <c r="U83" i="60"/>
  <c r="U84" i="60"/>
  <c r="U85" i="60"/>
  <c r="U98" i="60"/>
  <c r="U87" i="60"/>
  <c r="U88" i="60"/>
  <c r="U89" i="60"/>
  <c r="U90" i="60"/>
  <c r="U105" i="60"/>
  <c r="U91" i="60"/>
  <c r="U103" i="60"/>
  <c r="U93" i="60"/>
  <c r="U95" i="60"/>
  <c r="U96" i="60"/>
  <c r="U97" i="60"/>
  <c r="U139" i="60"/>
  <c r="U99" i="60"/>
  <c r="U107" i="60"/>
  <c r="U100" i="60"/>
  <c r="U101" i="60"/>
  <c r="U61" i="60"/>
  <c r="U94" i="60"/>
  <c r="U104" i="60"/>
  <c r="U106" i="60"/>
  <c r="U113" i="60"/>
  <c r="U109" i="60"/>
  <c r="U108" i="60"/>
  <c r="U110" i="60"/>
  <c r="U115" i="60"/>
  <c r="U102" i="60"/>
  <c r="U112" i="60"/>
  <c r="U92" i="60"/>
  <c r="U114" i="60"/>
  <c r="U111" i="60"/>
  <c r="U116" i="60"/>
  <c r="U117" i="60"/>
  <c r="U118" i="60"/>
  <c r="U120" i="60"/>
  <c r="U119" i="60"/>
  <c r="U122" i="60"/>
  <c r="U121" i="60"/>
  <c r="U71" i="60"/>
  <c r="U123" i="60"/>
  <c r="U124" i="60"/>
  <c r="U125" i="60"/>
  <c r="U126" i="60"/>
  <c r="U68" i="60"/>
  <c r="U128" i="60"/>
  <c r="U129" i="60"/>
  <c r="U130" i="60"/>
  <c r="U131" i="60"/>
  <c r="U132" i="60"/>
  <c r="U133" i="60"/>
  <c r="U134" i="60"/>
  <c r="U135" i="60"/>
  <c r="U136" i="60"/>
  <c r="U137" i="60"/>
  <c r="U138" i="60"/>
  <c r="U145" i="60"/>
  <c r="U140" i="60"/>
  <c r="U141" i="60"/>
  <c r="U142" i="60"/>
  <c r="U143" i="60"/>
  <c r="U144" i="60"/>
  <c r="U149" i="60"/>
  <c r="U146" i="60"/>
  <c r="U147" i="60"/>
  <c r="U148" i="60"/>
  <c r="U127" i="60"/>
  <c r="U150" i="60"/>
  <c r="U151" i="60"/>
  <c r="U152" i="60"/>
  <c r="U153" i="60"/>
  <c r="T51" i="60"/>
  <c r="T52" i="60"/>
  <c r="T53" i="60"/>
  <c r="T54" i="60"/>
  <c r="T69" i="60"/>
  <c r="T56" i="60"/>
  <c r="T57" i="60"/>
  <c r="T58" i="60"/>
  <c r="T59" i="60"/>
  <c r="T60" i="60"/>
  <c r="T73" i="60"/>
  <c r="T62" i="60"/>
  <c r="T63" i="60"/>
  <c r="T64" i="60"/>
  <c r="T65" i="60"/>
  <c r="T55" i="60"/>
  <c r="T66" i="60"/>
  <c r="T67" i="60"/>
  <c r="T74" i="60"/>
  <c r="T77" i="60"/>
  <c r="T81" i="60"/>
  <c r="T21" i="60"/>
  <c r="T22" i="60"/>
  <c r="T23" i="60"/>
  <c r="T24" i="60"/>
  <c r="T25" i="60"/>
  <c r="T28" i="60"/>
  <c r="T27" i="60"/>
  <c r="T29" i="60"/>
  <c r="T30" i="60"/>
  <c r="T31" i="60"/>
  <c r="T33" i="60"/>
  <c r="T46" i="60"/>
  <c r="T72" i="60"/>
  <c r="T19" i="60"/>
  <c r="T20" i="60"/>
  <c r="T26" i="60"/>
  <c r="T32" i="60"/>
  <c r="T36" i="60"/>
  <c r="T34" i="60"/>
  <c r="T35" i="60"/>
  <c r="T37" i="60"/>
  <c r="T38" i="60"/>
  <c r="T39" i="60"/>
  <c r="T40" i="60"/>
  <c r="T50" i="60"/>
  <c r="T41" i="60"/>
  <c r="T42" i="60"/>
  <c r="T75" i="60"/>
  <c r="T47" i="60"/>
  <c r="T48" i="60"/>
  <c r="T43" i="60"/>
  <c r="T49" i="60"/>
  <c r="T44" i="60"/>
  <c r="T45" i="60"/>
  <c r="T78" i="60"/>
  <c r="T76" i="60"/>
  <c r="T86" i="60"/>
  <c r="T79" i="60"/>
  <c r="T80" i="60"/>
  <c r="T70" i="60"/>
  <c r="T82" i="60"/>
  <c r="T83" i="60"/>
  <c r="T84" i="60"/>
  <c r="T85" i="60"/>
  <c r="T98" i="60"/>
  <c r="T87" i="60"/>
  <c r="T88" i="60"/>
  <c r="T89" i="60"/>
  <c r="T90" i="60"/>
  <c r="T105" i="60"/>
  <c r="T91" i="60"/>
  <c r="T103" i="60"/>
  <c r="T93" i="60"/>
  <c r="T95" i="60"/>
  <c r="T96" i="60"/>
  <c r="T97" i="60"/>
  <c r="T139" i="60"/>
  <c r="T99" i="60"/>
  <c r="T107" i="60"/>
  <c r="T100" i="60"/>
  <c r="T101" i="60"/>
  <c r="T61" i="60"/>
  <c r="T94" i="60"/>
  <c r="T104" i="60"/>
  <c r="T106" i="60"/>
  <c r="T113" i="60"/>
  <c r="T109" i="60"/>
  <c r="T108" i="60"/>
  <c r="T110" i="60"/>
  <c r="T115" i="60"/>
  <c r="T102" i="60"/>
  <c r="T112" i="60"/>
  <c r="T92" i="60"/>
  <c r="T114" i="60"/>
  <c r="T111" i="60"/>
  <c r="T116" i="60"/>
  <c r="T117" i="60"/>
  <c r="T118" i="60"/>
  <c r="T120" i="60"/>
  <c r="T119" i="60"/>
  <c r="T122" i="60"/>
  <c r="T121" i="60"/>
  <c r="T71" i="60"/>
  <c r="T123" i="60"/>
  <c r="T124" i="60"/>
  <c r="T125" i="60"/>
  <c r="T126" i="60"/>
  <c r="T68" i="60"/>
  <c r="T128" i="60"/>
  <c r="T129" i="60"/>
  <c r="T130" i="60"/>
  <c r="T131" i="60"/>
  <c r="T132" i="60"/>
  <c r="T133" i="60"/>
  <c r="T134" i="60"/>
  <c r="T135" i="60"/>
  <c r="T136" i="60"/>
  <c r="T137" i="60"/>
  <c r="T138" i="60"/>
  <c r="T145" i="60"/>
  <c r="T140" i="60"/>
  <c r="T141" i="60"/>
  <c r="T142" i="60"/>
  <c r="T143" i="60"/>
  <c r="T144" i="60"/>
  <c r="T149" i="60"/>
  <c r="T146" i="60"/>
  <c r="T147" i="60"/>
  <c r="T148" i="60"/>
  <c r="T127" i="60"/>
  <c r="T150" i="60"/>
  <c r="T151" i="60"/>
  <c r="T152" i="60"/>
  <c r="T153" i="60"/>
  <c r="S51" i="60"/>
  <c r="S52" i="60"/>
  <c r="S53" i="60"/>
  <c r="S54" i="60"/>
  <c r="S69" i="60"/>
  <c r="S56" i="60"/>
  <c r="S57" i="60"/>
  <c r="S58" i="60"/>
  <c r="S59" i="60"/>
  <c r="S60" i="60"/>
  <c r="S73" i="60"/>
  <c r="S62" i="60"/>
  <c r="S63" i="60"/>
  <c r="S64" i="60"/>
  <c r="S65" i="60"/>
  <c r="S55" i="60"/>
  <c r="S66" i="60"/>
  <c r="S67" i="60"/>
  <c r="S74" i="60"/>
  <c r="S77" i="60"/>
  <c r="S81" i="60"/>
  <c r="S21" i="60"/>
  <c r="S22" i="60"/>
  <c r="S23" i="60"/>
  <c r="S24" i="60"/>
  <c r="S25" i="60"/>
  <c r="S28" i="60"/>
  <c r="S27" i="60"/>
  <c r="S29" i="60"/>
  <c r="S30" i="60"/>
  <c r="S31" i="60"/>
  <c r="S33" i="60"/>
  <c r="S46" i="60"/>
  <c r="S72" i="60"/>
  <c r="S19" i="60"/>
  <c r="S20" i="60"/>
  <c r="S26" i="60"/>
  <c r="S32" i="60"/>
  <c r="S36" i="60"/>
  <c r="S34" i="60"/>
  <c r="S35" i="60"/>
  <c r="S37" i="60"/>
  <c r="S38" i="60"/>
  <c r="S39" i="60"/>
  <c r="S40" i="60"/>
  <c r="S50" i="60"/>
  <c r="S41" i="60"/>
  <c r="S42" i="60"/>
  <c r="S75" i="60"/>
  <c r="S47" i="60"/>
  <c r="S48" i="60"/>
  <c r="S43" i="60"/>
  <c r="S49" i="60"/>
  <c r="S44" i="60"/>
  <c r="S45" i="60"/>
  <c r="S78" i="60"/>
  <c r="S76" i="60"/>
  <c r="S86" i="60"/>
  <c r="S79" i="60"/>
  <c r="S80" i="60"/>
  <c r="S70" i="60"/>
  <c r="S82" i="60"/>
  <c r="S83" i="60"/>
  <c r="S84" i="60"/>
  <c r="S85" i="60"/>
  <c r="S98" i="60"/>
  <c r="S87" i="60"/>
  <c r="S88" i="60"/>
  <c r="S89" i="60"/>
  <c r="S90" i="60"/>
  <c r="S105" i="60"/>
  <c r="S91" i="60"/>
  <c r="S103" i="60"/>
  <c r="S93" i="60"/>
  <c r="S95" i="60"/>
  <c r="S96" i="60"/>
  <c r="S97" i="60"/>
  <c r="S139" i="60"/>
  <c r="S99" i="60"/>
  <c r="S107" i="60"/>
  <c r="S100" i="60"/>
  <c r="S101" i="60"/>
  <c r="S61" i="60"/>
  <c r="S94" i="60"/>
  <c r="S104" i="60"/>
  <c r="S106" i="60"/>
  <c r="S113" i="60"/>
  <c r="S109" i="60"/>
  <c r="S108" i="60"/>
  <c r="S110" i="60"/>
  <c r="S115" i="60"/>
  <c r="S102" i="60"/>
  <c r="S112" i="60"/>
  <c r="S92" i="60"/>
  <c r="S114" i="60"/>
  <c r="S111" i="60"/>
  <c r="S116" i="60"/>
  <c r="S117" i="60"/>
  <c r="S118" i="60"/>
  <c r="S120" i="60"/>
  <c r="S119" i="60"/>
  <c r="S122" i="60"/>
  <c r="S121" i="60"/>
  <c r="S71" i="60"/>
  <c r="S123" i="60"/>
  <c r="S124" i="60"/>
  <c r="S125" i="60"/>
  <c r="S126" i="60"/>
  <c r="S68" i="60"/>
  <c r="S128" i="60"/>
  <c r="S129" i="60"/>
  <c r="S130" i="60"/>
  <c r="S131" i="60"/>
  <c r="S132" i="60"/>
  <c r="S133" i="60"/>
  <c r="S134" i="60"/>
  <c r="S135" i="60"/>
  <c r="S136" i="60"/>
  <c r="S137" i="60"/>
  <c r="S138" i="60"/>
  <c r="S145" i="60"/>
  <c r="S140" i="60"/>
  <c r="S141" i="60"/>
  <c r="S142" i="60"/>
  <c r="S143" i="60"/>
  <c r="S144" i="60"/>
  <c r="S149" i="60"/>
  <c r="S146" i="60"/>
  <c r="S147" i="60"/>
  <c r="S148" i="60"/>
  <c r="S127" i="60"/>
  <c r="S150" i="60"/>
  <c r="S151" i="60"/>
  <c r="S152" i="60"/>
  <c r="S153" i="60"/>
  <c r="AA51" i="60"/>
  <c r="AA52" i="60"/>
  <c r="AA53" i="60"/>
  <c r="AA54" i="60"/>
  <c r="AA69" i="60"/>
  <c r="AA56" i="60"/>
  <c r="AA57" i="60"/>
  <c r="AA58" i="60"/>
  <c r="AA59" i="60"/>
  <c r="AA60" i="60"/>
  <c r="AA73" i="60"/>
  <c r="AA62" i="60"/>
  <c r="AA63" i="60"/>
  <c r="AA64" i="60"/>
  <c r="AA65" i="60"/>
  <c r="AA55" i="60"/>
  <c r="AA66" i="60"/>
  <c r="AA67" i="60"/>
  <c r="AA74" i="60"/>
  <c r="AA77" i="60"/>
  <c r="AA81" i="60"/>
  <c r="AA21" i="60"/>
  <c r="AA22" i="60"/>
  <c r="AA23" i="60"/>
  <c r="AA24" i="60"/>
  <c r="AA25" i="60"/>
  <c r="AA28" i="60"/>
  <c r="AA27" i="60"/>
  <c r="AA29" i="60"/>
  <c r="AA30" i="60"/>
  <c r="AA31" i="60"/>
  <c r="AA33" i="60"/>
  <c r="AA46" i="60"/>
  <c r="AA72" i="60"/>
  <c r="AA19" i="60"/>
  <c r="AA20" i="60"/>
  <c r="AA26" i="60"/>
  <c r="AA32" i="60"/>
  <c r="AA36" i="60"/>
  <c r="AA34" i="60"/>
  <c r="AA35" i="60"/>
  <c r="AA37" i="60"/>
  <c r="AA38" i="60"/>
  <c r="AA39" i="60"/>
  <c r="AA40" i="60"/>
  <c r="AA50" i="60"/>
  <c r="AA41" i="60"/>
  <c r="AA42" i="60"/>
  <c r="AA75" i="60"/>
  <c r="AA47" i="60"/>
  <c r="AA48" i="60"/>
  <c r="AA43" i="60"/>
  <c r="AA49" i="60"/>
  <c r="AA44" i="60"/>
  <c r="AA45" i="60"/>
  <c r="AA78" i="60"/>
  <c r="AA76" i="60"/>
  <c r="AA86" i="60"/>
  <c r="AA79" i="60"/>
  <c r="AA80" i="60"/>
  <c r="AA70" i="60"/>
  <c r="AA82" i="60"/>
  <c r="AA83" i="60"/>
  <c r="AA84" i="60"/>
  <c r="AA85" i="60"/>
  <c r="AA98" i="60"/>
  <c r="AA87" i="60"/>
  <c r="AA88" i="60"/>
  <c r="AA89" i="60"/>
  <c r="AA90" i="60"/>
  <c r="AA105" i="60"/>
  <c r="AA91" i="60"/>
  <c r="AA103" i="60"/>
  <c r="AA93" i="60"/>
  <c r="AA95" i="60"/>
  <c r="AA96" i="60"/>
  <c r="AA97" i="60"/>
  <c r="AA139" i="60"/>
  <c r="AA99" i="60"/>
  <c r="AA107" i="60"/>
  <c r="AA100" i="60"/>
  <c r="AA101" i="60"/>
  <c r="AA61" i="60"/>
  <c r="AA94" i="60"/>
  <c r="AA104" i="60"/>
  <c r="AA106" i="60"/>
  <c r="AA113" i="60"/>
  <c r="AA109" i="60"/>
  <c r="AA108" i="60"/>
  <c r="AA110" i="60"/>
  <c r="AA115" i="60"/>
  <c r="AA102" i="60"/>
  <c r="AA112" i="60"/>
  <c r="AA92" i="60"/>
  <c r="AA114" i="60"/>
  <c r="AA111" i="60"/>
  <c r="AA116" i="60"/>
  <c r="AA117" i="60"/>
  <c r="AA118" i="60"/>
  <c r="AA120" i="60"/>
  <c r="AA119" i="60"/>
  <c r="AA122" i="60"/>
  <c r="AA121" i="60"/>
  <c r="AA71" i="60"/>
  <c r="AA123" i="60"/>
  <c r="AA124" i="60"/>
  <c r="AA125" i="60"/>
  <c r="AA126" i="60"/>
  <c r="AA68" i="60"/>
  <c r="AA128" i="60"/>
  <c r="AA129" i="60"/>
  <c r="AA130" i="60"/>
  <c r="AA131" i="60"/>
  <c r="AA132" i="60"/>
  <c r="AA133" i="60"/>
  <c r="AA134" i="60"/>
  <c r="AA135" i="60"/>
  <c r="AA136" i="60"/>
  <c r="AA137" i="60"/>
  <c r="AA138" i="60"/>
  <c r="AA145" i="60"/>
  <c r="AA140" i="60"/>
  <c r="AA141" i="60"/>
  <c r="AA142" i="60"/>
  <c r="AA143" i="60"/>
  <c r="AA144" i="60"/>
  <c r="AA149" i="60"/>
  <c r="AA146" i="60"/>
  <c r="AA147" i="60"/>
  <c r="AA148" i="60"/>
  <c r="AA127" i="60"/>
  <c r="AA150" i="60"/>
  <c r="AA151" i="60"/>
  <c r="AA152" i="60"/>
  <c r="AA153" i="60"/>
  <c r="Z51" i="60"/>
  <c r="Z52" i="60"/>
  <c r="Z53" i="60"/>
  <c r="Z54" i="60"/>
  <c r="Z69" i="60"/>
  <c r="Z56" i="60"/>
  <c r="Z57" i="60"/>
  <c r="Z58" i="60"/>
  <c r="Z59" i="60"/>
  <c r="Z60" i="60"/>
  <c r="Z73" i="60"/>
  <c r="Z62" i="60"/>
  <c r="Z63" i="60"/>
  <c r="Z64" i="60"/>
  <c r="Z65" i="60"/>
  <c r="Z55" i="60"/>
  <c r="Z66" i="60"/>
  <c r="Z67" i="60"/>
  <c r="Z74" i="60"/>
  <c r="Z77" i="60"/>
  <c r="Z81" i="60"/>
  <c r="Z21" i="60"/>
  <c r="Z22" i="60"/>
  <c r="Z23" i="60"/>
  <c r="Z24" i="60"/>
  <c r="Z25" i="60"/>
  <c r="Z28" i="60"/>
  <c r="Z27" i="60"/>
  <c r="Z29" i="60"/>
  <c r="Z30" i="60"/>
  <c r="Z31" i="60"/>
  <c r="Z33" i="60"/>
  <c r="Z46" i="60"/>
  <c r="Z72" i="60"/>
  <c r="Z19" i="60"/>
  <c r="Z20" i="60"/>
  <c r="Z26" i="60"/>
  <c r="Z32" i="60"/>
  <c r="Z36" i="60"/>
  <c r="Z34" i="60"/>
  <c r="Z35" i="60"/>
  <c r="Z37" i="60"/>
  <c r="Z38" i="60"/>
  <c r="Z39" i="60"/>
  <c r="Z40" i="60"/>
  <c r="Z50" i="60"/>
  <c r="Z41" i="60"/>
  <c r="Z42" i="60"/>
  <c r="Z75" i="60"/>
  <c r="Z47" i="60"/>
  <c r="Z48" i="60"/>
  <c r="Z43" i="60"/>
  <c r="Z49" i="60"/>
  <c r="Z44" i="60"/>
  <c r="Z45" i="60"/>
  <c r="Z78" i="60"/>
  <c r="Z76" i="60"/>
  <c r="Z86" i="60"/>
  <c r="Z79" i="60"/>
  <c r="Z80" i="60"/>
  <c r="Z70" i="60"/>
  <c r="Z82" i="60"/>
  <c r="Z83" i="60"/>
  <c r="Z84" i="60"/>
  <c r="Z85" i="60"/>
  <c r="Z98" i="60"/>
  <c r="Z87" i="60"/>
  <c r="Z88" i="60"/>
  <c r="Z89" i="60"/>
  <c r="Z90" i="60"/>
  <c r="Z105" i="60"/>
  <c r="Z91" i="60"/>
  <c r="Z103" i="60"/>
  <c r="Z93" i="60"/>
  <c r="Z95" i="60"/>
  <c r="Z96" i="60"/>
  <c r="Z97" i="60"/>
  <c r="Z139" i="60"/>
  <c r="Z99" i="60"/>
  <c r="Z107" i="60"/>
  <c r="Z100" i="60"/>
  <c r="Z101" i="60"/>
  <c r="Z61" i="60"/>
  <c r="Z94" i="60"/>
  <c r="Z104" i="60"/>
  <c r="Z106" i="60"/>
  <c r="Z113" i="60"/>
  <c r="Z109" i="60"/>
  <c r="Z108" i="60"/>
  <c r="Z110" i="60"/>
  <c r="Z115" i="60"/>
  <c r="Z102" i="60"/>
  <c r="Z112" i="60"/>
  <c r="Z92" i="60"/>
  <c r="Z114" i="60"/>
  <c r="Z111" i="60"/>
  <c r="Z116" i="60"/>
  <c r="Z117" i="60"/>
  <c r="Z118" i="60"/>
  <c r="Z120" i="60"/>
  <c r="Z119" i="60"/>
  <c r="Z122" i="60"/>
  <c r="Z121" i="60"/>
  <c r="Z71" i="60"/>
  <c r="Z123" i="60"/>
  <c r="Z124" i="60"/>
  <c r="Z125" i="60"/>
  <c r="Z126" i="60"/>
  <c r="Z68" i="60"/>
  <c r="Z128" i="60"/>
  <c r="Z129" i="60"/>
  <c r="Z130" i="60"/>
  <c r="Z131" i="60"/>
  <c r="Z132" i="60"/>
  <c r="Z133" i="60"/>
  <c r="Z134" i="60"/>
  <c r="Z135" i="60"/>
  <c r="Z136" i="60"/>
  <c r="Z137" i="60"/>
  <c r="Z138" i="60"/>
  <c r="Z145" i="60"/>
  <c r="Z140" i="60"/>
  <c r="Z141" i="60"/>
  <c r="Z142" i="60"/>
  <c r="Z143" i="60"/>
  <c r="Z144" i="60"/>
  <c r="Z149" i="60"/>
  <c r="Z146" i="60"/>
  <c r="Z147" i="60"/>
  <c r="Z148" i="60"/>
  <c r="Z127" i="60"/>
  <c r="Z150" i="60"/>
  <c r="Z151" i="60"/>
  <c r="Z152" i="60"/>
  <c r="Z153" i="60"/>
  <c r="Y51" i="60"/>
  <c r="Y52" i="60"/>
  <c r="Y53" i="60"/>
  <c r="Y54" i="60"/>
  <c r="Y69" i="60"/>
  <c r="Y56" i="60"/>
  <c r="Y57" i="60"/>
  <c r="Y58" i="60"/>
  <c r="Y59" i="60"/>
  <c r="Y60" i="60"/>
  <c r="Y73" i="60"/>
  <c r="Y62" i="60"/>
  <c r="Y63" i="60"/>
  <c r="Y64" i="60"/>
  <c r="Y65" i="60"/>
  <c r="Y55" i="60"/>
  <c r="Y66" i="60"/>
  <c r="Y67" i="60"/>
  <c r="Y74" i="60"/>
  <c r="Y77" i="60"/>
  <c r="Y81" i="60"/>
  <c r="Y21" i="60"/>
  <c r="Y22" i="60"/>
  <c r="Y23" i="60"/>
  <c r="Y24" i="60"/>
  <c r="Y25" i="60"/>
  <c r="Y28" i="60"/>
  <c r="Y27" i="60"/>
  <c r="Y29" i="60"/>
  <c r="Y30" i="60"/>
  <c r="Y31" i="60"/>
  <c r="Y33" i="60"/>
  <c r="Y46" i="60"/>
  <c r="Y72" i="60"/>
  <c r="Y19" i="60"/>
  <c r="Y20" i="60"/>
  <c r="Y26" i="60"/>
  <c r="Y32" i="60"/>
  <c r="Y36" i="60"/>
  <c r="Y34" i="60"/>
  <c r="Y35" i="60"/>
  <c r="Y37" i="60"/>
  <c r="Y38" i="60"/>
  <c r="Y39" i="60"/>
  <c r="Y40" i="60"/>
  <c r="Y50" i="60"/>
  <c r="Y41" i="60"/>
  <c r="Y42" i="60"/>
  <c r="Y75" i="60"/>
  <c r="Y47" i="60"/>
  <c r="Y48" i="60"/>
  <c r="Y43" i="60"/>
  <c r="Y49" i="60"/>
  <c r="Y44" i="60"/>
  <c r="Y45" i="60"/>
  <c r="Y78" i="60"/>
  <c r="Y76" i="60"/>
  <c r="Y86" i="60"/>
  <c r="Y79" i="60"/>
  <c r="Y80" i="60"/>
  <c r="Y70" i="60"/>
  <c r="Y82" i="60"/>
  <c r="Y83" i="60"/>
  <c r="Y84" i="60"/>
  <c r="Y85" i="60"/>
  <c r="Y98" i="60"/>
  <c r="Y87" i="60"/>
  <c r="Y88" i="60"/>
  <c r="Y89" i="60"/>
  <c r="Y90" i="60"/>
  <c r="Y105" i="60"/>
  <c r="Y91" i="60"/>
  <c r="Y103" i="60"/>
  <c r="Y93" i="60"/>
  <c r="Y95" i="60"/>
  <c r="Y96" i="60"/>
  <c r="Y97" i="60"/>
  <c r="Y139" i="60"/>
  <c r="Y99" i="60"/>
  <c r="Y107" i="60"/>
  <c r="Y100" i="60"/>
  <c r="Y101" i="60"/>
  <c r="Y61" i="60"/>
  <c r="Y94" i="60"/>
  <c r="Y104" i="60"/>
  <c r="Y106" i="60"/>
  <c r="Y113" i="60"/>
  <c r="Y109" i="60"/>
  <c r="Y108" i="60"/>
  <c r="Y110" i="60"/>
  <c r="Y115" i="60"/>
  <c r="Y102" i="60"/>
  <c r="Y112" i="60"/>
  <c r="Y92" i="60"/>
  <c r="Y114" i="60"/>
  <c r="Y111" i="60"/>
  <c r="Y116" i="60"/>
  <c r="Y117" i="60"/>
  <c r="Y118" i="60"/>
  <c r="Y120" i="60"/>
  <c r="Y119" i="60"/>
  <c r="Y122" i="60"/>
  <c r="Y121" i="60"/>
  <c r="Y71" i="60"/>
  <c r="Y123" i="60"/>
  <c r="Y124" i="60"/>
  <c r="Y125" i="60"/>
  <c r="Y126" i="60"/>
  <c r="Y68" i="60"/>
  <c r="Y128" i="60"/>
  <c r="Y129" i="60"/>
  <c r="Y130" i="60"/>
  <c r="Y131" i="60"/>
  <c r="Y132" i="60"/>
  <c r="Y133" i="60"/>
  <c r="Y134" i="60"/>
  <c r="Y135" i="60"/>
  <c r="Y136" i="60"/>
  <c r="Y137" i="60"/>
  <c r="Y138" i="60"/>
  <c r="Y145" i="60"/>
  <c r="Y140" i="60"/>
  <c r="Y141" i="60"/>
  <c r="Y142" i="60"/>
  <c r="Y143" i="60"/>
  <c r="Y144" i="60"/>
  <c r="Y149" i="60"/>
  <c r="Y146" i="60"/>
  <c r="Y147" i="60"/>
  <c r="Y148" i="60"/>
  <c r="Y127" i="60"/>
  <c r="Y150" i="60"/>
  <c r="Y151" i="60"/>
  <c r="Y152" i="60"/>
  <c r="Y153" i="60"/>
  <c r="BA11" i="66" l="1"/>
  <c r="BA13" i="66" s="1"/>
  <c r="BA16" i="66" s="1"/>
  <c r="AK11" i="66"/>
  <c r="AK13" i="66" s="1"/>
  <c r="AK15" i="66" s="1"/>
  <c r="AU11" i="66"/>
  <c r="AU13" i="66" s="1"/>
  <c r="AU15" i="66" s="1"/>
  <c r="BG11" i="66"/>
  <c r="BG13" i="66" s="1"/>
  <c r="BG15" i="66" s="1"/>
  <c r="AW11" i="66"/>
  <c r="AW13" i="66" s="1"/>
  <c r="AW15" i="66" s="1"/>
  <c r="AY11" i="66"/>
  <c r="AY13" i="66" s="1"/>
  <c r="AY15" i="66" s="1"/>
  <c r="BK10" i="66"/>
  <c r="BI11" i="66"/>
  <c r="BI13" i="66" s="1"/>
  <c r="BI15" i="66" s="1"/>
  <c r="BL10" i="66"/>
  <c r="AM11" i="66"/>
  <c r="AQ11" i="66"/>
  <c r="AQ13" i="66" s="1"/>
  <c r="AQ15" i="66" s="1"/>
  <c r="BE11" i="66"/>
  <c r="BE13" i="66" s="1"/>
  <c r="BE16" i="66" s="1"/>
  <c r="BC11" i="66"/>
  <c r="BC13" i="66" s="1"/>
  <c r="AO11" i="66"/>
  <c r="AO13" i="66" s="1"/>
  <c r="AO15" i="66" s="1"/>
  <c r="BL7" i="66"/>
  <c r="AS11" i="66"/>
  <c r="AS13" i="66" s="1"/>
  <c r="BK7" i="66"/>
  <c r="BI14" i="61"/>
  <c r="BA15" i="66" l="1"/>
  <c r="AK16" i="66"/>
  <c r="BG16" i="66"/>
  <c r="AW16" i="66"/>
  <c r="AU16" i="66"/>
  <c r="AY16" i="66"/>
  <c r="BI16" i="66"/>
  <c r="AQ16" i="66"/>
  <c r="BK11" i="66"/>
  <c r="BK13" i="66" s="1"/>
  <c r="BK16" i="66" s="1"/>
  <c r="BL11" i="66"/>
  <c r="BL13" i="66" s="1"/>
  <c r="BL16" i="66" s="1"/>
  <c r="AO16" i="66"/>
  <c r="BE15" i="66"/>
  <c r="BC16" i="66"/>
  <c r="BC15" i="66"/>
  <c r="AS15" i="66"/>
  <c r="AS16" i="66"/>
  <c r="BD25" i="63"/>
  <c r="BC25" i="63"/>
  <c r="BB25" i="63"/>
  <c r="BA25" i="63"/>
  <c r="AZ25" i="63"/>
  <c r="AY25" i="63"/>
  <c r="AX25" i="63"/>
  <c r="AW25" i="63"/>
  <c r="AV25" i="63"/>
  <c r="AU25" i="63"/>
  <c r="AT25" i="63"/>
  <c r="AS25" i="63"/>
  <c r="AR25" i="63"/>
  <c r="AQ25" i="63"/>
  <c r="AP25" i="63"/>
  <c r="AO25" i="63"/>
  <c r="AJ25" i="63"/>
  <c r="AI25" i="63"/>
  <c r="AG25" i="63"/>
  <c r="AF25" i="63"/>
  <c r="AA25" i="63"/>
  <c r="Z25" i="63"/>
  <c r="X25" i="63"/>
  <c r="W25" i="63"/>
  <c r="V25" i="63"/>
  <c r="U25" i="63"/>
  <c r="T25" i="63"/>
  <c r="S25" i="63"/>
  <c r="J25" i="63"/>
  <c r="BG24" i="63"/>
  <c r="AM24" i="63"/>
  <c r="AL24" i="63"/>
  <c r="AK24" i="63"/>
  <c r="AH24" i="63"/>
  <c r="AD24" i="63"/>
  <c r="AC24" i="63"/>
  <c r="AB24" i="63"/>
  <c r="Y24" i="63"/>
  <c r="BG21" i="63"/>
  <c r="AM21" i="63"/>
  <c r="AL21" i="63"/>
  <c r="AK21" i="63"/>
  <c r="AH21" i="63"/>
  <c r="AD21" i="63"/>
  <c r="AC21" i="63"/>
  <c r="AB21" i="63"/>
  <c r="Y21" i="63"/>
  <c r="BG18" i="63"/>
  <c r="AM18" i="63"/>
  <c r="AL18" i="63"/>
  <c r="AK18" i="63"/>
  <c r="AH18" i="63"/>
  <c r="AD18" i="63"/>
  <c r="AC18" i="63"/>
  <c r="AB18" i="63"/>
  <c r="Y18" i="63"/>
  <c r="BG16" i="63"/>
  <c r="AM16" i="63"/>
  <c r="AL16" i="63"/>
  <c r="AK16" i="63"/>
  <c r="AH16" i="63"/>
  <c r="AD16" i="63"/>
  <c r="AE16" i="63" s="1"/>
  <c r="AC16" i="63"/>
  <c r="AB16" i="63"/>
  <c r="Y16" i="63"/>
  <c r="AL9" i="63"/>
  <c r="AC9" i="63"/>
  <c r="BG17" i="63"/>
  <c r="AM17" i="63"/>
  <c r="AL17" i="63"/>
  <c r="AN17" i="63" s="1"/>
  <c r="AK17" i="63"/>
  <c r="AH17" i="63"/>
  <c r="AD17" i="63"/>
  <c r="AC17" i="63"/>
  <c r="AB17" i="63"/>
  <c r="Y17" i="63"/>
  <c r="BG22" i="63"/>
  <c r="AM22" i="63"/>
  <c r="AL22" i="63"/>
  <c r="AK22" i="63"/>
  <c r="AH22" i="63"/>
  <c r="AD22" i="63"/>
  <c r="AC22" i="63"/>
  <c r="AB22" i="63"/>
  <c r="Y22" i="63"/>
  <c r="BG23" i="63"/>
  <c r="AM23" i="63"/>
  <c r="AL23" i="63"/>
  <c r="AK23" i="63"/>
  <c r="AH23" i="63"/>
  <c r="AD23" i="63"/>
  <c r="AC23" i="63"/>
  <c r="AB23" i="63"/>
  <c r="Y23" i="63"/>
  <c r="BG19" i="63"/>
  <c r="AM19" i="63"/>
  <c r="AL19" i="63"/>
  <c r="AK19" i="63"/>
  <c r="AH19" i="63"/>
  <c r="AD19" i="63"/>
  <c r="AC19" i="63"/>
  <c r="AB19" i="63"/>
  <c r="Y19" i="63"/>
  <c r="BG20" i="63"/>
  <c r="AM20" i="63"/>
  <c r="AL20" i="63"/>
  <c r="AK20" i="63"/>
  <c r="AH20" i="63"/>
  <c r="AD20" i="63"/>
  <c r="AC20" i="63"/>
  <c r="AB20" i="63"/>
  <c r="Y20" i="63"/>
  <c r="BG15" i="63"/>
  <c r="AM15" i="63"/>
  <c r="AL15" i="63"/>
  <c r="AK15" i="63"/>
  <c r="AH15" i="63"/>
  <c r="AD15" i="63"/>
  <c r="AC15" i="63"/>
  <c r="AB15" i="63"/>
  <c r="Y15" i="63"/>
  <c r="BH12" i="63"/>
  <c r="BG12" i="63"/>
  <c r="BE9" i="63"/>
  <c r="BC9" i="63"/>
  <c r="BA9" i="63"/>
  <c r="AY9" i="63"/>
  <c r="AW9" i="63"/>
  <c r="AU9" i="63"/>
  <c r="AS9" i="63"/>
  <c r="AQ9" i="63"/>
  <c r="AO9" i="63"/>
  <c r="AI9" i="63"/>
  <c r="AF9" i="63"/>
  <c r="Z9" i="63"/>
  <c r="W9" i="63"/>
  <c r="U9" i="63"/>
  <c r="S9" i="63"/>
  <c r="BE8" i="63"/>
  <c r="BE10" i="63" s="1"/>
  <c r="BC8" i="63"/>
  <c r="BA8" i="63"/>
  <c r="AY8" i="63"/>
  <c r="AY10" i="63" s="1"/>
  <c r="AW8" i="63"/>
  <c r="AU8" i="63"/>
  <c r="AS8" i="63"/>
  <c r="AQ8" i="63"/>
  <c r="AO8" i="63"/>
  <c r="AO10" i="63" s="1"/>
  <c r="AL8" i="63"/>
  <c r="AI8" i="63"/>
  <c r="AI10" i="63" s="1"/>
  <c r="AF8" i="63"/>
  <c r="AF10" i="63" s="1"/>
  <c r="AC8" i="63"/>
  <c r="Z8" i="63"/>
  <c r="Z10" i="63" s="1"/>
  <c r="W8" i="63"/>
  <c r="U8" i="63"/>
  <c r="S8" i="63"/>
  <c r="BE6" i="63"/>
  <c r="BC6" i="63"/>
  <c r="BA6" i="63"/>
  <c r="AY6" i="63"/>
  <c r="AW6" i="63"/>
  <c r="AU6" i="63"/>
  <c r="AS6" i="63"/>
  <c r="AQ6" i="63"/>
  <c r="AO6" i="63"/>
  <c r="AI6" i="63"/>
  <c r="AF6" i="63"/>
  <c r="Z6" i="63"/>
  <c r="W6" i="63"/>
  <c r="BG6" i="63" s="1"/>
  <c r="U6" i="63"/>
  <c r="S6" i="63"/>
  <c r="BE5" i="63"/>
  <c r="BE7" i="63" s="1"/>
  <c r="BC5" i="63"/>
  <c r="BC7" i="63" s="1"/>
  <c r="BA5" i="63"/>
  <c r="AY5" i="63"/>
  <c r="AW5" i="63"/>
  <c r="AU5" i="63"/>
  <c r="AU7" i="63" s="1"/>
  <c r="AS5" i="63"/>
  <c r="AQ5" i="63"/>
  <c r="AO5" i="63"/>
  <c r="AI5" i="63"/>
  <c r="AI7" i="63" s="1"/>
  <c r="AF5" i="63"/>
  <c r="Z5" i="63"/>
  <c r="W5" i="63"/>
  <c r="U5" i="63"/>
  <c r="U7" i="63" s="1"/>
  <c r="S5" i="63"/>
  <c r="BE4" i="63"/>
  <c r="BC4" i="63"/>
  <c r="BA4" i="63"/>
  <c r="AY4" i="63"/>
  <c r="AW4" i="63"/>
  <c r="AU4" i="63"/>
  <c r="AS4" i="63"/>
  <c r="AQ4" i="63"/>
  <c r="AO4" i="63"/>
  <c r="AI4" i="63"/>
  <c r="AF4" i="63"/>
  <c r="Z4" i="63"/>
  <c r="W4" i="63"/>
  <c r="U4" i="63"/>
  <c r="BD35" i="62"/>
  <c r="BC35" i="62"/>
  <c r="BB35" i="62"/>
  <c r="BA35" i="62"/>
  <c r="AZ35" i="62"/>
  <c r="AY35" i="62"/>
  <c r="AX35" i="62"/>
  <c r="AW35" i="62"/>
  <c r="AV35" i="62"/>
  <c r="AU35" i="62"/>
  <c r="AT35" i="62"/>
  <c r="AS35" i="62"/>
  <c r="AR35" i="62"/>
  <c r="AQ35" i="62"/>
  <c r="AP35" i="62"/>
  <c r="AO35" i="62"/>
  <c r="AJ35" i="62"/>
  <c r="AI35" i="62"/>
  <c r="AG35" i="62"/>
  <c r="AF35" i="62"/>
  <c r="AA35" i="62"/>
  <c r="Z35" i="62"/>
  <c r="X35" i="62"/>
  <c r="W35" i="62"/>
  <c r="V35" i="62"/>
  <c r="U35" i="62"/>
  <c r="T35" i="62"/>
  <c r="S35" i="62"/>
  <c r="J35" i="62"/>
  <c r="BG29" i="62"/>
  <c r="AM29" i="62"/>
  <c r="AL29" i="62"/>
  <c r="AK29" i="62"/>
  <c r="AH29" i="62"/>
  <c r="AD29" i="62"/>
  <c r="AC29" i="62"/>
  <c r="AB29" i="62"/>
  <c r="Y29" i="62"/>
  <c r="BG31" i="62"/>
  <c r="AM31" i="62"/>
  <c r="AL31" i="62"/>
  <c r="AN31" i="62" s="1"/>
  <c r="AK31" i="62"/>
  <c r="AH31" i="62"/>
  <c r="AD31" i="62"/>
  <c r="AC31" i="62"/>
  <c r="AB31" i="62"/>
  <c r="Y31" i="62"/>
  <c r="BG25" i="62"/>
  <c r="AM25" i="62"/>
  <c r="AL25" i="62"/>
  <c r="AK25" i="62"/>
  <c r="AH25" i="62"/>
  <c r="AD25" i="62"/>
  <c r="AC25" i="62"/>
  <c r="AB25" i="62"/>
  <c r="Y25" i="62"/>
  <c r="BG30" i="62"/>
  <c r="AM30" i="62"/>
  <c r="AL30" i="62"/>
  <c r="AK30" i="62"/>
  <c r="AH30" i="62"/>
  <c r="AD30" i="62"/>
  <c r="AC30" i="62"/>
  <c r="AB30" i="62"/>
  <c r="Y30" i="62"/>
  <c r="BG28" i="62"/>
  <c r="AM28" i="62"/>
  <c r="AL28" i="62"/>
  <c r="AK28" i="62"/>
  <c r="AH28" i="62"/>
  <c r="AD28" i="62"/>
  <c r="AC28" i="62"/>
  <c r="AB28" i="62"/>
  <c r="Y28" i="62"/>
  <c r="BG27" i="62"/>
  <c r="AM27" i="62"/>
  <c r="AL27" i="62"/>
  <c r="AK27" i="62"/>
  <c r="AH27" i="62"/>
  <c r="AD27" i="62"/>
  <c r="AC27" i="62"/>
  <c r="AB27" i="62"/>
  <c r="Y27" i="62"/>
  <c r="BG26" i="62"/>
  <c r="AM26" i="62"/>
  <c r="AL26" i="62"/>
  <c r="AK26" i="62"/>
  <c r="AH26" i="62"/>
  <c r="AD26" i="62"/>
  <c r="AC26" i="62"/>
  <c r="AB26" i="62"/>
  <c r="Y26" i="62"/>
  <c r="BG34" i="62"/>
  <c r="AM34" i="62"/>
  <c r="AL34" i="62"/>
  <c r="AK34" i="62"/>
  <c r="AH34" i="62"/>
  <c r="AD34" i="62"/>
  <c r="AC34" i="62"/>
  <c r="AB34" i="62"/>
  <c r="Y34" i="62"/>
  <c r="BG33" i="62"/>
  <c r="AM33" i="62"/>
  <c r="AL33" i="62"/>
  <c r="AL8" i="62" s="1"/>
  <c r="AK33" i="62"/>
  <c r="AH33" i="62"/>
  <c r="AD33" i="62"/>
  <c r="AC33" i="62"/>
  <c r="AC8" i="62" s="1"/>
  <c r="AB33" i="62"/>
  <c r="Y33" i="62"/>
  <c r="BG32" i="62"/>
  <c r="AM32" i="62"/>
  <c r="AL32" i="62"/>
  <c r="AK32" i="62"/>
  <c r="AH32" i="62"/>
  <c r="AD32" i="62"/>
  <c r="AC32" i="62"/>
  <c r="AB32" i="62"/>
  <c r="Y32" i="62"/>
  <c r="BG20" i="62"/>
  <c r="AM20" i="62"/>
  <c r="AL20" i="62"/>
  <c r="AK20" i="62"/>
  <c r="AH20" i="62"/>
  <c r="AD20" i="62"/>
  <c r="AC20" i="62"/>
  <c r="AB20" i="62"/>
  <c r="Y20" i="62"/>
  <c r="BG16" i="62"/>
  <c r="AM16" i="62"/>
  <c r="AL16" i="62"/>
  <c r="AK16" i="62"/>
  <c r="AH16" i="62"/>
  <c r="AD16" i="62"/>
  <c r="AC16" i="62"/>
  <c r="AB16" i="62"/>
  <c r="Y16" i="62"/>
  <c r="BG19" i="62"/>
  <c r="AM19" i="62"/>
  <c r="AL19" i="62"/>
  <c r="AK19" i="62"/>
  <c r="AH19" i="62"/>
  <c r="AD19" i="62"/>
  <c r="AC19" i="62"/>
  <c r="AB19" i="62"/>
  <c r="Y19" i="62"/>
  <c r="BG22" i="62"/>
  <c r="AM22" i="62"/>
  <c r="AL22" i="62"/>
  <c r="AK22" i="62"/>
  <c r="AH22" i="62"/>
  <c r="AD22" i="62"/>
  <c r="AC22" i="62"/>
  <c r="AB22" i="62"/>
  <c r="Y22" i="62"/>
  <c r="BG23" i="62"/>
  <c r="AM23" i="62"/>
  <c r="AL23" i="62"/>
  <c r="AK23" i="62"/>
  <c r="AH23" i="62"/>
  <c r="AD23" i="62"/>
  <c r="AC23" i="62"/>
  <c r="AB23" i="62"/>
  <c r="Y23" i="62"/>
  <c r="BG21" i="62"/>
  <c r="AM21" i="62"/>
  <c r="AL21" i="62"/>
  <c r="AK21" i="62"/>
  <c r="AH21" i="62"/>
  <c r="AD21" i="62"/>
  <c r="AC21" i="62"/>
  <c r="AB21" i="62"/>
  <c r="Y21" i="62"/>
  <c r="BG18" i="62"/>
  <c r="AM18" i="62"/>
  <c r="AL18" i="62"/>
  <c r="AK18" i="62"/>
  <c r="AH18" i="62"/>
  <c r="AD18" i="62"/>
  <c r="AC18" i="62"/>
  <c r="AB18" i="62"/>
  <c r="Y18" i="62"/>
  <c r="BG17" i="62"/>
  <c r="AM17" i="62"/>
  <c r="AL17" i="62"/>
  <c r="AK17" i="62"/>
  <c r="AH17" i="62"/>
  <c r="AD17" i="62"/>
  <c r="AC17" i="62"/>
  <c r="AB17" i="62"/>
  <c r="Y17" i="62"/>
  <c r="BG15" i="62"/>
  <c r="AM15" i="62"/>
  <c r="AL15" i="62"/>
  <c r="AK15" i="62"/>
  <c r="AH15" i="62"/>
  <c r="AD15" i="62"/>
  <c r="AC15" i="62"/>
  <c r="AB15" i="62"/>
  <c r="Y15" i="62"/>
  <c r="BG24" i="62"/>
  <c r="AM24" i="62"/>
  <c r="AL24" i="62"/>
  <c r="AK24" i="62"/>
  <c r="AH24" i="62"/>
  <c r="AD24" i="62"/>
  <c r="AC24" i="62"/>
  <c r="AB24" i="62"/>
  <c r="Y24" i="62"/>
  <c r="BH12" i="62"/>
  <c r="BG12" i="62"/>
  <c r="BE9" i="62"/>
  <c r="BC9" i="62"/>
  <c r="BA9" i="62"/>
  <c r="AY9" i="62"/>
  <c r="AW9" i="62"/>
  <c r="AU9" i="62"/>
  <c r="AS9" i="62"/>
  <c r="AQ9" i="62"/>
  <c r="AO9" i="62"/>
  <c r="AL9" i="62"/>
  <c r="AI9" i="62"/>
  <c r="AF9" i="62"/>
  <c r="AC9" i="62"/>
  <c r="Z9" i="62"/>
  <c r="W9" i="62"/>
  <c r="U9" i="62"/>
  <c r="S9" i="62"/>
  <c r="BE8" i="62"/>
  <c r="BC8" i="62"/>
  <c r="BA8" i="62"/>
  <c r="AY8" i="62"/>
  <c r="AW8" i="62"/>
  <c r="AU8" i="62"/>
  <c r="AS8" i="62"/>
  <c r="AQ8" i="62"/>
  <c r="AO8" i="62"/>
  <c r="AI8" i="62"/>
  <c r="AI10" i="62" s="1"/>
  <c r="AF8" i="62"/>
  <c r="Z8" i="62"/>
  <c r="W8" i="62"/>
  <c r="U8" i="62"/>
  <c r="S8" i="62"/>
  <c r="BE6" i="62"/>
  <c r="BC6" i="62"/>
  <c r="BA6" i="62"/>
  <c r="AY6" i="62"/>
  <c r="AW6" i="62"/>
  <c r="AU6" i="62"/>
  <c r="AS6" i="62"/>
  <c r="AQ6" i="62"/>
  <c r="AO6" i="62"/>
  <c r="AI6" i="62"/>
  <c r="AF6" i="62"/>
  <c r="Z6" i="62"/>
  <c r="W6" i="62"/>
  <c r="U6" i="62"/>
  <c r="S6" i="62"/>
  <c r="BE5" i="62"/>
  <c r="BC5" i="62"/>
  <c r="BC7" i="62" s="1"/>
  <c r="BA5" i="62"/>
  <c r="AY5" i="62"/>
  <c r="AW5" i="62"/>
  <c r="AU5" i="62"/>
  <c r="AS5" i="62"/>
  <c r="AQ5" i="62"/>
  <c r="AO5" i="62"/>
  <c r="AI5" i="62"/>
  <c r="AF5" i="62"/>
  <c r="Z5" i="62"/>
  <c r="W5" i="62"/>
  <c r="U5" i="62"/>
  <c r="S5" i="62"/>
  <c r="BE4" i="62"/>
  <c r="BC4" i="62"/>
  <c r="BA4" i="62"/>
  <c r="AY4" i="62"/>
  <c r="AW4" i="62"/>
  <c r="AU4" i="62"/>
  <c r="AS4" i="62"/>
  <c r="AQ4" i="62"/>
  <c r="AO4" i="62"/>
  <c r="AI4" i="62"/>
  <c r="AF4" i="62"/>
  <c r="Z4" i="62"/>
  <c r="W4" i="62"/>
  <c r="U4" i="62"/>
  <c r="BK15" i="66" l="1"/>
  <c r="BL15" i="66"/>
  <c r="AF7" i="63"/>
  <c r="AF11" i="63" s="1"/>
  <c r="AF13" i="63" s="1"/>
  <c r="BA7" i="63"/>
  <c r="W10" i="63"/>
  <c r="AW10" i="63"/>
  <c r="BG9" i="63"/>
  <c r="AC6" i="63"/>
  <c r="AE19" i="63"/>
  <c r="AE24" i="63"/>
  <c r="S7" i="63"/>
  <c r="AS7" i="63"/>
  <c r="U10" i="63"/>
  <c r="U11" i="63" s="1"/>
  <c r="U13" i="63" s="1"/>
  <c r="AQ10" i="63"/>
  <c r="AE22" i="63"/>
  <c r="AE17" i="63"/>
  <c r="AN18" i="63"/>
  <c r="BG4" i="63"/>
  <c r="AU10" i="63"/>
  <c r="AU11" i="63" s="1"/>
  <c r="AU13" i="63" s="1"/>
  <c r="AB25" i="63"/>
  <c r="AN23" i="63"/>
  <c r="AN21" i="63"/>
  <c r="AO7" i="63"/>
  <c r="AO11" i="63" s="1"/>
  <c r="AO13" i="63" s="1"/>
  <c r="BA10" i="63"/>
  <c r="BA11" i="63" s="1"/>
  <c r="BA13" i="63" s="1"/>
  <c r="AE18" i="63"/>
  <c r="AQ7" i="63"/>
  <c r="AQ11" i="63" s="1"/>
  <c r="AQ13" i="63" s="1"/>
  <c r="BC10" i="63"/>
  <c r="BC11" i="63" s="1"/>
  <c r="BC13" i="63" s="1"/>
  <c r="AE23" i="63"/>
  <c r="S10" i="63"/>
  <c r="AL10" i="63"/>
  <c r="AN16" i="63"/>
  <c r="AW7" i="63"/>
  <c r="AW11" i="63" s="1"/>
  <c r="AW13" i="63" s="1"/>
  <c r="AS10" i="63"/>
  <c r="AS11" i="63" s="1"/>
  <c r="AS13" i="63" s="1"/>
  <c r="AI11" i="63"/>
  <c r="AI13" i="63" s="1"/>
  <c r="Z7" i="63"/>
  <c r="AC5" i="63"/>
  <c r="AC7" i="63" s="1"/>
  <c r="AY7" i="63"/>
  <c r="AY11" i="63" s="1"/>
  <c r="AY13" i="63" s="1"/>
  <c r="AH25" i="63"/>
  <c r="AE20" i="63"/>
  <c r="AE21" i="63"/>
  <c r="BE11" i="63"/>
  <c r="BE13" i="63" s="1"/>
  <c r="AN22" i="63"/>
  <c r="AM25" i="63"/>
  <c r="AC10" i="63"/>
  <c r="Y25" i="63"/>
  <c r="AN15" i="63"/>
  <c r="AL5" i="63"/>
  <c r="BH9" i="63"/>
  <c r="BG25" i="63"/>
  <c r="AN20" i="63"/>
  <c r="AK25" i="63"/>
  <c r="BH4" i="63"/>
  <c r="BG5" i="63"/>
  <c r="BH6" i="63"/>
  <c r="AL25" i="63"/>
  <c r="AN24" i="63"/>
  <c r="BG10" i="63"/>
  <c r="Z11" i="63"/>
  <c r="Z13" i="63" s="1"/>
  <c r="AE15" i="63"/>
  <c r="AD25" i="63"/>
  <c r="BH5" i="63"/>
  <c r="AL6" i="63"/>
  <c r="BG8" i="63"/>
  <c r="BH8" i="63"/>
  <c r="AC25" i="63"/>
  <c r="W7" i="63"/>
  <c r="W11" i="63" s="1"/>
  <c r="AN19" i="63"/>
  <c r="BA10" i="62"/>
  <c r="AN27" i="62"/>
  <c r="AE29" i="62"/>
  <c r="BG9" i="62"/>
  <c r="AE15" i="62"/>
  <c r="AE20" i="62"/>
  <c r="AE30" i="62"/>
  <c r="AN29" i="62"/>
  <c r="S10" i="62"/>
  <c r="AO10" i="62"/>
  <c r="BE10" i="62"/>
  <c r="AE17" i="62"/>
  <c r="S7" i="62"/>
  <c r="AN28" i="62"/>
  <c r="AW7" i="62"/>
  <c r="AN32" i="62"/>
  <c r="AE27" i="62"/>
  <c r="AN25" i="62"/>
  <c r="AF7" i="62"/>
  <c r="BA7" i="62"/>
  <c r="AE24" i="62"/>
  <c r="U7" i="62"/>
  <c r="AU7" i="62"/>
  <c r="AU11" i="62" s="1"/>
  <c r="AU13" i="62" s="1"/>
  <c r="Z10" i="62"/>
  <c r="AU10" i="62"/>
  <c r="AN24" i="62"/>
  <c r="AE25" i="62"/>
  <c r="Z7" i="62"/>
  <c r="Z11" i="62" s="1"/>
  <c r="Z13" i="62" s="1"/>
  <c r="AY7" i="62"/>
  <c r="AF10" i="62"/>
  <c r="AY10" i="62"/>
  <c r="AY11" i="62" s="1"/>
  <c r="AY13" i="62" s="1"/>
  <c r="AC10" i="62"/>
  <c r="AE26" i="62"/>
  <c r="AN15" i="62"/>
  <c r="AN20" i="62"/>
  <c r="AN30" i="62"/>
  <c r="BC10" i="62"/>
  <c r="AN17" i="62"/>
  <c r="AE16" i="62"/>
  <c r="AN34" i="62"/>
  <c r="AE28" i="62"/>
  <c r="AQ7" i="62"/>
  <c r="AN22" i="62"/>
  <c r="AN26" i="62"/>
  <c r="AO7" i="62"/>
  <c r="BE7" i="62"/>
  <c r="BC11" i="62"/>
  <c r="BC13" i="62" s="1"/>
  <c r="Y35" i="62"/>
  <c r="AM35" i="62"/>
  <c r="AN23" i="62"/>
  <c r="AE31" i="62"/>
  <c r="AS7" i="62"/>
  <c r="S11" i="62"/>
  <c r="AL10" i="62"/>
  <c r="AB35" i="62"/>
  <c r="BG35" i="62"/>
  <c r="AE18" i="62"/>
  <c r="AN19" i="62"/>
  <c r="AN33" i="62"/>
  <c r="AL6" i="62"/>
  <c r="AK35" i="62"/>
  <c r="AD35" i="62"/>
  <c r="BG6" i="62"/>
  <c r="BH8" i="62"/>
  <c r="AS10" i="62"/>
  <c r="U10" i="62"/>
  <c r="U11" i="62" s="1"/>
  <c r="U13" i="62" s="1"/>
  <c r="AQ10" i="62"/>
  <c r="AQ11" i="62" s="1"/>
  <c r="AQ13" i="62" s="1"/>
  <c r="AE21" i="62"/>
  <c r="AE23" i="62"/>
  <c r="AN16" i="62"/>
  <c r="AE32" i="62"/>
  <c r="BH5" i="62"/>
  <c r="BH9" i="62"/>
  <c r="AC5" i="62"/>
  <c r="AI7" i="62"/>
  <c r="AI11" i="62" s="1"/>
  <c r="AI13" i="62" s="1"/>
  <c r="AE34" i="62"/>
  <c r="BH4" i="62"/>
  <c r="AW10" i="62"/>
  <c r="AN18" i="62"/>
  <c r="AH35" i="62"/>
  <c r="AE19" i="62"/>
  <c r="AE33" i="62"/>
  <c r="AS11" i="62"/>
  <c r="AS13" i="62" s="1"/>
  <c r="BA11" i="62"/>
  <c r="BA13" i="62" s="1"/>
  <c r="BH6" i="62"/>
  <c r="BG4" i="62"/>
  <c r="AN21" i="62"/>
  <c r="AL5" i="62"/>
  <c r="AC6" i="62"/>
  <c r="AE22" i="62"/>
  <c r="BG5" i="62"/>
  <c r="W10" i="62"/>
  <c r="AL35" i="62"/>
  <c r="BG8" i="62"/>
  <c r="W7" i="62"/>
  <c r="AC35" i="62"/>
  <c r="S11" i="63" l="1"/>
  <c r="BH10" i="63"/>
  <c r="AC11" i="63"/>
  <c r="AC13" i="63" s="1"/>
  <c r="AN25" i="63"/>
  <c r="AE25" i="63"/>
  <c r="AL7" i="63"/>
  <c r="AL11" i="63" s="1"/>
  <c r="AL13" i="63" s="1"/>
  <c r="BH11" i="63"/>
  <c r="BH13" i="63" s="1"/>
  <c r="W13" i="63"/>
  <c r="BG11" i="63"/>
  <c r="BG13" i="63" s="1"/>
  <c r="BH7" i="63"/>
  <c r="BG7" i="63"/>
  <c r="AC7" i="62"/>
  <c r="AC11" i="62" s="1"/>
  <c r="AC13" i="62" s="1"/>
  <c r="AF11" i="62"/>
  <c r="AF13" i="62" s="1"/>
  <c r="BE11" i="62"/>
  <c r="BE13" i="62" s="1"/>
  <c r="AO11" i="62"/>
  <c r="AO13" i="62" s="1"/>
  <c r="AW11" i="62"/>
  <c r="AW13" i="62" s="1"/>
  <c r="AE35" i="62"/>
  <c r="AL7" i="62"/>
  <c r="AL11" i="62" s="1"/>
  <c r="AL13" i="62" s="1"/>
  <c r="AN35" i="62"/>
  <c r="W11" i="62"/>
  <c r="BG10" i="62"/>
  <c r="BH10" i="62"/>
  <c r="BH7" i="62"/>
  <c r="BG7" i="62"/>
  <c r="BM14" i="60"/>
  <c r="BN14" i="60"/>
  <c r="BH154" i="61"/>
  <c r="BG154" i="61"/>
  <c r="BF154" i="61"/>
  <c r="BE154" i="61"/>
  <c r="BD154" i="61"/>
  <c r="BC154" i="61"/>
  <c r="BB154" i="61"/>
  <c r="BA154" i="61"/>
  <c r="AZ154" i="61"/>
  <c r="AY154" i="61"/>
  <c r="AX154" i="61"/>
  <c r="AW154" i="61"/>
  <c r="AV154" i="61"/>
  <c r="AU154" i="61"/>
  <c r="AT154" i="61"/>
  <c r="AS154" i="61"/>
  <c r="AR154" i="61"/>
  <c r="AQ154" i="61"/>
  <c r="AP154" i="61"/>
  <c r="AO154" i="61"/>
  <c r="AN154" i="61"/>
  <c r="AM154" i="61"/>
  <c r="AL154" i="61"/>
  <c r="AK154" i="61"/>
  <c r="AJ154" i="61"/>
  <c r="AI154" i="61"/>
  <c r="J154" i="61"/>
  <c r="BI153" i="61"/>
  <c r="AC153" i="61"/>
  <c r="AB153" i="61"/>
  <c r="AA153" i="61"/>
  <c r="Z153" i="61"/>
  <c r="V153" i="61"/>
  <c r="U153" i="61"/>
  <c r="T153" i="61"/>
  <c r="S153" i="61"/>
  <c r="R153" i="61"/>
  <c r="BI152" i="61"/>
  <c r="AC152" i="61"/>
  <c r="AB152" i="61"/>
  <c r="AA152" i="61"/>
  <c r="Z152" i="61"/>
  <c r="V152" i="61"/>
  <c r="U152" i="61"/>
  <c r="T152" i="61"/>
  <c r="S152" i="61"/>
  <c r="R152" i="61"/>
  <c r="BI151" i="61"/>
  <c r="AC151" i="61"/>
  <c r="AB151" i="61"/>
  <c r="AA151" i="61"/>
  <c r="Z151" i="61"/>
  <c r="V151" i="61"/>
  <c r="U151" i="61"/>
  <c r="T151" i="61"/>
  <c r="S151" i="61"/>
  <c r="R151" i="61"/>
  <c r="BI150" i="61"/>
  <c r="AC150" i="61"/>
  <c r="AB150" i="61"/>
  <c r="AA150" i="61"/>
  <c r="Z150" i="61"/>
  <c r="V150" i="61"/>
  <c r="U150" i="61"/>
  <c r="T150" i="61"/>
  <c r="S150" i="61"/>
  <c r="R150" i="61"/>
  <c r="BI149" i="61"/>
  <c r="AC149" i="61"/>
  <c r="AB149" i="61"/>
  <c r="AA149" i="61"/>
  <c r="Z149" i="61"/>
  <c r="V149" i="61"/>
  <c r="U149" i="61"/>
  <c r="T149" i="61"/>
  <c r="S149" i="61"/>
  <c r="R149" i="61"/>
  <c r="BI148" i="61"/>
  <c r="AB148" i="61"/>
  <c r="AA148" i="61"/>
  <c r="Z148" i="61"/>
  <c r="V148" i="61"/>
  <c r="U148" i="61"/>
  <c r="T148" i="61"/>
  <c r="S148" i="61"/>
  <c r="R148" i="61"/>
  <c r="BI147" i="61"/>
  <c r="AB147" i="61"/>
  <c r="AA147" i="61"/>
  <c r="Z147" i="61"/>
  <c r="V147" i="61"/>
  <c r="U147" i="61"/>
  <c r="T147" i="61"/>
  <c r="S147" i="61"/>
  <c r="R147" i="61"/>
  <c r="BI146" i="61"/>
  <c r="AC146" i="61"/>
  <c r="AB146" i="61"/>
  <c r="AA146" i="61"/>
  <c r="Z146" i="61"/>
  <c r="V146" i="61"/>
  <c r="U146" i="61"/>
  <c r="T146" i="61"/>
  <c r="S146" i="61"/>
  <c r="R146" i="61"/>
  <c r="BI145" i="61"/>
  <c r="AC145" i="61"/>
  <c r="AB145" i="61"/>
  <c r="AA145" i="61"/>
  <c r="Z145" i="61"/>
  <c r="V145" i="61"/>
  <c r="U145" i="61"/>
  <c r="T145" i="61"/>
  <c r="S145" i="61"/>
  <c r="R145" i="61"/>
  <c r="BI144" i="61"/>
  <c r="AC144" i="61"/>
  <c r="AB144" i="61"/>
  <c r="AA144" i="61"/>
  <c r="Z144" i="61"/>
  <c r="V144" i="61"/>
  <c r="U144" i="61"/>
  <c r="T144" i="61"/>
  <c r="S144" i="61"/>
  <c r="R144" i="61"/>
  <c r="BI143" i="61"/>
  <c r="AC143" i="61"/>
  <c r="AB143" i="61"/>
  <c r="AA143" i="61"/>
  <c r="Z143" i="61"/>
  <c r="V143" i="61"/>
  <c r="U143" i="61"/>
  <c r="T143" i="61"/>
  <c r="S143" i="61"/>
  <c r="R143" i="61"/>
  <c r="BI142" i="61"/>
  <c r="AC142" i="61"/>
  <c r="AB142" i="61"/>
  <c r="AA142" i="61"/>
  <c r="Z142" i="61"/>
  <c r="V142" i="61"/>
  <c r="U142" i="61"/>
  <c r="T142" i="61"/>
  <c r="S142" i="61"/>
  <c r="R142" i="61"/>
  <c r="BI141" i="61"/>
  <c r="AC141" i="61"/>
  <c r="AB141" i="61"/>
  <c r="AA141" i="61"/>
  <c r="Z141" i="61"/>
  <c r="V141" i="61"/>
  <c r="U141" i="61"/>
  <c r="T141" i="61"/>
  <c r="S141" i="61"/>
  <c r="R141" i="61"/>
  <c r="BI140" i="61"/>
  <c r="AB140" i="61"/>
  <c r="AA140" i="61"/>
  <c r="Z140" i="61"/>
  <c r="V140" i="61"/>
  <c r="U140" i="61"/>
  <c r="T140" i="61"/>
  <c r="S140" i="61"/>
  <c r="R140" i="61"/>
  <c r="BI139" i="61"/>
  <c r="AC139" i="61"/>
  <c r="AB139" i="61"/>
  <c r="AA139" i="61"/>
  <c r="Z139" i="61"/>
  <c r="V139" i="61"/>
  <c r="U139" i="61"/>
  <c r="T139" i="61"/>
  <c r="S139" i="61"/>
  <c r="R139" i="61"/>
  <c r="BI138" i="61"/>
  <c r="AB138" i="61"/>
  <c r="AA138" i="61"/>
  <c r="Z138" i="61"/>
  <c r="V138" i="61"/>
  <c r="U138" i="61"/>
  <c r="T138" i="61"/>
  <c r="S138" i="61"/>
  <c r="R138" i="61"/>
  <c r="BI137" i="61"/>
  <c r="AB137" i="61"/>
  <c r="AA137" i="61"/>
  <c r="Z137" i="61"/>
  <c r="V137" i="61"/>
  <c r="U137" i="61"/>
  <c r="T137" i="61"/>
  <c r="S137" i="61"/>
  <c r="R137" i="61"/>
  <c r="BI136" i="61"/>
  <c r="AB136" i="61"/>
  <c r="AA136" i="61"/>
  <c r="Z136" i="61"/>
  <c r="V136" i="61"/>
  <c r="U136" i="61"/>
  <c r="T136" i="61"/>
  <c r="S136" i="61"/>
  <c r="R136" i="61"/>
  <c r="BI135" i="61"/>
  <c r="AC135" i="61"/>
  <c r="AB135" i="61"/>
  <c r="AA135" i="61"/>
  <c r="Z135" i="61"/>
  <c r="V135" i="61"/>
  <c r="U135" i="61"/>
  <c r="T135" i="61"/>
  <c r="S135" i="61"/>
  <c r="R135" i="61"/>
  <c r="BI134" i="61"/>
  <c r="AB134" i="61"/>
  <c r="AA134" i="61"/>
  <c r="Z134" i="61"/>
  <c r="V134" i="61"/>
  <c r="U134" i="61"/>
  <c r="T134" i="61"/>
  <c r="S134" i="61"/>
  <c r="R134" i="61"/>
  <c r="BI133" i="61"/>
  <c r="AB133" i="61"/>
  <c r="AA133" i="61"/>
  <c r="Z133" i="61"/>
  <c r="V133" i="61"/>
  <c r="U133" i="61"/>
  <c r="T133" i="61"/>
  <c r="S133" i="61"/>
  <c r="R133" i="61"/>
  <c r="BI132" i="61"/>
  <c r="AB132" i="61"/>
  <c r="AA132" i="61"/>
  <c r="Z132" i="61"/>
  <c r="V132" i="61"/>
  <c r="U132" i="61"/>
  <c r="T132" i="61"/>
  <c r="S132" i="61"/>
  <c r="R132" i="61"/>
  <c r="BI131" i="61"/>
  <c r="AB131" i="61"/>
  <c r="AA131" i="61"/>
  <c r="Z131" i="61"/>
  <c r="V131" i="61"/>
  <c r="U131" i="61"/>
  <c r="T131" i="61"/>
  <c r="S131" i="61"/>
  <c r="R131" i="61"/>
  <c r="BI130" i="61"/>
  <c r="AB130" i="61"/>
  <c r="AA130" i="61"/>
  <c r="Z130" i="61"/>
  <c r="V130" i="61"/>
  <c r="U130" i="61"/>
  <c r="T130" i="61"/>
  <c r="S130" i="61"/>
  <c r="R130" i="61"/>
  <c r="BI129" i="61"/>
  <c r="AB129" i="61"/>
  <c r="AA129" i="61"/>
  <c r="Z129" i="61"/>
  <c r="V129" i="61"/>
  <c r="U129" i="61"/>
  <c r="T129" i="61"/>
  <c r="S129" i="61"/>
  <c r="R129" i="61"/>
  <c r="BI128" i="61"/>
  <c r="AC128" i="61"/>
  <c r="AB128" i="61"/>
  <c r="AA128" i="61"/>
  <c r="Z128" i="61"/>
  <c r="V128" i="61"/>
  <c r="U128" i="61"/>
  <c r="T128" i="61"/>
  <c r="S128" i="61"/>
  <c r="R128" i="61"/>
  <c r="BI127" i="61"/>
  <c r="AB127" i="61"/>
  <c r="AA127" i="61"/>
  <c r="Z127" i="61"/>
  <c r="V127" i="61"/>
  <c r="U127" i="61"/>
  <c r="T127" i="61"/>
  <c r="S127" i="61"/>
  <c r="R127" i="61"/>
  <c r="BI126" i="61"/>
  <c r="AB126" i="61"/>
  <c r="AA126" i="61"/>
  <c r="Z126" i="61"/>
  <c r="V126" i="61"/>
  <c r="U126" i="61"/>
  <c r="T126" i="61"/>
  <c r="S126" i="61"/>
  <c r="R126" i="61"/>
  <c r="BI125" i="61"/>
  <c r="AB125" i="61"/>
  <c r="AA125" i="61"/>
  <c r="Z125" i="61"/>
  <c r="V125" i="61"/>
  <c r="U125" i="61"/>
  <c r="T125" i="61"/>
  <c r="S125" i="61"/>
  <c r="R125" i="61"/>
  <c r="BI124" i="61"/>
  <c r="AB124" i="61"/>
  <c r="AA124" i="61"/>
  <c r="Z124" i="61"/>
  <c r="V124" i="61"/>
  <c r="U124" i="61"/>
  <c r="T124" i="61"/>
  <c r="S124" i="61"/>
  <c r="R124" i="61"/>
  <c r="BI123" i="61"/>
  <c r="AB123" i="61"/>
  <c r="AA123" i="61"/>
  <c r="Z123" i="61"/>
  <c r="V123" i="61"/>
  <c r="U123" i="61"/>
  <c r="T123" i="61"/>
  <c r="S123" i="61"/>
  <c r="R123" i="61"/>
  <c r="BI122" i="61"/>
  <c r="AB122" i="61"/>
  <c r="AA122" i="61"/>
  <c r="Z122" i="61"/>
  <c r="V122" i="61"/>
  <c r="U122" i="61"/>
  <c r="T122" i="61"/>
  <c r="S122" i="61"/>
  <c r="R122" i="61"/>
  <c r="BI121" i="61"/>
  <c r="AB121" i="61"/>
  <c r="AA121" i="61"/>
  <c r="Z121" i="61"/>
  <c r="V121" i="61"/>
  <c r="U121" i="61"/>
  <c r="T121" i="61"/>
  <c r="S121" i="61"/>
  <c r="R121" i="61"/>
  <c r="BI120" i="61"/>
  <c r="AB120" i="61"/>
  <c r="AA120" i="61"/>
  <c r="Z120" i="61"/>
  <c r="V120" i="61"/>
  <c r="U120" i="61"/>
  <c r="T120" i="61"/>
  <c r="S120" i="61"/>
  <c r="R120" i="61"/>
  <c r="BI119" i="61"/>
  <c r="AB119" i="61"/>
  <c r="AA119" i="61"/>
  <c r="Z119" i="61"/>
  <c r="V119" i="61"/>
  <c r="U119" i="61"/>
  <c r="T119" i="61"/>
  <c r="S119" i="61"/>
  <c r="R119" i="61"/>
  <c r="BI118" i="61"/>
  <c r="AB118" i="61"/>
  <c r="AA118" i="61"/>
  <c r="Z118" i="61"/>
  <c r="V118" i="61"/>
  <c r="U118" i="61"/>
  <c r="T118" i="61"/>
  <c r="S118" i="61"/>
  <c r="R118" i="61"/>
  <c r="BI117" i="61"/>
  <c r="AB117" i="61"/>
  <c r="AA117" i="61"/>
  <c r="Z117" i="61"/>
  <c r="V117" i="61"/>
  <c r="U117" i="61"/>
  <c r="T117" i="61"/>
  <c r="S117" i="61"/>
  <c r="R117" i="61"/>
  <c r="BI116" i="61"/>
  <c r="AB116" i="61"/>
  <c r="AA116" i="61"/>
  <c r="Z116" i="61"/>
  <c r="V116" i="61"/>
  <c r="U116" i="61"/>
  <c r="T116" i="61"/>
  <c r="S116" i="61"/>
  <c r="R116" i="61"/>
  <c r="BI115" i="61"/>
  <c r="AB115" i="61"/>
  <c r="AA115" i="61"/>
  <c r="Z115" i="61"/>
  <c r="V115" i="61"/>
  <c r="U115" i="61"/>
  <c r="T115" i="61"/>
  <c r="S115" i="61"/>
  <c r="R115" i="61"/>
  <c r="BI78" i="61"/>
  <c r="AB78" i="61"/>
  <c r="AA78" i="61"/>
  <c r="Z78" i="61"/>
  <c r="V78" i="61"/>
  <c r="U78" i="61"/>
  <c r="T78" i="61"/>
  <c r="S78" i="61"/>
  <c r="R78" i="61"/>
  <c r="BI113" i="61"/>
  <c r="AB113" i="61"/>
  <c r="AA113" i="61"/>
  <c r="Z113" i="61"/>
  <c r="V113" i="61"/>
  <c r="U113" i="61"/>
  <c r="T113" i="61"/>
  <c r="S113" i="61"/>
  <c r="R113" i="61"/>
  <c r="BI112" i="61"/>
  <c r="AB112" i="61"/>
  <c r="AA112" i="61"/>
  <c r="Z112" i="61"/>
  <c r="V112" i="61"/>
  <c r="U112" i="61"/>
  <c r="T112" i="61"/>
  <c r="S112" i="61"/>
  <c r="R112" i="61"/>
  <c r="BI111" i="61"/>
  <c r="AB111" i="61"/>
  <c r="AA111" i="61"/>
  <c r="Z111" i="61"/>
  <c r="V111" i="61"/>
  <c r="U111" i="61"/>
  <c r="T111" i="61"/>
  <c r="S111" i="61"/>
  <c r="R111" i="61"/>
  <c r="BI110" i="61"/>
  <c r="AB110" i="61"/>
  <c r="AA110" i="61"/>
  <c r="Z110" i="61"/>
  <c r="V110" i="61"/>
  <c r="U110" i="61"/>
  <c r="T110" i="61"/>
  <c r="S110" i="61"/>
  <c r="R110" i="61"/>
  <c r="BI109" i="61"/>
  <c r="AB109" i="61"/>
  <c r="AA109" i="61"/>
  <c r="Z109" i="61"/>
  <c r="V109" i="61"/>
  <c r="U109" i="61"/>
  <c r="T109" i="61"/>
  <c r="S109" i="61"/>
  <c r="R109" i="61"/>
  <c r="BI108" i="61"/>
  <c r="AB108" i="61"/>
  <c r="AA108" i="61"/>
  <c r="Z108" i="61"/>
  <c r="V108" i="61"/>
  <c r="U108" i="61"/>
  <c r="T108" i="61"/>
  <c r="S108" i="61"/>
  <c r="R108" i="61"/>
  <c r="BI74" i="61"/>
  <c r="AB74" i="61"/>
  <c r="AA74" i="61"/>
  <c r="Z74" i="61"/>
  <c r="V74" i="61"/>
  <c r="U74" i="61"/>
  <c r="T74" i="61"/>
  <c r="S74" i="61"/>
  <c r="R74" i="61"/>
  <c r="BI106" i="61"/>
  <c r="AB106" i="61"/>
  <c r="AA106" i="61"/>
  <c r="Z106" i="61"/>
  <c r="V106" i="61"/>
  <c r="U106" i="61"/>
  <c r="T106" i="61"/>
  <c r="S106" i="61"/>
  <c r="R106" i="61"/>
  <c r="BI105" i="61"/>
  <c r="AB105" i="61"/>
  <c r="AA105" i="61"/>
  <c r="Z105" i="61"/>
  <c r="V105" i="61"/>
  <c r="U105" i="61"/>
  <c r="T105" i="61"/>
  <c r="S105" i="61"/>
  <c r="R105" i="61"/>
  <c r="BI104" i="61"/>
  <c r="AB104" i="61"/>
  <c r="AA104" i="61"/>
  <c r="Z104" i="61"/>
  <c r="V104" i="61"/>
  <c r="U104" i="61"/>
  <c r="T104" i="61"/>
  <c r="S104" i="61"/>
  <c r="R104" i="61"/>
  <c r="BI103" i="61"/>
  <c r="AB103" i="61"/>
  <c r="AA103" i="61"/>
  <c r="Z103" i="61"/>
  <c r="V103" i="61"/>
  <c r="U103" i="61"/>
  <c r="T103" i="61"/>
  <c r="S103" i="61"/>
  <c r="R103" i="61"/>
  <c r="BI102" i="61"/>
  <c r="AB102" i="61"/>
  <c r="AA102" i="61"/>
  <c r="Z102" i="61"/>
  <c r="V102" i="61"/>
  <c r="U102" i="61"/>
  <c r="T102" i="61"/>
  <c r="S102" i="61"/>
  <c r="R102" i="61"/>
  <c r="BI101" i="61"/>
  <c r="AB101" i="61"/>
  <c r="AA101" i="61"/>
  <c r="Z101" i="61"/>
  <c r="V101" i="61"/>
  <c r="U101" i="61"/>
  <c r="T101" i="61"/>
  <c r="S101" i="61"/>
  <c r="R101" i="61"/>
  <c r="BI100" i="61"/>
  <c r="AB100" i="61"/>
  <c r="AA100" i="61"/>
  <c r="Z100" i="61"/>
  <c r="V100" i="61"/>
  <c r="U100" i="61"/>
  <c r="T100" i="61"/>
  <c r="S100" i="61"/>
  <c r="R100" i="61"/>
  <c r="BI99" i="61"/>
  <c r="AB99" i="61"/>
  <c r="AA99" i="61"/>
  <c r="Z99" i="61"/>
  <c r="V99" i="61"/>
  <c r="U99" i="61"/>
  <c r="T99" i="61"/>
  <c r="S99" i="61"/>
  <c r="R99" i="61"/>
  <c r="BI98" i="61"/>
  <c r="AB98" i="61"/>
  <c r="AA98" i="61"/>
  <c r="Z98" i="61"/>
  <c r="V98" i="61"/>
  <c r="U98" i="61"/>
  <c r="T98" i="61"/>
  <c r="S98" i="61"/>
  <c r="R98" i="61"/>
  <c r="BI97" i="61"/>
  <c r="AB97" i="61"/>
  <c r="AA97" i="61"/>
  <c r="Z97" i="61"/>
  <c r="V97" i="61"/>
  <c r="U97" i="61"/>
  <c r="T97" i="61"/>
  <c r="S97" i="61"/>
  <c r="R97" i="61"/>
  <c r="BI96" i="61"/>
  <c r="AB96" i="61"/>
  <c r="AA96" i="61"/>
  <c r="Z96" i="61"/>
  <c r="V96" i="61"/>
  <c r="U96" i="61"/>
  <c r="T96" i="61"/>
  <c r="S96" i="61"/>
  <c r="R96" i="61"/>
  <c r="BI95" i="61"/>
  <c r="AB95" i="61"/>
  <c r="AA95" i="61"/>
  <c r="Z95" i="61"/>
  <c r="V95" i="61"/>
  <c r="U95" i="61"/>
  <c r="T95" i="61"/>
  <c r="S95" i="61"/>
  <c r="R95" i="61"/>
  <c r="BI94" i="61"/>
  <c r="AB94" i="61"/>
  <c r="AA94" i="61"/>
  <c r="Z94" i="61"/>
  <c r="V94" i="61"/>
  <c r="U94" i="61"/>
  <c r="T94" i="61"/>
  <c r="S94" i="61"/>
  <c r="R94" i="61"/>
  <c r="BI93" i="61"/>
  <c r="AB93" i="61"/>
  <c r="AA93" i="61"/>
  <c r="Z93" i="61"/>
  <c r="V93" i="61"/>
  <c r="U93" i="61"/>
  <c r="T93" i="61"/>
  <c r="S93" i="61"/>
  <c r="R93" i="61"/>
  <c r="BI66" i="61"/>
  <c r="AB66" i="61"/>
  <c r="AA66" i="61"/>
  <c r="Z66" i="61"/>
  <c r="V66" i="61"/>
  <c r="U66" i="61"/>
  <c r="T66" i="61"/>
  <c r="S66" i="61"/>
  <c r="R66" i="61"/>
  <c r="BI91" i="61"/>
  <c r="AB91" i="61"/>
  <c r="AA91" i="61"/>
  <c r="Z91" i="61"/>
  <c r="V91" i="61"/>
  <c r="U91" i="61"/>
  <c r="T91" i="61"/>
  <c r="S91" i="61"/>
  <c r="R91" i="61"/>
  <c r="BI90" i="61"/>
  <c r="AB90" i="61"/>
  <c r="AA90" i="61"/>
  <c r="Z90" i="61"/>
  <c r="V90" i="61"/>
  <c r="U90" i="61"/>
  <c r="T90" i="61"/>
  <c r="S90" i="61"/>
  <c r="R90" i="61"/>
  <c r="BI89" i="61"/>
  <c r="AB89" i="61"/>
  <c r="AA89" i="61"/>
  <c r="Z89" i="61"/>
  <c r="V89" i="61"/>
  <c r="U89" i="61"/>
  <c r="T89" i="61"/>
  <c r="S89" i="61"/>
  <c r="R89" i="61"/>
  <c r="BI88" i="61"/>
  <c r="AB88" i="61"/>
  <c r="AA88" i="61"/>
  <c r="Z88" i="61"/>
  <c r="V88" i="61"/>
  <c r="U88" i="61"/>
  <c r="T88" i="61"/>
  <c r="S88" i="61"/>
  <c r="R88" i="61"/>
  <c r="BI87" i="61"/>
  <c r="AB87" i="61"/>
  <c r="AA87" i="61"/>
  <c r="Z87" i="61"/>
  <c r="V87" i="61"/>
  <c r="U87" i="61"/>
  <c r="T87" i="61"/>
  <c r="S87" i="61"/>
  <c r="R87" i="61"/>
  <c r="BI86" i="61"/>
  <c r="AB86" i="61"/>
  <c r="AA86" i="61"/>
  <c r="Z86" i="61"/>
  <c r="V86" i="61"/>
  <c r="U86" i="61"/>
  <c r="T86" i="61"/>
  <c r="S86" i="61"/>
  <c r="R86" i="61"/>
  <c r="BI61" i="61"/>
  <c r="AB61" i="61"/>
  <c r="AA61" i="61"/>
  <c r="Z61" i="61"/>
  <c r="V61" i="61"/>
  <c r="U61" i="61"/>
  <c r="T61" i="61"/>
  <c r="S61" i="61"/>
  <c r="R61" i="61"/>
  <c r="BI84" i="61"/>
  <c r="AB84" i="61"/>
  <c r="AA84" i="61"/>
  <c r="Z84" i="61"/>
  <c r="V84" i="61"/>
  <c r="U84" i="61"/>
  <c r="T84" i="61"/>
  <c r="S84" i="61"/>
  <c r="R84" i="61"/>
  <c r="BI83" i="61"/>
  <c r="AB83" i="61"/>
  <c r="AA83" i="61"/>
  <c r="Z83" i="61"/>
  <c r="V83" i="61"/>
  <c r="U83" i="61"/>
  <c r="T83" i="61"/>
  <c r="S83" i="61"/>
  <c r="R83" i="61"/>
  <c r="BI82" i="61"/>
  <c r="AB82" i="61"/>
  <c r="AA82" i="61"/>
  <c r="Z82" i="61"/>
  <c r="V82" i="61"/>
  <c r="U82" i="61"/>
  <c r="T82" i="61"/>
  <c r="S82" i="61"/>
  <c r="R82" i="61"/>
  <c r="BI81" i="61"/>
  <c r="AB81" i="61"/>
  <c r="AA81" i="61"/>
  <c r="Z81" i="61"/>
  <c r="V81" i="61"/>
  <c r="U81" i="61"/>
  <c r="T81" i="61"/>
  <c r="S81" i="61"/>
  <c r="R81" i="61"/>
  <c r="BI80" i="61"/>
  <c r="AB80" i="61"/>
  <c r="AA80" i="61"/>
  <c r="Z80" i="61"/>
  <c r="V80" i="61"/>
  <c r="U80" i="61"/>
  <c r="T80" i="61"/>
  <c r="S80" i="61"/>
  <c r="R80" i="61"/>
  <c r="BI79" i="61"/>
  <c r="AB79" i="61"/>
  <c r="AA79" i="61"/>
  <c r="Z79" i="61"/>
  <c r="V79" i="61"/>
  <c r="U79" i="61"/>
  <c r="T79" i="61"/>
  <c r="S79" i="61"/>
  <c r="R79" i="61"/>
  <c r="BI41" i="61"/>
  <c r="AB41" i="61"/>
  <c r="AA41" i="61"/>
  <c r="Z41" i="61"/>
  <c r="V41" i="61"/>
  <c r="U41" i="61"/>
  <c r="T41" i="61"/>
  <c r="S41" i="61"/>
  <c r="R41" i="61"/>
  <c r="BI40" i="61"/>
  <c r="AB40" i="61"/>
  <c r="AA40" i="61"/>
  <c r="Z40" i="61"/>
  <c r="V40" i="61"/>
  <c r="U40" i="61"/>
  <c r="T40" i="61"/>
  <c r="S40" i="61"/>
  <c r="R40" i="61"/>
  <c r="BI76" i="61"/>
  <c r="AB76" i="61"/>
  <c r="AA76" i="61"/>
  <c r="Z76" i="61"/>
  <c r="V76" i="61"/>
  <c r="U76" i="61"/>
  <c r="T76" i="61"/>
  <c r="S76" i="61"/>
  <c r="R76" i="61"/>
  <c r="BI75" i="61"/>
  <c r="AB75" i="61"/>
  <c r="AA75" i="61"/>
  <c r="Z75" i="61"/>
  <c r="V75" i="61"/>
  <c r="U75" i="61"/>
  <c r="T75" i="61"/>
  <c r="S75" i="61"/>
  <c r="R75" i="61"/>
  <c r="BI39" i="61"/>
  <c r="AB39" i="61"/>
  <c r="AA39" i="61"/>
  <c r="Z39" i="61"/>
  <c r="V39" i="61"/>
  <c r="U39" i="61"/>
  <c r="T39" i="61"/>
  <c r="S39" i="61"/>
  <c r="R39" i="61"/>
  <c r="BI73" i="61"/>
  <c r="AB73" i="61"/>
  <c r="AA73" i="61"/>
  <c r="Z73" i="61"/>
  <c r="V73" i="61"/>
  <c r="U73" i="61"/>
  <c r="T73" i="61"/>
  <c r="S73" i="61"/>
  <c r="R73" i="61"/>
  <c r="BI72" i="61"/>
  <c r="AB72" i="61"/>
  <c r="AA72" i="61"/>
  <c r="Z72" i="61"/>
  <c r="V72" i="61"/>
  <c r="U72" i="61"/>
  <c r="T72" i="61"/>
  <c r="S72" i="61"/>
  <c r="R72" i="61"/>
  <c r="BI71" i="61"/>
  <c r="AB71" i="61"/>
  <c r="AA71" i="61"/>
  <c r="Z71" i="61"/>
  <c r="V71" i="61"/>
  <c r="U71" i="61"/>
  <c r="T71" i="61"/>
  <c r="S71" i="61"/>
  <c r="R71" i="61"/>
  <c r="BI38" i="61"/>
  <c r="AB38" i="61"/>
  <c r="AA38" i="61"/>
  <c r="Z38" i="61"/>
  <c r="V38" i="61"/>
  <c r="U38" i="61"/>
  <c r="T38" i="61"/>
  <c r="S38" i="61"/>
  <c r="R38" i="61"/>
  <c r="BI69" i="61"/>
  <c r="AB69" i="61"/>
  <c r="AA69" i="61"/>
  <c r="Z69" i="61"/>
  <c r="V69" i="61"/>
  <c r="U69" i="61"/>
  <c r="T69" i="61"/>
  <c r="S69" i="61"/>
  <c r="R69" i="61"/>
  <c r="BI68" i="61"/>
  <c r="AB68" i="61"/>
  <c r="AA68" i="61"/>
  <c r="Z68" i="61"/>
  <c r="V68" i="61"/>
  <c r="U68" i="61"/>
  <c r="T68" i="61"/>
  <c r="S68" i="61"/>
  <c r="R68" i="61"/>
  <c r="BI67" i="61"/>
  <c r="AB67" i="61"/>
  <c r="AA67" i="61"/>
  <c r="Z67" i="61"/>
  <c r="V67" i="61"/>
  <c r="U67" i="61"/>
  <c r="T67" i="61"/>
  <c r="S67" i="61"/>
  <c r="R67" i="61"/>
  <c r="BI37" i="61"/>
  <c r="AB37" i="61"/>
  <c r="AA37" i="61"/>
  <c r="Z37" i="61"/>
  <c r="V37" i="61"/>
  <c r="U37" i="61"/>
  <c r="T37" i="61"/>
  <c r="S37" i="61"/>
  <c r="R37" i="61"/>
  <c r="BI65" i="61"/>
  <c r="AB65" i="61"/>
  <c r="AA65" i="61"/>
  <c r="Z65" i="61"/>
  <c r="V65" i="61"/>
  <c r="U65" i="61"/>
  <c r="T65" i="61"/>
  <c r="S65" i="61"/>
  <c r="R65" i="61"/>
  <c r="BI64" i="61"/>
  <c r="AB64" i="61"/>
  <c r="AA64" i="61"/>
  <c r="Z64" i="61"/>
  <c r="V64" i="61"/>
  <c r="U64" i="61"/>
  <c r="T64" i="61"/>
  <c r="S64" i="61"/>
  <c r="R64" i="61"/>
  <c r="BI26" i="61"/>
  <c r="AB26" i="61"/>
  <c r="AA26" i="61"/>
  <c r="Z26" i="61"/>
  <c r="V26" i="61"/>
  <c r="U26" i="61"/>
  <c r="T26" i="61"/>
  <c r="S26" i="61"/>
  <c r="R26" i="61"/>
  <c r="BI31" i="61"/>
  <c r="AB31" i="61"/>
  <c r="AA31" i="61"/>
  <c r="Z31" i="61"/>
  <c r="V31" i="61"/>
  <c r="U31" i="61"/>
  <c r="T31" i="61"/>
  <c r="S31" i="61"/>
  <c r="R31" i="61"/>
  <c r="BI32" i="61"/>
  <c r="AB32" i="61"/>
  <c r="AA32" i="61"/>
  <c r="Z32" i="61"/>
  <c r="V32" i="61"/>
  <c r="U32" i="61"/>
  <c r="T32" i="61"/>
  <c r="S32" i="61"/>
  <c r="R32" i="61"/>
  <c r="BI29" i="61"/>
  <c r="AB29" i="61"/>
  <c r="AA29" i="61"/>
  <c r="Z29" i="61"/>
  <c r="V29" i="61"/>
  <c r="U29" i="61"/>
  <c r="T29" i="61"/>
  <c r="S29" i="61"/>
  <c r="R29" i="61"/>
  <c r="BI34" i="61"/>
  <c r="AB34" i="61"/>
  <c r="AA34" i="61"/>
  <c r="Z34" i="61"/>
  <c r="V34" i="61"/>
  <c r="U34" i="61"/>
  <c r="T34" i="61"/>
  <c r="S34" i="61"/>
  <c r="R34" i="61"/>
  <c r="BI25" i="61"/>
  <c r="AB25" i="61"/>
  <c r="AA25" i="61"/>
  <c r="Z25" i="61"/>
  <c r="V25" i="61"/>
  <c r="U25" i="61"/>
  <c r="T25" i="61"/>
  <c r="S25" i="61"/>
  <c r="R25" i="61"/>
  <c r="BI33" i="61"/>
  <c r="AB33" i="61"/>
  <c r="AA33" i="61"/>
  <c r="Z33" i="61"/>
  <c r="V33" i="61"/>
  <c r="U33" i="61"/>
  <c r="T33" i="61"/>
  <c r="S33" i="61"/>
  <c r="R33" i="61"/>
  <c r="BI21" i="61"/>
  <c r="AB21" i="61"/>
  <c r="AA21" i="61"/>
  <c r="Z21" i="61"/>
  <c r="V21" i="61"/>
  <c r="U21" i="61"/>
  <c r="T21" i="61"/>
  <c r="S21" i="61"/>
  <c r="R21" i="61"/>
  <c r="BI28" i="61"/>
  <c r="AB28" i="61"/>
  <c r="AA28" i="61"/>
  <c r="Z28" i="61"/>
  <c r="V28" i="61"/>
  <c r="U28" i="61"/>
  <c r="T28" i="61"/>
  <c r="S28" i="61"/>
  <c r="R28" i="61"/>
  <c r="BI20" i="61"/>
  <c r="AB20" i="61"/>
  <c r="AA20" i="61"/>
  <c r="Z20" i="61"/>
  <c r="V20" i="61"/>
  <c r="U20" i="61"/>
  <c r="T20" i="61"/>
  <c r="S20" i="61"/>
  <c r="R20" i="61"/>
  <c r="BI27" i="61"/>
  <c r="AB27" i="61"/>
  <c r="AA27" i="61"/>
  <c r="Z27" i="61"/>
  <c r="V27" i="61"/>
  <c r="U27" i="61"/>
  <c r="T27" i="61"/>
  <c r="S27" i="61"/>
  <c r="R27" i="61"/>
  <c r="BI22" i="61"/>
  <c r="AB22" i="61"/>
  <c r="AA22" i="61"/>
  <c r="Z22" i="61"/>
  <c r="V22" i="61"/>
  <c r="U22" i="61"/>
  <c r="T22" i="61"/>
  <c r="S22" i="61"/>
  <c r="R22" i="61"/>
  <c r="BI24" i="61"/>
  <c r="AB24" i="61"/>
  <c r="AA24" i="61"/>
  <c r="Z24" i="61"/>
  <c r="V24" i="61"/>
  <c r="U24" i="61"/>
  <c r="T24" i="61"/>
  <c r="S24" i="61"/>
  <c r="R24" i="61"/>
  <c r="BI19" i="61"/>
  <c r="AB19" i="61"/>
  <c r="AA19" i="61"/>
  <c r="Z19" i="61"/>
  <c r="V19" i="61"/>
  <c r="U19" i="61"/>
  <c r="T19" i="61"/>
  <c r="S19" i="61"/>
  <c r="R19" i="61"/>
  <c r="BI23" i="61"/>
  <c r="AB23" i="61"/>
  <c r="AA23" i="61"/>
  <c r="Z23" i="61"/>
  <c r="V23" i="61"/>
  <c r="U23" i="61"/>
  <c r="T23" i="61"/>
  <c r="S23" i="61"/>
  <c r="R23" i="61"/>
  <c r="BI30" i="61"/>
  <c r="AB30" i="61"/>
  <c r="AA30" i="61"/>
  <c r="Z30" i="61"/>
  <c r="V30" i="61"/>
  <c r="U30" i="61"/>
  <c r="T30" i="61"/>
  <c r="S30" i="61"/>
  <c r="R30" i="61"/>
  <c r="BI63" i="61"/>
  <c r="AB63" i="61"/>
  <c r="AA63" i="61"/>
  <c r="Z63" i="61"/>
  <c r="V63" i="61"/>
  <c r="U63" i="61"/>
  <c r="T63" i="61"/>
  <c r="S63" i="61"/>
  <c r="R63" i="61"/>
  <c r="BI62" i="61"/>
  <c r="AC62" i="61"/>
  <c r="AB62" i="61"/>
  <c r="AA62" i="61"/>
  <c r="Z62" i="61"/>
  <c r="V62" i="61"/>
  <c r="U62" i="61"/>
  <c r="T62" i="61"/>
  <c r="S62" i="61"/>
  <c r="R62" i="61"/>
  <c r="BI36" i="61"/>
  <c r="AC36" i="61"/>
  <c r="AB36" i="61"/>
  <c r="AA36" i="61"/>
  <c r="Z36" i="61"/>
  <c r="V36" i="61"/>
  <c r="U36" i="61"/>
  <c r="T36" i="61"/>
  <c r="S36" i="61"/>
  <c r="R36" i="61"/>
  <c r="BI60" i="61"/>
  <c r="AC60" i="61"/>
  <c r="AB60" i="61"/>
  <c r="AA60" i="61"/>
  <c r="Z60" i="61"/>
  <c r="V60" i="61"/>
  <c r="U60" i="61"/>
  <c r="T60" i="61"/>
  <c r="S60" i="61"/>
  <c r="R60" i="61"/>
  <c r="BI59" i="61"/>
  <c r="AC59" i="61"/>
  <c r="AB59" i="61"/>
  <c r="AA59" i="61"/>
  <c r="Z59" i="61"/>
  <c r="V59" i="61"/>
  <c r="U59" i="61"/>
  <c r="T59" i="61"/>
  <c r="S59" i="61"/>
  <c r="R59" i="61"/>
  <c r="BI58" i="61"/>
  <c r="AC58" i="61"/>
  <c r="AB58" i="61"/>
  <c r="AA58" i="61"/>
  <c r="Z58" i="61"/>
  <c r="V58" i="61"/>
  <c r="U58" i="61"/>
  <c r="T58" i="61"/>
  <c r="S58" i="61"/>
  <c r="R58" i="61"/>
  <c r="BI57" i="61"/>
  <c r="AC57" i="61"/>
  <c r="AB57" i="61"/>
  <c r="AA57" i="61"/>
  <c r="Z57" i="61"/>
  <c r="V57" i="61"/>
  <c r="U57" i="61"/>
  <c r="T57" i="61"/>
  <c r="S57" i="61"/>
  <c r="R57" i="61"/>
  <c r="BI56" i="61"/>
  <c r="AC56" i="61"/>
  <c r="AB56" i="61"/>
  <c r="AA56" i="61"/>
  <c r="Z56" i="61"/>
  <c r="V56" i="61"/>
  <c r="U56" i="61"/>
  <c r="T56" i="61"/>
  <c r="S56" i="61"/>
  <c r="R56" i="61"/>
  <c r="BI55" i="61"/>
  <c r="AC55" i="61"/>
  <c r="AB55" i="61"/>
  <c r="AA55" i="61"/>
  <c r="Z55" i="61"/>
  <c r="V55" i="61"/>
  <c r="U55" i="61"/>
  <c r="T55" i="61"/>
  <c r="S55" i="61"/>
  <c r="R55" i="61"/>
  <c r="BI54" i="61"/>
  <c r="AB54" i="61"/>
  <c r="AA54" i="61"/>
  <c r="Z54" i="61"/>
  <c r="V54" i="61"/>
  <c r="U54" i="61"/>
  <c r="T54" i="61"/>
  <c r="S54" i="61"/>
  <c r="R54" i="61"/>
  <c r="BI53" i="61"/>
  <c r="AB53" i="61"/>
  <c r="AA53" i="61"/>
  <c r="Z53" i="61"/>
  <c r="V53" i="61"/>
  <c r="U53" i="61"/>
  <c r="T53" i="61"/>
  <c r="S53" i="61"/>
  <c r="R53" i="61"/>
  <c r="BI52" i="61"/>
  <c r="AB52" i="61"/>
  <c r="AA52" i="61"/>
  <c r="Z52" i="61"/>
  <c r="V52" i="61"/>
  <c r="U52" i="61"/>
  <c r="T52" i="61"/>
  <c r="S52" i="61"/>
  <c r="R52" i="61"/>
  <c r="BI51" i="61"/>
  <c r="AB51" i="61"/>
  <c r="AA51" i="61"/>
  <c r="Z51" i="61"/>
  <c r="V51" i="61"/>
  <c r="U51" i="61"/>
  <c r="T51" i="61"/>
  <c r="S51" i="61"/>
  <c r="R51" i="61"/>
  <c r="BI50" i="61"/>
  <c r="AC50" i="61"/>
  <c r="AB50" i="61"/>
  <c r="AA50" i="61"/>
  <c r="Z50" i="61"/>
  <c r="V50" i="61"/>
  <c r="U50" i="61"/>
  <c r="T50" i="61"/>
  <c r="S50" i="61"/>
  <c r="R50" i="61"/>
  <c r="BI49" i="61"/>
  <c r="AB49" i="61"/>
  <c r="AA49" i="61"/>
  <c r="Z49" i="61"/>
  <c r="V49" i="61"/>
  <c r="U49" i="61"/>
  <c r="T49" i="61"/>
  <c r="S49" i="61"/>
  <c r="R49" i="61"/>
  <c r="BI48" i="61"/>
  <c r="AB48" i="61"/>
  <c r="AA48" i="61"/>
  <c r="Z48" i="61"/>
  <c r="V48" i="61"/>
  <c r="U48" i="61"/>
  <c r="T48" i="61"/>
  <c r="S48" i="61"/>
  <c r="R48" i="61"/>
  <c r="BI47" i="61"/>
  <c r="AC47" i="61"/>
  <c r="AB47" i="61"/>
  <c r="AA47" i="61"/>
  <c r="Z47" i="61"/>
  <c r="V47" i="61"/>
  <c r="U47" i="61"/>
  <c r="T47" i="61"/>
  <c r="S47" i="61"/>
  <c r="R47" i="61"/>
  <c r="BI46" i="61"/>
  <c r="AB46" i="61"/>
  <c r="AA46" i="61"/>
  <c r="Z46" i="61"/>
  <c r="V46" i="61"/>
  <c r="U46" i="61"/>
  <c r="T46" i="61"/>
  <c r="S46" i="61"/>
  <c r="R46" i="61"/>
  <c r="BI45" i="61"/>
  <c r="AB45" i="61"/>
  <c r="AA45" i="61"/>
  <c r="Z45" i="61"/>
  <c r="V45" i="61"/>
  <c r="U45" i="61"/>
  <c r="T45" i="61"/>
  <c r="S45" i="61"/>
  <c r="R45" i="61"/>
  <c r="BI44" i="61"/>
  <c r="AB44" i="61"/>
  <c r="AA44" i="61"/>
  <c r="Z44" i="61"/>
  <c r="V44" i="61"/>
  <c r="U44" i="61"/>
  <c r="T44" i="61"/>
  <c r="S44" i="61"/>
  <c r="R44" i="61"/>
  <c r="BI43" i="61"/>
  <c r="AB43" i="61"/>
  <c r="AA43" i="61"/>
  <c r="Z43" i="61"/>
  <c r="V43" i="61"/>
  <c r="U43" i="61"/>
  <c r="T43" i="61"/>
  <c r="S43" i="61"/>
  <c r="R43" i="61"/>
  <c r="BI42" i="61"/>
  <c r="AB42" i="61"/>
  <c r="AA42" i="61"/>
  <c r="Z42" i="61"/>
  <c r="V42" i="61"/>
  <c r="U42" i="61"/>
  <c r="T42" i="61"/>
  <c r="S42" i="61"/>
  <c r="R42" i="61"/>
  <c r="BI70" i="61"/>
  <c r="AB70" i="61"/>
  <c r="AA70" i="61"/>
  <c r="Z70" i="61"/>
  <c r="V70" i="61"/>
  <c r="U70" i="61"/>
  <c r="T70" i="61"/>
  <c r="S70" i="61"/>
  <c r="R70" i="61"/>
  <c r="BI77" i="61"/>
  <c r="AB77" i="61"/>
  <c r="AA77" i="61"/>
  <c r="Z77" i="61"/>
  <c r="V77" i="61"/>
  <c r="U77" i="61"/>
  <c r="T77" i="61"/>
  <c r="S77" i="61"/>
  <c r="R77" i="61"/>
  <c r="BI114" i="61"/>
  <c r="AB114" i="61"/>
  <c r="AA114" i="61"/>
  <c r="Z114" i="61"/>
  <c r="V114" i="61"/>
  <c r="U114" i="61"/>
  <c r="T114" i="61"/>
  <c r="S114" i="61"/>
  <c r="R114" i="61"/>
  <c r="BI107" i="61"/>
  <c r="AB107" i="61"/>
  <c r="AA107" i="61"/>
  <c r="Z107" i="61"/>
  <c r="V107" i="61"/>
  <c r="U107" i="61"/>
  <c r="T107" i="61"/>
  <c r="S107" i="61"/>
  <c r="R107" i="61"/>
  <c r="BI92" i="61"/>
  <c r="AB92" i="61"/>
  <c r="AA92" i="61"/>
  <c r="Z92" i="61"/>
  <c r="V92" i="61"/>
  <c r="U92" i="61"/>
  <c r="T92" i="61"/>
  <c r="S92" i="61"/>
  <c r="R92" i="61"/>
  <c r="BI85" i="61"/>
  <c r="AB85" i="61"/>
  <c r="AA85" i="61"/>
  <c r="Z85" i="61"/>
  <c r="V85" i="61"/>
  <c r="U85" i="61"/>
  <c r="T85" i="61"/>
  <c r="S85" i="61"/>
  <c r="R85" i="61"/>
  <c r="BI35" i="61"/>
  <c r="AB35" i="61"/>
  <c r="AA35" i="61"/>
  <c r="Z35" i="61"/>
  <c r="V35" i="61"/>
  <c r="U35" i="61"/>
  <c r="T35" i="61"/>
  <c r="S35" i="61"/>
  <c r="R35" i="61"/>
  <c r="BJ14" i="61"/>
  <c r="AG11" i="61"/>
  <c r="BG9" i="61"/>
  <c r="BE9" i="61"/>
  <c r="BC9" i="61"/>
  <c r="BA9" i="61"/>
  <c r="AY9" i="61"/>
  <c r="AW9" i="61"/>
  <c r="AU9" i="61"/>
  <c r="AS9" i="61"/>
  <c r="AQ9" i="61"/>
  <c r="AO9" i="61"/>
  <c r="AM9" i="61"/>
  <c r="AK9" i="61"/>
  <c r="AI9" i="61"/>
  <c r="BG8" i="61"/>
  <c r="BE8" i="61"/>
  <c r="BC8" i="61"/>
  <c r="BA8" i="61"/>
  <c r="AY8" i="61"/>
  <c r="AW8" i="61"/>
  <c r="AU8" i="61"/>
  <c r="AS8" i="61"/>
  <c r="AQ8" i="61"/>
  <c r="AO8" i="61"/>
  <c r="AM8" i="61"/>
  <c r="AK8" i="61"/>
  <c r="AI8" i="61"/>
  <c r="BG6" i="61"/>
  <c r="BE6" i="61"/>
  <c r="BC6" i="61"/>
  <c r="BA6" i="61"/>
  <c r="AY6" i="61"/>
  <c r="AW6" i="61"/>
  <c r="AU6" i="61"/>
  <c r="AS6" i="61"/>
  <c r="AQ6" i="61"/>
  <c r="AO6" i="61"/>
  <c r="AM6" i="61"/>
  <c r="AK6" i="61"/>
  <c r="AI6" i="61"/>
  <c r="BG5" i="61"/>
  <c r="BE5" i="61"/>
  <c r="BC5" i="61"/>
  <c r="BA5" i="61"/>
  <c r="AY5" i="61"/>
  <c r="AW5" i="61"/>
  <c r="AU5" i="61"/>
  <c r="AS5" i="61"/>
  <c r="AQ5" i="61"/>
  <c r="AO5" i="61"/>
  <c r="AM5" i="61"/>
  <c r="AK5" i="61"/>
  <c r="AI5" i="61"/>
  <c r="BG4" i="61"/>
  <c r="BE4" i="61"/>
  <c r="BC4" i="61"/>
  <c r="BA4" i="61"/>
  <c r="AY4" i="61"/>
  <c r="AW4" i="61"/>
  <c r="AU4" i="61"/>
  <c r="AS4" i="61"/>
  <c r="AQ4" i="61"/>
  <c r="AO4" i="61"/>
  <c r="AM4" i="61"/>
  <c r="AK4" i="61"/>
  <c r="BL154" i="60"/>
  <c r="BK154" i="60"/>
  <c r="BJ154" i="60"/>
  <c r="BI154" i="60"/>
  <c r="BH154" i="60"/>
  <c r="BG154" i="60"/>
  <c r="BF154" i="60"/>
  <c r="BE154" i="60"/>
  <c r="BD154" i="60"/>
  <c r="BC154" i="60"/>
  <c r="BB154" i="60"/>
  <c r="BA154" i="60"/>
  <c r="AZ154" i="60"/>
  <c r="AY154" i="60"/>
  <c r="AX154" i="60"/>
  <c r="AW154" i="60"/>
  <c r="AV154" i="60"/>
  <c r="AU154" i="60"/>
  <c r="AT154" i="60"/>
  <c r="AS154" i="60"/>
  <c r="AR154" i="60"/>
  <c r="AQ154" i="60"/>
  <c r="AP154" i="60"/>
  <c r="AO154" i="60"/>
  <c r="AN154" i="60"/>
  <c r="AM154" i="60"/>
  <c r="J154" i="60"/>
  <c r="BM153" i="60"/>
  <c r="AG153" i="60"/>
  <c r="AF153" i="60"/>
  <c r="AE153" i="60"/>
  <c r="AD153" i="60"/>
  <c r="W153" i="60"/>
  <c r="V153" i="60"/>
  <c r="BM152" i="60"/>
  <c r="AG152" i="60"/>
  <c r="AF152" i="60"/>
  <c r="AE152" i="60"/>
  <c r="AD152" i="60"/>
  <c r="W152" i="60"/>
  <c r="V152" i="60"/>
  <c r="BM151" i="60"/>
  <c r="AG151" i="60"/>
  <c r="AF151" i="60"/>
  <c r="AE151" i="60"/>
  <c r="AD151" i="60"/>
  <c r="W151" i="60"/>
  <c r="V151" i="60"/>
  <c r="BM150" i="60"/>
  <c r="AG150" i="60"/>
  <c r="AF150" i="60"/>
  <c r="AE150" i="60"/>
  <c r="AD150" i="60"/>
  <c r="W150" i="60"/>
  <c r="V150" i="60"/>
  <c r="BM127" i="60"/>
  <c r="AG127" i="60"/>
  <c r="AF127" i="60"/>
  <c r="AE127" i="60"/>
  <c r="AD127" i="60"/>
  <c r="W127" i="60"/>
  <c r="V127" i="60"/>
  <c r="BM148" i="60"/>
  <c r="AF148" i="60"/>
  <c r="AE148" i="60"/>
  <c r="AD148" i="60"/>
  <c r="W148" i="60"/>
  <c r="V148" i="60"/>
  <c r="BM147" i="60"/>
  <c r="AF147" i="60"/>
  <c r="AE147" i="60"/>
  <c r="AD147" i="60"/>
  <c r="W147" i="60"/>
  <c r="V147" i="60"/>
  <c r="BM146" i="60"/>
  <c r="AG146" i="60"/>
  <c r="AF146" i="60"/>
  <c r="AE146" i="60"/>
  <c r="AD146" i="60"/>
  <c r="W146" i="60"/>
  <c r="V146" i="60"/>
  <c r="BM149" i="60"/>
  <c r="AG149" i="60"/>
  <c r="AF149" i="60"/>
  <c r="AE149" i="60"/>
  <c r="AD149" i="60"/>
  <c r="W149" i="60"/>
  <c r="V149" i="60"/>
  <c r="BM144" i="60"/>
  <c r="AG144" i="60"/>
  <c r="AF144" i="60"/>
  <c r="AE144" i="60"/>
  <c r="AD144" i="60"/>
  <c r="W144" i="60"/>
  <c r="V144" i="60"/>
  <c r="BM143" i="60"/>
  <c r="AG143" i="60"/>
  <c r="AF143" i="60"/>
  <c r="AE143" i="60"/>
  <c r="AD143" i="60"/>
  <c r="W143" i="60"/>
  <c r="V143" i="60"/>
  <c r="BM142" i="60"/>
  <c r="AG142" i="60"/>
  <c r="AF142" i="60"/>
  <c r="AE142" i="60"/>
  <c r="AD142" i="60"/>
  <c r="W142" i="60"/>
  <c r="V142" i="60"/>
  <c r="BM141" i="60"/>
  <c r="AG141" i="60"/>
  <c r="AF141" i="60"/>
  <c r="AE141" i="60"/>
  <c r="AD141" i="60"/>
  <c r="W141" i="60"/>
  <c r="V141" i="60"/>
  <c r="BM140" i="60"/>
  <c r="AF140" i="60"/>
  <c r="AE140" i="60"/>
  <c r="AD140" i="60"/>
  <c r="W140" i="60"/>
  <c r="V140" i="60"/>
  <c r="BM145" i="60"/>
  <c r="AG145" i="60"/>
  <c r="AF145" i="60"/>
  <c r="AE145" i="60"/>
  <c r="AD145" i="60"/>
  <c r="W145" i="60"/>
  <c r="V145" i="60"/>
  <c r="BM128" i="60"/>
  <c r="AF128" i="60"/>
  <c r="AE128" i="60"/>
  <c r="AD128" i="60"/>
  <c r="W128" i="60"/>
  <c r="V128" i="60"/>
  <c r="BM138" i="60"/>
  <c r="AF138" i="60"/>
  <c r="AE138" i="60"/>
  <c r="AD138" i="60"/>
  <c r="W138" i="60"/>
  <c r="V138" i="60"/>
  <c r="BM68" i="60"/>
  <c r="AF68" i="60"/>
  <c r="AE68" i="60"/>
  <c r="AD68" i="60"/>
  <c r="W68" i="60"/>
  <c r="V68" i="60"/>
  <c r="BM136" i="60"/>
  <c r="AG136" i="60"/>
  <c r="AF136" i="60"/>
  <c r="AE136" i="60"/>
  <c r="AD136" i="60"/>
  <c r="W136" i="60"/>
  <c r="V136" i="60"/>
  <c r="BM135" i="60"/>
  <c r="AF135" i="60"/>
  <c r="AE135" i="60"/>
  <c r="AD135" i="60"/>
  <c r="W135" i="60"/>
  <c r="V135" i="60"/>
  <c r="BM134" i="60"/>
  <c r="AF134" i="60"/>
  <c r="AE134" i="60"/>
  <c r="AD134" i="60"/>
  <c r="W134" i="60"/>
  <c r="V134" i="60"/>
  <c r="BM133" i="60"/>
  <c r="AF133" i="60"/>
  <c r="AE133" i="60"/>
  <c r="AD133" i="60"/>
  <c r="W133" i="60"/>
  <c r="V133" i="60"/>
  <c r="BM132" i="60"/>
  <c r="AF132" i="60"/>
  <c r="AE132" i="60"/>
  <c r="AD132" i="60"/>
  <c r="W132" i="60"/>
  <c r="V132" i="60"/>
  <c r="BM131" i="60"/>
  <c r="AF131" i="60"/>
  <c r="AE131" i="60"/>
  <c r="AD131" i="60"/>
  <c r="W131" i="60"/>
  <c r="V131" i="60"/>
  <c r="BM137" i="60"/>
  <c r="AF137" i="60"/>
  <c r="AE137" i="60"/>
  <c r="AD137" i="60"/>
  <c r="W137" i="60"/>
  <c r="V137" i="60"/>
  <c r="BM130" i="60"/>
  <c r="AG130" i="60"/>
  <c r="AF130" i="60"/>
  <c r="AE130" i="60"/>
  <c r="AD130" i="60"/>
  <c r="W130" i="60"/>
  <c r="V130" i="60"/>
  <c r="BM129" i="60"/>
  <c r="AF129" i="60"/>
  <c r="AE129" i="60"/>
  <c r="AD129" i="60"/>
  <c r="W129" i="60"/>
  <c r="V129" i="60"/>
  <c r="BM125" i="60"/>
  <c r="AF125" i="60"/>
  <c r="AE125" i="60"/>
  <c r="AD125" i="60"/>
  <c r="W125" i="60"/>
  <c r="V125" i="60"/>
  <c r="BM126" i="60"/>
  <c r="AF126" i="60"/>
  <c r="AE126" i="60"/>
  <c r="AD126" i="60"/>
  <c r="W126" i="60"/>
  <c r="V126" i="60"/>
  <c r="BM124" i="60"/>
  <c r="AF124" i="60"/>
  <c r="AE124" i="60"/>
  <c r="AD124" i="60"/>
  <c r="W124" i="60"/>
  <c r="V124" i="60"/>
  <c r="BM123" i="60"/>
  <c r="AF123" i="60"/>
  <c r="AE123" i="60"/>
  <c r="AD123" i="60"/>
  <c r="W123" i="60"/>
  <c r="V123" i="60"/>
  <c r="BM71" i="60"/>
  <c r="AF71" i="60"/>
  <c r="AE71" i="60"/>
  <c r="AD71" i="60"/>
  <c r="W71" i="60"/>
  <c r="V71" i="60"/>
  <c r="BM122" i="60"/>
  <c r="AF122" i="60"/>
  <c r="AE122" i="60"/>
  <c r="AD122" i="60"/>
  <c r="W122" i="60"/>
  <c r="V122" i="60"/>
  <c r="BM119" i="60"/>
  <c r="AF119" i="60"/>
  <c r="AE119" i="60"/>
  <c r="AD119" i="60"/>
  <c r="W119" i="60"/>
  <c r="V119" i="60"/>
  <c r="BM121" i="60"/>
  <c r="AF121" i="60"/>
  <c r="AE121" i="60"/>
  <c r="AD121" i="60"/>
  <c r="W121" i="60"/>
  <c r="V121" i="60"/>
  <c r="BM92" i="60"/>
  <c r="AF92" i="60"/>
  <c r="AE92" i="60"/>
  <c r="AD92" i="60"/>
  <c r="W92" i="60"/>
  <c r="V92" i="60"/>
  <c r="BM112" i="60"/>
  <c r="AF112" i="60"/>
  <c r="AE112" i="60"/>
  <c r="AD112" i="60"/>
  <c r="W112" i="60"/>
  <c r="V112" i="60"/>
  <c r="BM102" i="60"/>
  <c r="AF102" i="60"/>
  <c r="AE102" i="60"/>
  <c r="AD102" i="60"/>
  <c r="W102" i="60"/>
  <c r="V102" i="60"/>
  <c r="BM115" i="60"/>
  <c r="AF115" i="60"/>
  <c r="AE115" i="60"/>
  <c r="AD115" i="60"/>
  <c r="W115" i="60"/>
  <c r="V115" i="60"/>
  <c r="BM110" i="60"/>
  <c r="AF110" i="60"/>
  <c r="AE110" i="60"/>
  <c r="AD110" i="60"/>
  <c r="W110" i="60"/>
  <c r="V110" i="60"/>
  <c r="BM108" i="60"/>
  <c r="AF108" i="60"/>
  <c r="AE108" i="60"/>
  <c r="AD108" i="60"/>
  <c r="W108" i="60"/>
  <c r="V108" i="60"/>
  <c r="BM113" i="60"/>
  <c r="AF113" i="60"/>
  <c r="AE113" i="60"/>
  <c r="AD113" i="60"/>
  <c r="W113" i="60"/>
  <c r="V113" i="60"/>
  <c r="BM106" i="60"/>
  <c r="AF106" i="60"/>
  <c r="AE106" i="60"/>
  <c r="AD106" i="60"/>
  <c r="W106" i="60"/>
  <c r="V106" i="60"/>
  <c r="BM104" i="60"/>
  <c r="AF104" i="60"/>
  <c r="AE104" i="60"/>
  <c r="AD104" i="60"/>
  <c r="W104" i="60"/>
  <c r="V104" i="60"/>
  <c r="BM61" i="60"/>
  <c r="AF61" i="60"/>
  <c r="AE61" i="60"/>
  <c r="AD61" i="60"/>
  <c r="W61" i="60"/>
  <c r="V61" i="60"/>
  <c r="BM94" i="60"/>
  <c r="AF94" i="60"/>
  <c r="AE94" i="60"/>
  <c r="AD94" i="60"/>
  <c r="W94" i="60"/>
  <c r="V94" i="60"/>
  <c r="BM107" i="60"/>
  <c r="AF107" i="60"/>
  <c r="AE107" i="60"/>
  <c r="AD107" i="60"/>
  <c r="W107" i="60"/>
  <c r="V107" i="60"/>
  <c r="BM101" i="60"/>
  <c r="AF101" i="60"/>
  <c r="AE101" i="60"/>
  <c r="AD101" i="60"/>
  <c r="W101" i="60"/>
  <c r="V101" i="60"/>
  <c r="BM99" i="60"/>
  <c r="AF99" i="60"/>
  <c r="AE99" i="60"/>
  <c r="AD99" i="60"/>
  <c r="W99" i="60"/>
  <c r="V99" i="60"/>
  <c r="BM89" i="60"/>
  <c r="AF89" i="60"/>
  <c r="AE89" i="60"/>
  <c r="AD89" i="60"/>
  <c r="W89" i="60"/>
  <c r="V89" i="60"/>
  <c r="BM139" i="60"/>
  <c r="AF139" i="60"/>
  <c r="AE139" i="60"/>
  <c r="AD139" i="60"/>
  <c r="W139" i="60"/>
  <c r="V139" i="60"/>
  <c r="BM97" i="60"/>
  <c r="AF97" i="60"/>
  <c r="AE97" i="60"/>
  <c r="AD97" i="60"/>
  <c r="W97" i="60"/>
  <c r="V97" i="60"/>
  <c r="BM90" i="60"/>
  <c r="AF90" i="60"/>
  <c r="AE90" i="60"/>
  <c r="AD90" i="60"/>
  <c r="W90" i="60"/>
  <c r="V90" i="60"/>
  <c r="BM87" i="60"/>
  <c r="AF87" i="60"/>
  <c r="AE87" i="60"/>
  <c r="AD87" i="60"/>
  <c r="W87" i="60"/>
  <c r="V87" i="60"/>
  <c r="BM93" i="60"/>
  <c r="AF93" i="60"/>
  <c r="AE93" i="60"/>
  <c r="AD93" i="60"/>
  <c r="W93" i="60"/>
  <c r="V93" i="60"/>
  <c r="BM96" i="60"/>
  <c r="AF96" i="60"/>
  <c r="AE96" i="60"/>
  <c r="AD96" i="60"/>
  <c r="W96" i="60"/>
  <c r="V96" i="60"/>
  <c r="BM91" i="60"/>
  <c r="AF91" i="60"/>
  <c r="AE91" i="60"/>
  <c r="AD91" i="60"/>
  <c r="W91" i="60"/>
  <c r="V91" i="60"/>
  <c r="BM95" i="60"/>
  <c r="AF95" i="60"/>
  <c r="AE95" i="60"/>
  <c r="AD95" i="60"/>
  <c r="W95" i="60"/>
  <c r="V95" i="60"/>
  <c r="BM98" i="60"/>
  <c r="AF98" i="60"/>
  <c r="AE98" i="60"/>
  <c r="AD98" i="60"/>
  <c r="W98" i="60"/>
  <c r="V98" i="60"/>
  <c r="BM105" i="60"/>
  <c r="AF105" i="60"/>
  <c r="AE105" i="60"/>
  <c r="AD105" i="60"/>
  <c r="W105" i="60"/>
  <c r="V105" i="60"/>
  <c r="BM103" i="60"/>
  <c r="AF103" i="60"/>
  <c r="AE103" i="60"/>
  <c r="AD103" i="60"/>
  <c r="W103" i="60"/>
  <c r="V103" i="60"/>
  <c r="BM88" i="60"/>
  <c r="AF88" i="60"/>
  <c r="AE88" i="60"/>
  <c r="AD88" i="60"/>
  <c r="W88" i="60"/>
  <c r="V88" i="60"/>
  <c r="BM78" i="60"/>
  <c r="AF78" i="60"/>
  <c r="AE78" i="60"/>
  <c r="AD78" i="60"/>
  <c r="W78" i="60"/>
  <c r="V78" i="60"/>
  <c r="BM83" i="60"/>
  <c r="AF83" i="60"/>
  <c r="AE83" i="60"/>
  <c r="AD83" i="60"/>
  <c r="W83" i="60"/>
  <c r="V83" i="60"/>
  <c r="BM82" i="60"/>
  <c r="AF82" i="60"/>
  <c r="AE82" i="60"/>
  <c r="AD82" i="60"/>
  <c r="W82" i="60"/>
  <c r="V82" i="60"/>
  <c r="BM84" i="60"/>
  <c r="AF84" i="60"/>
  <c r="AE84" i="60"/>
  <c r="AD84" i="60"/>
  <c r="W84" i="60"/>
  <c r="V84" i="60"/>
  <c r="BM70" i="60"/>
  <c r="AF70" i="60"/>
  <c r="AE70" i="60"/>
  <c r="AD70" i="60"/>
  <c r="W70" i="60"/>
  <c r="V70" i="60"/>
  <c r="BM49" i="60"/>
  <c r="AF49" i="60"/>
  <c r="AE49" i="60"/>
  <c r="AD49" i="60"/>
  <c r="W49" i="60"/>
  <c r="V49" i="60"/>
  <c r="BM86" i="60"/>
  <c r="AF86" i="60"/>
  <c r="AE86" i="60"/>
  <c r="AD86" i="60"/>
  <c r="W86" i="60"/>
  <c r="V86" i="60"/>
  <c r="BM80" i="60"/>
  <c r="AF80" i="60"/>
  <c r="AE80" i="60"/>
  <c r="AD80" i="60"/>
  <c r="W80" i="60"/>
  <c r="V80" i="60"/>
  <c r="BM76" i="60"/>
  <c r="AF76" i="60"/>
  <c r="AE76" i="60"/>
  <c r="AD76" i="60"/>
  <c r="W76" i="60"/>
  <c r="V76" i="60"/>
  <c r="BM48" i="60"/>
  <c r="AF48" i="60"/>
  <c r="AE48" i="60"/>
  <c r="AD48" i="60"/>
  <c r="W48" i="60"/>
  <c r="V48" i="60"/>
  <c r="BM85" i="60"/>
  <c r="AF85" i="60"/>
  <c r="AE85" i="60"/>
  <c r="AD85" i="60"/>
  <c r="W85" i="60"/>
  <c r="V85" i="60"/>
  <c r="BM47" i="60"/>
  <c r="AF47" i="60"/>
  <c r="AE47" i="60"/>
  <c r="AD47" i="60"/>
  <c r="W47" i="60"/>
  <c r="V47" i="60"/>
  <c r="BM79" i="60"/>
  <c r="AF79" i="60"/>
  <c r="AE79" i="60"/>
  <c r="AD79" i="60"/>
  <c r="W79" i="60"/>
  <c r="V79" i="60"/>
  <c r="BM45" i="60"/>
  <c r="AF45" i="60"/>
  <c r="AE45" i="60"/>
  <c r="AD45" i="60"/>
  <c r="W45" i="60"/>
  <c r="V45" i="60"/>
  <c r="BM32" i="60"/>
  <c r="AF32" i="60"/>
  <c r="AE32" i="60"/>
  <c r="AD32" i="60"/>
  <c r="W32" i="60"/>
  <c r="V32" i="60"/>
  <c r="BM42" i="60"/>
  <c r="AF42" i="60"/>
  <c r="AE42" i="60"/>
  <c r="AD42" i="60"/>
  <c r="W42" i="60"/>
  <c r="V42" i="60"/>
  <c r="BM44" i="60"/>
  <c r="AF44" i="60"/>
  <c r="AE44" i="60"/>
  <c r="AD44" i="60"/>
  <c r="W44" i="60"/>
  <c r="V44" i="60"/>
  <c r="BM40" i="60"/>
  <c r="AF40" i="60"/>
  <c r="AE40" i="60"/>
  <c r="AD40" i="60"/>
  <c r="W40" i="60"/>
  <c r="V40" i="60"/>
  <c r="BM34" i="60"/>
  <c r="AF34" i="60"/>
  <c r="AE34" i="60"/>
  <c r="AD34" i="60"/>
  <c r="W34" i="60"/>
  <c r="V34" i="60"/>
  <c r="BM39" i="60"/>
  <c r="AF39" i="60"/>
  <c r="AE39" i="60"/>
  <c r="AD39" i="60"/>
  <c r="W39" i="60"/>
  <c r="V39" i="60"/>
  <c r="BM43" i="60"/>
  <c r="AF43" i="60"/>
  <c r="AE43" i="60"/>
  <c r="AD43" i="60"/>
  <c r="W43" i="60"/>
  <c r="V43" i="60"/>
  <c r="BM75" i="60"/>
  <c r="AF75" i="60"/>
  <c r="AE75" i="60"/>
  <c r="AD75" i="60"/>
  <c r="W75" i="60"/>
  <c r="V75" i="60"/>
  <c r="BM35" i="60"/>
  <c r="AF35" i="60"/>
  <c r="AE35" i="60"/>
  <c r="AD35" i="60"/>
  <c r="W35" i="60"/>
  <c r="V35" i="60"/>
  <c r="BM41" i="60"/>
  <c r="AF41" i="60"/>
  <c r="AE41" i="60"/>
  <c r="AD41" i="60"/>
  <c r="W41" i="60"/>
  <c r="V41" i="60"/>
  <c r="BM38" i="60"/>
  <c r="AF38" i="60"/>
  <c r="AE38" i="60"/>
  <c r="AD38" i="60"/>
  <c r="W38" i="60"/>
  <c r="V38" i="60"/>
  <c r="BM36" i="60"/>
  <c r="AF36" i="60"/>
  <c r="AE36" i="60"/>
  <c r="AD36" i="60"/>
  <c r="W36" i="60"/>
  <c r="V36" i="60"/>
  <c r="BM50" i="60"/>
  <c r="AF50" i="60"/>
  <c r="AE50" i="60"/>
  <c r="AD50" i="60"/>
  <c r="W50" i="60"/>
  <c r="V50" i="60"/>
  <c r="BM37" i="60"/>
  <c r="AF37" i="60"/>
  <c r="AE37" i="60"/>
  <c r="AD37" i="60"/>
  <c r="W37" i="60"/>
  <c r="V37" i="60"/>
  <c r="BM26" i="60"/>
  <c r="AF26" i="60"/>
  <c r="AE26" i="60"/>
  <c r="AD26" i="60"/>
  <c r="W26" i="60"/>
  <c r="V26" i="60"/>
  <c r="BM31" i="60"/>
  <c r="AF31" i="60"/>
  <c r="AE31" i="60"/>
  <c r="AD31" i="60"/>
  <c r="W31" i="60"/>
  <c r="V31" i="60"/>
  <c r="BM33" i="60"/>
  <c r="AF33" i="60"/>
  <c r="AE33" i="60"/>
  <c r="AD33" i="60"/>
  <c r="W33" i="60"/>
  <c r="V33" i="60"/>
  <c r="BM29" i="60"/>
  <c r="AF29" i="60"/>
  <c r="AE29" i="60"/>
  <c r="AD29" i="60"/>
  <c r="W29" i="60"/>
  <c r="V29" i="60"/>
  <c r="BM72" i="60"/>
  <c r="AF72" i="60"/>
  <c r="AE72" i="60"/>
  <c r="AD72" i="60"/>
  <c r="W72" i="60"/>
  <c r="V72" i="60"/>
  <c r="BM25" i="60"/>
  <c r="AF25" i="60"/>
  <c r="AE25" i="60"/>
  <c r="AD25" i="60"/>
  <c r="W25" i="60"/>
  <c r="V25" i="60"/>
  <c r="BM46" i="60"/>
  <c r="AF46" i="60"/>
  <c r="AE46" i="60"/>
  <c r="AD46" i="60"/>
  <c r="W46" i="60"/>
  <c r="V46" i="60"/>
  <c r="BM23" i="60"/>
  <c r="AF23" i="60"/>
  <c r="AE23" i="60"/>
  <c r="AD23" i="60"/>
  <c r="W23" i="60"/>
  <c r="V23" i="60"/>
  <c r="BM28" i="60"/>
  <c r="AF28" i="60"/>
  <c r="AE28" i="60"/>
  <c r="AD28" i="60"/>
  <c r="W28" i="60"/>
  <c r="V28" i="60"/>
  <c r="BM20" i="60"/>
  <c r="AF20" i="60"/>
  <c r="AE20" i="60"/>
  <c r="AD20" i="60"/>
  <c r="W20" i="60"/>
  <c r="V20" i="60"/>
  <c r="BM27" i="60"/>
  <c r="AF27" i="60"/>
  <c r="AE27" i="60"/>
  <c r="AD27" i="60"/>
  <c r="W27" i="60"/>
  <c r="V27" i="60"/>
  <c r="BM21" i="60"/>
  <c r="AF21" i="60"/>
  <c r="AE21" i="60"/>
  <c r="AD21" i="60"/>
  <c r="W21" i="60"/>
  <c r="V21" i="60"/>
  <c r="BM24" i="60"/>
  <c r="AF24" i="60"/>
  <c r="AE24" i="60"/>
  <c r="AD24" i="60"/>
  <c r="W24" i="60"/>
  <c r="V24" i="60"/>
  <c r="BM19" i="60"/>
  <c r="AF19" i="60"/>
  <c r="AE19" i="60"/>
  <c r="AD19" i="60"/>
  <c r="W19" i="60"/>
  <c r="V19" i="60"/>
  <c r="BM22" i="60"/>
  <c r="AF22" i="60"/>
  <c r="AE22" i="60"/>
  <c r="AD22" i="60"/>
  <c r="W22" i="60"/>
  <c r="V22" i="60"/>
  <c r="BM30" i="60"/>
  <c r="AF30" i="60"/>
  <c r="AE30" i="60"/>
  <c r="AD30" i="60"/>
  <c r="W30" i="60"/>
  <c r="V30" i="60"/>
  <c r="BM67" i="60"/>
  <c r="AF67" i="60"/>
  <c r="AE67" i="60"/>
  <c r="AD67" i="60"/>
  <c r="W67" i="60"/>
  <c r="V67" i="60"/>
  <c r="BM64" i="60"/>
  <c r="AG64" i="60"/>
  <c r="AF64" i="60"/>
  <c r="AE64" i="60"/>
  <c r="AD64" i="60"/>
  <c r="W64" i="60"/>
  <c r="V64" i="60"/>
  <c r="BM55" i="60"/>
  <c r="AG55" i="60"/>
  <c r="AF55" i="60"/>
  <c r="AE55" i="60"/>
  <c r="AD55" i="60"/>
  <c r="W55" i="60"/>
  <c r="V55" i="60"/>
  <c r="BM81" i="60"/>
  <c r="AG81" i="60"/>
  <c r="AF81" i="60"/>
  <c r="AE81" i="60"/>
  <c r="AD81" i="60"/>
  <c r="W81" i="60"/>
  <c r="V81" i="60"/>
  <c r="BM62" i="60"/>
  <c r="AG62" i="60"/>
  <c r="AF62" i="60"/>
  <c r="AE62" i="60"/>
  <c r="AD62" i="60"/>
  <c r="W62" i="60"/>
  <c r="V62" i="60"/>
  <c r="BM57" i="60"/>
  <c r="AG57" i="60"/>
  <c r="AF57" i="60"/>
  <c r="AE57" i="60"/>
  <c r="AD57" i="60"/>
  <c r="W57" i="60"/>
  <c r="V57" i="60"/>
  <c r="BM56" i="60"/>
  <c r="AG56" i="60"/>
  <c r="AF56" i="60"/>
  <c r="AE56" i="60"/>
  <c r="AD56" i="60"/>
  <c r="W56" i="60"/>
  <c r="V56" i="60"/>
  <c r="BM74" i="60"/>
  <c r="AG74" i="60"/>
  <c r="AF74" i="60"/>
  <c r="AE74" i="60"/>
  <c r="AD74" i="60"/>
  <c r="W74" i="60"/>
  <c r="V74" i="60"/>
  <c r="BM73" i="60"/>
  <c r="AG73" i="60"/>
  <c r="AF73" i="60"/>
  <c r="AE73" i="60"/>
  <c r="AD73" i="60"/>
  <c r="W73" i="60"/>
  <c r="V73" i="60"/>
  <c r="BM66" i="60"/>
  <c r="AF66" i="60"/>
  <c r="AE66" i="60"/>
  <c r="AD66" i="60"/>
  <c r="W66" i="60"/>
  <c r="V66" i="60"/>
  <c r="BM60" i="60"/>
  <c r="AF60" i="60"/>
  <c r="AE60" i="60"/>
  <c r="AD60" i="60"/>
  <c r="W60" i="60"/>
  <c r="V60" i="60"/>
  <c r="BM69" i="60"/>
  <c r="AF69" i="60"/>
  <c r="AE69" i="60"/>
  <c r="AD69" i="60"/>
  <c r="W69" i="60"/>
  <c r="V69" i="60"/>
  <c r="BM59" i="60"/>
  <c r="AF59" i="60"/>
  <c r="AE59" i="60"/>
  <c r="AD59" i="60"/>
  <c r="W59" i="60"/>
  <c r="V59" i="60"/>
  <c r="BM58" i="60"/>
  <c r="AG58" i="60"/>
  <c r="AF58" i="60"/>
  <c r="AE58" i="60"/>
  <c r="AD58" i="60"/>
  <c r="W58" i="60"/>
  <c r="V58" i="60"/>
  <c r="BM54" i="60"/>
  <c r="AF54" i="60"/>
  <c r="AE54" i="60"/>
  <c r="AD54" i="60"/>
  <c r="W54" i="60"/>
  <c r="V54" i="60"/>
  <c r="BM53" i="60"/>
  <c r="AF53" i="60"/>
  <c r="AE53" i="60"/>
  <c r="AD53" i="60"/>
  <c r="W53" i="60"/>
  <c r="V53" i="60"/>
  <c r="BM51" i="60"/>
  <c r="AG51" i="60"/>
  <c r="AF51" i="60"/>
  <c r="AE51" i="60"/>
  <c r="AD51" i="60"/>
  <c r="W51" i="60"/>
  <c r="V51" i="60"/>
  <c r="BM65" i="60"/>
  <c r="AF65" i="60"/>
  <c r="AE65" i="60"/>
  <c r="AD65" i="60"/>
  <c r="W65" i="60"/>
  <c r="V65" i="60"/>
  <c r="BM77" i="60"/>
  <c r="AF77" i="60"/>
  <c r="AE77" i="60"/>
  <c r="AD77" i="60"/>
  <c r="W77" i="60"/>
  <c r="V77" i="60"/>
  <c r="BM63" i="60"/>
  <c r="AF63" i="60"/>
  <c r="AE63" i="60"/>
  <c r="AD63" i="60"/>
  <c r="W63" i="60"/>
  <c r="V63" i="60"/>
  <c r="BM52" i="60"/>
  <c r="AF52" i="60"/>
  <c r="AE52" i="60"/>
  <c r="AD52" i="60"/>
  <c r="W52" i="60"/>
  <c r="V52" i="60"/>
  <c r="BM114" i="60"/>
  <c r="AF114" i="60"/>
  <c r="AE114" i="60"/>
  <c r="AD114" i="60"/>
  <c r="W114" i="60"/>
  <c r="V114" i="60"/>
  <c r="BM100" i="60"/>
  <c r="AF100" i="60"/>
  <c r="AE100" i="60"/>
  <c r="AD100" i="60"/>
  <c r="W100" i="60"/>
  <c r="V100" i="60"/>
  <c r="BM109" i="60"/>
  <c r="AF109" i="60"/>
  <c r="AE109" i="60"/>
  <c r="AD109" i="60"/>
  <c r="W109" i="60"/>
  <c r="V109" i="60"/>
  <c r="BM120" i="60"/>
  <c r="AF120" i="60"/>
  <c r="AE120" i="60"/>
  <c r="AD120" i="60"/>
  <c r="W120" i="60"/>
  <c r="V120" i="60"/>
  <c r="BM118" i="60"/>
  <c r="AF118" i="60"/>
  <c r="AE118" i="60"/>
  <c r="AD118" i="60"/>
  <c r="W118" i="60"/>
  <c r="V118" i="60"/>
  <c r="BM117" i="60"/>
  <c r="AF117" i="60"/>
  <c r="AE117" i="60"/>
  <c r="AD117" i="60"/>
  <c r="W117" i="60"/>
  <c r="V117" i="60"/>
  <c r="BM116" i="60"/>
  <c r="AF116" i="60"/>
  <c r="AE116" i="60"/>
  <c r="AD116" i="60"/>
  <c r="W116" i="60"/>
  <c r="V116" i="60"/>
  <c r="BM111" i="60"/>
  <c r="AF111" i="60"/>
  <c r="AE111" i="60"/>
  <c r="AD111" i="60"/>
  <c r="W111" i="60"/>
  <c r="V111" i="60"/>
  <c r="AK11" i="60"/>
  <c r="BK9" i="60"/>
  <c r="BI9" i="60"/>
  <c r="BG9" i="60"/>
  <c r="BE9" i="60"/>
  <c r="BC9" i="60"/>
  <c r="BA9" i="60"/>
  <c r="AY9" i="60"/>
  <c r="AW9" i="60"/>
  <c r="AU9" i="60"/>
  <c r="AS9" i="60"/>
  <c r="AQ9" i="60"/>
  <c r="AO9" i="60"/>
  <c r="AM9" i="60"/>
  <c r="BK8" i="60"/>
  <c r="BI8" i="60"/>
  <c r="BG8" i="60"/>
  <c r="BE8" i="60"/>
  <c r="BC8" i="60"/>
  <c r="BA8" i="60"/>
  <c r="AY8" i="60"/>
  <c r="AW8" i="60"/>
  <c r="AU8" i="60"/>
  <c r="AS8" i="60"/>
  <c r="AQ8" i="60"/>
  <c r="AO8" i="60"/>
  <c r="AM8" i="60"/>
  <c r="BK6" i="60"/>
  <c r="BI6" i="60"/>
  <c r="BG6" i="60"/>
  <c r="BE6" i="60"/>
  <c r="BC6" i="60"/>
  <c r="BA6" i="60"/>
  <c r="AY6" i="60"/>
  <c r="AW6" i="60"/>
  <c r="AU6" i="60"/>
  <c r="AS6" i="60"/>
  <c r="AQ6" i="60"/>
  <c r="AO6" i="60"/>
  <c r="AM6" i="60"/>
  <c r="BK5" i="60"/>
  <c r="BI5" i="60"/>
  <c r="BG5" i="60"/>
  <c r="BE5" i="60"/>
  <c r="BC5" i="60"/>
  <c r="BA5" i="60"/>
  <c r="AY5" i="60"/>
  <c r="AW5" i="60"/>
  <c r="AU5" i="60"/>
  <c r="AS5" i="60"/>
  <c r="AQ5" i="60"/>
  <c r="AO5" i="60"/>
  <c r="AM5" i="60"/>
  <c r="BK4" i="60"/>
  <c r="BI4" i="60"/>
  <c r="BG4" i="60"/>
  <c r="BE4" i="60"/>
  <c r="BC4" i="60"/>
  <c r="BA4" i="60"/>
  <c r="AY4" i="60"/>
  <c r="AW4" i="60"/>
  <c r="AS4" i="60"/>
  <c r="AQ4" i="60"/>
  <c r="AO4" i="60"/>
  <c r="W121" i="61" l="1"/>
  <c r="V154" i="60"/>
  <c r="W154" i="60"/>
  <c r="W115" i="61"/>
  <c r="W138" i="61"/>
  <c r="W143" i="61"/>
  <c r="BE10" i="61"/>
  <c r="AC51" i="61"/>
  <c r="AC115" i="61"/>
  <c r="W71" i="61"/>
  <c r="W105" i="61"/>
  <c r="W84" i="61"/>
  <c r="W116" i="61"/>
  <c r="W147" i="61"/>
  <c r="AO10" i="61"/>
  <c r="BI8" i="61"/>
  <c r="W109" i="61"/>
  <c r="W102" i="61"/>
  <c r="W21" i="61"/>
  <c r="W80" i="61"/>
  <c r="W88" i="61"/>
  <c r="W95" i="61"/>
  <c r="W96" i="61"/>
  <c r="W104" i="61"/>
  <c r="W128" i="61"/>
  <c r="AC133" i="61"/>
  <c r="W135" i="61"/>
  <c r="W19" i="61"/>
  <c r="W33" i="61"/>
  <c r="W82" i="61"/>
  <c r="W29" i="61"/>
  <c r="W153" i="61"/>
  <c r="W127" i="61"/>
  <c r="AC147" i="61"/>
  <c r="AC30" i="61"/>
  <c r="AC64" i="61"/>
  <c r="AC88" i="61"/>
  <c r="AC96" i="61"/>
  <c r="AC127" i="61"/>
  <c r="AQ7" i="61"/>
  <c r="BG7" i="61"/>
  <c r="AM10" i="61"/>
  <c r="BC10" i="61"/>
  <c r="AC35" i="61"/>
  <c r="W92" i="61"/>
  <c r="AC43" i="61"/>
  <c r="W45" i="61"/>
  <c r="W51" i="61"/>
  <c r="AC33" i="61"/>
  <c r="AC81" i="61"/>
  <c r="W91" i="61"/>
  <c r="W99" i="61"/>
  <c r="W142" i="61"/>
  <c r="W151" i="61"/>
  <c r="W62" i="61"/>
  <c r="AC24" i="61"/>
  <c r="W22" i="61"/>
  <c r="W27" i="61"/>
  <c r="W32" i="61"/>
  <c r="AC67" i="61"/>
  <c r="W69" i="61"/>
  <c r="AC91" i="61"/>
  <c r="W108" i="61"/>
  <c r="AC78" i="61"/>
  <c r="AC100" i="61"/>
  <c r="W48" i="61"/>
  <c r="W49" i="61"/>
  <c r="W55" i="61"/>
  <c r="AC27" i="61"/>
  <c r="W28" i="61"/>
  <c r="AC32" i="61"/>
  <c r="AC83" i="61"/>
  <c r="W103" i="61"/>
  <c r="AC123" i="61"/>
  <c r="W125" i="61"/>
  <c r="AC48" i="61"/>
  <c r="AC54" i="61"/>
  <c r="AC86" i="61"/>
  <c r="AC21" i="61"/>
  <c r="AU7" i="61"/>
  <c r="W85" i="61"/>
  <c r="W44" i="61"/>
  <c r="AC49" i="61"/>
  <c r="W56" i="61"/>
  <c r="W60" i="61"/>
  <c r="W23" i="61"/>
  <c r="W72" i="61"/>
  <c r="W73" i="61"/>
  <c r="W97" i="61"/>
  <c r="AC110" i="61"/>
  <c r="W112" i="61"/>
  <c r="AC117" i="61"/>
  <c r="W119" i="61"/>
  <c r="W113" i="61"/>
  <c r="AC45" i="61"/>
  <c r="W47" i="61"/>
  <c r="W24" i="61"/>
  <c r="AC37" i="61"/>
  <c r="W68" i="61"/>
  <c r="W76" i="61"/>
  <c r="AC113" i="61"/>
  <c r="AC120" i="61"/>
  <c r="AC77" i="61"/>
  <c r="W42" i="61"/>
  <c r="AC52" i="61"/>
  <c r="W54" i="61"/>
  <c r="W58" i="61"/>
  <c r="AC40" i="61"/>
  <c r="W79" i="61"/>
  <c r="W61" i="61"/>
  <c r="AC90" i="61"/>
  <c r="W66" i="61"/>
  <c r="AC109" i="61"/>
  <c r="W111" i="61"/>
  <c r="AC122" i="61"/>
  <c r="W124" i="61"/>
  <c r="W130" i="61"/>
  <c r="W137" i="61"/>
  <c r="AC26" i="61"/>
  <c r="W37" i="61"/>
  <c r="AC72" i="61"/>
  <c r="W39" i="61"/>
  <c r="AC61" i="61"/>
  <c r="W87" i="61"/>
  <c r="W100" i="61"/>
  <c r="AC104" i="61"/>
  <c r="W106" i="61"/>
  <c r="W120" i="61"/>
  <c r="W126" i="61"/>
  <c r="AC99" i="61"/>
  <c r="W101" i="61"/>
  <c r="W74" i="61"/>
  <c r="W78" i="61"/>
  <c r="AC119" i="61"/>
  <c r="AC131" i="61"/>
  <c r="AC138" i="61"/>
  <c r="W144" i="61"/>
  <c r="W149" i="61"/>
  <c r="AC132" i="61"/>
  <c r="W134" i="61"/>
  <c r="AC148" i="61"/>
  <c r="W75" i="61"/>
  <c r="AW7" i="61"/>
  <c r="AC112" i="61"/>
  <c r="AQ10" i="61"/>
  <c r="W63" i="61"/>
  <c r="W81" i="61"/>
  <c r="W30" i="61"/>
  <c r="AI7" i="61"/>
  <c r="BA10" i="61"/>
  <c r="W114" i="61"/>
  <c r="W26" i="61"/>
  <c r="W40" i="61"/>
  <c r="AC80" i="61"/>
  <c r="W89" i="61"/>
  <c r="AC95" i="61"/>
  <c r="W145" i="61"/>
  <c r="BG10" i="61"/>
  <c r="W67" i="61"/>
  <c r="AC34" i="61"/>
  <c r="AY7" i="61"/>
  <c r="AK10" i="61"/>
  <c r="AK7" i="61"/>
  <c r="BA7" i="61"/>
  <c r="AW10" i="61"/>
  <c r="W77" i="61"/>
  <c r="W70" i="61"/>
  <c r="W52" i="61"/>
  <c r="W57" i="61"/>
  <c r="W64" i="61"/>
  <c r="AC75" i="61"/>
  <c r="AC76" i="61"/>
  <c r="W41" i="61"/>
  <c r="AC89" i="61"/>
  <c r="AC74" i="61"/>
  <c r="AC108" i="61"/>
  <c r="W110" i="61"/>
  <c r="AC121" i="61"/>
  <c r="W123" i="61"/>
  <c r="W129" i="61"/>
  <c r="BH11" i="62"/>
  <c r="BH13" i="62" s="1"/>
  <c r="BG11" i="62"/>
  <c r="BG13" i="62" s="1"/>
  <c r="W13" i="62"/>
  <c r="BJ4" i="61"/>
  <c r="BI154" i="61"/>
  <c r="AC92" i="61"/>
  <c r="AC70" i="61"/>
  <c r="AC42" i="61"/>
  <c r="AC19" i="61"/>
  <c r="W65" i="61"/>
  <c r="AC69" i="61"/>
  <c r="AC87" i="61"/>
  <c r="AC66" i="61"/>
  <c r="W94" i="61"/>
  <c r="W98" i="61"/>
  <c r="AC102" i="61"/>
  <c r="AC106" i="61"/>
  <c r="AC111" i="61"/>
  <c r="AC124" i="61"/>
  <c r="AC134" i="61"/>
  <c r="BI9" i="61"/>
  <c r="AC107" i="61"/>
  <c r="AC38" i="61"/>
  <c r="AC93" i="61"/>
  <c r="AC97" i="61"/>
  <c r="W117" i="61"/>
  <c r="AC125" i="61"/>
  <c r="AC129" i="61"/>
  <c r="W131" i="61"/>
  <c r="W140" i="61"/>
  <c r="W141" i="61"/>
  <c r="W148" i="61"/>
  <c r="W152" i="61"/>
  <c r="AO7" i="61"/>
  <c r="BE7" i="61"/>
  <c r="AU10" i="61"/>
  <c r="AU11" i="61" s="1"/>
  <c r="AU13" i="61" s="1"/>
  <c r="W35" i="61"/>
  <c r="W53" i="61"/>
  <c r="AC28" i="61"/>
  <c r="AC29" i="61"/>
  <c r="W31" i="61"/>
  <c r="AC65" i="61"/>
  <c r="AC39" i="61"/>
  <c r="AC79" i="61"/>
  <c r="AC84" i="61"/>
  <c r="W86" i="61"/>
  <c r="W90" i="61"/>
  <c r="AC94" i="61"/>
  <c r="AC98" i="61"/>
  <c r="AC103" i="61"/>
  <c r="AC116" i="61"/>
  <c r="W118" i="61"/>
  <c r="W122" i="61"/>
  <c r="AC126" i="61"/>
  <c r="AC130" i="61"/>
  <c r="W136" i="61"/>
  <c r="AC140" i="61"/>
  <c r="AM7" i="61"/>
  <c r="BC7" i="61"/>
  <c r="AS10" i="61"/>
  <c r="AC44" i="61"/>
  <c r="W46" i="61"/>
  <c r="W50" i="61"/>
  <c r="AC53" i="61"/>
  <c r="W36" i="61"/>
  <c r="AC22" i="61"/>
  <c r="W20" i="61"/>
  <c r="W25" i="61"/>
  <c r="AC31" i="61"/>
  <c r="AC118" i="61"/>
  <c r="W132" i="61"/>
  <c r="W133" i="61"/>
  <c r="W150" i="61"/>
  <c r="AC114" i="61"/>
  <c r="AC63" i="61"/>
  <c r="AC71" i="61"/>
  <c r="BJ5" i="61"/>
  <c r="AC46" i="61"/>
  <c r="AC20" i="61"/>
  <c r="AC25" i="61"/>
  <c r="W34" i="61"/>
  <c r="AC41" i="61"/>
  <c r="AC82" i="61"/>
  <c r="W83" i="61"/>
  <c r="AC136" i="61"/>
  <c r="AC137" i="61"/>
  <c r="W139" i="61"/>
  <c r="W146" i="61"/>
  <c r="AS7" i="61"/>
  <c r="AI10" i="61"/>
  <c r="AY10" i="61"/>
  <c r="AC85" i="61"/>
  <c r="W107" i="61"/>
  <c r="W43" i="61"/>
  <c r="W59" i="61"/>
  <c r="AC23" i="61"/>
  <c r="AC68" i="61"/>
  <c r="W38" i="61"/>
  <c r="AC73" i="61"/>
  <c r="W93" i="61"/>
  <c r="AC101" i="61"/>
  <c r="AC105" i="61"/>
  <c r="BM9" i="60"/>
  <c r="X23" i="60"/>
  <c r="X136" i="60"/>
  <c r="AG115" i="60"/>
  <c r="AG123" i="60"/>
  <c r="AG65" i="60"/>
  <c r="X36" i="60"/>
  <c r="X68" i="60"/>
  <c r="X142" i="60"/>
  <c r="X146" i="60"/>
  <c r="X151" i="60"/>
  <c r="X124" i="60"/>
  <c r="X132" i="60"/>
  <c r="AS10" i="60"/>
  <c r="BI10" i="60"/>
  <c r="X67" i="60"/>
  <c r="X114" i="60"/>
  <c r="BM8" i="60"/>
  <c r="AG104" i="60"/>
  <c r="X135" i="60"/>
  <c r="X63" i="60"/>
  <c r="X58" i="60"/>
  <c r="X99" i="60"/>
  <c r="X24" i="60"/>
  <c r="AG85" i="60"/>
  <c r="X76" i="60"/>
  <c r="X93" i="60"/>
  <c r="X123" i="60"/>
  <c r="X31" i="60"/>
  <c r="X118" i="60"/>
  <c r="AG92" i="60"/>
  <c r="AG147" i="60"/>
  <c r="X101" i="60"/>
  <c r="X57" i="60"/>
  <c r="X21" i="60"/>
  <c r="X80" i="60"/>
  <c r="AG83" i="60"/>
  <c r="X88" i="60"/>
  <c r="BA10" i="60"/>
  <c r="AG76" i="60"/>
  <c r="AG78" i="60"/>
  <c r="AM10" i="60"/>
  <c r="BC10" i="60"/>
  <c r="X62" i="60"/>
  <c r="AG29" i="60"/>
  <c r="X116" i="60"/>
  <c r="X52" i="60"/>
  <c r="X54" i="60"/>
  <c r="X28" i="60"/>
  <c r="X26" i="60"/>
  <c r="X121" i="60"/>
  <c r="X153" i="60"/>
  <c r="X44" i="60"/>
  <c r="AO10" i="60"/>
  <c r="BE10" i="60"/>
  <c r="AW7" i="60"/>
  <c r="X35" i="60"/>
  <c r="X73" i="60"/>
  <c r="AG24" i="60"/>
  <c r="X29" i="60"/>
  <c r="X96" i="60"/>
  <c r="X129" i="60"/>
  <c r="X140" i="60"/>
  <c r="AU7" i="60"/>
  <c r="BK7" i="60"/>
  <c r="AQ10" i="60"/>
  <c r="BG10" i="60"/>
  <c r="X41" i="60"/>
  <c r="X149" i="60"/>
  <c r="X107" i="60"/>
  <c r="AY7" i="60"/>
  <c r="AU10" i="60"/>
  <c r="BK10" i="60"/>
  <c r="X75" i="60"/>
  <c r="AG48" i="60"/>
  <c r="X69" i="60"/>
  <c r="X37" i="60"/>
  <c r="AG35" i="60"/>
  <c r="AG75" i="60"/>
  <c r="X39" i="60"/>
  <c r="X45" i="60"/>
  <c r="X79" i="60"/>
  <c r="X98" i="60"/>
  <c r="X102" i="60"/>
  <c r="X152" i="60"/>
  <c r="AG77" i="60"/>
  <c r="X51" i="60"/>
  <c r="X25" i="60"/>
  <c r="AG45" i="60"/>
  <c r="AG97" i="60"/>
  <c r="X125" i="60"/>
  <c r="AG132" i="60"/>
  <c r="AG139" i="60"/>
  <c r="AG31" i="60"/>
  <c r="AG32" i="60"/>
  <c r="AG122" i="60"/>
  <c r="X71" i="60"/>
  <c r="BA7" i="60"/>
  <c r="AG111" i="60"/>
  <c r="AG116" i="60"/>
  <c r="AG52" i="60"/>
  <c r="AG66" i="60"/>
  <c r="AG25" i="60"/>
  <c r="X72" i="60"/>
  <c r="AG89" i="60"/>
  <c r="X106" i="60"/>
  <c r="AG102" i="60"/>
  <c r="AG119" i="60"/>
  <c r="AM7" i="60"/>
  <c r="BC7" i="60"/>
  <c r="BN6" i="60"/>
  <c r="X120" i="60"/>
  <c r="X20" i="60"/>
  <c r="AG50" i="60"/>
  <c r="X38" i="60"/>
  <c r="AG34" i="60"/>
  <c r="X40" i="60"/>
  <c r="X49" i="60"/>
  <c r="X70" i="60"/>
  <c r="X87" i="60"/>
  <c r="X108" i="60"/>
  <c r="AG112" i="60"/>
  <c r="AG137" i="60"/>
  <c r="X131" i="60"/>
  <c r="AG135" i="60"/>
  <c r="AG118" i="60"/>
  <c r="X109" i="60"/>
  <c r="X59" i="60"/>
  <c r="X56" i="60"/>
  <c r="X81" i="60"/>
  <c r="X33" i="60"/>
  <c r="AG47" i="60"/>
  <c r="X48" i="60"/>
  <c r="AG49" i="60"/>
  <c r="AG88" i="60"/>
  <c r="X105" i="60"/>
  <c r="AG93" i="60"/>
  <c r="X90" i="60"/>
  <c r="AG113" i="60"/>
  <c r="X110" i="60"/>
  <c r="X133" i="60"/>
  <c r="X138" i="60"/>
  <c r="X111" i="60"/>
  <c r="X60" i="60"/>
  <c r="AG22" i="60"/>
  <c r="X19" i="60"/>
  <c r="AG20" i="60"/>
  <c r="AG28" i="60"/>
  <c r="X46" i="60"/>
  <c r="AG38" i="60"/>
  <c r="AG44" i="60"/>
  <c r="X32" i="60"/>
  <c r="AG84" i="60"/>
  <c r="X83" i="60"/>
  <c r="AG105" i="60"/>
  <c r="X95" i="60"/>
  <c r="AG107" i="60"/>
  <c r="X94" i="60"/>
  <c r="X61" i="60"/>
  <c r="X128" i="60"/>
  <c r="X145" i="60"/>
  <c r="X143" i="60"/>
  <c r="X147" i="60"/>
  <c r="X53" i="60"/>
  <c r="X66" i="60"/>
  <c r="X43" i="60"/>
  <c r="X78" i="60"/>
  <c r="X91" i="60"/>
  <c r="X139" i="60"/>
  <c r="X104" i="60"/>
  <c r="AG125" i="60"/>
  <c r="X130" i="60"/>
  <c r="AG68" i="60"/>
  <c r="X144" i="60"/>
  <c r="X74" i="60"/>
  <c r="AG19" i="60"/>
  <c r="AG37" i="60"/>
  <c r="AG79" i="60"/>
  <c r="X85" i="60"/>
  <c r="AG80" i="60"/>
  <c r="X89" i="60"/>
  <c r="AG106" i="60"/>
  <c r="X112" i="60"/>
  <c r="AG131" i="60"/>
  <c r="AG138" i="60"/>
  <c r="AG128" i="60"/>
  <c r="AO7" i="60"/>
  <c r="AG72" i="60"/>
  <c r="AG40" i="60"/>
  <c r="X92" i="60"/>
  <c r="BE7" i="60"/>
  <c r="AQ7" i="60"/>
  <c r="BG7" i="60"/>
  <c r="AW10" i="60"/>
  <c r="AG120" i="60"/>
  <c r="X100" i="60"/>
  <c r="X77" i="60"/>
  <c r="AG53" i="60"/>
  <c r="AG59" i="60"/>
  <c r="AG69" i="60"/>
  <c r="X30" i="60"/>
  <c r="AG23" i="60"/>
  <c r="AG36" i="60"/>
  <c r="X42" i="60"/>
  <c r="AG86" i="60"/>
  <c r="AG98" i="60"/>
  <c r="AG94" i="60"/>
  <c r="AG108" i="60"/>
  <c r="AG71" i="60"/>
  <c r="AG129" i="60"/>
  <c r="X134" i="60"/>
  <c r="X141" i="60"/>
  <c r="AS7" i="60"/>
  <c r="BI7" i="60"/>
  <c r="AY10" i="60"/>
  <c r="AG109" i="60"/>
  <c r="AG63" i="60"/>
  <c r="X65" i="60"/>
  <c r="AG54" i="60"/>
  <c r="AG67" i="60"/>
  <c r="X22" i="60"/>
  <c r="X27" i="60"/>
  <c r="AG46" i="60"/>
  <c r="AG33" i="60"/>
  <c r="AG43" i="60"/>
  <c r="X34" i="60"/>
  <c r="AG42" i="60"/>
  <c r="X84" i="60"/>
  <c r="AG95" i="60"/>
  <c r="AG87" i="60"/>
  <c r="X97" i="60"/>
  <c r="AG99" i="60"/>
  <c r="AG61" i="60"/>
  <c r="X115" i="60"/>
  <c r="X137" i="60"/>
  <c r="AG133" i="60"/>
  <c r="AG140" i="60"/>
  <c r="X148" i="60"/>
  <c r="X117" i="60"/>
  <c r="AG100" i="60"/>
  <c r="AG60" i="60"/>
  <c r="X55" i="60"/>
  <c r="AG30" i="60"/>
  <c r="AG21" i="60"/>
  <c r="AG39" i="60"/>
  <c r="AG70" i="60"/>
  <c r="X82" i="60"/>
  <c r="X103" i="60"/>
  <c r="AG91" i="60"/>
  <c r="AG90" i="60"/>
  <c r="AG110" i="60"/>
  <c r="X119" i="60"/>
  <c r="X126" i="60"/>
  <c r="X127" i="60"/>
  <c r="BN9" i="60"/>
  <c r="AG101" i="60"/>
  <c r="AG121" i="60"/>
  <c r="AG124" i="60"/>
  <c r="AG148" i="60"/>
  <c r="BN4" i="60"/>
  <c r="BM154" i="60"/>
  <c r="AG117" i="60"/>
  <c r="AG114" i="60"/>
  <c r="X64" i="60"/>
  <c r="AG27" i="60"/>
  <c r="AG26" i="60"/>
  <c r="X50" i="60"/>
  <c r="AG41" i="60"/>
  <c r="X47" i="60"/>
  <c r="X86" i="60"/>
  <c r="AG82" i="60"/>
  <c r="AG103" i="60"/>
  <c r="AG96" i="60"/>
  <c r="X113" i="60"/>
  <c r="X122" i="60"/>
  <c r="AG126" i="60"/>
  <c r="AG134" i="60"/>
  <c r="X150" i="60"/>
  <c r="BJ8" i="61"/>
  <c r="BI6" i="61"/>
  <c r="BJ6" i="61"/>
  <c r="BI5" i="61"/>
  <c r="BI4" i="61"/>
  <c r="BJ9" i="61"/>
  <c r="BM6" i="60"/>
  <c r="BM5" i="60"/>
  <c r="BN8" i="60"/>
  <c r="BM4" i="60"/>
  <c r="BN5" i="60"/>
  <c r="BE11" i="61" l="1"/>
  <c r="BE13" i="61" s="1"/>
  <c r="AO11" i="61"/>
  <c r="AO13" i="61" s="1"/>
  <c r="X154" i="60"/>
  <c r="BC11" i="61"/>
  <c r="BC13" i="61" s="1"/>
  <c r="BC15" i="61" s="1"/>
  <c r="AM11" i="61"/>
  <c r="AM13" i="61" s="1"/>
  <c r="AM15" i="61" s="1"/>
  <c r="AQ11" i="61"/>
  <c r="AQ13" i="61" s="1"/>
  <c r="AQ16" i="61" s="1"/>
  <c r="BG11" i="61"/>
  <c r="BG13" i="61" s="1"/>
  <c r="BG16" i="61" s="1"/>
  <c r="BA11" i="61"/>
  <c r="BA13" i="61" s="1"/>
  <c r="BA15" i="61" s="1"/>
  <c r="AW11" i="61"/>
  <c r="AW13" i="61" s="1"/>
  <c r="AW15" i="61" s="1"/>
  <c r="BI10" i="61"/>
  <c r="AY11" i="61"/>
  <c r="AY13" i="61" s="1"/>
  <c r="AY16" i="61" s="1"/>
  <c r="AK11" i="61"/>
  <c r="AK13" i="61" s="1"/>
  <c r="AK15" i="61" s="1"/>
  <c r="AS11" i="61"/>
  <c r="AS13" i="61" s="1"/>
  <c r="AS15" i="61" s="1"/>
  <c r="AI11" i="61"/>
  <c r="AI13" i="61" s="1"/>
  <c r="BJ7" i="61"/>
  <c r="BI7" i="61"/>
  <c r="BM10" i="60"/>
  <c r="AU11" i="60"/>
  <c r="AU13" i="60" s="1"/>
  <c r="AU15" i="60" s="1"/>
  <c r="BK11" i="60"/>
  <c r="BK13" i="60" s="1"/>
  <c r="BK15" i="60" s="1"/>
  <c r="AS11" i="60"/>
  <c r="AS13" i="60" s="1"/>
  <c r="AS15" i="60" s="1"/>
  <c r="BA11" i="60"/>
  <c r="BA13" i="60" s="1"/>
  <c r="BA16" i="60" s="1"/>
  <c r="AQ11" i="60"/>
  <c r="AQ13" i="60" s="1"/>
  <c r="AQ15" i="60" s="1"/>
  <c r="BI11" i="60"/>
  <c r="BI13" i="60" s="1"/>
  <c r="BI15" i="60" s="1"/>
  <c r="BC11" i="60"/>
  <c r="BC13" i="60" s="1"/>
  <c r="BC15" i="60" s="1"/>
  <c r="AM11" i="60"/>
  <c r="AM13" i="60" s="1"/>
  <c r="AM15" i="60" s="1"/>
  <c r="AW11" i="60"/>
  <c r="AW13" i="60" s="1"/>
  <c r="AW15" i="60" s="1"/>
  <c r="BE11" i="60"/>
  <c r="BE13" i="60" s="1"/>
  <c r="BE15" i="60" s="1"/>
  <c r="BG11" i="60"/>
  <c r="BG13" i="60" s="1"/>
  <c r="BG15" i="60" s="1"/>
  <c r="AO11" i="60"/>
  <c r="AO13" i="60" s="1"/>
  <c r="AO16" i="60" s="1"/>
  <c r="AY11" i="60"/>
  <c r="AY13" i="60" s="1"/>
  <c r="AY15" i="60" s="1"/>
  <c r="BN10" i="60"/>
  <c r="BN7" i="60"/>
  <c r="BM7" i="60"/>
  <c r="BJ10" i="61"/>
  <c r="AU15" i="61"/>
  <c r="AU16" i="61"/>
  <c r="BE15" i="61"/>
  <c r="BE16" i="61"/>
  <c r="AO15" i="61"/>
  <c r="AO16" i="61"/>
  <c r="BC16" i="61" l="1"/>
  <c r="AM16" i="61"/>
  <c r="BG15" i="61"/>
  <c r="AW16" i="61"/>
  <c r="AK16" i="61"/>
  <c r="AQ15" i="61"/>
  <c r="BA16" i="61"/>
  <c r="AS16" i="61"/>
  <c r="AY15" i="61"/>
  <c r="BI11" i="61"/>
  <c r="BI13" i="61" s="1"/>
  <c r="BI15" i="61" s="1"/>
  <c r="BM11" i="60"/>
  <c r="BM13" i="60" s="1"/>
  <c r="BM15" i="60" s="1"/>
  <c r="AI15" i="61"/>
  <c r="AI16" i="61"/>
  <c r="BJ11" i="61"/>
  <c r="BJ13" i="61" s="1"/>
  <c r="BJ15" i="61" s="1"/>
  <c r="BK16" i="60"/>
  <c r="AQ16" i="60"/>
  <c r="AS16" i="60"/>
  <c r="AM16" i="60"/>
  <c r="BG16" i="60"/>
  <c r="AU16" i="60"/>
  <c r="BI16" i="60"/>
  <c r="BA15" i="60"/>
  <c r="BC16" i="60"/>
  <c r="AY16" i="60"/>
  <c r="BE16" i="60"/>
  <c r="AW16" i="60"/>
  <c r="AO15" i="60"/>
  <c r="BN11" i="60"/>
  <c r="BN13" i="60" s="1"/>
  <c r="BN15" i="60" s="1"/>
  <c r="BI16" i="61" l="1"/>
  <c r="BJ16" i="61"/>
  <c r="BM16" i="60"/>
  <c r="BN16" i="60"/>
  <c r="AA85" i="51" l="1"/>
  <c r="AB85" i="51"/>
  <c r="AC85" i="51"/>
  <c r="AH85" i="51"/>
  <c r="AI85" i="51"/>
  <c r="AJ85" i="51"/>
  <c r="AH8" i="51"/>
  <c r="AH6" i="51"/>
  <c r="AH5" i="51"/>
  <c r="AH9" i="51"/>
  <c r="AA8" i="51"/>
  <c r="BD9" i="56"/>
  <c r="BD8" i="56"/>
  <c r="BD6" i="56"/>
  <c r="BD5" i="56"/>
  <c r="BD4" i="56"/>
  <c r="BA9" i="49"/>
  <c r="BA8" i="49"/>
  <c r="BA6" i="49"/>
  <c r="BA5" i="49"/>
  <c r="BA4" i="49"/>
  <c r="BE14" i="29"/>
  <c r="BE12" i="29"/>
  <c r="BD12" i="29"/>
  <c r="BA9" i="29"/>
  <c r="BA8" i="29"/>
  <c r="BA6" i="29"/>
  <c r="BA5" i="29"/>
  <c r="BA4" i="29"/>
  <c r="BA10" i="29" l="1"/>
  <c r="BA7" i="29"/>
  <c r="AA9" i="51"/>
  <c r="AA10" i="51" s="1"/>
  <c r="AA6" i="51"/>
  <c r="AA5" i="51"/>
  <c r="BD10" i="56"/>
  <c r="BD7" i="56"/>
  <c r="BA10" i="49"/>
  <c r="BA7" i="49"/>
  <c r="BA11" i="29" l="1"/>
  <c r="BA13" i="29" s="1"/>
  <c r="BA15" i="29" s="1"/>
  <c r="BD11" i="56"/>
  <c r="BD13" i="56" s="1"/>
  <c r="BA11" i="49"/>
  <c r="BA13" i="49" s="1"/>
  <c r="AA7" i="51"/>
  <c r="AA11" i="51" s="1"/>
  <c r="AA13" i="51" s="1"/>
  <c r="BC28" i="59"/>
  <c r="BB28" i="59"/>
  <c r="BA28" i="59"/>
  <c r="AZ28" i="59"/>
  <c r="AY28" i="59"/>
  <c r="AX28" i="59"/>
  <c r="AW28" i="59"/>
  <c r="AV28" i="59"/>
  <c r="AU28" i="59"/>
  <c r="AT28" i="59"/>
  <c r="AS28" i="59"/>
  <c r="AR28" i="59"/>
  <c r="AQ28" i="59"/>
  <c r="AP28" i="59"/>
  <c r="AO28" i="59"/>
  <c r="AN28" i="59"/>
  <c r="AI28" i="59"/>
  <c r="AH28" i="59"/>
  <c r="AF28" i="59"/>
  <c r="AE28" i="59"/>
  <c r="Z28" i="59"/>
  <c r="Y28" i="59"/>
  <c r="X28" i="59"/>
  <c r="W28" i="59"/>
  <c r="V28" i="59"/>
  <c r="U28" i="59"/>
  <c r="T28" i="59"/>
  <c r="S28" i="59"/>
  <c r="R28" i="59"/>
  <c r="J28" i="59"/>
  <c r="BD27" i="59"/>
  <c r="AM27" i="59"/>
  <c r="AL27" i="59"/>
  <c r="AK27" i="59"/>
  <c r="AJ27" i="59"/>
  <c r="AG27" i="59"/>
  <c r="AC27" i="59"/>
  <c r="AB27" i="59"/>
  <c r="AB8" i="59" s="1"/>
  <c r="AB10" i="59" s="1"/>
  <c r="AA27" i="59"/>
  <c r="X27" i="59"/>
  <c r="BD26" i="59"/>
  <c r="AM26" i="59"/>
  <c r="AL26" i="59"/>
  <c r="AK26" i="59"/>
  <c r="AJ26" i="59"/>
  <c r="AG26" i="59"/>
  <c r="AD26" i="59"/>
  <c r="AC26" i="59"/>
  <c r="AB26" i="59"/>
  <c r="AA26" i="59"/>
  <c r="X26" i="59"/>
  <c r="BD25" i="59"/>
  <c r="AL25" i="59"/>
  <c r="AK25" i="59"/>
  <c r="AM25" i="59" s="1"/>
  <c r="AJ25" i="59"/>
  <c r="AG25" i="59"/>
  <c r="AD25" i="59"/>
  <c r="AC25" i="59"/>
  <c r="AB25" i="59"/>
  <c r="AA25" i="59"/>
  <c r="X25" i="59"/>
  <c r="BD24" i="59"/>
  <c r="AM24" i="59"/>
  <c r="AL24" i="59"/>
  <c r="AK24" i="59"/>
  <c r="AJ24" i="59"/>
  <c r="AG24" i="59"/>
  <c r="AC24" i="59"/>
  <c r="AB24" i="59"/>
  <c r="AD24" i="59" s="1"/>
  <c r="AA24" i="59"/>
  <c r="X24" i="59"/>
  <c r="BD23" i="59"/>
  <c r="AM23" i="59"/>
  <c r="AL23" i="59"/>
  <c r="AK23" i="59"/>
  <c r="AJ23" i="59"/>
  <c r="AG23" i="59"/>
  <c r="AD23" i="59"/>
  <c r="AC23" i="59"/>
  <c r="AB23" i="59"/>
  <c r="AA23" i="59"/>
  <c r="X23" i="59"/>
  <c r="BD22" i="59"/>
  <c r="AL22" i="59"/>
  <c r="AM22" i="59" s="1"/>
  <c r="AK22" i="59"/>
  <c r="AJ22" i="59"/>
  <c r="AG22" i="59"/>
  <c r="AC22" i="59"/>
  <c r="AB22" i="59"/>
  <c r="AD22" i="59" s="1"/>
  <c r="AA22" i="59"/>
  <c r="X22" i="59"/>
  <c r="BD21" i="59"/>
  <c r="AM21" i="59"/>
  <c r="AL21" i="59"/>
  <c r="AK21" i="59"/>
  <c r="AJ21" i="59"/>
  <c r="AG21" i="59"/>
  <c r="AC21" i="59"/>
  <c r="AD21" i="59" s="1"/>
  <c r="AB21" i="59"/>
  <c r="AA21" i="59"/>
  <c r="X21" i="59"/>
  <c r="BD20" i="59"/>
  <c r="AL20" i="59"/>
  <c r="AK20" i="59"/>
  <c r="AM20" i="59" s="1"/>
  <c r="AJ20" i="59"/>
  <c r="AG20" i="59"/>
  <c r="AD20" i="59"/>
  <c r="AC20" i="59"/>
  <c r="AB20" i="59"/>
  <c r="AA20" i="59"/>
  <c r="X20" i="59"/>
  <c r="BD19" i="59"/>
  <c r="AM19" i="59"/>
  <c r="AL19" i="59"/>
  <c r="AK19" i="59"/>
  <c r="AJ19" i="59"/>
  <c r="AG19" i="59"/>
  <c r="AC19" i="59"/>
  <c r="AB19" i="59"/>
  <c r="AD19" i="59" s="1"/>
  <c r="AA19" i="59"/>
  <c r="X19" i="59"/>
  <c r="BD18" i="59"/>
  <c r="AM18" i="59"/>
  <c r="AL18" i="59"/>
  <c r="AK18" i="59"/>
  <c r="AJ18" i="59"/>
  <c r="AG18" i="59"/>
  <c r="AD18" i="59"/>
  <c r="AC18" i="59"/>
  <c r="AB18" i="59"/>
  <c r="AA18" i="59"/>
  <c r="X18" i="59"/>
  <c r="BD17" i="59"/>
  <c r="AL17" i="59"/>
  <c r="AL28" i="59" s="1"/>
  <c r="AK17" i="59"/>
  <c r="AK28" i="59" s="1"/>
  <c r="AJ17" i="59"/>
  <c r="AG17" i="59"/>
  <c r="AD17" i="59"/>
  <c r="AC17" i="59"/>
  <c r="AB17" i="59"/>
  <c r="AA17" i="59"/>
  <c r="X17" i="59"/>
  <c r="BD16" i="59"/>
  <c r="BD28" i="59" s="1"/>
  <c r="AM16" i="59"/>
  <c r="AL16" i="59"/>
  <c r="AK16" i="59"/>
  <c r="AJ16" i="59"/>
  <c r="AG16" i="59"/>
  <c r="AC16" i="59"/>
  <c r="AB16" i="59"/>
  <c r="AB5" i="59" s="1"/>
  <c r="AB7" i="59" s="1"/>
  <c r="AA16" i="59"/>
  <c r="X16" i="59"/>
  <c r="BD15" i="59"/>
  <c r="AM15" i="59"/>
  <c r="AL15" i="59"/>
  <c r="AK15" i="59"/>
  <c r="AJ15" i="59"/>
  <c r="AJ28" i="59" s="1"/>
  <c r="AG15" i="59"/>
  <c r="AG28" i="59" s="1"/>
  <c r="AD15" i="59"/>
  <c r="AC15" i="59"/>
  <c r="AC28" i="59" s="1"/>
  <c r="AB15" i="59"/>
  <c r="AB28" i="59" s="1"/>
  <c r="AA15" i="59"/>
  <c r="AA28" i="59" s="1"/>
  <c r="X15" i="59"/>
  <c r="BE12" i="59"/>
  <c r="BD12" i="59"/>
  <c r="AX10" i="59"/>
  <c r="AX11" i="59" s="1"/>
  <c r="AX13" i="59" s="1"/>
  <c r="AV10" i="59"/>
  <c r="AT10" i="59"/>
  <c r="AE10" i="59"/>
  <c r="AE11" i="59" s="1"/>
  <c r="AE13" i="59" s="1"/>
  <c r="Y10" i="59"/>
  <c r="BB9" i="59"/>
  <c r="AZ9" i="59"/>
  <c r="AX9" i="59"/>
  <c r="AV9" i="59"/>
  <c r="AT9" i="59"/>
  <c r="AR9" i="59"/>
  <c r="AP9" i="59"/>
  <c r="AN9" i="59"/>
  <c r="AK9" i="59"/>
  <c r="AK10" i="59" s="1"/>
  <c r="AH9" i="59"/>
  <c r="AE9" i="59"/>
  <c r="AB9" i="59"/>
  <c r="Y9" i="59"/>
  <c r="V9" i="59"/>
  <c r="BE9" i="59" s="1"/>
  <c r="T9" i="59"/>
  <c r="R9" i="59"/>
  <c r="BD8" i="59"/>
  <c r="BB8" i="59"/>
  <c r="BB10" i="59" s="1"/>
  <c r="AZ8" i="59"/>
  <c r="AZ10" i="59" s="1"/>
  <c r="AX8" i="59"/>
  <c r="AV8" i="59"/>
  <c r="AT8" i="59"/>
  <c r="AR8" i="59"/>
  <c r="AR10" i="59" s="1"/>
  <c r="AR11" i="59" s="1"/>
  <c r="AR13" i="59" s="1"/>
  <c r="AP8" i="59"/>
  <c r="AP10" i="59" s="1"/>
  <c r="AP11" i="59" s="1"/>
  <c r="AP13" i="59" s="1"/>
  <c r="AN8" i="59"/>
  <c r="AN10" i="59" s="1"/>
  <c r="AN11" i="59" s="1"/>
  <c r="AN13" i="59" s="1"/>
  <c r="AK8" i="59"/>
  <c r="AH8" i="59"/>
  <c r="AH10" i="59" s="1"/>
  <c r="AE8" i="59"/>
  <c r="Y8" i="59"/>
  <c r="V8" i="59"/>
  <c r="V10" i="59" s="1"/>
  <c r="T8" i="59"/>
  <c r="T10" i="59" s="1"/>
  <c r="T11" i="59" s="1"/>
  <c r="T13" i="59" s="1"/>
  <c r="R8" i="59"/>
  <c r="R10" i="59" s="1"/>
  <c r="AT7" i="59"/>
  <c r="AT11" i="59" s="1"/>
  <c r="AT13" i="59" s="1"/>
  <c r="AR7" i="59"/>
  <c r="AP7" i="59"/>
  <c r="Y7" i="59"/>
  <c r="Y11" i="59" s="1"/>
  <c r="Y13" i="59" s="1"/>
  <c r="V7" i="59"/>
  <c r="T7" i="59"/>
  <c r="BB6" i="59"/>
  <c r="AZ6" i="59"/>
  <c r="AX6" i="59"/>
  <c r="AV6" i="59"/>
  <c r="AT6" i="59"/>
  <c r="AR6" i="59"/>
  <c r="AP6" i="59"/>
  <c r="AN6" i="59"/>
  <c r="AH6" i="59"/>
  <c r="AE6" i="59"/>
  <c r="AB6" i="59"/>
  <c r="Y6" i="59"/>
  <c r="V6" i="59"/>
  <c r="BE6" i="59" s="1"/>
  <c r="T6" i="59"/>
  <c r="R6" i="59"/>
  <c r="BB5" i="59"/>
  <c r="BB7" i="59" s="1"/>
  <c r="AZ5" i="59"/>
  <c r="AZ7" i="59" s="1"/>
  <c r="AX5" i="59"/>
  <c r="AX7" i="59" s="1"/>
  <c r="AV5" i="59"/>
  <c r="AV7" i="59" s="1"/>
  <c r="AT5" i="59"/>
  <c r="AR5" i="59"/>
  <c r="AP5" i="59"/>
  <c r="AN5" i="59"/>
  <c r="AN7" i="59" s="1"/>
  <c r="AK5" i="59"/>
  <c r="AH5" i="59"/>
  <c r="AH7" i="59" s="1"/>
  <c r="AE5" i="59"/>
  <c r="AE7" i="59" s="1"/>
  <c r="Y5" i="59"/>
  <c r="V5" i="59"/>
  <c r="BE5" i="59" s="1"/>
  <c r="T5" i="59"/>
  <c r="R5" i="59"/>
  <c r="R7" i="59" s="1"/>
  <c r="BD4" i="59"/>
  <c r="BB4" i="59"/>
  <c r="AZ4" i="59"/>
  <c r="AX4" i="59"/>
  <c r="AV4" i="59"/>
  <c r="AT4" i="59"/>
  <c r="AR4" i="59"/>
  <c r="AP4" i="59"/>
  <c r="AN4" i="59"/>
  <c r="BE4" i="59" s="1"/>
  <c r="AH4" i="59"/>
  <c r="AE4" i="59"/>
  <c r="Y4" i="59"/>
  <c r="V4" i="59"/>
  <c r="T4" i="59"/>
  <c r="W4" i="29"/>
  <c r="BA16" i="29" l="1"/>
  <c r="AK7" i="59"/>
  <c r="V11" i="59"/>
  <c r="BE10" i="59"/>
  <c r="BD10" i="59"/>
  <c r="BE7" i="59"/>
  <c r="AV11" i="59"/>
  <c r="AV13" i="59" s="1"/>
  <c r="AB11" i="59"/>
  <c r="AB13" i="59" s="1"/>
  <c r="AH11" i="59"/>
  <c r="AH13" i="59" s="1"/>
  <c r="AZ11" i="59"/>
  <c r="AZ13" i="59" s="1"/>
  <c r="BB11" i="59"/>
  <c r="BB13" i="59" s="1"/>
  <c r="AK11" i="59"/>
  <c r="AK13" i="59" s="1"/>
  <c r="R11" i="59"/>
  <c r="BE8" i="59"/>
  <c r="BD5" i="59"/>
  <c r="BD9" i="59"/>
  <c r="AD16" i="59"/>
  <c r="AD28" i="59" s="1"/>
  <c r="AM17" i="59"/>
  <c r="AM28" i="59" s="1"/>
  <c r="AK6" i="59"/>
  <c r="AD27" i="59"/>
  <c r="BD6" i="59"/>
  <c r="BD7" i="59"/>
  <c r="AH8" i="49"/>
  <c r="J25" i="58"/>
  <c r="S25" i="58"/>
  <c r="T25" i="58"/>
  <c r="U25" i="58"/>
  <c r="V25" i="58"/>
  <c r="W25" i="58"/>
  <c r="X25" i="58"/>
  <c r="Z25" i="58"/>
  <c r="AA25" i="58"/>
  <c r="AF25" i="58"/>
  <c r="AG25" i="58"/>
  <c r="AI25" i="58"/>
  <c r="AJ25" i="58"/>
  <c r="AO25" i="58"/>
  <c r="AP25" i="58"/>
  <c r="AQ25" i="58"/>
  <c r="AR25" i="58"/>
  <c r="AS25" i="58"/>
  <c r="AT25" i="58"/>
  <c r="AU25" i="58"/>
  <c r="AV25" i="58"/>
  <c r="AW25" i="58"/>
  <c r="AX25" i="58"/>
  <c r="AY25" i="58"/>
  <c r="AZ25" i="58"/>
  <c r="BA25" i="58"/>
  <c r="BB25" i="58"/>
  <c r="BC25" i="58"/>
  <c r="BD25" i="58"/>
  <c r="Y15" i="58"/>
  <c r="Y17" i="58"/>
  <c r="Y21" i="58"/>
  <c r="Y18" i="58"/>
  <c r="Y19" i="58"/>
  <c r="Y20" i="58"/>
  <c r="Y23" i="58"/>
  <c r="Y16" i="58"/>
  <c r="Y24" i="58"/>
  <c r="Y22" i="58"/>
  <c r="AB15" i="58"/>
  <c r="AB17" i="58"/>
  <c r="AB21" i="58"/>
  <c r="AB18" i="58"/>
  <c r="AB19" i="58"/>
  <c r="AB20" i="58"/>
  <c r="AB23" i="58"/>
  <c r="AB16" i="58"/>
  <c r="AB24" i="58"/>
  <c r="AB22" i="58"/>
  <c r="AC15" i="58"/>
  <c r="AC17" i="58"/>
  <c r="AC21" i="58"/>
  <c r="AC18" i="58"/>
  <c r="AC19" i="58"/>
  <c r="AC20" i="58"/>
  <c r="AC23" i="58"/>
  <c r="AE23" i="58" s="1"/>
  <c r="AC16" i="58"/>
  <c r="AE16" i="58" s="1"/>
  <c r="AC24" i="58"/>
  <c r="AC22" i="58"/>
  <c r="AD15" i="58"/>
  <c r="AD17" i="58"/>
  <c r="AD21" i="58"/>
  <c r="AE21" i="58" s="1"/>
  <c r="AD18" i="58"/>
  <c r="AD19" i="58"/>
  <c r="AD20" i="58"/>
  <c r="AD23" i="58"/>
  <c r="AD16" i="58"/>
  <c r="AD24" i="58"/>
  <c r="AD22" i="58"/>
  <c r="AE15" i="58"/>
  <c r="AE24" i="58"/>
  <c r="AH15" i="58"/>
  <c r="AH17" i="58"/>
  <c r="AH21" i="58"/>
  <c r="AH18" i="58"/>
  <c r="AH19" i="58"/>
  <c r="AH20" i="58"/>
  <c r="AH23" i="58"/>
  <c r="AH16" i="58"/>
  <c r="AH24" i="58"/>
  <c r="AH22" i="58"/>
  <c r="AK15" i="58"/>
  <c r="AK17" i="58"/>
  <c r="AK21" i="58"/>
  <c r="AK18" i="58"/>
  <c r="AK19" i="58"/>
  <c r="AK20" i="58"/>
  <c r="AK23" i="58"/>
  <c r="AK16" i="58"/>
  <c r="AK24" i="58"/>
  <c r="AK22" i="58"/>
  <c r="AL15" i="58"/>
  <c r="AL17" i="58"/>
  <c r="AL21" i="58"/>
  <c r="AL18" i="58"/>
  <c r="AL19" i="58"/>
  <c r="AL20" i="58"/>
  <c r="AL23" i="58"/>
  <c r="AL16" i="58"/>
  <c r="AL24" i="58"/>
  <c r="AL22" i="58"/>
  <c r="AM15" i="58"/>
  <c r="AM17" i="58"/>
  <c r="AM21" i="58"/>
  <c r="AM18" i="58"/>
  <c r="AM19" i="58"/>
  <c r="AM20" i="58"/>
  <c r="AM23" i="58"/>
  <c r="AM16" i="58"/>
  <c r="AM24" i="58"/>
  <c r="AM22" i="58"/>
  <c r="BE15" i="58"/>
  <c r="BE17" i="58"/>
  <c r="BE21" i="58"/>
  <c r="BE18" i="58"/>
  <c r="BE19" i="58"/>
  <c r="BE20" i="58"/>
  <c r="BE23" i="58"/>
  <c r="BE16" i="58"/>
  <c r="BE24" i="58"/>
  <c r="BE22" i="58"/>
  <c r="BF12" i="58"/>
  <c r="BE12" i="58"/>
  <c r="BC9" i="58"/>
  <c r="BA9" i="58"/>
  <c r="AY9" i="58"/>
  <c r="AW9" i="58"/>
  <c r="AU9" i="58"/>
  <c r="AS9" i="58"/>
  <c r="AQ9" i="58"/>
  <c r="AO9" i="58"/>
  <c r="AL9" i="58"/>
  <c r="AI9" i="58"/>
  <c r="AF9" i="58"/>
  <c r="AC9" i="58"/>
  <c r="Z9" i="58"/>
  <c r="W9" i="58"/>
  <c r="U9" i="58"/>
  <c r="S9" i="58"/>
  <c r="BC8" i="58"/>
  <c r="BA8" i="58"/>
  <c r="AY8" i="58"/>
  <c r="AW8" i="58"/>
  <c r="AW10" i="58" s="1"/>
  <c r="AU8" i="58"/>
  <c r="AU10" i="58" s="1"/>
  <c r="AS8" i="58"/>
  <c r="AS10" i="58" s="1"/>
  <c r="AQ8" i="58"/>
  <c r="AO8" i="58"/>
  <c r="AL8" i="58"/>
  <c r="AI8" i="58"/>
  <c r="AF8" i="58"/>
  <c r="AF10" i="58" s="1"/>
  <c r="AC8" i="58"/>
  <c r="Z8" i="58"/>
  <c r="Z10" i="58" s="1"/>
  <c r="W8" i="58"/>
  <c r="U8" i="58"/>
  <c r="S8" i="58"/>
  <c r="S10" i="58" s="1"/>
  <c r="BC6" i="58"/>
  <c r="BA6" i="58"/>
  <c r="AY6" i="58"/>
  <c r="AW6" i="58"/>
  <c r="AU6" i="58"/>
  <c r="AS6" i="58"/>
  <c r="AQ6" i="58"/>
  <c r="AO6" i="58"/>
  <c r="AI6" i="58"/>
  <c r="AF6" i="58"/>
  <c r="Z6" i="58"/>
  <c r="W6" i="58"/>
  <c r="U6" i="58"/>
  <c r="S6" i="58"/>
  <c r="BC5" i="58"/>
  <c r="BA5" i="58"/>
  <c r="AY5" i="58"/>
  <c r="AW5" i="58"/>
  <c r="AU5" i="58"/>
  <c r="AS5" i="58"/>
  <c r="AQ5" i="58"/>
  <c r="AO5" i="58"/>
  <c r="AI5" i="58"/>
  <c r="AF5" i="58"/>
  <c r="Z5" i="58"/>
  <c r="W5" i="58"/>
  <c r="U5" i="58"/>
  <c r="S5" i="58"/>
  <c r="BC4" i="58"/>
  <c r="BA4" i="58"/>
  <c r="AY4" i="58"/>
  <c r="AW4" i="58"/>
  <c r="AU4" i="58"/>
  <c r="AS4" i="58"/>
  <c r="AQ4" i="58"/>
  <c r="AO4" i="58"/>
  <c r="AI4" i="58"/>
  <c r="AF4" i="58"/>
  <c r="Z4" i="58"/>
  <c r="W4" i="58"/>
  <c r="BE4" i="58" s="1"/>
  <c r="U4" i="58"/>
  <c r="AK8" i="56"/>
  <c r="BH12" i="56"/>
  <c r="BG12" i="56"/>
  <c r="BB9" i="56"/>
  <c r="AZ9" i="56"/>
  <c r="AX9" i="56"/>
  <c r="AV9" i="56"/>
  <c r="AT9" i="56"/>
  <c r="AR9" i="56"/>
  <c r="AP9" i="56"/>
  <c r="AN9" i="56"/>
  <c r="AK9" i="56"/>
  <c r="AH9" i="56"/>
  <c r="AE9" i="56"/>
  <c r="AB9" i="56"/>
  <c r="Y9" i="56"/>
  <c r="V9" i="56"/>
  <c r="T9" i="56"/>
  <c r="R9" i="56"/>
  <c r="BB8" i="56"/>
  <c r="BB10" i="56" s="1"/>
  <c r="AZ8" i="56"/>
  <c r="AX8" i="56"/>
  <c r="AV8" i="56"/>
  <c r="AT8" i="56"/>
  <c r="AR8" i="56"/>
  <c r="AP8" i="56"/>
  <c r="AN8" i="56"/>
  <c r="AH8" i="56"/>
  <c r="AE8" i="56"/>
  <c r="AB8" i="56"/>
  <c r="Y8" i="56"/>
  <c r="V8" i="56"/>
  <c r="T8" i="56"/>
  <c r="R8" i="56"/>
  <c r="BB6" i="56"/>
  <c r="AZ6" i="56"/>
  <c r="AX6" i="56"/>
  <c r="AV6" i="56"/>
  <c r="AT6" i="56"/>
  <c r="AR6" i="56"/>
  <c r="AP6" i="56"/>
  <c r="AN6" i="56"/>
  <c r="AH6" i="56"/>
  <c r="AE6" i="56"/>
  <c r="Y6" i="56"/>
  <c r="V6" i="56"/>
  <c r="T6" i="56"/>
  <c r="R6" i="56"/>
  <c r="BB5" i="56"/>
  <c r="AZ5" i="56"/>
  <c r="AX5" i="56"/>
  <c r="AV5" i="56"/>
  <c r="AT5" i="56"/>
  <c r="AR5" i="56"/>
  <c r="AP5" i="56"/>
  <c r="AN5" i="56"/>
  <c r="AH5" i="56"/>
  <c r="AE5" i="56"/>
  <c r="Y5" i="56"/>
  <c r="V5" i="56"/>
  <c r="T5" i="56"/>
  <c r="R5" i="56"/>
  <c r="BB4" i="56"/>
  <c r="AZ4" i="56"/>
  <c r="AX4" i="56"/>
  <c r="AV4" i="56"/>
  <c r="AT4" i="56"/>
  <c r="AR4" i="56"/>
  <c r="AP4" i="56"/>
  <c r="AN4" i="56"/>
  <c r="AH4" i="56"/>
  <c r="AE4" i="56"/>
  <c r="Y4" i="56"/>
  <c r="V4" i="56"/>
  <c r="T4" i="56"/>
  <c r="BD28" i="54"/>
  <c r="BC28" i="54"/>
  <c r="BB28" i="54"/>
  <c r="BA28" i="54"/>
  <c r="AZ28" i="54"/>
  <c r="AY28" i="54"/>
  <c r="AX28" i="54"/>
  <c r="AW28" i="54"/>
  <c r="AV28" i="54"/>
  <c r="AU28" i="54"/>
  <c r="AT28" i="54"/>
  <c r="AS28" i="54"/>
  <c r="AR28" i="54"/>
  <c r="AQ28" i="54"/>
  <c r="AP28" i="54"/>
  <c r="AO28" i="54"/>
  <c r="AJ28" i="54"/>
  <c r="AI28" i="54"/>
  <c r="AG28" i="54"/>
  <c r="AF28" i="54"/>
  <c r="AA28" i="54"/>
  <c r="Z28" i="54"/>
  <c r="X28" i="54"/>
  <c r="W28" i="54"/>
  <c r="V28" i="54"/>
  <c r="U28" i="54"/>
  <c r="T28" i="54"/>
  <c r="S28" i="54"/>
  <c r="J28" i="54"/>
  <c r="BE27" i="54"/>
  <c r="AM27" i="54"/>
  <c r="AL27" i="54"/>
  <c r="AK27" i="54"/>
  <c r="AH27" i="54"/>
  <c r="AD27" i="54"/>
  <c r="AC27" i="54"/>
  <c r="AE27" i="54" s="1"/>
  <c r="AB27" i="54"/>
  <c r="Y27" i="54"/>
  <c r="BE26" i="54"/>
  <c r="AM26" i="54"/>
  <c r="AL26" i="54"/>
  <c r="AN26" i="54" s="1"/>
  <c r="AK26" i="54"/>
  <c r="AH26" i="54"/>
  <c r="AD26" i="54"/>
  <c r="AC26" i="54"/>
  <c r="AB26" i="54"/>
  <c r="Y26" i="54"/>
  <c r="BE23" i="54"/>
  <c r="AM23" i="54"/>
  <c r="AL23" i="54"/>
  <c r="AK23" i="54"/>
  <c r="AH23" i="54"/>
  <c r="AD23" i="54"/>
  <c r="AC23" i="54"/>
  <c r="AB23" i="54"/>
  <c r="Y23" i="54"/>
  <c r="BE25" i="54"/>
  <c r="AM25" i="54"/>
  <c r="AL25" i="54"/>
  <c r="AK25" i="54"/>
  <c r="AH25" i="54"/>
  <c r="AE25" i="54"/>
  <c r="AD25" i="54"/>
  <c r="AC25" i="54"/>
  <c r="AB25" i="54"/>
  <c r="Y25" i="54"/>
  <c r="BE22" i="54"/>
  <c r="AM22" i="54"/>
  <c r="AL22" i="54"/>
  <c r="AK22" i="54"/>
  <c r="AH22" i="54"/>
  <c r="AD22" i="54"/>
  <c r="AC22" i="54"/>
  <c r="AB22" i="54"/>
  <c r="Y22" i="54"/>
  <c r="BE21" i="54"/>
  <c r="AM21" i="54"/>
  <c r="AL21" i="54"/>
  <c r="AK21" i="54"/>
  <c r="AH21" i="54"/>
  <c r="AD21" i="54"/>
  <c r="AC21" i="54"/>
  <c r="AB21" i="54"/>
  <c r="Y21" i="54"/>
  <c r="BE24" i="54"/>
  <c r="AM24" i="54"/>
  <c r="AN24" i="54" s="1"/>
  <c r="AL24" i="54"/>
  <c r="AK24" i="54"/>
  <c r="AH24" i="54"/>
  <c r="AD24" i="54"/>
  <c r="AC24" i="54"/>
  <c r="AB24" i="54"/>
  <c r="Y24" i="54"/>
  <c r="BE20" i="54"/>
  <c r="AM20" i="54"/>
  <c r="AL20" i="54"/>
  <c r="AK20" i="54"/>
  <c r="AH20" i="54"/>
  <c r="AD20" i="54"/>
  <c r="AC20" i="54"/>
  <c r="AB20" i="54"/>
  <c r="Y20" i="54"/>
  <c r="BE19" i="54"/>
  <c r="AM19" i="54"/>
  <c r="AL19" i="54"/>
  <c r="AK19" i="54"/>
  <c r="AH19" i="54"/>
  <c r="AD19" i="54"/>
  <c r="AC19" i="54"/>
  <c r="AB19" i="54"/>
  <c r="Y19" i="54"/>
  <c r="BE18" i="54"/>
  <c r="AM18" i="54"/>
  <c r="AL18" i="54"/>
  <c r="AK18" i="54"/>
  <c r="AH18" i="54"/>
  <c r="AD18" i="54"/>
  <c r="AC18" i="54"/>
  <c r="AB18" i="54"/>
  <c r="Y18" i="54"/>
  <c r="BE17" i="54"/>
  <c r="AM17" i="54"/>
  <c r="AL17" i="54"/>
  <c r="AN17" i="54" s="1"/>
  <c r="AK17" i="54"/>
  <c r="AH17" i="54"/>
  <c r="AD17" i="54"/>
  <c r="AC17" i="54"/>
  <c r="AB17" i="54"/>
  <c r="Y17" i="54"/>
  <c r="BE16" i="54"/>
  <c r="AM16" i="54"/>
  <c r="AL16" i="54"/>
  <c r="AK16" i="54"/>
  <c r="AH16" i="54"/>
  <c r="AD16" i="54"/>
  <c r="AC16" i="54"/>
  <c r="AE16" i="54" s="1"/>
  <c r="AB16" i="54"/>
  <c r="Y16" i="54"/>
  <c r="BE15" i="54"/>
  <c r="AM15" i="54"/>
  <c r="AL15" i="54"/>
  <c r="AK15" i="54"/>
  <c r="AH15" i="54"/>
  <c r="AD15" i="54"/>
  <c r="AC15" i="54"/>
  <c r="AB15" i="54"/>
  <c r="Y15" i="54"/>
  <c r="BF12" i="54"/>
  <c r="BE12" i="54"/>
  <c r="BC9" i="54"/>
  <c r="BA9" i="54"/>
  <c r="AY9" i="54"/>
  <c r="AW9" i="54"/>
  <c r="AU9" i="54"/>
  <c r="AS9" i="54"/>
  <c r="AQ9" i="54"/>
  <c r="AO9" i="54"/>
  <c r="AL9" i="54"/>
  <c r="AI9" i="54"/>
  <c r="AF9" i="54"/>
  <c r="AC9" i="54"/>
  <c r="Z9" i="54"/>
  <c r="W9" i="54"/>
  <c r="U9" i="54"/>
  <c r="S9" i="54"/>
  <c r="BC8" i="54"/>
  <c r="BC10" i="54" s="1"/>
  <c r="BA8" i="54"/>
  <c r="BA10" i="54" s="1"/>
  <c r="AY8" i="54"/>
  <c r="AY10" i="54" s="1"/>
  <c r="AW8" i="54"/>
  <c r="AW10" i="54" s="1"/>
  <c r="AU8" i="54"/>
  <c r="AU10" i="54" s="1"/>
  <c r="AS8" i="54"/>
  <c r="AS10" i="54" s="1"/>
  <c r="AQ8" i="54"/>
  <c r="AQ10" i="54" s="1"/>
  <c r="AO8" i="54"/>
  <c r="AI8" i="54"/>
  <c r="AI10" i="54" s="1"/>
  <c r="AF8" i="54"/>
  <c r="AF10" i="54" s="1"/>
  <c r="AC8" i="54"/>
  <c r="Z8" i="54"/>
  <c r="Z10" i="54" s="1"/>
  <c r="W8" i="54"/>
  <c r="U8" i="54"/>
  <c r="U10" i="54" s="1"/>
  <c r="S8" i="54"/>
  <c r="S10" i="54" s="1"/>
  <c r="BC6" i="54"/>
  <c r="BA6" i="54"/>
  <c r="AY6" i="54"/>
  <c r="AW6" i="54"/>
  <c r="AU6" i="54"/>
  <c r="AS6" i="54"/>
  <c r="AQ6" i="54"/>
  <c r="AO6" i="54"/>
  <c r="AI6" i="54"/>
  <c r="AF6" i="54"/>
  <c r="Z6" i="54"/>
  <c r="W6" i="54"/>
  <c r="U6" i="54"/>
  <c r="S6" i="54"/>
  <c r="BC5" i="54"/>
  <c r="BC7" i="54" s="1"/>
  <c r="BA5" i="54"/>
  <c r="AY5" i="54"/>
  <c r="AW5" i="54"/>
  <c r="AW7" i="54" s="1"/>
  <c r="AU5" i="54"/>
  <c r="AS5" i="54"/>
  <c r="AQ5" i="54"/>
  <c r="AQ7" i="54" s="1"/>
  <c r="AO5" i="54"/>
  <c r="AI5" i="54"/>
  <c r="AF5" i="54"/>
  <c r="Z5" i="54"/>
  <c r="W5" i="54"/>
  <c r="W7" i="54" s="1"/>
  <c r="U5" i="54"/>
  <c r="S5" i="54"/>
  <c r="BC4" i="54"/>
  <c r="BA4" i="54"/>
  <c r="AY4" i="54"/>
  <c r="AW4" i="54"/>
  <c r="AU4" i="54"/>
  <c r="AS4" i="54"/>
  <c r="AQ4" i="54"/>
  <c r="AO4" i="54"/>
  <c r="AI4" i="54"/>
  <c r="AF4" i="54"/>
  <c r="Z4" i="54"/>
  <c r="W4" i="54"/>
  <c r="U4" i="54"/>
  <c r="U4" i="49"/>
  <c r="W4" i="49"/>
  <c r="Y4" i="49"/>
  <c r="AD4" i="49"/>
  <c r="AF4" i="49"/>
  <c r="AK4" i="49"/>
  <c r="AM4" i="49"/>
  <c r="AO4" i="49"/>
  <c r="AQ4" i="49"/>
  <c r="AS4" i="49"/>
  <c r="AU4" i="49"/>
  <c r="AW4" i="49"/>
  <c r="AY4" i="49"/>
  <c r="S5" i="49"/>
  <c r="U5" i="49"/>
  <c r="W5" i="49"/>
  <c r="Y5" i="49"/>
  <c r="AD5" i="49"/>
  <c r="AF5" i="49"/>
  <c r="AK5" i="49"/>
  <c r="AM5" i="49"/>
  <c r="AO5" i="49"/>
  <c r="AQ5" i="49"/>
  <c r="AS5" i="49"/>
  <c r="AU5" i="49"/>
  <c r="AW5" i="49"/>
  <c r="AY5" i="49"/>
  <c r="S6" i="49"/>
  <c r="U6" i="49"/>
  <c r="W6" i="49"/>
  <c r="Y6" i="49"/>
  <c r="AD6" i="49"/>
  <c r="AF6" i="49"/>
  <c r="AK6" i="49"/>
  <c r="AM6" i="49"/>
  <c r="AO6" i="49"/>
  <c r="AQ6" i="49"/>
  <c r="AS6" i="49"/>
  <c r="AU6" i="49"/>
  <c r="AW6" i="49"/>
  <c r="AY6" i="49"/>
  <c r="S8" i="49"/>
  <c r="U8" i="49"/>
  <c r="W8" i="49"/>
  <c r="Y8" i="49"/>
  <c r="AD8" i="49"/>
  <c r="AF8" i="49"/>
  <c r="AK8" i="49"/>
  <c r="AM8" i="49"/>
  <c r="AO8" i="49"/>
  <c r="AQ8" i="49"/>
  <c r="AS8" i="49"/>
  <c r="AU8" i="49"/>
  <c r="AW8" i="49"/>
  <c r="AY8" i="49"/>
  <c r="S9" i="49"/>
  <c r="U9" i="49"/>
  <c r="W9" i="49"/>
  <c r="Y9" i="49"/>
  <c r="AA9" i="49"/>
  <c r="AD9" i="49"/>
  <c r="AF9" i="49"/>
  <c r="AH9" i="49"/>
  <c r="AK9" i="49"/>
  <c r="AM9" i="49"/>
  <c r="AO9" i="49"/>
  <c r="AQ9" i="49"/>
  <c r="AS9" i="49"/>
  <c r="AU9" i="49"/>
  <c r="AW9" i="49"/>
  <c r="AY9" i="49"/>
  <c r="BD12" i="49"/>
  <c r="BE12" i="49"/>
  <c r="BD14" i="51"/>
  <c r="BC14" i="51"/>
  <c r="BD12" i="51"/>
  <c r="BC12" i="51"/>
  <c r="AY9" i="51"/>
  <c r="AW9" i="51"/>
  <c r="AU9" i="51"/>
  <c r="AS9" i="51"/>
  <c r="AQ9" i="51"/>
  <c r="AO9" i="51"/>
  <c r="AM9" i="51"/>
  <c r="AK9" i="51"/>
  <c r="AF9" i="51"/>
  <c r="AD9" i="51"/>
  <c r="Y9" i="51"/>
  <c r="W9" i="51"/>
  <c r="U9" i="51"/>
  <c r="S9" i="51"/>
  <c r="AY8" i="51"/>
  <c r="AW8" i="51"/>
  <c r="AU8" i="51"/>
  <c r="AS8" i="51"/>
  <c r="AQ8" i="51"/>
  <c r="AO8" i="51"/>
  <c r="AM8" i="51"/>
  <c r="AK8" i="51"/>
  <c r="AF8" i="51"/>
  <c r="AD8" i="51"/>
  <c r="Y8" i="51"/>
  <c r="W8" i="51"/>
  <c r="U8" i="51"/>
  <c r="S8" i="51"/>
  <c r="AY6" i="51"/>
  <c r="AW6" i="51"/>
  <c r="AU6" i="51"/>
  <c r="AS6" i="51"/>
  <c r="AQ6" i="51"/>
  <c r="AO6" i="51"/>
  <c r="AM6" i="51"/>
  <c r="AK6" i="51"/>
  <c r="AF6" i="51"/>
  <c r="AD6" i="51"/>
  <c r="Y6" i="51"/>
  <c r="W6" i="51"/>
  <c r="U6" i="51"/>
  <c r="S6" i="51"/>
  <c r="AY5" i="51"/>
  <c r="AW5" i="51"/>
  <c r="AU5" i="51"/>
  <c r="AS5" i="51"/>
  <c r="AQ5" i="51"/>
  <c r="AO5" i="51"/>
  <c r="AM5" i="51"/>
  <c r="AK5" i="51"/>
  <c r="AF5" i="51"/>
  <c r="AD5" i="51"/>
  <c r="Y5" i="51"/>
  <c r="W5" i="51"/>
  <c r="U5" i="51"/>
  <c r="S5" i="51"/>
  <c r="AY4" i="51"/>
  <c r="AW4" i="51"/>
  <c r="AU4" i="51"/>
  <c r="AS4" i="51"/>
  <c r="AQ4" i="51"/>
  <c r="AO4" i="51"/>
  <c r="AM4" i="51"/>
  <c r="AK4" i="51"/>
  <c r="AF4" i="51"/>
  <c r="AD4" i="51"/>
  <c r="Y4" i="51"/>
  <c r="W4" i="51"/>
  <c r="U4" i="51"/>
  <c r="AA8" i="49"/>
  <c r="AN10" i="56" l="1"/>
  <c r="AE22" i="58"/>
  <c r="AE17" i="58"/>
  <c r="AM10" i="49"/>
  <c r="AT10" i="56"/>
  <c r="BE11" i="59"/>
  <c r="BE13" i="59" s="1"/>
  <c r="BD11" i="59"/>
  <c r="BD13" i="59" s="1"/>
  <c r="V13" i="59"/>
  <c r="AZ10" i="56"/>
  <c r="Y10" i="51"/>
  <c r="AU10" i="49"/>
  <c r="AP10" i="56"/>
  <c r="AW10" i="49"/>
  <c r="U10" i="51"/>
  <c r="AN23" i="58"/>
  <c r="AE18" i="58"/>
  <c r="AE25" i="58" s="1"/>
  <c r="AE20" i="58"/>
  <c r="AN16" i="58"/>
  <c r="AN19" i="58"/>
  <c r="AB25" i="58"/>
  <c r="AE19" i="58"/>
  <c r="AN20" i="58"/>
  <c r="AN22" i="58"/>
  <c r="AN17" i="58"/>
  <c r="AN18" i="58"/>
  <c r="AI10" i="58"/>
  <c r="AN24" i="58"/>
  <c r="AN15" i="58"/>
  <c r="AN21" i="58"/>
  <c r="AY10" i="58"/>
  <c r="AY11" i="58" s="1"/>
  <c r="AY13" i="58" s="1"/>
  <c r="BA7" i="58"/>
  <c r="AI7" i="58"/>
  <c r="BC10" i="58"/>
  <c r="AF7" i="58"/>
  <c r="AF11" i="58" s="1"/>
  <c r="AF13" i="58" s="1"/>
  <c r="AO10" i="58"/>
  <c r="BA10" i="58"/>
  <c r="AY7" i="58"/>
  <c r="AM7" i="49"/>
  <c r="AQ7" i="58"/>
  <c r="S7" i="58"/>
  <c r="S11" i="58" s="1"/>
  <c r="AS7" i="58"/>
  <c r="U10" i="58"/>
  <c r="AQ10" i="58"/>
  <c r="AO7" i="58"/>
  <c r="U7" i="58"/>
  <c r="AU7" i="58"/>
  <c r="AU11" i="58" s="1"/>
  <c r="AU13" i="58" s="1"/>
  <c r="AK25" i="58"/>
  <c r="AH25" i="58"/>
  <c r="W7" i="58"/>
  <c r="BF4" i="58"/>
  <c r="Z7" i="58"/>
  <c r="Z11" i="58" s="1"/>
  <c r="Z13" i="58" s="1"/>
  <c r="AC25" i="58"/>
  <c r="AL10" i="58"/>
  <c r="BA11" i="58"/>
  <c r="BA13" i="58" s="1"/>
  <c r="AW7" i="58"/>
  <c r="AW11" i="58" s="1"/>
  <c r="AW13" i="58" s="1"/>
  <c r="BE6" i="58"/>
  <c r="AL25" i="58"/>
  <c r="AL6" i="58"/>
  <c r="BF9" i="58"/>
  <c r="BC7" i="58"/>
  <c r="BE8" i="58"/>
  <c r="BE9" i="58"/>
  <c r="AD25" i="58"/>
  <c r="AC10" i="58"/>
  <c r="Y25" i="58"/>
  <c r="BF6" i="58"/>
  <c r="AC6" i="58"/>
  <c r="BE25" i="58"/>
  <c r="AS11" i="58"/>
  <c r="AS13" i="58" s="1"/>
  <c r="AL5" i="58"/>
  <c r="BF8" i="58"/>
  <c r="BE5" i="58"/>
  <c r="AC5" i="58"/>
  <c r="W10" i="58"/>
  <c r="AM25" i="58"/>
  <c r="BF5" i="58"/>
  <c r="V7" i="56"/>
  <c r="AV7" i="56"/>
  <c r="AT7" i="56"/>
  <c r="Y7" i="56"/>
  <c r="AX7" i="56"/>
  <c r="AV10" i="56"/>
  <c r="AX10" i="56"/>
  <c r="T7" i="56"/>
  <c r="AE10" i="56"/>
  <c r="BG6" i="56"/>
  <c r="X27" i="56"/>
  <c r="AK5" i="56"/>
  <c r="R10" i="56"/>
  <c r="AH7" i="56"/>
  <c r="BB7" i="56"/>
  <c r="AK10" i="56"/>
  <c r="AL27" i="56"/>
  <c r="AB10" i="56"/>
  <c r="AR7" i="56"/>
  <c r="AJ27" i="56"/>
  <c r="AG27" i="56"/>
  <c r="AZ7" i="56"/>
  <c r="BG27" i="56"/>
  <c r="AB5" i="56"/>
  <c r="AA27" i="56"/>
  <c r="T10" i="56"/>
  <c r="BH4" i="56"/>
  <c r="AE7" i="56"/>
  <c r="AN7" i="56"/>
  <c r="R7" i="56"/>
  <c r="AH10" i="56"/>
  <c r="AK6" i="56"/>
  <c r="AP7" i="56"/>
  <c r="BH6" i="56"/>
  <c r="AC27" i="56"/>
  <c r="V10" i="56"/>
  <c r="AR10" i="56"/>
  <c r="BH8" i="56"/>
  <c r="Y10" i="56"/>
  <c r="BG5" i="56"/>
  <c r="BG9" i="56"/>
  <c r="BH5" i="56"/>
  <c r="BH9" i="56"/>
  <c r="AB27" i="56"/>
  <c r="AK27" i="56"/>
  <c r="BG4" i="56"/>
  <c r="AB6" i="56"/>
  <c r="BG8" i="56"/>
  <c r="Z7" i="54"/>
  <c r="AY7" i="54"/>
  <c r="AL8" i="54"/>
  <c r="AN16" i="54"/>
  <c r="AN25" i="54"/>
  <c r="AN18" i="54"/>
  <c r="AE21" i="54"/>
  <c r="AN23" i="54"/>
  <c r="AE17" i="54"/>
  <c r="AE23" i="54"/>
  <c r="AE26" i="54"/>
  <c r="AO7" i="54"/>
  <c r="AE24" i="54"/>
  <c r="AO10" i="54"/>
  <c r="AO11" i="54" s="1"/>
  <c r="AO13" i="54" s="1"/>
  <c r="AE15" i="54"/>
  <c r="AE28" i="54" s="1"/>
  <c r="AE22" i="54"/>
  <c r="AE18" i="54"/>
  <c r="AN27" i="54"/>
  <c r="AF7" i="54"/>
  <c r="BE7" i="54" s="1"/>
  <c r="BA7" i="54"/>
  <c r="AE20" i="54"/>
  <c r="AI7" i="54"/>
  <c r="AI11" i="54" s="1"/>
  <c r="AI13" i="54" s="1"/>
  <c r="AQ11" i="54"/>
  <c r="AQ13" i="54" s="1"/>
  <c r="U7" i="54"/>
  <c r="U11" i="54" s="1"/>
  <c r="U13" i="54" s="1"/>
  <c r="AL5" i="54"/>
  <c r="S7" i="54"/>
  <c r="AS7" i="54"/>
  <c r="AS11" i="54" s="1"/>
  <c r="AS13" i="54" s="1"/>
  <c r="BE6" i="54"/>
  <c r="Y28" i="54"/>
  <c r="AN19" i="54"/>
  <c r="AU7" i="54"/>
  <c r="AB28" i="54"/>
  <c r="BE28" i="54"/>
  <c r="AL6" i="54"/>
  <c r="BF8" i="54"/>
  <c r="BF9" i="54"/>
  <c r="AC5" i="54"/>
  <c r="AC7" i="54" s="1"/>
  <c r="AC11" i="54" s="1"/>
  <c r="AC13" i="54" s="1"/>
  <c r="AN20" i="54"/>
  <c r="AH28" i="54"/>
  <c r="AD28" i="54"/>
  <c r="AK28" i="54"/>
  <c r="AC6" i="54"/>
  <c r="AN21" i="54"/>
  <c r="BC11" i="54"/>
  <c r="BC13" i="54" s="1"/>
  <c r="BF4" i="54"/>
  <c r="AW11" i="54"/>
  <c r="AW13" i="54" s="1"/>
  <c r="AC10" i="54"/>
  <c r="AL10" i="54"/>
  <c r="BF6" i="54"/>
  <c r="BE9" i="54"/>
  <c r="AE19" i="54"/>
  <c r="AN22" i="54"/>
  <c r="S11" i="54"/>
  <c r="Z11" i="54"/>
  <c r="Z13" i="54" s="1"/>
  <c r="AY11" i="54"/>
  <c r="AY13" i="54" s="1"/>
  <c r="BA11" i="54"/>
  <c r="BA13" i="54" s="1"/>
  <c r="BE5" i="54"/>
  <c r="AM28" i="54"/>
  <c r="BF5" i="54"/>
  <c r="AN15" i="54"/>
  <c r="AC28" i="54"/>
  <c r="W10" i="54"/>
  <c r="AL28" i="54"/>
  <c r="BE4" i="54"/>
  <c r="BE8" i="54"/>
  <c r="AD10" i="49"/>
  <c r="BD8" i="49"/>
  <c r="AO7" i="49"/>
  <c r="S7" i="49"/>
  <c r="BD9" i="49"/>
  <c r="AG37" i="49"/>
  <c r="BD4" i="49"/>
  <c r="S10" i="49"/>
  <c r="AK10" i="49"/>
  <c r="AS7" i="49"/>
  <c r="W7" i="49"/>
  <c r="AY10" i="49"/>
  <c r="AU7" i="49"/>
  <c r="Y7" i="49"/>
  <c r="AA10" i="49"/>
  <c r="AH10" i="49"/>
  <c r="AF7" i="49"/>
  <c r="AW7" i="49"/>
  <c r="W10" i="49"/>
  <c r="U10" i="49"/>
  <c r="AK7" i="49"/>
  <c r="AF10" i="49"/>
  <c r="AQ7" i="49"/>
  <c r="U7" i="49"/>
  <c r="AO10" i="49"/>
  <c r="AO11" i="49" s="1"/>
  <c r="AS10" i="49"/>
  <c r="AH5" i="49"/>
  <c r="AD7" i="49"/>
  <c r="BD5" i="49"/>
  <c r="AH6" i="49"/>
  <c r="BE4" i="49"/>
  <c r="AA5" i="49"/>
  <c r="Y10" i="49"/>
  <c r="AA6" i="49"/>
  <c r="AQ10" i="49"/>
  <c r="BE5" i="49"/>
  <c r="BE8" i="49"/>
  <c r="BE9" i="49"/>
  <c r="BE6" i="49"/>
  <c r="AY7" i="49"/>
  <c r="BD6" i="49"/>
  <c r="AD10" i="51"/>
  <c r="AW7" i="51"/>
  <c r="AD7" i="51"/>
  <c r="BC6" i="51"/>
  <c r="S10" i="51"/>
  <c r="AF7" i="51"/>
  <c r="AY7" i="51"/>
  <c r="AM10" i="51"/>
  <c r="AQ10" i="51"/>
  <c r="AW10" i="51"/>
  <c r="AF10" i="51"/>
  <c r="AY10" i="51"/>
  <c r="AS7" i="51"/>
  <c r="AO10" i="51"/>
  <c r="S7" i="51"/>
  <c r="AO7" i="51"/>
  <c r="BB85" i="51"/>
  <c r="Y7" i="51"/>
  <c r="AU7" i="51"/>
  <c r="BD4" i="51"/>
  <c r="BD6" i="51"/>
  <c r="AK10" i="51"/>
  <c r="AS10" i="51"/>
  <c r="AU10" i="51"/>
  <c r="AK7" i="51"/>
  <c r="AH10" i="51"/>
  <c r="U7" i="51"/>
  <c r="AQ7" i="51"/>
  <c r="AM7" i="51"/>
  <c r="BC5" i="51"/>
  <c r="BD8" i="51"/>
  <c r="BC9" i="51"/>
  <c r="BD5" i="51"/>
  <c r="BD9" i="51"/>
  <c r="W10" i="51"/>
  <c r="BC4" i="51"/>
  <c r="W7" i="51"/>
  <c r="BC8" i="51"/>
  <c r="AA37" i="49"/>
  <c r="AI37" i="49"/>
  <c r="BD37" i="49"/>
  <c r="Z37" i="49"/>
  <c r="AH37" i="49"/>
  <c r="S11" i="49" l="1"/>
  <c r="AN11" i="56"/>
  <c r="AN13" i="56" s="1"/>
  <c r="AT11" i="56"/>
  <c r="AT13" i="56" s="1"/>
  <c r="AQ11" i="58"/>
  <c r="AQ13" i="58" s="1"/>
  <c r="AI11" i="58"/>
  <c r="AI13" i="58" s="1"/>
  <c r="AQ11" i="49"/>
  <c r="AQ13" i="49" s="1"/>
  <c r="AS11" i="49"/>
  <c r="AS13" i="49" s="1"/>
  <c r="AZ11" i="56"/>
  <c r="AZ13" i="56" s="1"/>
  <c r="AX11" i="56"/>
  <c r="AX13" i="56" s="1"/>
  <c r="AE11" i="56"/>
  <c r="AE13" i="56" s="1"/>
  <c r="AV11" i="56"/>
  <c r="AV13" i="56" s="1"/>
  <c r="AR11" i="56"/>
  <c r="AR13" i="56" s="1"/>
  <c r="AP11" i="56"/>
  <c r="AP13" i="56" s="1"/>
  <c r="BB11" i="56"/>
  <c r="BB13" i="56" s="1"/>
  <c r="AY11" i="49"/>
  <c r="AY13" i="49" s="1"/>
  <c r="AW11" i="49"/>
  <c r="AW13" i="49" s="1"/>
  <c r="AM11" i="49"/>
  <c r="AM13" i="49" s="1"/>
  <c r="AK11" i="49"/>
  <c r="AK13" i="49" s="1"/>
  <c r="AD11" i="49"/>
  <c r="AD13" i="49" s="1"/>
  <c r="AU11" i="49"/>
  <c r="AU13" i="49" s="1"/>
  <c r="Y11" i="51"/>
  <c r="Y13" i="51" s="1"/>
  <c r="Y16" i="51" s="1"/>
  <c r="BD7" i="49"/>
  <c r="AH11" i="56"/>
  <c r="AH13" i="56" s="1"/>
  <c r="AB7" i="56"/>
  <c r="AB11" i="56" s="1"/>
  <c r="AB13" i="56" s="1"/>
  <c r="T11" i="56"/>
  <c r="T13" i="56" s="1"/>
  <c r="U11" i="51"/>
  <c r="U13" i="51" s="1"/>
  <c r="U11" i="58"/>
  <c r="U13" i="58" s="1"/>
  <c r="AN25" i="58"/>
  <c r="AO11" i="58"/>
  <c r="AO13" i="58" s="1"/>
  <c r="BE7" i="58"/>
  <c r="AL7" i="58"/>
  <c r="AL11" i="58" s="1"/>
  <c r="AL13" i="58" s="1"/>
  <c r="BC11" i="58"/>
  <c r="BC13" i="58" s="1"/>
  <c r="AF11" i="49"/>
  <c r="AF13" i="49" s="1"/>
  <c r="W11" i="49"/>
  <c r="W13" i="49" s="1"/>
  <c r="AC7" i="58"/>
  <c r="AC11" i="58" s="1"/>
  <c r="AC13" i="58" s="1"/>
  <c r="BF7" i="58"/>
  <c r="V11" i="56"/>
  <c r="V13" i="56" s="1"/>
  <c r="BG7" i="56"/>
  <c r="W11" i="58"/>
  <c r="BE10" i="58"/>
  <c r="BF10" i="58"/>
  <c r="Y11" i="56"/>
  <c r="Y13" i="56" s="1"/>
  <c r="AD27" i="56"/>
  <c r="AK7" i="56"/>
  <c r="AK11" i="56" s="1"/>
  <c r="AK13" i="56" s="1"/>
  <c r="R11" i="56"/>
  <c r="AM27" i="56"/>
  <c r="BH10" i="56"/>
  <c r="BH7" i="56"/>
  <c r="BG10" i="56"/>
  <c r="AL7" i="54"/>
  <c r="AL11" i="54" s="1"/>
  <c r="AL13" i="54" s="1"/>
  <c r="AF11" i="54"/>
  <c r="AF13" i="54" s="1"/>
  <c r="BF7" i="54"/>
  <c r="AU11" i="54"/>
  <c r="AU13" i="54" s="1"/>
  <c r="AN28" i="54"/>
  <c r="W11" i="54"/>
  <c r="BF10" i="54"/>
  <c r="BE10" i="54"/>
  <c r="AO13" i="49"/>
  <c r="BD10" i="49"/>
  <c r="BE10" i="49"/>
  <c r="Y11" i="49"/>
  <c r="Y13" i="49" s="1"/>
  <c r="U11" i="49"/>
  <c r="U13" i="49" s="1"/>
  <c r="AH7" i="49"/>
  <c r="AH11" i="49" s="1"/>
  <c r="AH13" i="49" s="1"/>
  <c r="AA7" i="49"/>
  <c r="AA11" i="49" s="1"/>
  <c r="AA13" i="49" s="1"/>
  <c r="BE7" i="49"/>
  <c r="AB37" i="49"/>
  <c r="AD11" i="51"/>
  <c r="AD13" i="51" s="1"/>
  <c r="AD15" i="51" s="1"/>
  <c r="S11" i="51"/>
  <c r="AW11" i="51"/>
  <c r="AW13" i="51" s="1"/>
  <c r="AW15" i="51" s="1"/>
  <c r="AF11" i="51"/>
  <c r="AF13" i="51" s="1"/>
  <c r="AF15" i="51" s="1"/>
  <c r="AY11" i="51"/>
  <c r="AY13" i="51" s="1"/>
  <c r="AY15" i="51" s="1"/>
  <c r="AM11" i="51"/>
  <c r="AM13" i="51" s="1"/>
  <c r="AM15" i="51" s="1"/>
  <c r="AK11" i="51"/>
  <c r="AK13" i="51" s="1"/>
  <c r="AK16" i="51" s="1"/>
  <c r="AQ11" i="51"/>
  <c r="AQ13" i="51" s="1"/>
  <c r="AQ16" i="51" s="1"/>
  <c r="AU11" i="51"/>
  <c r="AU13" i="51" s="1"/>
  <c r="AU16" i="51" s="1"/>
  <c r="AO11" i="51"/>
  <c r="AO13" i="51" s="1"/>
  <c r="AO15" i="51" s="1"/>
  <c r="AS11" i="51"/>
  <c r="AS13" i="51" s="1"/>
  <c r="AH7" i="51"/>
  <c r="AH11" i="51" s="1"/>
  <c r="AH13" i="51" s="1"/>
  <c r="BD7" i="51"/>
  <c r="BC7" i="51"/>
  <c r="W11" i="51"/>
  <c r="BD10" i="51"/>
  <c r="BC10" i="51"/>
  <c r="AJ37" i="49"/>
  <c r="Y15" i="51" l="1"/>
  <c r="BD11" i="49"/>
  <c r="BD13" i="49" s="1"/>
  <c r="BG11" i="56"/>
  <c r="BG13" i="56" s="1"/>
  <c r="AW16" i="51"/>
  <c r="BF11" i="58"/>
  <c r="BF13" i="58" s="1"/>
  <c r="BE11" i="58"/>
  <c r="BE13" i="58" s="1"/>
  <c r="W13" i="58"/>
  <c r="BH11" i="56"/>
  <c r="BH13" i="56" s="1"/>
  <c r="BF11" i="54"/>
  <c r="BF13" i="54" s="1"/>
  <c r="BE11" i="54"/>
  <c r="BE13" i="54" s="1"/>
  <c r="W13" i="54"/>
  <c r="BE11" i="49"/>
  <c r="BE13" i="49" s="1"/>
  <c r="AY16" i="51"/>
  <c r="AD16" i="51"/>
  <c r="AK15" i="51"/>
  <c r="AF16" i="51"/>
  <c r="AU15" i="51"/>
  <c r="AQ15" i="51"/>
  <c r="AM16" i="51"/>
  <c r="AO16" i="51"/>
  <c r="AS15" i="51"/>
  <c r="AS16" i="51"/>
  <c r="BD11" i="51"/>
  <c r="BD13" i="51" s="1"/>
  <c r="BC11" i="51"/>
  <c r="BC13" i="51" s="1"/>
  <c r="W13" i="51"/>
  <c r="W15" i="51" l="1"/>
  <c r="W16" i="51"/>
  <c r="BC15" i="51"/>
  <c r="BC16" i="51"/>
  <c r="BD16" i="51"/>
  <c r="BD15" i="51"/>
  <c r="AF9" i="29" l="1"/>
  <c r="AF8" i="29"/>
  <c r="AF6" i="29"/>
  <c r="AF5" i="29"/>
  <c r="AF4" i="29"/>
  <c r="Y9" i="29"/>
  <c r="Y8" i="29"/>
  <c r="Y6" i="29"/>
  <c r="Y5" i="29"/>
  <c r="Y4" i="29"/>
  <c r="AH85" i="29" l="1"/>
  <c r="AA85" i="29"/>
  <c r="AG85" i="29"/>
  <c r="Z85" i="29"/>
  <c r="AH8" i="29"/>
  <c r="AH9" i="29"/>
  <c r="AH6" i="29"/>
  <c r="AH5" i="29"/>
  <c r="AF10" i="29"/>
  <c r="AF7" i="29"/>
  <c r="AA8" i="29"/>
  <c r="AA5" i="29"/>
  <c r="AA9" i="29"/>
  <c r="AA6" i="29"/>
  <c r="Y10" i="29"/>
  <c r="Y7" i="29"/>
  <c r="AI85" i="29" l="1"/>
  <c r="AB85" i="29"/>
  <c r="AH7" i="29"/>
  <c r="AH10" i="29"/>
  <c r="AA10" i="29"/>
  <c r="AF11" i="29"/>
  <c r="AF13" i="29" s="1"/>
  <c r="AF15" i="29" s="1"/>
  <c r="AA7" i="29"/>
  <c r="Y11" i="29"/>
  <c r="AH11" i="29" l="1"/>
  <c r="AH13" i="29" s="1"/>
  <c r="Y13" i="29"/>
  <c r="Y15" i="29" s="1"/>
  <c r="AA11" i="29"/>
  <c r="AA13" i="29" s="1"/>
  <c r="AF16" i="29"/>
  <c r="Y16" i="29" l="1"/>
  <c r="V3" i="23"/>
  <c r="BD150" i="48"/>
  <c r="BC150" i="48"/>
  <c r="BB150" i="48"/>
  <c r="BA150" i="48"/>
  <c r="AZ150" i="48"/>
  <c r="AY150" i="48"/>
  <c r="AX150" i="48"/>
  <c r="AW150" i="48"/>
  <c r="AV150" i="48"/>
  <c r="AU150" i="48"/>
  <c r="AT150" i="48"/>
  <c r="AS150" i="48"/>
  <c r="AR150" i="48"/>
  <c r="AQ150" i="48"/>
  <c r="AP150" i="48"/>
  <c r="AO150" i="48"/>
  <c r="AN150" i="48"/>
  <c r="AM150" i="48"/>
  <c r="AL150" i="48"/>
  <c r="AK150" i="48"/>
  <c r="AJ150" i="48"/>
  <c r="AI150" i="48"/>
  <c r="AH150" i="48"/>
  <c r="AG150" i="48"/>
  <c r="I150" i="48"/>
  <c r="BE149" i="48"/>
  <c r="AA149" i="48"/>
  <c r="Z149" i="48"/>
  <c r="Y149" i="48"/>
  <c r="R149" i="48"/>
  <c r="Q149" i="48"/>
  <c r="P149" i="48"/>
  <c r="O149" i="48"/>
  <c r="BE148" i="48"/>
  <c r="AA148" i="48"/>
  <c r="Z148" i="48"/>
  <c r="Y148" i="48"/>
  <c r="R148" i="48"/>
  <c r="Q148" i="48"/>
  <c r="P148" i="48"/>
  <c r="O148" i="48"/>
  <c r="BE147" i="48"/>
  <c r="AA147" i="48"/>
  <c r="Z147" i="48"/>
  <c r="Y147" i="48"/>
  <c r="R147" i="48"/>
  <c r="Q147" i="48"/>
  <c r="P147" i="48"/>
  <c r="O147" i="48"/>
  <c r="BE146" i="48"/>
  <c r="AA146" i="48"/>
  <c r="Z146" i="48"/>
  <c r="Y146" i="48"/>
  <c r="R146" i="48"/>
  <c r="Q146" i="48"/>
  <c r="P146" i="48"/>
  <c r="O146" i="48"/>
  <c r="BE145" i="48"/>
  <c r="AA145" i="48"/>
  <c r="Z145" i="48"/>
  <c r="Y145" i="48"/>
  <c r="R145" i="48"/>
  <c r="Q145" i="48"/>
  <c r="P145" i="48"/>
  <c r="O145" i="48"/>
  <c r="BE144" i="48"/>
  <c r="AA144" i="48"/>
  <c r="Z144" i="48"/>
  <c r="Y144" i="48"/>
  <c r="R144" i="48"/>
  <c r="Q144" i="48"/>
  <c r="P144" i="48"/>
  <c r="O144" i="48"/>
  <c r="BE143" i="48"/>
  <c r="AA143" i="48"/>
  <c r="Z143" i="48"/>
  <c r="Y143" i="48"/>
  <c r="R143" i="48"/>
  <c r="Q143" i="48"/>
  <c r="P143" i="48"/>
  <c r="O143" i="48"/>
  <c r="BE142" i="48"/>
  <c r="AA142" i="48"/>
  <c r="Z142" i="48"/>
  <c r="Y142" i="48"/>
  <c r="R142" i="48"/>
  <c r="Q142" i="48"/>
  <c r="P142" i="48"/>
  <c r="O142" i="48"/>
  <c r="BE141" i="48"/>
  <c r="AA141" i="48"/>
  <c r="Z141" i="48"/>
  <c r="Y141" i="48"/>
  <c r="R141" i="48"/>
  <c r="Q141" i="48"/>
  <c r="P141" i="48"/>
  <c r="O141" i="48"/>
  <c r="BE140" i="48"/>
  <c r="AA140" i="48"/>
  <c r="Z140" i="48"/>
  <c r="Y140" i="48"/>
  <c r="R140" i="48"/>
  <c r="Q140" i="48"/>
  <c r="P140" i="48"/>
  <c r="O140" i="48"/>
  <c r="BE139" i="48"/>
  <c r="AA139" i="48"/>
  <c r="Z139" i="48"/>
  <c r="Y139" i="48"/>
  <c r="R139" i="48"/>
  <c r="Q139" i="48"/>
  <c r="P139" i="48"/>
  <c r="O139" i="48"/>
  <c r="BE138" i="48"/>
  <c r="AA138" i="48"/>
  <c r="Z138" i="48"/>
  <c r="Y138" i="48"/>
  <c r="R138" i="48"/>
  <c r="Q138" i="48"/>
  <c r="P138" i="48"/>
  <c r="O138" i="48"/>
  <c r="BE137" i="48"/>
  <c r="AA137" i="48"/>
  <c r="Z137" i="48"/>
  <c r="Y137" i="48"/>
  <c r="R137" i="48"/>
  <c r="Q137" i="48"/>
  <c r="P137" i="48"/>
  <c r="O137" i="48"/>
  <c r="BE136" i="48"/>
  <c r="AA136" i="48"/>
  <c r="Z136" i="48"/>
  <c r="Y136" i="48"/>
  <c r="R136" i="48"/>
  <c r="Q136" i="48"/>
  <c r="P136" i="48"/>
  <c r="O136" i="48"/>
  <c r="BE135" i="48"/>
  <c r="AA135" i="48"/>
  <c r="Z135" i="48"/>
  <c r="Y135" i="48"/>
  <c r="R135" i="48"/>
  <c r="Q135" i="48"/>
  <c r="P135" i="48"/>
  <c r="O135" i="48"/>
  <c r="BE134" i="48"/>
  <c r="AA134" i="48"/>
  <c r="Z134" i="48"/>
  <c r="Y134" i="48"/>
  <c r="R134" i="48"/>
  <c r="Q134" i="48"/>
  <c r="P134" i="48"/>
  <c r="O134" i="48"/>
  <c r="BE133" i="48"/>
  <c r="AA133" i="48"/>
  <c r="Z133" i="48"/>
  <c r="Y133" i="48"/>
  <c r="R133" i="48"/>
  <c r="Q133" i="48"/>
  <c r="P133" i="48"/>
  <c r="O133" i="48"/>
  <c r="BE132" i="48"/>
  <c r="AA132" i="48"/>
  <c r="Z132" i="48"/>
  <c r="Y132" i="48"/>
  <c r="R132" i="48"/>
  <c r="Q132" i="48"/>
  <c r="P132" i="48"/>
  <c r="O132" i="48"/>
  <c r="BE131" i="48"/>
  <c r="AA131" i="48"/>
  <c r="Z131" i="48"/>
  <c r="Y131" i="48"/>
  <c r="R131" i="48"/>
  <c r="Q131" i="48"/>
  <c r="P131" i="48"/>
  <c r="O131" i="48"/>
  <c r="BE130" i="48"/>
  <c r="AA130" i="48"/>
  <c r="Z130" i="48"/>
  <c r="Y130" i="48"/>
  <c r="R130" i="48"/>
  <c r="Q130" i="48"/>
  <c r="P130" i="48"/>
  <c r="O130" i="48"/>
  <c r="BE129" i="48"/>
  <c r="AA129" i="48"/>
  <c r="Z129" i="48"/>
  <c r="Y129" i="48"/>
  <c r="R129" i="48"/>
  <c r="Q129" i="48"/>
  <c r="P129" i="48"/>
  <c r="O129" i="48"/>
  <c r="BE128" i="48"/>
  <c r="AA128" i="48"/>
  <c r="Z128" i="48"/>
  <c r="Y128" i="48"/>
  <c r="R128" i="48"/>
  <c r="Q128" i="48"/>
  <c r="P128" i="48"/>
  <c r="O128" i="48"/>
  <c r="BE127" i="48"/>
  <c r="AA127" i="48"/>
  <c r="Z127" i="48"/>
  <c r="Y127" i="48"/>
  <c r="R127" i="48"/>
  <c r="Q127" i="48"/>
  <c r="P127" i="48"/>
  <c r="O127" i="48"/>
  <c r="BE126" i="48"/>
  <c r="AA126" i="48"/>
  <c r="Z126" i="48"/>
  <c r="Y126" i="48"/>
  <c r="R126" i="48"/>
  <c r="Q126" i="48"/>
  <c r="P126" i="48"/>
  <c r="O126" i="48"/>
  <c r="BE125" i="48"/>
  <c r="AA125" i="48"/>
  <c r="Z125" i="48"/>
  <c r="Y125" i="48"/>
  <c r="R125" i="48"/>
  <c r="Q125" i="48"/>
  <c r="P125" i="48"/>
  <c r="O125" i="48"/>
  <c r="BE124" i="48"/>
  <c r="AA124" i="48"/>
  <c r="Z124" i="48"/>
  <c r="Y124" i="48"/>
  <c r="R124" i="48"/>
  <c r="Q124" i="48"/>
  <c r="P124" i="48"/>
  <c r="O124" i="48"/>
  <c r="BE123" i="48"/>
  <c r="AA123" i="48"/>
  <c r="Z123" i="48"/>
  <c r="Y123" i="48"/>
  <c r="R123" i="48"/>
  <c r="Q123" i="48"/>
  <c r="P123" i="48"/>
  <c r="O123" i="48"/>
  <c r="BE122" i="48"/>
  <c r="AA122" i="48"/>
  <c r="Z122" i="48"/>
  <c r="Y122" i="48"/>
  <c r="R122" i="48"/>
  <c r="Q122" i="48"/>
  <c r="P122" i="48"/>
  <c r="O122" i="48"/>
  <c r="BE121" i="48"/>
  <c r="AA121" i="48"/>
  <c r="Z121" i="48"/>
  <c r="Y121" i="48"/>
  <c r="R121" i="48"/>
  <c r="Q121" i="48"/>
  <c r="P121" i="48"/>
  <c r="O121" i="48"/>
  <c r="BE120" i="48"/>
  <c r="AA120" i="48"/>
  <c r="Z120" i="48"/>
  <c r="Y120" i="48"/>
  <c r="R120" i="48"/>
  <c r="Q120" i="48"/>
  <c r="P120" i="48"/>
  <c r="O120" i="48"/>
  <c r="BE119" i="48"/>
  <c r="AB119" i="48"/>
  <c r="AA119" i="48"/>
  <c r="Z119" i="48"/>
  <c r="Y119" i="48"/>
  <c r="R119" i="48"/>
  <c r="Q119" i="48"/>
  <c r="P119" i="48"/>
  <c r="O119" i="48"/>
  <c r="BE118" i="48"/>
  <c r="AA118" i="48"/>
  <c r="Z118" i="48"/>
  <c r="Y118" i="48"/>
  <c r="R118" i="48"/>
  <c r="Q118" i="48"/>
  <c r="P118" i="48"/>
  <c r="O118" i="48"/>
  <c r="BE117" i="48"/>
  <c r="AA117" i="48"/>
  <c r="Z117" i="48"/>
  <c r="Y117" i="48"/>
  <c r="R117" i="48"/>
  <c r="Q117" i="48"/>
  <c r="S117" i="48" s="1"/>
  <c r="P117" i="48"/>
  <c r="O117" i="48"/>
  <c r="BE116" i="48"/>
  <c r="AA116" i="48"/>
  <c r="Z116" i="48"/>
  <c r="Y116" i="48"/>
  <c r="R116" i="48"/>
  <c r="Q116" i="48"/>
  <c r="S116" i="48" s="1"/>
  <c r="P116" i="48"/>
  <c r="O116" i="48"/>
  <c r="BE115" i="48"/>
  <c r="AA115" i="48"/>
  <c r="Z115" i="48"/>
  <c r="Y115" i="48"/>
  <c r="R115" i="48"/>
  <c r="Q115" i="48"/>
  <c r="S115" i="48" s="1"/>
  <c r="P115" i="48"/>
  <c r="O115" i="48"/>
  <c r="BE114" i="48"/>
  <c r="AA114" i="48"/>
  <c r="Z114" i="48"/>
  <c r="Y114" i="48"/>
  <c r="R114" i="48"/>
  <c r="Q114" i="48"/>
  <c r="P114" i="48"/>
  <c r="O114" i="48"/>
  <c r="BE113" i="48"/>
  <c r="AA113" i="48"/>
  <c r="Z113" i="48"/>
  <c r="Y113" i="48"/>
  <c r="R113" i="48"/>
  <c r="Q113" i="48"/>
  <c r="S113" i="48" s="1"/>
  <c r="P113" i="48"/>
  <c r="O113" i="48"/>
  <c r="BE112" i="48"/>
  <c r="AB112" i="48"/>
  <c r="AA112" i="48"/>
  <c r="Z112" i="48"/>
  <c r="Y112" i="48"/>
  <c r="R112" i="48"/>
  <c r="S112" i="48" s="1"/>
  <c r="Q112" i="48"/>
  <c r="P112" i="48"/>
  <c r="O112" i="48"/>
  <c r="BE111" i="48"/>
  <c r="AA111" i="48"/>
  <c r="Z111" i="48"/>
  <c r="Y111" i="48"/>
  <c r="R111" i="48"/>
  <c r="Q111" i="48"/>
  <c r="P111" i="48"/>
  <c r="O111" i="48"/>
  <c r="BE110" i="48"/>
  <c r="AA110" i="48"/>
  <c r="Z110" i="48"/>
  <c r="Y110" i="48"/>
  <c r="R110" i="48"/>
  <c r="Q110" i="48"/>
  <c r="P110" i="48"/>
  <c r="O110" i="48"/>
  <c r="BE109" i="48"/>
  <c r="AA109" i="48"/>
  <c r="Z109" i="48"/>
  <c r="Y109" i="48"/>
  <c r="R109" i="48"/>
  <c r="Q109" i="48"/>
  <c r="P109" i="48"/>
  <c r="O109" i="48"/>
  <c r="BE108" i="48"/>
  <c r="AA108" i="48"/>
  <c r="Z108" i="48"/>
  <c r="Y108" i="48"/>
  <c r="S108" i="48"/>
  <c r="R108" i="48"/>
  <c r="Q108" i="48"/>
  <c r="P108" i="48"/>
  <c r="O108" i="48"/>
  <c r="BE107" i="48"/>
  <c r="AA107" i="48"/>
  <c r="Z107" i="48"/>
  <c r="Y107" i="48"/>
  <c r="R107" i="48"/>
  <c r="Q107" i="48"/>
  <c r="P107" i="48"/>
  <c r="O107" i="48"/>
  <c r="BE106" i="48"/>
  <c r="AA106" i="48"/>
  <c r="Z106" i="48"/>
  <c r="Y106" i="48"/>
  <c r="R106" i="48"/>
  <c r="Q106" i="48"/>
  <c r="P106" i="48"/>
  <c r="O106" i="48"/>
  <c r="BE105" i="48"/>
  <c r="AA105" i="48"/>
  <c r="Z105" i="48"/>
  <c r="Y105" i="48"/>
  <c r="R105" i="48"/>
  <c r="Q105" i="48"/>
  <c r="P105" i="48"/>
  <c r="O105" i="48"/>
  <c r="BE104" i="48"/>
  <c r="AA104" i="48"/>
  <c r="Z104" i="48"/>
  <c r="Y104" i="48"/>
  <c r="R104" i="48"/>
  <c r="S104" i="48" s="1"/>
  <c r="Q104" i="48"/>
  <c r="P104" i="48"/>
  <c r="O104" i="48"/>
  <c r="BE103" i="48"/>
  <c r="AA103" i="48"/>
  <c r="Z103" i="48"/>
  <c r="Y103" i="48"/>
  <c r="R103" i="48"/>
  <c r="Q103" i="48"/>
  <c r="P103" i="48"/>
  <c r="O103" i="48"/>
  <c r="BE102" i="48"/>
  <c r="AA102" i="48"/>
  <c r="Z102" i="48"/>
  <c r="Y102" i="48"/>
  <c r="R102" i="48"/>
  <c r="Q102" i="48"/>
  <c r="P102" i="48"/>
  <c r="O102" i="48"/>
  <c r="BE101" i="48"/>
  <c r="AA101" i="48"/>
  <c r="Z101" i="48"/>
  <c r="Y101" i="48"/>
  <c r="R101" i="48"/>
  <c r="Q101" i="48"/>
  <c r="P101" i="48"/>
  <c r="O101" i="48"/>
  <c r="BE100" i="48"/>
  <c r="AA100" i="48"/>
  <c r="Z100" i="48"/>
  <c r="Y100" i="48"/>
  <c r="R100" i="48"/>
  <c r="Q100" i="48"/>
  <c r="P100" i="48"/>
  <c r="O100" i="48"/>
  <c r="BE99" i="48"/>
  <c r="AA99" i="48"/>
  <c r="Z99" i="48"/>
  <c r="Y99" i="48"/>
  <c r="R99" i="48"/>
  <c r="Q99" i="48"/>
  <c r="P99" i="48"/>
  <c r="O99" i="48"/>
  <c r="BE98" i="48"/>
  <c r="AA98" i="48"/>
  <c r="Z98" i="48"/>
  <c r="Y98" i="48"/>
  <c r="R98" i="48"/>
  <c r="Q98" i="48"/>
  <c r="P98" i="48"/>
  <c r="O98" i="48"/>
  <c r="BE97" i="48"/>
  <c r="AA97" i="48"/>
  <c r="Z97" i="48"/>
  <c r="Y97" i="48"/>
  <c r="R97" i="48"/>
  <c r="Q97" i="48"/>
  <c r="P97" i="48"/>
  <c r="O97" i="48"/>
  <c r="BE96" i="48"/>
  <c r="AA96" i="48"/>
  <c r="Z96" i="48"/>
  <c r="Y96" i="48"/>
  <c r="R96" i="48"/>
  <c r="Q96" i="48"/>
  <c r="P96" i="48"/>
  <c r="O96" i="48"/>
  <c r="BE95" i="48"/>
  <c r="AA95" i="48"/>
  <c r="Z95" i="48"/>
  <c r="Y95" i="48"/>
  <c r="R95" i="48"/>
  <c r="Q95" i="48"/>
  <c r="P95" i="48"/>
  <c r="O95" i="48"/>
  <c r="BE94" i="48"/>
  <c r="AA94" i="48"/>
  <c r="Z94" i="48"/>
  <c r="Y94" i="48"/>
  <c r="R94" i="48"/>
  <c r="Q94" i="48"/>
  <c r="P94" i="48"/>
  <c r="O94" i="48"/>
  <c r="BE93" i="48"/>
  <c r="AA93" i="48"/>
  <c r="Z93" i="48"/>
  <c r="Y93" i="48"/>
  <c r="R93" i="48"/>
  <c r="Q93" i="48"/>
  <c r="P93" i="48"/>
  <c r="O93" i="48"/>
  <c r="BE92" i="48"/>
  <c r="AA92" i="48"/>
  <c r="Z92" i="48"/>
  <c r="Y92" i="48"/>
  <c r="R92" i="48"/>
  <c r="Q92" i="48"/>
  <c r="P92" i="48"/>
  <c r="O92" i="48"/>
  <c r="BE91" i="48"/>
  <c r="AA91" i="48"/>
  <c r="Z91" i="48"/>
  <c r="Y91" i="48"/>
  <c r="R91" i="48"/>
  <c r="Q91" i="48"/>
  <c r="P91" i="48"/>
  <c r="O91" i="48"/>
  <c r="BE90" i="48"/>
  <c r="AA90" i="48"/>
  <c r="Z90" i="48"/>
  <c r="Y90" i="48"/>
  <c r="R90" i="48"/>
  <c r="Q90" i="48"/>
  <c r="P90" i="48"/>
  <c r="O90" i="48"/>
  <c r="BE89" i="48"/>
  <c r="AA89" i="48"/>
  <c r="Z89" i="48"/>
  <c r="Y89" i="48"/>
  <c r="R89" i="48"/>
  <c r="Q89" i="48"/>
  <c r="P89" i="48"/>
  <c r="O89" i="48"/>
  <c r="BE88" i="48"/>
  <c r="AA88" i="48"/>
  <c r="Z88" i="48"/>
  <c r="Y88" i="48"/>
  <c r="R88" i="48"/>
  <c r="Q88" i="48"/>
  <c r="P88" i="48"/>
  <c r="O88" i="48"/>
  <c r="BE87" i="48"/>
  <c r="AA87" i="48"/>
  <c r="Z87" i="48"/>
  <c r="Y87" i="48"/>
  <c r="R87" i="48"/>
  <c r="Q87" i="48"/>
  <c r="P87" i="48"/>
  <c r="O87" i="48"/>
  <c r="BE86" i="48"/>
  <c r="AA86" i="48"/>
  <c r="Z86" i="48"/>
  <c r="Y86" i="48"/>
  <c r="R86" i="48"/>
  <c r="Q86" i="48"/>
  <c r="P86" i="48"/>
  <c r="O86" i="48"/>
  <c r="BE85" i="48"/>
  <c r="AA85" i="48"/>
  <c r="Z85" i="48"/>
  <c r="Y85" i="48"/>
  <c r="R85" i="48"/>
  <c r="Q85" i="48"/>
  <c r="P85" i="48"/>
  <c r="O85" i="48"/>
  <c r="BE84" i="48"/>
  <c r="AA84" i="48"/>
  <c r="Z84" i="48"/>
  <c r="Y84" i="48"/>
  <c r="R84" i="48"/>
  <c r="Q84" i="48"/>
  <c r="P84" i="48"/>
  <c r="O84" i="48"/>
  <c r="BE83" i="48"/>
  <c r="AA83" i="48"/>
  <c r="Z83" i="48"/>
  <c r="Y83" i="48"/>
  <c r="R83" i="48"/>
  <c r="Q83" i="48"/>
  <c r="P83" i="48"/>
  <c r="O83" i="48"/>
  <c r="BE82" i="48"/>
  <c r="AA82" i="48"/>
  <c r="Z82" i="48"/>
  <c r="Y82" i="48"/>
  <c r="R82" i="48"/>
  <c r="Q82" i="48"/>
  <c r="P82" i="48"/>
  <c r="O82" i="48"/>
  <c r="BE81" i="48"/>
  <c r="AA81" i="48"/>
  <c r="Z81" i="48"/>
  <c r="Y81" i="48"/>
  <c r="R81" i="48"/>
  <c r="Q81" i="48"/>
  <c r="P81" i="48"/>
  <c r="O81" i="48"/>
  <c r="BE80" i="48"/>
  <c r="AA80" i="48"/>
  <c r="Z80" i="48"/>
  <c r="Y80" i="48"/>
  <c r="R80" i="48"/>
  <c r="Q80" i="48"/>
  <c r="P80" i="48"/>
  <c r="O80" i="48"/>
  <c r="BE79" i="48"/>
  <c r="AA79" i="48"/>
  <c r="Z79" i="48"/>
  <c r="Y79" i="48"/>
  <c r="R79" i="48"/>
  <c r="Q79" i="48"/>
  <c r="P79" i="48"/>
  <c r="O79" i="48"/>
  <c r="BE78" i="48"/>
  <c r="AA78" i="48"/>
  <c r="Z78" i="48"/>
  <c r="Y78" i="48"/>
  <c r="R78" i="48"/>
  <c r="Q78" i="48"/>
  <c r="P78" i="48"/>
  <c r="O78" i="48"/>
  <c r="BE77" i="48"/>
  <c r="AB77" i="48"/>
  <c r="AA77" i="48"/>
  <c r="Z77" i="48"/>
  <c r="Y77" i="48"/>
  <c r="R77" i="48"/>
  <c r="Q77" i="48"/>
  <c r="P77" i="48"/>
  <c r="O77" i="48"/>
  <c r="BE76" i="48"/>
  <c r="AA76" i="48"/>
  <c r="Z76" i="48"/>
  <c r="Y76" i="48"/>
  <c r="R76" i="48"/>
  <c r="Q76" i="48"/>
  <c r="S76" i="48" s="1"/>
  <c r="P76" i="48"/>
  <c r="O76" i="48"/>
  <c r="BE75" i="48"/>
  <c r="AA75" i="48"/>
  <c r="Z75" i="48"/>
  <c r="Y75" i="48"/>
  <c r="R75" i="48"/>
  <c r="Q75" i="48"/>
  <c r="P75" i="48"/>
  <c r="O75" i="48"/>
  <c r="BE74" i="48"/>
  <c r="AA74" i="48"/>
  <c r="Z74" i="48"/>
  <c r="Y74" i="48"/>
  <c r="R74" i="48"/>
  <c r="Q74" i="48"/>
  <c r="P74" i="48"/>
  <c r="O74" i="48"/>
  <c r="BE73" i="48"/>
  <c r="AA73" i="48"/>
  <c r="Z73" i="48"/>
  <c r="Y73" i="48"/>
  <c r="R73" i="48"/>
  <c r="Q73" i="48"/>
  <c r="P73" i="48"/>
  <c r="O73" i="48"/>
  <c r="BE72" i="48"/>
  <c r="AA72" i="48"/>
  <c r="Z72" i="48"/>
  <c r="Y72" i="48"/>
  <c r="R72" i="48"/>
  <c r="Q72" i="48"/>
  <c r="P72" i="48"/>
  <c r="O72" i="48"/>
  <c r="BE71" i="48"/>
  <c r="AA71" i="48"/>
  <c r="Z71" i="48"/>
  <c r="Y71" i="48"/>
  <c r="R71" i="48"/>
  <c r="Q71" i="48"/>
  <c r="P71" i="48"/>
  <c r="O71" i="48"/>
  <c r="BE70" i="48"/>
  <c r="AA70" i="48"/>
  <c r="Z70" i="48"/>
  <c r="Y70" i="48"/>
  <c r="R70" i="48"/>
  <c r="Q70" i="48"/>
  <c r="P70" i="48"/>
  <c r="O70" i="48"/>
  <c r="BE69" i="48"/>
  <c r="AA69" i="48"/>
  <c r="Z69" i="48"/>
  <c r="Y69" i="48"/>
  <c r="R69" i="48"/>
  <c r="Q69" i="48"/>
  <c r="P69" i="48"/>
  <c r="O69" i="48"/>
  <c r="BE68" i="48"/>
  <c r="AA68" i="48"/>
  <c r="Z68" i="48"/>
  <c r="Y68" i="48"/>
  <c r="R68" i="48"/>
  <c r="Q68" i="48"/>
  <c r="S68" i="48" s="1"/>
  <c r="P68" i="48"/>
  <c r="O68" i="48"/>
  <c r="BE67" i="48"/>
  <c r="AA67" i="48"/>
  <c r="Z67" i="48"/>
  <c r="Y67" i="48"/>
  <c r="R67" i="48"/>
  <c r="Q67" i="48"/>
  <c r="P67" i="48"/>
  <c r="O67" i="48"/>
  <c r="BE66" i="48"/>
  <c r="AA66" i="48"/>
  <c r="Z66" i="48"/>
  <c r="Y66" i="48"/>
  <c r="R66" i="48"/>
  <c r="Q66" i="48"/>
  <c r="P66" i="48"/>
  <c r="O66" i="48"/>
  <c r="BE65" i="48"/>
  <c r="AB65" i="48"/>
  <c r="AA65" i="48"/>
  <c r="Z65" i="48"/>
  <c r="Y65" i="48"/>
  <c r="R65" i="48"/>
  <c r="Q65" i="48"/>
  <c r="P65" i="48"/>
  <c r="O65" i="48"/>
  <c r="BE64" i="48"/>
  <c r="AB64" i="48"/>
  <c r="AA64" i="48"/>
  <c r="Z64" i="48"/>
  <c r="Y64" i="48"/>
  <c r="R64" i="48"/>
  <c r="Q64" i="48"/>
  <c r="P64" i="48"/>
  <c r="O64" i="48"/>
  <c r="BE63" i="48"/>
  <c r="AA63" i="48"/>
  <c r="Z63" i="48"/>
  <c r="Y63" i="48"/>
  <c r="R63" i="48"/>
  <c r="Q63" i="48"/>
  <c r="P63" i="48"/>
  <c r="O63" i="48"/>
  <c r="BE62" i="48"/>
  <c r="AA62" i="48"/>
  <c r="Z62" i="48"/>
  <c r="Y62" i="48"/>
  <c r="R62" i="48"/>
  <c r="Q62" i="48"/>
  <c r="P62" i="48"/>
  <c r="O62" i="48"/>
  <c r="BE61" i="48"/>
  <c r="AB61" i="48"/>
  <c r="AA61" i="48"/>
  <c r="Z61" i="48"/>
  <c r="Y61" i="48"/>
  <c r="R61" i="48"/>
  <c r="Q61" i="48"/>
  <c r="S61" i="48" s="1"/>
  <c r="P61" i="48"/>
  <c r="O61" i="48"/>
  <c r="BE60" i="48"/>
  <c r="AA60" i="48"/>
  <c r="Z60" i="48"/>
  <c r="Y60" i="48"/>
  <c r="R60" i="48"/>
  <c r="Q60" i="48"/>
  <c r="S60" i="48" s="1"/>
  <c r="P60" i="48"/>
  <c r="O60" i="48"/>
  <c r="BE59" i="48"/>
  <c r="AA59" i="48"/>
  <c r="Z59" i="48"/>
  <c r="Y59" i="48"/>
  <c r="R59" i="48"/>
  <c r="Q59" i="48"/>
  <c r="P59" i="48"/>
  <c r="O59" i="48"/>
  <c r="BE58" i="48"/>
  <c r="AA58" i="48"/>
  <c r="Z58" i="48"/>
  <c r="Y58" i="48"/>
  <c r="R58" i="48"/>
  <c r="Q58" i="48"/>
  <c r="S58" i="48" s="1"/>
  <c r="P58" i="48"/>
  <c r="O58" i="48"/>
  <c r="BE57" i="48"/>
  <c r="AB57" i="48"/>
  <c r="AA57" i="48"/>
  <c r="Z57" i="48"/>
  <c r="Y57" i="48"/>
  <c r="R57" i="48"/>
  <c r="Q57" i="48"/>
  <c r="P57" i="48"/>
  <c r="O57" i="48"/>
  <c r="BE56" i="48"/>
  <c r="AA56" i="48"/>
  <c r="Z56" i="48"/>
  <c r="Y56" i="48"/>
  <c r="R56" i="48"/>
  <c r="Q56" i="48"/>
  <c r="P56" i="48"/>
  <c r="O56" i="48"/>
  <c r="BE55" i="48"/>
  <c r="AA55" i="48"/>
  <c r="Z55" i="48"/>
  <c r="Y55" i="48"/>
  <c r="R55" i="48"/>
  <c r="Q55" i="48"/>
  <c r="P55" i="48"/>
  <c r="O55" i="48"/>
  <c r="BE54" i="48"/>
  <c r="AB54" i="48"/>
  <c r="AA54" i="48"/>
  <c r="Z54" i="48"/>
  <c r="Y54" i="48"/>
  <c r="R54" i="48"/>
  <c r="Q54" i="48"/>
  <c r="P54" i="48"/>
  <c r="O54" i="48"/>
  <c r="BE53" i="48"/>
  <c r="AA53" i="48"/>
  <c r="Z53" i="48"/>
  <c r="Y53" i="48"/>
  <c r="R53" i="48"/>
  <c r="Q53" i="48"/>
  <c r="P53" i="48"/>
  <c r="O53" i="48"/>
  <c r="BE52" i="48"/>
  <c r="AB52" i="48"/>
  <c r="AA52" i="48"/>
  <c r="Z52" i="48"/>
  <c r="Y52" i="48"/>
  <c r="R52" i="48"/>
  <c r="Q52" i="48"/>
  <c r="P52" i="48"/>
  <c r="O52" i="48"/>
  <c r="BE51" i="48"/>
  <c r="AA51" i="48"/>
  <c r="Z51" i="48"/>
  <c r="Y51" i="48"/>
  <c r="R51" i="48"/>
  <c r="Q51" i="48"/>
  <c r="P51" i="48"/>
  <c r="O51" i="48"/>
  <c r="BE50" i="48"/>
  <c r="AB50" i="48"/>
  <c r="AA50" i="48"/>
  <c r="Z50" i="48"/>
  <c r="Y50" i="48"/>
  <c r="R50" i="48"/>
  <c r="Q50" i="48"/>
  <c r="P50" i="48"/>
  <c r="O50" i="48"/>
  <c r="BE49" i="48"/>
  <c r="AA49" i="48"/>
  <c r="Z49" i="48"/>
  <c r="Y49" i="48"/>
  <c r="R49" i="48"/>
  <c r="Q49" i="48"/>
  <c r="P49" i="48"/>
  <c r="O49" i="48"/>
  <c r="BE48" i="48"/>
  <c r="AB48" i="48"/>
  <c r="AA48" i="48"/>
  <c r="Z48" i="48"/>
  <c r="Y48" i="48"/>
  <c r="R48" i="48"/>
  <c r="Q48" i="48"/>
  <c r="S48" i="48" s="1"/>
  <c r="P48" i="48"/>
  <c r="O48" i="48"/>
  <c r="BE47" i="48"/>
  <c r="AA47" i="48"/>
  <c r="Z47" i="48"/>
  <c r="Y47" i="48"/>
  <c r="R47" i="48"/>
  <c r="Q47" i="48"/>
  <c r="P47" i="48"/>
  <c r="O47" i="48"/>
  <c r="BE46" i="48"/>
  <c r="AB46" i="48"/>
  <c r="AA46" i="48"/>
  <c r="Z46" i="48"/>
  <c r="Y46" i="48"/>
  <c r="R46" i="48"/>
  <c r="Q46" i="48"/>
  <c r="P46" i="48"/>
  <c r="O46" i="48"/>
  <c r="BE45" i="48"/>
  <c r="AA45" i="48"/>
  <c r="Z45" i="48"/>
  <c r="Y45" i="48"/>
  <c r="R45" i="48"/>
  <c r="Q45" i="48"/>
  <c r="P45" i="48"/>
  <c r="O45" i="48"/>
  <c r="BE44" i="48"/>
  <c r="AA44" i="48"/>
  <c r="Z44" i="48"/>
  <c r="Y44" i="48"/>
  <c r="R44" i="48"/>
  <c r="Q44" i="48"/>
  <c r="P44" i="48"/>
  <c r="O44" i="48"/>
  <c r="BE43" i="48"/>
  <c r="AB43" i="48"/>
  <c r="AA43" i="48"/>
  <c r="Z43" i="48"/>
  <c r="Y43" i="48"/>
  <c r="R43" i="48"/>
  <c r="Q43" i="48"/>
  <c r="P43" i="48"/>
  <c r="O43" i="48"/>
  <c r="BE42" i="48"/>
  <c r="AB42" i="48"/>
  <c r="AA42" i="48"/>
  <c r="Z42" i="48"/>
  <c r="Y42" i="48"/>
  <c r="R42" i="48"/>
  <c r="Q42" i="48"/>
  <c r="P42" i="48"/>
  <c r="O42" i="48"/>
  <c r="BE41" i="48"/>
  <c r="AB41" i="48"/>
  <c r="AA41" i="48"/>
  <c r="Z41" i="48"/>
  <c r="Y41" i="48"/>
  <c r="R41" i="48"/>
  <c r="Q41" i="48"/>
  <c r="P41" i="48"/>
  <c r="O41" i="48"/>
  <c r="BE40" i="48"/>
  <c r="AB40" i="48"/>
  <c r="AA40" i="48"/>
  <c r="Z40" i="48"/>
  <c r="Y40" i="48"/>
  <c r="R40" i="48"/>
  <c r="Q40" i="48"/>
  <c r="P40" i="48"/>
  <c r="O40" i="48"/>
  <c r="BE39" i="48"/>
  <c r="AB39" i="48"/>
  <c r="AA39" i="48"/>
  <c r="Z39" i="48"/>
  <c r="Y39" i="48"/>
  <c r="R39" i="48"/>
  <c r="Q39" i="48"/>
  <c r="P39" i="48"/>
  <c r="O39" i="48"/>
  <c r="BE38" i="48"/>
  <c r="AA38" i="48"/>
  <c r="Z38" i="48"/>
  <c r="Y38" i="48"/>
  <c r="R38" i="48"/>
  <c r="Q38" i="48"/>
  <c r="P38" i="48"/>
  <c r="O38" i="48"/>
  <c r="BE37" i="48"/>
  <c r="AB37" i="48"/>
  <c r="AA37" i="48"/>
  <c r="Z37" i="48"/>
  <c r="Y37" i="48"/>
  <c r="R37" i="48"/>
  <c r="Q37" i="48"/>
  <c r="P37" i="48"/>
  <c r="O37" i="48"/>
  <c r="BE36" i="48"/>
  <c r="AB36" i="48"/>
  <c r="AA36" i="48"/>
  <c r="Z36" i="48"/>
  <c r="Y36" i="48"/>
  <c r="R36" i="48"/>
  <c r="Q36" i="48"/>
  <c r="P36" i="48"/>
  <c r="O36" i="48"/>
  <c r="BE35" i="48"/>
  <c r="AA35" i="48"/>
  <c r="Z35" i="48"/>
  <c r="Y35" i="48"/>
  <c r="R35" i="48"/>
  <c r="Q35" i="48"/>
  <c r="P35" i="48"/>
  <c r="O35" i="48"/>
  <c r="BE34" i="48"/>
  <c r="AA34" i="48"/>
  <c r="Z34" i="48"/>
  <c r="Y34" i="48"/>
  <c r="R34" i="48"/>
  <c r="Q34" i="48"/>
  <c r="P34" i="48"/>
  <c r="O34" i="48"/>
  <c r="BE33" i="48"/>
  <c r="AB33" i="48"/>
  <c r="AA33" i="48"/>
  <c r="Z33" i="48"/>
  <c r="Y33" i="48"/>
  <c r="R33" i="48"/>
  <c r="Q33" i="48"/>
  <c r="P33" i="48"/>
  <c r="O33" i="48"/>
  <c r="BE32" i="48"/>
  <c r="AA32" i="48"/>
  <c r="Z32" i="48"/>
  <c r="Y32" i="48"/>
  <c r="R32" i="48"/>
  <c r="Q32" i="48"/>
  <c r="P32" i="48"/>
  <c r="O32" i="48"/>
  <c r="BE31" i="48"/>
  <c r="AA31" i="48"/>
  <c r="Z31" i="48"/>
  <c r="Y31" i="48"/>
  <c r="R31" i="48"/>
  <c r="Q31" i="48"/>
  <c r="P31" i="48"/>
  <c r="O31" i="48"/>
  <c r="BE30" i="48"/>
  <c r="AA30" i="48"/>
  <c r="Z30" i="48"/>
  <c r="Y30" i="48"/>
  <c r="R30" i="48"/>
  <c r="Q30" i="48"/>
  <c r="P30" i="48"/>
  <c r="O30" i="48"/>
  <c r="BE29" i="48"/>
  <c r="AB29" i="48"/>
  <c r="AA29" i="48"/>
  <c r="Z29" i="48"/>
  <c r="Y29" i="48"/>
  <c r="R29" i="48"/>
  <c r="Q29" i="48"/>
  <c r="P29" i="48"/>
  <c r="O29" i="48"/>
  <c r="BE28" i="48"/>
  <c r="AB28" i="48"/>
  <c r="AA28" i="48"/>
  <c r="Z28" i="48"/>
  <c r="Y28" i="48"/>
  <c r="R28" i="48"/>
  <c r="Q28" i="48"/>
  <c r="P28" i="48"/>
  <c r="O28" i="48"/>
  <c r="BE27" i="48"/>
  <c r="AA27" i="48"/>
  <c r="Z27" i="48"/>
  <c r="Y27" i="48"/>
  <c r="R27" i="48"/>
  <c r="Q27" i="48"/>
  <c r="P27" i="48"/>
  <c r="O27" i="48"/>
  <c r="BE26" i="48"/>
  <c r="AA26" i="48"/>
  <c r="Z26" i="48"/>
  <c r="Y26" i="48"/>
  <c r="R26" i="48"/>
  <c r="Q26" i="48"/>
  <c r="P26" i="48"/>
  <c r="O26" i="48"/>
  <c r="BE25" i="48"/>
  <c r="AA25" i="48"/>
  <c r="Z25" i="48"/>
  <c r="Y25" i="48"/>
  <c r="R25" i="48"/>
  <c r="Q25" i="48"/>
  <c r="P25" i="48"/>
  <c r="O25" i="48"/>
  <c r="BE24" i="48"/>
  <c r="AA24" i="48"/>
  <c r="Z24" i="48"/>
  <c r="Y24" i="48"/>
  <c r="R24" i="48"/>
  <c r="Q24" i="48"/>
  <c r="P24" i="48"/>
  <c r="O24" i="48"/>
  <c r="BE23" i="48"/>
  <c r="AB23" i="48"/>
  <c r="AA23" i="48"/>
  <c r="Z23" i="48"/>
  <c r="Y23" i="48"/>
  <c r="R23" i="48"/>
  <c r="Q23" i="48"/>
  <c r="P23" i="48"/>
  <c r="O23" i="48"/>
  <c r="BE22" i="48"/>
  <c r="AA22" i="48"/>
  <c r="Z22" i="48"/>
  <c r="Y22" i="48"/>
  <c r="R22" i="48"/>
  <c r="Q22" i="48"/>
  <c r="P22" i="48"/>
  <c r="O22" i="48"/>
  <c r="BE21" i="48"/>
  <c r="AA21" i="48"/>
  <c r="Z21" i="48"/>
  <c r="Y21" i="48"/>
  <c r="R21" i="48"/>
  <c r="Q21" i="48"/>
  <c r="P21" i="48"/>
  <c r="O21" i="48"/>
  <c r="BE20" i="48"/>
  <c r="AB20" i="48"/>
  <c r="AA20" i="48"/>
  <c r="Z20" i="48"/>
  <c r="Y20" i="48"/>
  <c r="R20" i="48"/>
  <c r="Q20" i="48"/>
  <c r="P20" i="48"/>
  <c r="O20" i="48"/>
  <c r="BE19" i="48"/>
  <c r="AA19" i="48"/>
  <c r="Z19" i="48"/>
  <c r="Y19" i="48"/>
  <c r="R19" i="48"/>
  <c r="Q19" i="48"/>
  <c r="P19" i="48"/>
  <c r="O19" i="48"/>
  <c r="AK14" i="48"/>
  <c r="BH14" i="48" s="1"/>
  <c r="AD11" i="48"/>
  <c r="BC9" i="48"/>
  <c r="BA9" i="48"/>
  <c r="AY9" i="48"/>
  <c r="AW9" i="48"/>
  <c r="AU9" i="48"/>
  <c r="AS9" i="48"/>
  <c r="AQ9" i="48"/>
  <c r="AO9" i="48"/>
  <c r="AM9" i="48"/>
  <c r="AK9" i="48"/>
  <c r="AI9" i="48"/>
  <c r="AG9" i="48"/>
  <c r="BC8" i="48"/>
  <c r="BA8" i="48"/>
  <c r="AY8" i="48"/>
  <c r="AW8" i="48"/>
  <c r="AU8" i="48"/>
  <c r="AS8" i="48"/>
  <c r="AS10" i="48" s="1"/>
  <c r="AQ8" i="48"/>
  <c r="AO8" i="48"/>
  <c r="AM8" i="48"/>
  <c r="AK8" i="48"/>
  <c r="AI8" i="48"/>
  <c r="AG8" i="48"/>
  <c r="BC6" i="48"/>
  <c r="BA6" i="48"/>
  <c r="AY6" i="48"/>
  <c r="AW6" i="48"/>
  <c r="AU6" i="48"/>
  <c r="AS6" i="48"/>
  <c r="AQ6" i="48"/>
  <c r="AO6" i="48"/>
  <c r="AM6" i="48"/>
  <c r="AK6" i="48"/>
  <c r="AI6" i="48"/>
  <c r="AG6" i="48"/>
  <c r="BC5" i="48"/>
  <c r="BA5" i="48"/>
  <c r="AY5" i="48"/>
  <c r="AW5" i="48"/>
  <c r="AU5" i="48"/>
  <c r="AS5" i="48"/>
  <c r="AQ5" i="48"/>
  <c r="AO5" i="48"/>
  <c r="AM5" i="48"/>
  <c r="AK5" i="48"/>
  <c r="AI5" i="48"/>
  <c r="AG5" i="48"/>
  <c r="BH4" i="48"/>
  <c r="BG4" i="48"/>
  <c r="AI4" i="48"/>
  <c r="AY69" i="47"/>
  <c r="AX69" i="47"/>
  <c r="AW69" i="47"/>
  <c r="AV69" i="47"/>
  <c r="AU69" i="47"/>
  <c r="AT69" i="47"/>
  <c r="AS69" i="47"/>
  <c r="AR69" i="47"/>
  <c r="AQ69" i="47"/>
  <c r="AP69" i="47"/>
  <c r="AO69" i="47"/>
  <c r="AN69" i="47"/>
  <c r="AM69" i="47"/>
  <c r="AL69" i="47"/>
  <c r="AK69" i="47"/>
  <c r="AJ69" i="47"/>
  <c r="AI69" i="47"/>
  <c r="AH69" i="47"/>
  <c r="AD69" i="47"/>
  <c r="AC69" i="47"/>
  <c r="AB69" i="47"/>
  <c r="AA69" i="47"/>
  <c r="W69" i="47"/>
  <c r="V69" i="47"/>
  <c r="U69" i="47"/>
  <c r="T69" i="47"/>
  <c r="S69" i="47"/>
  <c r="R69" i="47"/>
  <c r="J69" i="47"/>
  <c r="AZ68" i="47"/>
  <c r="AF68" i="47"/>
  <c r="AE68" i="47"/>
  <c r="AG8" i="47" s="1"/>
  <c r="Y68" i="47"/>
  <c r="X68" i="47"/>
  <c r="AZ67" i="47"/>
  <c r="AF67" i="47"/>
  <c r="AE67" i="47"/>
  <c r="AG67" i="47" s="1"/>
  <c r="Z67" i="47"/>
  <c r="Y67" i="47"/>
  <c r="X67" i="47"/>
  <c r="AZ66" i="47"/>
  <c r="AF66" i="47"/>
  <c r="AG66" i="47" s="1"/>
  <c r="AE66" i="47"/>
  <c r="Y66" i="47"/>
  <c r="X66" i="47"/>
  <c r="Z66" i="47" s="1"/>
  <c r="AZ65" i="47"/>
  <c r="AF65" i="47"/>
  <c r="AE65" i="47"/>
  <c r="Y65" i="47"/>
  <c r="X65" i="47"/>
  <c r="Z65" i="47" s="1"/>
  <c r="AZ64" i="47"/>
  <c r="AF64" i="47"/>
  <c r="AE64" i="47"/>
  <c r="AG64" i="47" s="1"/>
  <c r="Z64" i="47"/>
  <c r="Y64" i="47"/>
  <c r="X64" i="47"/>
  <c r="AZ63" i="47"/>
  <c r="AF63" i="47"/>
  <c r="AG63" i="47" s="1"/>
  <c r="AE63" i="47"/>
  <c r="Y63" i="47"/>
  <c r="X63" i="47"/>
  <c r="AZ62" i="47"/>
  <c r="AF62" i="47"/>
  <c r="AE62" i="47"/>
  <c r="AG62" i="47" s="1"/>
  <c r="Y62" i="47"/>
  <c r="X62" i="47"/>
  <c r="AZ61" i="47"/>
  <c r="AF61" i="47"/>
  <c r="AE61" i="47"/>
  <c r="Y61" i="47"/>
  <c r="X61" i="47"/>
  <c r="Z61" i="47" s="1"/>
  <c r="AZ60" i="47"/>
  <c r="AF60" i="47"/>
  <c r="AE60" i="47"/>
  <c r="AG60" i="47" s="1"/>
  <c r="Y60" i="47"/>
  <c r="Z60" i="47" s="1"/>
  <c r="X60" i="47"/>
  <c r="AZ59" i="47"/>
  <c r="AF59" i="47"/>
  <c r="AE59" i="47"/>
  <c r="AG59" i="47" s="1"/>
  <c r="Y59" i="47"/>
  <c r="X59" i="47"/>
  <c r="Z59" i="47" s="1"/>
  <c r="AZ58" i="47"/>
  <c r="AF58" i="47"/>
  <c r="AG58" i="47" s="1"/>
  <c r="AE58" i="47"/>
  <c r="Y58" i="47"/>
  <c r="X58" i="47"/>
  <c r="Z58" i="47" s="1"/>
  <c r="AZ57" i="47"/>
  <c r="AF57" i="47"/>
  <c r="AE57" i="47"/>
  <c r="AG57" i="47" s="1"/>
  <c r="Y57" i="47"/>
  <c r="X57" i="47"/>
  <c r="AZ56" i="47"/>
  <c r="AF56" i="47"/>
  <c r="AE56" i="47"/>
  <c r="AG56" i="47" s="1"/>
  <c r="Y56" i="47"/>
  <c r="Z56" i="47" s="1"/>
  <c r="X56" i="47"/>
  <c r="AZ55" i="47"/>
  <c r="AF55" i="47"/>
  <c r="AG55" i="47" s="1"/>
  <c r="AE55" i="47"/>
  <c r="Y55" i="47"/>
  <c r="X55" i="47"/>
  <c r="AZ54" i="47"/>
  <c r="AG54" i="47"/>
  <c r="AF54" i="47"/>
  <c r="AE54" i="47"/>
  <c r="Y54" i="47"/>
  <c r="X54" i="47"/>
  <c r="Z54" i="47" s="1"/>
  <c r="AZ53" i="47"/>
  <c r="AF53" i="47"/>
  <c r="AE53" i="47"/>
  <c r="AG53" i="47" s="1"/>
  <c r="Z53" i="47"/>
  <c r="Y53" i="47"/>
  <c r="X53" i="47"/>
  <c r="AZ52" i="47"/>
  <c r="AF52" i="47"/>
  <c r="AE52" i="47"/>
  <c r="AG52" i="47" s="1"/>
  <c r="Y52" i="47"/>
  <c r="X52" i="47"/>
  <c r="AZ51" i="47"/>
  <c r="AG51" i="47"/>
  <c r="AF51" i="47"/>
  <c r="AE51" i="47"/>
  <c r="Y51" i="47"/>
  <c r="X51" i="47"/>
  <c r="Z51" i="47" s="1"/>
  <c r="AZ50" i="47"/>
  <c r="AF50" i="47"/>
  <c r="AG50" i="47" s="1"/>
  <c r="AE50" i="47"/>
  <c r="Y50" i="47"/>
  <c r="X50" i="47"/>
  <c r="AZ49" i="47"/>
  <c r="AF49" i="47"/>
  <c r="AE49" i="47"/>
  <c r="AG49" i="47" s="1"/>
  <c r="Y49" i="47"/>
  <c r="X49" i="47"/>
  <c r="Z49" i="47" s="1"/>
  <c r="AZ48" i="47"/>
  <c r="AF48" i="47"/>
  <c r="AE48" i="47"/>
  <c r="AG48" i="47" s="1"/>
  <c r="Y48" i="47"/>
  <c r="X48" i="47"/>
  <c r="Z48" i="47" s="1"/>
  <c r="AZ47" i="47"/>
  <c r="AF47" i="47"/>
  <c r="AG47" i="47" s="1"/>
  <c r="AE47" i="47"/>
  <c r="Y47" i="47"/>
  <c r="X47" i="47"/>
  <c r="AZ46" i="47"/>
  <c r="AF46" i="47"/>
  <c r="AE46" i="47"/>
  <c r="AG46" i="47" s="1"/>
  <c r="Y46" i="47"/>
  <c r="X46" i="47"/>
  <c r="AZ45" i="47"/>
  <c r="AF45" i="47"/>
  <c r="AE45" i="47"/>
  <c r="AG45" i="47" s="1"/>
  <c r="Y45" i="47"/>
  <c r="X45" i="47"/>
  <c r="Z45" i="47" s="1"/>
  <c r="AZ44" i="47"/>
  <c r="AF44" i="47"/>
  <c r="AE44" i="47"/>
  <c r="AG44" i="47" s="1"/>
  <c r="Y44" i="47"/>
  <c r="Z44" i="47" s="1"/>
  <c r="X44" i="47"/>
  <c r="AZ43" i="47"/>
  <c r="AF43" i="47"/>
  <c r="AG43" i="47" s="1"/>
  <c r="AE43" i="47"/>
  <c r="Y43" i="47"/>
  <c r="X43" i="47"/>
  <c r="Z43" i="47" s="1"/>
  <c r="AZ42" i="47"/>
  <c r="AF42" i="47"/>
  <c r="AE42" i="47"/>
  <c r="Y42" i="47"/>
  <c r="X42" i="47"/>
  <c r="AZ41" i="47"/>
  <c r="AF41" i="47"/>
  <c r="AE41" i="47"/>
  <c r="AG41" i="47" s="1"/>
  <c r="Y41" i="47"/>
  <c r="X41" i="47"/>
  <c r="Z41" i="47" s="1"/>
  <c r="AZ40" i="47"/>
  <c r="AG40" i="47"/>
  <c r="AF40" i="47"/>
  <c r="AE40" i="47"/>
  <c r="Y40" i="47"/>
  <c r="X40" i="47"/>
  <c r="Z40" i="47" s="1"/>
  <c r="AZ39" i="47"/>
  <c r="AF39" i="47"/>
  <c r="AE39" i="47"/>
  <c r="Y39" i="47"/>
  <c r="Z39" i="47" s="1"/>
  <c r="X39" i="47"/>
  <c r="AZ38" i="47"/>
  <c r="AF38" i="47"/>
  <c r="AE38" i="47"/>
  <c r="AG38" i="47" s="1"/>
  <c r="Y38" i="47"/>
  <c r="X38" i="47"/>
  <c r="Z38" i="47" s="1"/>
  <c r="AZ37" i="47"/>
  <c r="AF37" i="47"/>
  <c r="AE37" i="47"/>
  <c r="AG37" i="47" s="1"/>
  <c r="Y37" i="47"/>
  <c r="X37" i="47"/>
  <c r="Z37" i="47" s="1"/>
  <c r="AZ36" i="47"/>
  <c r="AF36" i="47"/>
  <c r="AE36" i="47"/>
  <c r="Y36" i="47"/>
  <c r="X36" i="47"/>
  <c r="AZ35" i="47"/>
  <c r="AF35" i="47"/>
  <c r="AE35" i="47"/>
  <c r="AG35" i="47" s="1"/>
  <c r="Z35" i="47"/>
  <c r="Y35" i="47"/>
  <c r="X35" i="47"/>
  <c r="AZ34" i="47"/>
  <c r="AF34" i="47"/>
  <c r="AG34" i="47" s="1"/>
  <c r="AE34" i="47"/>
  <c r="Y34" i="47"/>
  <c r="X34" i="47"/>
  <c r="Z34" i="47" s="1"/>
  <c r="AZ33" i="47"/>
  <c r="AF33" i="47"/>
  <c r="AE33" i="47"/>
  <c r="Y33" i="47"/>
  <c r="X33" i="47"/>
  <c r="Z33" i="47" s="1"/>
  <c r="AZ32" i="47"/>
  <c r="AF32" i="47"/>
  <c r="AE32" i="47"/>
  <c r="AG32" i="47" s="1"/>
  <c r="Z32" i="47"/>
  <c r="Y32" i="47"/>
  <c r="X32" i="47"/>
  <c r="AZ31" i="47"/>
  <c r="AF31" i="47"/>
  <c r="AG31" i="47" s="1"/>
  <c r="AE31" i="47"/>
  <c r="Y31" i="47"/>
  <c r="X31" i="47"/>
  <c r="AZ30" i="47"/>
  <c r="AF30" i="47"/>
  <c r="AE30" i="47"/>
  <c r="AG30" i="47" s="1"/>
  <c r="Y30" i="47"/>
  <c r="X30" i="47"/>
  <c r="Z30" i="47" s="1"/>
  <c r="AZ29" i="47"/>
  <c r="AF29" i="47"/>
  <c r="AG6" i="47" s="1"/>
  <c r="AE29" i="47"/>
  <c r="Y29" i="47"/>
  <c r="X29" i="47"/>
  <c r="Z29" i="47" s="1"/>
  <c r="AZ28" i="47"/>
  <c r="AF28" i="47"/>
  <c r="AE28" i="47"/>
  <c r="AG28" i="47" s="1"/>
  <c r="Y28" i="47"/>
  <c r="Z28" i="47" s="1"/>
  <c r="X28" i="47"/>
  <c r="AZ27" i="47"/>
  <c r="AF27" i="47"/>
  <c r="AE27" i="47"/>
  <c r="AG27" i="47" s="1"/>
  <c r="Y27" i="47"/>
  <c r="Z6" i="47" s="1"/>
  <c r="X27" i="47"/>
  <c r="Z27" i="47" s="1"/>
  <c r="AZ26" i="47"/>
  <c r="AF26" i="47"/>
  <c r="AG26" i="47" s="1"/>
  <c r="AE26" i="47"/>
  <c r="Y26" i="47"/>
  <c r="X26" i="47"/>
  <c r="Z26" i="47" s="1"/>
  <c r="AZ25" i="47"/>
  <c r="AF25" i="47"/>
  <c r="AE25" i="47"/>
  <c r="AG25" i="47" s="1"/>
  <c r="Y25" i="47"/>
  <c r="X25" i="47"/>
  <c r="AZ24" i="47"/>
  <c r="AF24" i="47"/>
  <c r="AE24" i="47"/>
  <c r="AG24" i="47" s="1"/>
  <c r="Y24" i="47"/>
  <c r="Z24" i="47" s="1"/>
  <c r="X24" i="47"/>
  <c r="AZ23" i="47"/>
  <c r="AF23" i="47"/>
  <c r="AG23" i="47" s="1"/>
  <c r="AE23" i="47"/>
  <c r="Y23" i="47"/>
  <c r="X23" i="47"/>
  <c r="AZ22" i="47"/>
  <c r="AG22" i="47"/>
  <c r="AF22" i="47"/>
  <c r="AE22" i="47"/>
  <c r="Y22" i="47"/>
  <c r="X22" i="47"/>
  <c r="AZ21" i="47"/>
  <c r="AF21" i="47"/>
  <c r="AE21" i="47"/>
  <c r="AG21" i="47" s="1"/>
  <c r="Z21" i="47"/>
  <c r="Y21" i="47"/>
  <c r="X21" i="47"/>
  <c r="AZ20" i="47"/>
  <c r="AF20" i="47"/>
  <c r="AE20" i="47"/>
  <c r="AG20" i="47" s="1"/>
  <c r="Y20" i="47"/>
  <c r="X20" i="47"/>
  <c r="AZ19" i="47"/>
  <c r="AG19" i="47"/>
  <c r="AF19" i="47"/>
  <c r="AE19" i="47"/>
  <c r="Y19" i="47"/>
  <c r="X19" i="47"/>
  <c r="Z19" i="47" s="1"/>
  <c r="AZ18" i="47"/>
  <c r="AF18" i="47"/>
  <c r="AG18" i="47" s="1"/>
  <c r="AE18" i="47"/>
  <c r="Y18" i="47"/>
  <c r="X18" i="47"/>
  <c r="BC14" i="47"/>
  <c r="BB14" i="47"/>
  <c r="BC12" i="47"/>
  <c r="BB12" i="47"/>
  <c r="AR10" i="47"/>
  <c r="AR11" i="47" s="1"/>
  <c r="AR13" i="47" s="1"/>
  <c r="AX9" i="47"/>
  <c r="AV9" i="47"/>
  <c r="AT9" i="47"/>
  <c r="AR9" i="47"/>
  <c r="AP9" i="47"/>
  <c r="AN9" i="47"/>
  <c r="AL9" i="47"/>
  <c r="AJ9" i="47"/>
  <c r="AE9" i="47"/>
  <c r="AC9" i="47"/>
  <c r="X9" i="47"/>
  <c r="V9" i="47"/>
  <c r="T9" i="47"/>
  <c r="R9" i="47"/>
  <c r="BB8" i="47"/>
  <c r="AX8" i="47"/>
  <c r="AX10" i="47" s="1"/>
  <c r="AV8" i="47"/>
  <c r="AV10" i="47" s="1"/>
  <c r="AT8" i="47"/>
  <c r="AT10" i="47" s="1"/>
  <c r="AR8" i="47"/>
  <c r="AP8" i="47"/>
  <c r="AP10" i="47" s="1"/>
  <c r="AN8" i="47"/>
  <c r="AN10" i="47" s="1"/>
  <c r="AL8" i="47"/>
  <c r="AJ8" i="47"/>
  <c r="AE8" i="47"/>
  <c r="AE10" i="47" s="1"/>
  <c r="AC8" i="47"/>
  <c r="AC10" i="47" s="1"/>
  <c r="Z8" i="47"/>
  <c r="X8" i="47"/>
  <c r="X10" i="47" s="1"/>
  <c r="V8" i="47"/>
  <c r="V10" i="47" s="1"/>
  <c r="T8" i="47"/>
  <c r="T10" i="47" s="1"/>
  <c r="R8" i="47"/>
  <c r="R10" i="47" s="1"/>
  <c r="AX6" i="47"/>
  <c r="AV6" i="47"/>
  <c r="AT6" i="47"/>
  <c r="AR6" i="47"/>
  <c r="AP6" i="47"/>
  <c r="AN6" i="47"/>
  <c r="AN7" i="47" s="1"/>
  <c r="AL6" i="47"/>
  <c r="AJ6" i="47"/>
  <c r="AE6" i="47"/>
  <c r="AC6" i="47"/>
  <c r="X6" i="47"/>
  <c r="V6" i="47"/>
  <c r="T6" i="47"/>
  <c r="R6" i="47"/>
  <c r="AX5" i="47"/>
  <c r="AX7" i="47" s="1"/>
  <c r="AV5" i="47"/>
  <c r="AV7" i="47" s="1"/>
  <c r="AT5" i="47"/>
  <c r="AT7" i="47" s="1"/>
  <c r="AR5" i="47"/>
  <c r="AR7" i="47" s="1"/>
  <c r="AP5" i="47"/>
  <c r="AP7" i="47" s="1"/>
  <c r="AN5" i="47"/>
  <c r="AL5" i="47"/>
  <c r="AJ5" i="47"/>
  <c r="AJ7" i="47" s="1"/>
  <c r="AE5" i="47"/>
  <c r="AE7" i="47" s="1"/>
  <c r="AC5" i="47"/>
  <c r="AC7" i="47" s="1"/>
  <c r="X5" i="47"/>
  <c r="X7" i="47" s="1"/>
  <c r="V5" i="47"/>
  <c r="T5" i="47"/>
  <c r="R5" i="47"/>
  <c r="AX4" i="47"/>
  <c r="AV4" i="47"/>
  <c r="AT4" i="47"/>
  <c r="AR4" i="47"/>
  <c r="AP4" i="47"/>
  <c r="AN4" i="47"/>
  <c r="AL4" i="47"/>
  <c r="AJ4" i="47"/>
  <c r="AC4" i="47"/>
  <c r="BB4" i="47" s="1"/>
  <c r="V4" i="47"/>
  <c r="T4" i="47"/>
  <c r="BD150" i="46"/>
  <c r="BC150" i="46"/>
  <c r="BB150" i="46"/>
  <c r="BA150" i="46"/>
  <c r="AZ150" i="46"/>
  <c r="AY150" i="46"/>
  <c r="AX150" i="46"/>
  <c r="AW150" i="46"/>
  <c r="AV150" i="46"/>
  <c r="AU150" i="46"/>
  <c r="AT150" i="46"/>
  <c r="AS150" i="46"/>
  <c r="AR150" i="46"/>
  <c r="AQ150" i="46"/>
  <c r="AP150" i="46"/>
  <c r="AO150" i="46"/>
  <c r="AN150" i="46"/>
  <c r="AM150" i="46"/>
  <c r="AL150" i="46"/>
  <c r="AK150" i="46"/>
  <c r="AJ150" i="46"/>
  <c r="AI150" i="46"/>
  <c r="AH150" i="46"/>
  <c r="AG150" i="46"/>
  <c r="I150" i="46"/>
  <c r="BE149" i="46"/>
  <c r="AC149" i="46"/>
  <c r="AB149" i="46"/>
  <c r="AA149" i="46"/>
  <c r="T149" i="46"/>
  <c r="S149" i="46"/>
  <c r="R149" i="46"/>
  <c r="Q149" i="46"/>
  <c r="BE148" i="46"/>
  <c r="AC148" i="46"/>
  <c r="AB148" i="46"/>
  <c r="AA148" i="46"/>
  <c r="T148" i="46"/>
  <c r="S148" i="46"/>
  <c r="R148" i="46"/>
  <c r="Q148" i="46"/>
  <c r="BE147" i="46"/>
  <c r="AC147" i="46"/>
  <c r="AB147" i="46"/>
  <c r="AA147" i="46"/>
  <c r="T147" i="46"/>
  <c r="S147" i="46"/>
  <c r="R147" i="46"/>
  <c r="Q147" i="46"/>
  <c r="BE146" i="46"/>
  <c r="AC146" i="46"/>
  <c r="AB146" i="46"/>
  <c r="AA146" i="46"/>
  <c r="T146" i="46"/>
  <c r="S146" i="46"/>
  <c r="R146" i="46"/>
  <c r="Q146" i="46"/>
  <c r="BE145" i="46"/>
  <c r="AC145" i="46"/>
  <c r="AB145" i="46"/>
  <c r="AA145" i="46"/>
  <c r="T145" i="46"/>
  <c r="U145" i="46" s="1"/>
  <c r="S145" i="46"/>
  <c r="R145" i="46"/>
  <c r="Q145" i="46"/>
  <c r="BE144" i="46"/>
  <c r="AC144" i="46"/>
  <c r="AB144" i="46"/>
  <c r="AA144" i="46"/>
  <c r="T144" i="46"/>
  <c r="S144" i="46"/>
  <c r="R144" i="46"/>
  <c r="Q144" i="46"/>
  <c r="BE143" i="46"/>
  <c r="AC143" i="46"/>
  <c r="AB143" i="46"/>
  <c r="AA143" i="46"/>
  <c r="T143" i="46"/>
  <c r="S143" i="46"/>
  <c r="R143" i="46"/>
  <c r="Q143" i="46"/>
  <c r="BE142" i="46"/>
  <c r="AC142" i="46"/>
  <c r="AB142" i="46"/>
  <c r="AA142" i="46"/>
  <c r="T142" i="46"/>
  <c r="S142" i="46"/>
  <c r="R142" i="46"/>
  <c r="Q142" i="46"/>
  <c r="BE141" i="46"/>
  <c r="AC141" i="46"/>
  <c r="AB141" i="46"/>
  <c r="AA141" i="46"/>
  <c r="T141" i="46"/>
  <c r="S141" i="46"/>
  <c r="R141" i="46"/>
  <c r="Q141" i="46"/>
  <c r="BE140" i="46"/>
  <c r="AC140" i="46"/>
  <c r="AB140" i="46"/>
  <c r="AA140" i="46"/>
  <c r="T140" i="46"/>
  <c r="S140" i="46"/>
  <c r="R140" i="46"/>
  <c r="Q140" i="46"/>
  <c r="BE139" i="46"/>
  <c r="AC139" i="46"/>
  <c r="AB139" i="46"/>
  <c r="AA139" i="46"/>
  <c r="T139" i="46"/>
  <c r="S139" i="46"/>
  <c r="R139" i="46"/>
  <c r="Q139" i="46"/>
  <c r="BE138" i="46"/>
  <c r="AC138" i="46"/>
  <c r="AB138" i="46"/>
  <c r="AA138" i="46"/>
  <c r="T138" i="46"/>
  <c r="S138" i="46"/>
  <c r="R138" i="46"/>
  <c r="Q138" i="46"/>
  <c r="BE137" i="46"/>
  <c r="AC137" i="46"/>
  <c r="AB137" i="46"/>
  <c r="AA137" i="46"/>
  <c r="T137" i="46"/>
  <c r="U137" i="46" s="1"/>
  <c r="S137" i="46"/>
  <c r="R137" i="46"/>
  <c r="Q137" i="46"/>
  <c r="BE136" i="46"/>
  <c r="AC136" i="46"/>
  <c r="AB136" i="46"/>
  <c r="AA136" i="46"/>
  <c r="T136" i="46"/>
  <c r="U136" i="46" s="1"/>
  <c r="S136" i="46"/>
  <c r="R136" i="46"/>
  <c r="Q136" i="46"/>
  <c r="BE135" i="46"/>
  <c r="AC135" i="46"/>
  <c r="AB135" i="46"/>
  <c r="AA135" i="46"/>
  <c r="T135" i="46"/>
  <c r="S135" i="46"/>
  <c r="R135" i="46"/>
  <c r="Q135" i="46"/>
  <c r="BE134" i="46"/>
  <c r="AC134" i="46"/>
  <c r="AB134" i="46"/>
  <c r="AA134" i="46"/>
  <c r="T134" i="46"/>
  <c r="S134" i="46"/>
  <c r="R134" i="46"/>
  <c r="Q134" i="46"/>
  <c r="BE133" i="46"/>
  <c r="AC133" i="46"/>
  <c r="AB133" i="46"/>
  <c r="AA133" i="46"/>
  <c r="U133" i="46"/>
  <c r="T133" i="46"/>
  <c r="S133" i="46"/>
  <c r="R133" i="46"/>
  <c r="Q133" i="46"/>
  <c r="BE132" i="46"/>
  <c r="AC132" i="46"/>
  <c r="AB132" i="46"/>
  <c r="AA132" i="46"/>
  <c r="T132" i="46"/>
  <c r="S132" i="46"/>
  <c r="R132" i="46"/>
  <c r="Q132" i="46"/>
  <c r="BE131" i="46"/>
  <c r="AC131" i="46"/>
  <c r="AB131" i="46"/>
  <c r="AA131" i="46"/>
  <c r="T131" i="46"/>
  <c r="S131" i="46"/>
  <c r="R131" i="46"/>
  <c r="Q131" i="46"/>
  <c r="BE130" i="46"/>
  <c r="AC130" i="46"/>
  <c r="AB130" i="46"/>
  <c r="AA130" i="46"/>
  <c r="T130" i="46"/>
  <c r="S130" i="46"/>
  <c r="R130" i="46"/>
  <c r="Q130" i="46"/>
  <c r="BE129" i="46"/>
  <c r="AC129" i="46"/>
  <c r="AB129" i="46"/>
  <c r="AA129" i="46"/>
  <c r="T129" i="46"/>
  <c r="S129" i="46"/>
  <c r="R129" i="46"/>
  <c r="Q129" i="46"/>
  <c r="BE128" i="46"/>
  <c r="AC128" i="46"/>
  <c r="AB128" i="46"/>
  <c r="AA128" i="46"/>
  <c r="T128" i="46"/>
  <c r="S128" i="46"/>
  <c r="R128" i="46"/>
  <c r="Q128" i="46"/>
  <c r="BE127" i="46"/>
  <c r="AC127" i="46"/>
  <c r="AB127" i="46"/>
  <c r="AA127" i="46"/>
  <c r="T127" i="46"/>
  <c r="S127" i="46"/>
  <c r="R127" i="46"/>
  <c r="Q127" i="46"/>
  <c r="BE126" i="46"/>
  <c r="AC126" i="46"/>
  <c r="AB126" i="46"/>
  <c r="AA126" i="46"/>
  <c r="T126" i="46"/>
  <c r="S126" i="46"/>
  <c r="R126" i="46"/>
  <c r="Q126" i="46"/>
  <c r="BE125" i="46"/>
  <c r="AC125" i="46"/>
  <c r="AB125" i="46"/>
  <c r="AA125" i="46"/>
  <c r="T125" i="46"/>
  <c r="S125" i="46"/>
  <c r="R125" i="46"/>
  <c r="Q125" i="46"/>
  <c r="BE124" i="46"/>
  <c r="AC124" i="46"/>
  <c r="AB124" i="46"/>
  <c r="AA124" i="46"/>
  <c r="T124" i="46"/>
  <c r="S124" i="46"/>
  <c r="R124" i="46"/>
  <c r="Q124" i="46"/>
  <c r="BE123" i="46"/>
  <c r="AC123" i="46"/>
  <c r="AD123" i="46" s="1"/>
  <c r="AB123" i="46"/>
  <c r="AA123" i="46"/>
  <c r="T123" i="46"/>
  <c r="S123" i="46"/>
  <c r="R123" i="46"/>
  <c r="Q123" i="46"/>
  <c r="BE122" i="46"/>
  <c r="AC122" i="46"/>
  <c r="AB122" i="46"/>
  <c r="AA122" i="46"/>
  <c r="T122" i="46"/>
  <c r="S122" i="46"/>
  <c r="R122" i="46"/>
  <c r="Q122" i="46"/>
  <c r="BE121" i="46"/>
  <c r="AC121" i="46"/>
  <c r="AB121" i="46"/>
  <c r="AA121" i="46"/>
  <c r="T121" i="46"/>
  <c r="S121" i="46"/>
  <c r="R121" i="46"/>
  <c r="Q121" i="46"/>
  <c r="BE120" i="46"/>
  <c r="AD120" i="46"/>
  <c r="AC120" i="46"/>
  <c r="AB120" i="46"/>
  <c r="AA120" i="46"/>
  <c r="T120" i="46"/>
  <c r="S120" i="46"/>
  <c r="R120" i="46"/>
  <c r="Q120" i="46"/>
  <c r="BE119" i="46"/>
  <c r="AC119" i="46"/>
  <c r="AB119" i="46"/>
  <c r="AA119" i="46"/>
  <c r="T119" i="46"/>
  <c r="S119" i="46"/>
  <c r="R119" i="46"/>
  <c r="Q119" i="46"/>
  <c r="BE118" i="46"/>
  <c r="AC118" i="46"/>
  <c r="AB118" i="46"/>
  <c r="AA118" i="46"/>
  <c r="T118" i="46"/>
  <c r="S118" i="46"/>
  <c r="U118" i="46" s="1"/>
  <c r="R118" i="46"/>
  <c r="Q118" i="46"/>
  <c r="BE117" i="46"/>
  <c r="AC117" i="46"/>
  <c r="AB117" i="46"/>
  <c r="AA117" i="46"/>
  <c r="T117" i="46"/>
  <c r="S117" i="46"/>
  <c r="R117" i="46"/>
  <c r="Q117" i="46"/>
  <c r="BE116" i="46"/>
  <c r="AC116" i="46"/>
  <c r="AB116" i="46"/>
  <c r="AA116" i="46"/>
  <c r="T116" i="46"/>
  <c r="S116" i="46"/>
  <c r="R116" i="46"/>
  <c r="Q116" i="46"/>
  <c r="BE115" i="46"/>
  <c r="AC115" i="46"/>
  <c r="AB115" i="46"/>
  <c r="AA115" i="46"/>
  <c r="T115" i="46"/>
  <c r="S115" i="46"/>
  <c r="R115" i="46"/>
  <c r="Q115" i="46"/>
  <c r="BE114" i="46"/>
  <c r="AC114" i="46"/>
  <c r="AB114" i="46"/>
  <c r="AA114" i="46"/>
  <c r="T114" i="46"/>
  <c r="S114" i="46"/>
  <c r="R114" i="46"/>
  <c r="Q114" i="46"/>
  <c r="BE113" i="46"/>
  <c r="AD113" i="46"/>
  <c r="AC113" i="46"/>
  <c r="AB113" i="46"/>
  <c r="AA113" i="46"/>
  <c r="T113" i="46"/>
  <c r="S113" i="46"/>
  <c r="U113" i="46" s="1"/>
  <c r="R113" i="46"/>
  <c r="Q113" i="46"/>
  <c r="BE112" i="46"/>
  <c r="AC112" i="46"/>
  <c r="AB112" i="46"/>
  <c r="AA112" i="46"/>
  <c r="T112" i="46"/>
  <c r="S112" i="46"/>
  <c r="R112" i="46"/>
  <c r="Q112" i="46"/>
  <c r="BE111" i="46"/>
  <c r="AC111" i="46"/>
  <c r="AB111" i="46"/>
  <c r="AA111" i="46"/>
  <c r="T111" i="46"/>
  <c r="S111" i="46"/>
  <c r="R111" i="46"/>
  <c r="Q111" i="46"/>
  <c r="BE110" i="46"/>
  <c r="AC110" i="46"/>
  <c r="AB110" i="46"/>
  <c r="AA110" i="46"/>
  <c r="T110" i="46"/>
  <c r="S110" i="46"/>
  <c r="R110" i="46"/>
  <c r="Q110" i="46"/>
  <c r="BE109" i="46"/>
  <c r="AC109" i="46"/>
  <c r="AB109" i="46"/>
  <c r="AA109" i="46"/>
  <c r="T109" i="46"/>
  <c r="S109" i="46"/>
  <c r="R109" i="46"/>
  <c r="Q109" i="46"/>
  <c r="BE108" i="46"/>
  <c r="AC108" i="46"/>
  <c r="AB108" i="46"/>
  <c r="AA108" i="46"/>
  <c r="T108" i="46"/>
  <c r="S108" i="46"/>
  <c r="R108" i="46"/>
  <c r="Q108" i="46"/>
  <c r="BE107" i="46"/>
  <c r="AC107" i="46"/>
  <c r="AB107" i="46"/>
  <c r="AA107" i="46"/>
  <c r="T107" i="46"/>
  <c r="S107" i="46"/>
  <c r="R107" i="46"/>
  <c r="Q107" i="46"/>
  <c r="BE106" i="46"/>
  <c r="AC106" i="46"/>
  <c r="AB106" i="46"/>
  <c r="AA106" i="46"/>
  <c r="T106" i="46"/>
  <c r="S106" i="46"/>
  <c r="R106" i="46"/>
  <c r="Q106" i="46"/>
  <c r="BE105" i="46"/>
  <c r="AC105" i="46"/>
  <c r="AB105" i="46"/>
  <c r="AA105" i="46"/>
  <c r="T105" i="46"/>
  <c r="S105" i="46"/>
  <c r="U105" i="46" s="1"/>
  <c r="R105" i="46"/>
  <c r="Q105" i="46"/>
  <c r="BE104" i="46"/>
  <c r="AC104" i="46"/>
  <c r="AB104" i="46"/>
  <c r="AA104" i="46"/>
  <c r="T104" i="46"/>
  <c r="S104" i="46"/>
  <c r="R104" i="46"/>
  <c r="Q104" i="46"/>
  <c r="BE103" i="46"/>
  <c r="AC103" i="46"/>
  <c r="AB103" i="46"/>
  <c r="AA103" i="46"/>
  <c r="T103" i="46"/>
  <c r="S103" i="46"/>
  <c r="R103" i="46"/>
  <c r="Q103" i="46"/>
  <c r="BE102" i="46"/>
  <c r="AC102" i="46"/>
  <c r="AB102" i="46"/>
  <c r="AA102" i="46"/>
  <c r="T102" i="46"/>
  <c r="S102" i="46"/>
  <c r="R102" i="46"/>
  <c r="Q102" i="46"/>
  <c r="BE101" i="46"/>
  <c r="AC101" i="46"/>
  <c r="AB101" i="46"/>
  <c r="AA101" i="46"/>
  <c r="T101" i="46"/>
  <c r="S101" i="46"/>
  <c r="R101" i="46"/>
  <c r="Q101" i="46"/>
  <c r="BE100" i="46"/>
  <c r="AC100" i="46"/>
  <c r="AB100" i="46"/>
  <c r="AA100" i="46"/>
  <c r="T100" i="46"/>
  <c r="S100" i="46"/>
  <c r="R100" i="46"/>
  <c r="Q100" i="46"/>
  <c r="BE99" i="46"/>
  <c r="AC99" i="46"/>
  <c r="AB99" i="46"/>
  <c r="AA99" i="46"/>
  <c r="T99" i="46"/>
  <c r="S99" i="46"/>
  <c r="R99" i="46"/>
  <c r="Q99" i="46"/>
  <c r="BE98" i="46"/>
  <c r="AC98" i="46"/>
  <c r="AB98" i="46"/>
  <c r="AA98" i="46"/>
  <c r="T98" i="46"/>
  <c r="S98" i="46"/>
  <c r="R98" i="46"/>
  <c r="Q98" i="46"/>
  <c r="BE97" i="46"/>
  <c r="AC97" i="46"/>
  <c r="AB97" i="46"/>
  <c r="AA97" i="46"/>
  <c r="T97" i="46"/>
  <c r="S97" i="46"/>
  <c r="R97" i="46"/>
  <c r="Q97" i="46"/>
  <c r="BE96" i="46"/>
  <c r="AC96" i="46"/>
  <c r="AB96" i="46"/>
  <c r="AA96" i="46"/>
  <c r="T96" i="46"/>
  <c r="S96" i="46"/>
  <c r="R96" i="46"/>
  <c r="Q96" i="46"/>
  <c r="BE95" i="46"/>
  <c r="AC95" i="46"/>
  <c r="AB95" i="46"/>
  <c r="AA95" i="46"/>
  <c r="T95" i="46"/>
  <c r="S95" i="46"/>
  <c r="U95" i="46" s="1"/>
  <c r="R95" i="46"/>
  <c r="Q95" i="46"/>
  <c r="BE94" i="46"/>
  <c r="AC94" i="46"/>
  <c r="AB94" i="46"/>
  <c r="AA94" i="46"/>
  <c r="T94" i="46"/>
  <c r="S94" i="46"/>
  <c r="U94" i="46" s="1"/>
  <c r="R94" i="46"/>
  <c r="Q94" i="46"/>
  <c r="BE93" i="46"/>
  <c r="AC93" i="46"/>
  <c r="AB93" i="46"/>
  <c r="AA93" i="46"/>
  <c r="T93" i="46"/>
  <c r="S93" i="46"/>
  <c r="R93" i="46"/>
  <c r="Q93" i="46"/>
  <c r="BE92" i="46"/>
  <c r="AC92" i="46"/>
  <c r="AB92" i="46"/>
  <c r="AA92" i="46"/>
  <c r="T92" i="46"/>
  <c r="S92" i="46"/>
  <c r="R92" i="46"/>
  <c r="Q92" i="46"/>
  <c r="BE91" i="46"/>
  <c r="AC91" i="46"/>
  <c r="AB91" i="46"/>
  <c r="AA91" i="46"/>
  <c r="T91" i="46"/>
  <c r="S91" i="46"/>
  <c r="R91" i="46"/>
  <c r="Q91" i="46"/>
  <c r="BE90" i="46"/>
  <c r="AC90" i="46"/>
  <c r="AB90" i="46"/>
  <c r="AA90" i="46"/>
  <c r="T90" i="46"/>
  <c r="S90" i="46"/>
  <c r="R90" i="46"/>
  <c r="Q90" i="46"/>
  <c r="BE89" i="46"/>
  <c r="AC89" i="46"/>
  <c r="AB89" i="46"/>
  <c r="AA89" i="46"/>
  <c r="T89" i="46"/>
  <c r="S89" i="46"/>
  <c r="U89" i="46" s="1"/>
  <c r="R89" i="46"/>
  <c r="Q89" i="46"/>
  <c r="BE88" i="46"/>
  <c r="AC88" i="46"/>
  <c r="AB88" i="46"/>
  <c r="AA88" i="46"/>
  <c r="T88" i="46"/>
  <c r="S88" i="46"/>
  <c r="R88" i="46"/>
  <c r="Q88" i="46"/>
  <c r="BE87" i="46"/>
  <c r="AC87" i="46"/>
  <c r="AB87" i="46"/>
  <c r="AA87" i="46"/>
  <c r="T87" i="46"/>
  <c r="S87" i="46"/>
  <c r="R87" i="46"/>
  <c r="Q87" i="46"/>
  <c r="BE86" i="46"/>
  <c r="AC86" i="46"/>
  <c r="AB86" i="46"/>
  <c r="AA86" i="46"/>
  <c r="T86" i="46"/>
  <c r="S86" i="46"/>
  <c r="R86" i="46"/>
  <c r="Q86" i="46"/>
  <c r="BE85" i="46"/>
  <c r="AC85" i="46"/>
  <c r="AB85" i="46"/>
  <c r="AA85" i="46"/>
  <c r="T85" i="46"/>
  <c r="S85" i="46"/>
  <c r="R85" i="46"/>
  <c r="Q85" i="46"/>
  <c r="BE84" i="46"/>
  <c r="AC84" i="46"/>
  <c r="AB84" i="46"/>
  <c r="AA84" i="46"/>
  <c r="T84" i="46"/>
  <c r="S84" i="46"/>
  <c r="R84" i="46"/>
  <c r="Q84" i="46"/>
  <c r="BE83" i="46"/>
  <c r="AC83" i="46"/>
  <c r="AB83" i="46"/>
  <c r="AA83" i="46"/>
  <c r="T83" i="46"/>
  <c r="S83" i="46"/>
  <c r="U83" i="46" s="1"/>
  <c r="R83" i="46"/>
  <c r="Q83" i="46"/>
  <c r="BE82" i="46"/>
  <c r="AC82" i="46"/>
  <c r="AB82" i="46"/>
  <c r="AA82" i="46"/>
  <c r="T82" i="46"/>
  <c r="S82" i="46"/>
  <c r="U82" i="46" s="1"/>
  <c r="R82" i="46"/>
  <c r="Q82" i="46"/>
  <c r="BE81" i="46"/>
  <c r="AC81" i="46"/>
  <c r="AB81" i="46"/>
  <c r="AA81" i="46"/>
  <c r="T81" i="46"/>
  <c r="S81" i="46"/>
  <c r="U81" i="46" s="1"/>
  <c r="R81" i="46"/>
  <c r="Q81" i="46"/>
  <c r="BE80" i="46"/>
  <c r="AC80" i="46"/>
  <c r="AB80" i="46"/>
  <c r="AA80" i="46"/>
  <c r="T80" i="46"/>
  <c r="S80" i="46"/>
  <c r="R80" i="46"/>
  <c r="Q80" i="46"/>
  <c r="BE79" i="46"/>
  <c r="AC79" i="46"/>
  <c r="AB79" i="46"/>
  <c r="AA79" i="46"/>
  <c r="T79" i="46"/>
  <c r="S79" i="46"/>
  <c r="R79" i="46"/>
  <c r="Q79" i="46"/>
  <c r="BE78" i="46"/>
  <c r="AC78" i="46"/>
  <c r="AB78" i="46"/>
  <c r="AA78" i="46"/>
  <c r="T78" i="46"/>
  <c r="S78" i="46"/>
  <c r="R78" i="46"/>
  <c r="Q78" i="46"/>
  <c r="BE77" i="46"/>
  <c r="AD77" i="46"/>
  <c r="AC77" i="46"/>
  <c r="AB77" i="46"/>
  <c r="AA77" i="46"/>
  <c r="T77" i="46"/>
  <c r="U77" i="46" s="1"/>
  <c r="S77" i="46"/>
  <c r="R77" i="46"/>
  <c r="Q77" i="46"/>
  <c r="BE76" i="46"/>
  <c r="AC76" i="46"/>
  <c r="AB76" i="46"/>
  <c r="AA76" i="46"/>
  <c r="T76" i="46"/>
  <c r="U76" i="46" s="1"/>
  <c r="S76" i="46"/>
  <c r="R76" i="46"/>
  <c r="Q76" i="46"/>
  <c r="BE75" i="46"/>
  <c r="AC75" i="46"/>
  <c r="AB75" i="46"/>
  <c r="AA75" i="46"/>
  <c r="T75" i="46"/>
  <c r="S75" i="46"/>
  <c r="R75" i="46"/>
  <c r="Q75" i="46"/>
  <c r="BE74" i="46"/>
  <c r="AC74" i="46"/>
  <c r="AB74" i="46"/>
  <c r="AA74" i="46"/>
  <c r="T74" i="46"/>
  <c r="S74" i="46"/>
  <c r="R74" i="46"/>
  <c r="Q74" i="46"/>
  <c r="BE73" i="46"/>
  <c r="AC73" i="46"/>
  <c r="AB73" i="46"/>
  <c r="AA73" i="46"/>
  <c r="T73" i="46"/>
  <c r="S73" i="46"/>
  <c r="R73" i="46"/>
  <c r="Q73" i="46"/>
  <c r="BE72" i="46"/>
  <c r="AC72" i="46"/>
  <c r="AB72" i="46"/>
  <c r="AA72" i="46"/>
  <c r="T72" i="46"/>
  <c r="S72" i="46"/>
  <c r="R72" i="46"/>
  <c r="Q72" i="46"/>
  <c r="BE71" i="46"/>
  <c r="AC71" i="46"/>
  <c r="AB71" i="46"/>
  <c r="AA71" i="46"/>
  <c r="T71" i="46"/>
  <c r="S71" i="46"/>
  <c r="U71" i="46" s="1"/>
  <c r="R71" i="46"/>
  <c r="Q71" i="46"/>
  <c r="BE70" i="46"/>
  <c r="AC70" i="46"/>
  <c r="AB70" i="46"/>
  <c r="AA70" i="46"/>
  <c r="T70" i="46"/>
  <c r="S70" i="46"/>
  <c r="U70" i="46" s="1"/>
  <c r="R70" i="46"/>
  <c r="Q70" i="46"/>
  <c r="BE69" i="46"/>
  <c r="AC69" i="46"/>
  <c r="AB69" i="46"/>
  <c r="AA69" i="46"/>
  <c r="T69" i="46"/>
  <c r="S69" i="46"/>
  <c r="U69" i="46" s="1"/>
  <c r="R69" i="46"/>
  <c r="Q69" i="46"/>
  <c r="BE68" i="46"/>
  <c r="AC68" i="46"/>
  <c r="AB68" i="46"/>
  <c r="AA68" i="46"/>
  <c r="T68" i="46"/>
  <c r="S68" i="46"/>
  <c r="R68" i="46"/>
  <c r="Q68" i="46"/>
  <c r="BE67" i="46"/>
  <c r="AC67" i="46"/>
  <c r="AB67" i="46"/>
  <c r="AA67" i="46"/>
  <c r="T67" i="46"/>
  <c r="S67" i="46"/>
  <c r="U67" i="46" s="1"/>
  <c r="R67" i="46"/>
  <c r="Q67" i="46"/>
  <c r="BE66" i="46"/>
  <c r="AC66" i="46"/>
  <c r="AB66" i="46"/>
  <c r="AA66" i="46"/>
  <c r="T66" i="46"/>
  <c r="S66" i="46"/>
  <c r="U66" i="46" s="1"/>
  <c r="R66" i="46"/>
  <c r="Q66" i="46"/>
  <c r="BE65" i="46"/>
  <c r="AD65" i="46"/>
  <c r="AC65" i="46"/>
  <c r="AB65" i="46"/>
  <c r="AA65" i="46"/>
  <c r="T65" i="46"/>
  <c r="S65" i="46"/>
  <c r="R65" i="46"/>
  <c r="Q65" i="46"/>
  <c r="BE64" i="46"/>
  <c r="AD64" i="46"/>
  <c r="AC64" i="46"/>
  <c r="AB64" i="46"/>
  <c r="AA64" i="46"/>
  <c r="T64" i="46"/>
  <c r="S64" i="46"/>
  <c r="R64" i="46"/>
  <c r="Q64" i="46"/>
  <c r="BE63" i="46"/>
  <c r="AC63" i="46"/>
  <c r="AB63" i="46"/>
  <c r="AA63" i="46"/>
  <c r="T63" i="46"/>
  <c r="S63" i="46"/>
  <c r="R63" i="46"/>
  <c r="Q63" i="46"/>
  <c r="BE62" i="46"/>
  <c r="AC62" i="46"/>
  <c r="AB62" i="46"/>
  <c r="AA62" i="46"/>
  <c r="T62" i="46"/>
  <c r="S62" i="46"/>
  <c r="R62" i="46"/>
  <c r="Q62" i="46"/>
  <c r="BE61" i="46"/>
  <c r="AD61" i="46"/>
  <c r="AC61" i="46"/>
  <c r="AB61" i="46"/>
  <c r="AA61" i="46"/>
  <c r="T61" i="46"/>
  <c r="S61" i="46"/>
  <c r="U61" i="46" s="1"/>
  <c r="R61" i="46"/>
  <c r="Q61" i="46"/>
  <c r="BE60" i="46"/>
  <c r="AC60" i="46"/>
  <c r="AB60" i="46"/>
  <c r="AA60" i="46"/>
  <c r="T60" i="46"/>
  <c r="S60" i="46"/>
  <c r="R60" i="46"/>
  <c r="Q60" i="46"/>
  <c r="BE59" i="46"/>
  <c r="AC59" i="46"/>
  <c r="AB59" i="46"/>
  <c r="AD59" i="46" s="1"/>
  <c r="AA59" i="46"/>
  <c r="T59" i="46"/>
  <c r="S59" i="46"/>
  <c r="R59" i="46"/>
  <c r="Q59" i="46"/>
  <c r="BE58" i="46"/>
  <c r="AC58" i="46"/>
  <c r="AB58" i="46"/>
  <c r="AA58" i="46"/>
  <c r="T58" i="46"/>
  <c r="S58" i="46"/>
  <c r="R58" i="46"/>
  <c r="Q58" i="46"/>
  <c r="BE57" i="46"/>
  <c r="AD57" i="46"/>
  <c r="AC57" i="46"/>
  <c r="AB57" i="46"/>
  <c r="AA57" i="46"/>
  <c r="T57" i="46"/>
  <c r="S57" i="46"/>
  <c r="R57" i="46"/>
  <c r="Q57" i="46"/>
  <c r="BE56" i="46"/>
  <c r="AC56" i="46"/>
  <c r="AB56" i="46"/>
  <c r="AA56" i="46"/>
  <c r="T56" i="46"/>
  <c r="S56" i="46"/>
  <c r="R56" i="46"/>
  <c r="Q56" i="46"/>
  <c r="BE55" i="46"/>
  <c r="AC55" i="46"/>
  <c r="AB55" i="46"/>
  <c r="AA55" i="46"/>
  <c r="T55" i="46"/>
  <c r="S55" i="46"/>
  <c r="R55" i="46"/>
  <c r="Q55" i="46"/>
  <c r="BE54" i="46"/>
  <c r="AD54" i="46"/>
  <c r="AC54" i="46"/>
  <c r="AB54" i="46"/>
  <c r="AA54" i="46"/>
  <c r="T54" i="46"/>
  <c r="S54" i="46"/>
  <c r="R54" i="46"/>
  <c r="Q54" i="46"/>
  <c r="BE53" i="46"/>
  <c r="AC53" i="46"/>
  <c r="AB53" i="46"/>
  <c r="AA53" i="46"/>
  <c r="T53" i="46"/>
  <c r="S53" i="46"/>
  <c r="U53" i="46" s="1"/>
  <c r="R53" i="46"/>
  <c r="Q53" i="46"/>
  <c r="BE52" i="46"/>
  <c r="AD52" i="46"/>
  <c r="AC52" i="46"/>
  <c r="AB52" i="46"/>
  <c r="AA52" i="46"/>
  <c r="T52" i="46"/>
  <c r="U52" i="46" s="1"/>
  <c r="S52" i="46"/>
  <c r="R52" i="46"/>
  <c r="Q52" i="46"/>
  <c r="BE51" i="46"/>
  <c r="AC51" i="46"/>
  <c r="AB51" i="46"/>
  <c r="AA51" i="46"/>
  <c r="T51" i="46"/>
  <c r="S51" i="46"/>
  <c r="R51" i="46"/>
  <c r="Q51" i="46"/>
  <c r="BE50" i="46"/>
  <c r="AD50" i="46"/>
  <c r="AC50" i="46"/>
  <c r="AB50" i="46"/>
  <c r="AA50" i="46"/>
  <c r="T50" i="46"/>
  <c r="S50" i="46"/>
  <c r="R50" i="46"/>
  <c r="Q50" i="46"/>
  <c r="BE49" i="46"/>
  <c r="AC49" i="46"/>
  <c r="AB49" i="46"/>
  <c r="AA49" i="46"/>
  <c r="T49" i="46"/>
  <c r="S49" i="46"/>
  <c r="R49" i="46"/>
  <c r="Q49" i="46"/>
  <c r="BE48" i="46"/>
  <c r="AD48" i="46"/>
  <c r="AC48" i="46"/>
  <c r="AB48" i="46"/>
  <c r="AA48" i="46"/>
  <c r="T48" i="46"/>
  <c r="S48" i="46"/>
  <c r="R48" i="46"/>
  <c r="Q48" i="46"/>
  <c r="BE47" i="46"/>
  <c r="AC47" i="46"/>
  <c r="AB47" i="46"/>
  <c r="AA47" i="46"/>
  <c r="T47" i="46"/>
  <c r="S47" i="46"/>
  <c r="R47" i="46"/>
  <c r="Q47" i="46"/>
  <c r="BE46" i="46"/>
  <c r="AD46" i="46"/>
  <c r="AC46" i="46"/>
  <c r="AB46" i="46"/>
  <c r="AA46" i="46"/>
  <c r="T46" i="46"/>
  <c r="S46" i="46"/>
  <c r="R46" i="46"/>
  <c r="Q46" i="46"/>
  <c r="BE45" i="46"/>
  <c r="AC45" i="46"/>
  <c r="AB45" i="46"/>
  <c r="AA45" i="46"/>
  <c r="T45" i="46"/>
  <c r="S45" i="46"/>
  <c r="R45" i="46"/>
  <c r="Q45" i="46"/>
  <c r="BE44" i="46"/>
  <c r="AC44" i="46"/>
  <c r="AB44" i="46"/>
  <c r="AA44" i="46"/>
  <c r="T44" i="46"/>
  <c r="S44" i="46"/>
  <c r="R44" i="46"/>
  <c r="Q44" i="46"/>
  <c r="BE43" i="46"/>
  <c r="AD43" i="46"/>
  <c r="AC43" i="46"/>
  <c r="AB43" i="46"/>
  <c r="AA43" i="46"/>
  <c r="T43" i="46"/>
  <c r="S43" i="46"/>
  <c r="R43" i="46"/>
  <c r="Q43" i="46"/>
  <c r="BE42" i="46"/>
  <c r="AD42" i="46"/>
  <c r="AC42" i="46"/>
  <c r="AB42" i="46"/>
  <c r="AA42" i="46"/>
  <c r="T42" i="46"/>
  <c r="S42" i="46"/>
  <c r="U42" i="46" s="1"/>
  <c r="R42" i="46"/>
  <c r="Q42" i="46"/>
  <c r="BE41" i="46"/>
  <c r="AD41" i="46"/>
  <c r="AC41" i="46"/>
  <c r="AB41" i="46"/>
  <c r="AA41" i="46"/>
  <c r="T41" i="46"/>
  <c r="S41" i="46"/>
  <c r="R41" i="46"/>
  <c r="Q41" i="46"/>
  <c r="BE40" i="46"/>
  <c r="AD40" i="46"/>
  <c r="AC40" i="46"/>
  <c r="AB40" i="46"/>
  <c r="AA40" i="46"/>
  <c r="T40" i="46"/>
  <c r="S40" i="46"/>
  <c r="R40" i="46"/>
  <c r="Q40" i="46"/>
  <c r="BE39" i="46"/>
  <c r="AD39" i="46"/>
  <c r="AC39" i="46"/>
  <c r="AB39" i="46"/>
  <c r="AA39" i="46"/>
  <c r="T39" i="46"/>
  <c r="S39" i="46"/>
  <c r="R39" i="46"/>
  <c r="Q39" i="46"/>
  <c r="BE38" i="46"/>
  <c r="AC38" i="46"/>
  <c r="AB38" i="46"/>
  <c r="AA38" i="46"/>
  <c r="T38" i="46"/>
  <c r="S38" i="46"/>
  <c r="R38" i="46"/>
  <c r="Q38" i="46"/>
  <c r="BE37" i="46"/>
  <c r="AD37" i="46"/>
  <c r="AC37" i="46"/>
  <c r="AB37" i="46"/>
  <c r="AA37" i="46"/>
  <c r="T37" i="46"/>
  <c r="S37" i="46"/>
  <c r="U37" i="46" s="1"/>
  <c r="R37" i="46"/>
  <c r="Q37" i="46"/>
  <c r="BE36" i="46"/>
  <c r="AD36" i="46"/>
  <c r="AC36" i="46"/>
  <c r="AB36" i="46"/>
  <c r="AA36" i="46"/>
  <c r="T36" i="46"/>
  <c r="S36" i="46"/>
  <c r="R36" i="46"/>
  <c r="Q36" i="46"/>
  <c r="BE35" i="46"/>
  <c r="AD35" i="46"/>
  <c r="AC35" i="46"/>
  <c r="AB35" i="46"/>
  <c r="AA35" i="46"/>
  <c r="T35" i="46"/>
  <c r="S35" i="46"/>
  <c r="U35" i="46" s="1"/>
  <c r="R35" i="46"/>
  <c r="Q35" i="46"/>
  <c r="BE34" i="46"/>
  <c r="AC34" i="46"/>
  <c r="AB34" i="46"/>
  <c r="AA34" i="46"/>
  <c r="T34" i="46"/>
  <c r="S34" i="46"/>
  <c r="U34" i="46" s="1"/>
  <c r="R34" i="46"/>
  <c r="Q34" i="46"/>
  <c r="BE33" i="46"/>
  <c r="AD33" i="46"/>
  <c r="AC33" i="46"/>
  <c r="AB33" i="46"/>
  <c r="AA33" i="46"/>
  <c r="T33" i="46"/>
  <c r="S33" i="46"/>
  <c r="U33" i="46" s="1"/>
  <c r="R33" i="46"/>
  <c r="Q33" i="46"/>
  <c r="BE32" i="46"/>
  <c r="AC32" i="46"/>
  <c r="AB32" i="46"/>
  <c r="AA32" i="46"/>
  <c r="T32" i="46"/>
  <c r="S32" i="46"/>
  <c r="R32" i="46"/>
  <c r="Q32" i="46"/>
  <c r="BE31" i="46"/>
  <c r="AC31" i="46"/>
  <c r="AB31" i="46"/>
  <c r="AA31" i="46"/>
  <c r="T31" i="46"/>
  <c r="S31" i="46"/>
  <c r="R31" i="46"/>
  <c r="Q31" i="46"/>
  <c r="BE30" i="46"/>
  <c r="AC30" i="46"/>
  <c r="AB30" i="46"/>
  <c r="AA30" i="46"/>
  <c r="T30" i="46"/>
  <c r="S30" i="46"/>
  <c r="R30" i="46"/>
  <c r="Q30" i="46"/>
  <c r="BE29" i="46"/>
  <c r="AD29" i="46"/>
  <c r="AC29" i="46"/>
  <c r="AB29" i="46"/>
  <c r="AA29" i="46"/>
  <c r="T29" i="46"/>
  <c r="S29" i="46"/>
  <c r="R29" i="46"/>
  <c r="Q29" i="46"/>
  <c r="BE28" i="46"/>
  <c r="AD28" i="46"/>
  <c r="AC28" i="46"/>
  <c r="AB28" i="46"/>
  <c r="AA28" i="46"/>
  <c r="T28" i="46"/>
  <c r="S28" i="46"/>
  <c r="R28" i="46"/>
  <c r="Q28" i="46"/>
  <c r="BE27" i="46"/>
  <c r="AC27" i="46"/>
  <c r="AB27" i="46"/>
  <c r="AA27" i="46"/>
  <c r="T27" i="46"/>
  <c r="S27" i="46"/>
  <c r="R27" i="46"/>
  <c r="Q27" i="46"/>
  <c r="BE26" i="46"/>
  <c r="AC26" i="46"/>
  <c r="AB26" i="46"/>
  <c r="AA26" i="46"/>
  <c r="T26" i="46"/>
  <c r="S26" i="46"/>
  <c r="R26" i="46"/>
  <c r="Q26" i="46"/>
  <c r="BE25" i="46"/>
  <c r="AC25" i="46"/>
  <c r="AB25" i="46"/>
  <c r="AA25" i="46"/>
  <c r="T25" i="46"/>
  <c r="S25" i="46"/>
  <c r="R25" i="46"/>
  <c r="Q25" i="46"/>
  <c r="BE24" i="46"/>
  <c r="AC24" i="46"/>
  <c r="AB24" i="46"/>
  <c r="AA24" i="46"/>
  <c r="T24" i="46"/>
  <c r="S24" i="46"/>
  <c r="R24" i="46"/>
  <c r="Q24" i="46"/>
  <c r="BE23" i="46"/>
  <c r="AD23" i="46"/>
  <c r="AC23" i="46"/>
  <c r="AB23" i="46"/>
  <c r="AA23" i="46"/>
  <c r="T23" i="46"/>
  <c r="S23" i="46"/>
  <c r="R23" i="46"/>
  <c r="Q23" i="46"/>
  <c r="BE22" i="46"/>
  <c r="AC22" i="46"/>
  <c r="AB22" i="46"/>
  <c r="AA22" i="46"/>
  <c r="T22" i="46"/>
  <c r="S22" i="46"/>
  <c r="R22" i="46"/>
  <c r="Q22" i="46"/>
  <c r="BE21" i="46"/>
  <c r="AC21" i="46"/>
  <c r="AB21" i="46"/>
  <c r="AA21" i="46"/>
  <c r="T21" i="46"/>
  <c r="S21" i="46"/>
  <c r="R21" i="46"/>
  <c r="Q21" i="46"/>
  <c r="BE20" i="46"/>
  <c r="AD20" i="46"/>
  <c r="AC20" i="46"/>
  <c r="AB20" i="46"/>
  <c r="AA20" i="46"/>
  <c r="T20" i="46"/>
  <c r="S20" i="46"/>
  <c r="R20" i="46"/>
  <c r="Q20" i="46"/>
  <c r="BE19" i="46"/>
  <c r="AC19" i="46"/>
  <c r="AB19" i="46"/>
  <c r="AA19" i="46"/>
  <c r="T19" i="46"/>
  <c r="S19" i="46"/>
  <c r="R19" i="46"/>
  <c r="Q19" i="46"/>
  <c r="BF14" i="46"/>
  <c r="AK14" i="46"/>
  <c r="BE14" i="46" s="1"/>
  <c r="AD11" i="46"/>
  <c r="BC9" i="46"/>
  <c r="BA9" i="46"/>
  <c r="AY9" i="46"/>
  <c r="AW9" i="46"/>
  <c r="AU9" i="46"/>
  <c r="AS9" i="46"/>
  <c r="AQ9" i="46"/>
  <c r="AO9" i="46"/>
  <c r="AM9" i="46"/>
  <c r="AK9" i="46"/>
  <c r="AI9" i="46"/>
  <c r="AG9" i="46"/>
  <c r="BC8" i="46"/>
  <c r="BA8" i="46"/>
  <c r="AY8" i="46"/>
  <c r="AW8" i="46"/>
  <c r="AW10" i="46" s="1"/>
  <c r="AU8" i="46"/>
  <c r="AU10" i="46" s="1"/>
  <c r="AS8" i="46"/>
  <c r="AQ8" i="46"/>
  <c r="AO8" i="46"/>
  <c r="AM8" i="46"/>
  <c r="AK8" i="46"/>
  <c r="AI8" i="46"/>
  <c r="AG8" i="46"/>
  <c r="BC6" i="46"/>
  <c r="BA6" i="46"/>
  <c r="BA7" i="46" s="1"/>
  <c r="AY6" i="46"/>
  <c r="AW6" i="46"/>
  <c r="AU6" i="46"/>
  <c r="AS6" i="46"/>
  <c r="AQ6" i="46"/>
  <c r="AO6" i="46"/>
  <c r="AM6" i="46"/>
  <c r="AK6" i="46"/>
  <c r="AI6" i="46"/>
  <c r="AG6" i="46"/>
  <c r="BC5" i="46"/>
  <c r="BA5" i="46"/>
  <c r="AY5" i="46"/>
  <c r="AW5" i="46"/>
  <c r="AU5" i="46"/>
  <c r="AS5" i="46"/>
  <c r="AS7" i="46" s="1"/>
  <c r="AQ5" i="46"/>
  <c r="AO5" i="46"/>
  <c r="AM5" i="46"/>
  <c r="AK5" i="46"/>
  <c r="AI5" i="46"/>
  <c r="AG5" i="46"/>
  <c r="BF4" i="46"/>
  <c r="BE4" i="46"/>
  <c r="AI4" i="46"/>
  <c r="AY69" i="45"/>
  <c r="AX69" i="45"/>
  <c r="AW69" i="45"/>
  <c r="AV69" i="45"/>
  <c r="AU69" i="45"/>
  <c r="AT69" i="45"/>
  <c r="AS69" i="45"/>
  <c r="AR69" i="45"/>
  <c r="AQ69" i="45"/>
  <c r="AP69" i="45"/>
  <c r="AO69" i="45"/>
  <c r="AN69" i="45"/>
  <c r="AM69" i="45"/>
  <c r="AL69" i="45"/>
  <c r="AK69" i="45"/>
  <c r="AJ69" i="45"/>
  <c r="AF69" i="45"/>
  <c r="AE69" i="45"/>
  <c r="AD69" i="45"/>
  <c r="AC69" i="45"/>
  <c r="Y69" i="45"/>
  <c r="X69" i="45"/>
  <c r="W69" i="45"/>
  <c r="V69" i="45"/>
  <c r="U69" i="45"/>
  <c r="T69" i="45"/>
  <c r="S69" i="45"/>
  <c r="R69" i="45"/>
  <c r="J69" i="45"/>
  <c r="AZ68" i="45"/>
  <c r="AH68" i="45"/>
  <c r="AG68" i="45"/>
  <c r="AI68" i="45" s="1"/>
  <c r="AA68" i="45"/>
  <c r="Z68" i="45"/>
  <c r="AB68" i="45" s="1"/>
  <c r="AZ67" i="45"/>
  <c r="AH67" i="45"/>
  <c r="AG67" i="45"/>
  <c r="AI67" i="45" s="1"/>
  <c r="AB67" i="45"/>
  <c r="AA67" i="45"/>
  <c r="Z67" i="45"/>
  <c r="AZ66" i="45"/>
  <c r="AH66" i="45"/>
  <c r="AG66" i="45"/>
  <c r="AI66" i="45" s="1"/>
  <c r="AA66" i="45"/>
  <c r="Z66" i="45"/>
  <c r="AZ65" i="45"/>
  <c r="AH65" i="45"/>
  <c r="AG65" i="45"/>
  <c r="AI65" i="45" s="1"/>
  <c r="AA65" i="45"/>
  <c r="Z65" i="45"/>
  <c r="AZ64" i="45"/>
  <c r="AH64" i="45"/>
  <c r="AG64" i="45"/>
  <c r="AI64" i="45" s="1"/>
  <c r="AA64" i="45"/>
  <c r="Z64" i="45"/>
  <c r="AZ63" i="45"/>
  <c r="AH63" i="45"/>
  <c r="AG63" i="45"/>
  <c r="AI63" i="45" s="1"/>
  <c r="AA63" i="45"/>
  <c r="Z63" i="45"/>
  <c r="AB63" i="45" s="1"/>
  <c r="AZ62" i="45"/>
  <c r="AH62" i="45"/>
  <c r="AG62" i="45"/>
  <c r="AI62" i="45" s="1"/>
  <c r="AA62" i="45"/>
  <c r="Z62" i="45"/>
  <c r="AB62" i="45" s="1"/>
  <c r="AZ61" i="45"/>
  <c r="AH61" i="45"/>
  <c r="AG61" i="45"/>
  <c r="AA61" i="45"/>
  <c r="Z61" i="45"/>
  <c r="AB61" i="45" s="1"/>
  <c r="AZ60" i="45"/>
  <c r="AH60" i="45"/>
  <c r="AG60" i="45"/>
  <c r="AI60" i="45" s="1"/>
  <c r="AA60" i="45"/>
  <c r="Z60" i="45"/>
  <c r="AB60" i="45" s="1"/>
  <c r="AZ59" i="45"/>
  <c r="AH59" i="45"/>
  <c r="AG59" i="45"/>
  <c r="AI59" i="45" s="1"/>
  <c r="AA59" i="45"/>
  <c r="Z59" i="45"/>
  <c r="AB59" i="45" s="1"/>
  <c r="AZ58" i="45"/>
  <c r="AH58" i="45"/>
  <c r="AG58" i="45"/>
  <c r="AA58" i="45"/>
  <c r="Z58" i="45"/>
  <c r="AZ57" i="45"/>
  <c r="AH57" i="45"/>
  <c r="AG57" i="45"/>
  <c r="AI57" i="45" s="1"/>
  <c r="AA57" i="45"/>
  <c r="Z57" i="45"/>
  <c r="AB57" i="45" s="1"/>
  <c r="AZ56" i="45"/>
  <c r="AH56" i="45"/>
  <c r="AG56" i="45"/>
  <c r="AA56" i="45"/>
  <c r="Z56" i="45"/>
  <c r="AB56" i="45" s="1"/>
  <c r="AZ55" i="45"/>
  <c r="AH55" i="45"/>
  <c r="AG55" i="45"/>
  <c r="AI55" i="45" s="1"/>
  <c r="AA55" i="45"/>
  <c r="Z55" i="45"/>
  <c r="AB55" i="45" s="1"/>
  <c r="AZ54" i="45"/>
  <c r="AH54" i="45"/>
  <c r="AG54" i="45"/>
  <c r="AI54" i="45" s="1"/>
  <c r="AA54" i="45"/>
  <c r="Z54" i="45"/>
  <c r="AB54" i="45" s="1"/>
  <c r="AZ53" i="45"/>
  <c r="AH53" i="45"/>
  <c r="AI53" i="45" s="1"/>
  <c r="AG53" i="45"/>
  <c r="AA53" i="45"/>
  <c r="Z53" i="45"/>
  <c r="AB53" i="45" s="1"/>
  <c r="AZ52" i="45"/>
  <c r="AH52" i="45"/>
  <c r="AG52" i="45"/>
  <c r="AI52" i="45" s="1"/>
  <c r="AA52" i="45"/>
  <c r="Z52" i="45"/>
  <c r="AB52" i="45" s="1"/>
  <c r="AZ51" i="45"/>
  <c r="AH51" i="45"/>
  <c r="AG51" i="45"/>
  <c r="AI51" i="45" s="1"/>
  <c r="AA51" i="45"/>
  <c r="Z51" i="45"/>
  <c r="AB51" i="45" s="1"/>
  <c r="AZ50" i="45"/>
  <c r="AH50" i="45"/>
  <c r="AG50" i="45"/>
  <c r="AI50" i="45" s="1"/>
  <c r="AA50" i="45"/>
  <c r="Z50" i="45"/>
  <c r="AZ49" i="45"/>
  <c r="AH49" i="45"/>
  <c r="AG49" i="45"/>
  <c r="AI49" i="45" s="1"/>
  <c r="AA49" i="45"/>
  <c r="Z49" i="45"/>
  <c r="AZ48" i="45"/>
  <c r="AH48" i="45"/>
  <c r="AG48" i="45"/>
  <c r="AA48" i="45"/>
  <c r="Z48" i="45"/>
  <c r="AB48" i="45" s="1"/>
  <c r="AZ47" i="45"/>
  <c r="AH47" i="45"/>
  <c r="AG47" i="45"/>
  <c r="AI47" i="45" s="1"/>
  <c r="AA47" i="45"/>
  <c r="Z47" i="45"/>
  <c r="AZ46" i="45"/>
  <c r="AH46" i="45"/>
  <c r="AG46" i="45"/>
  <c r="AI46" i="45" s="1"/>
  <c r="AA46" i="45"/>
  <c r="Z46" i="45"/>
  <c r="AZ45" i="45"/>
  <c r="AH45" i="45"/>
  <c r="AG45" i="45"/>
  <c r="AA45" i="45"/>
  <c r="Z45" i="45"/>
  <c r="AB45" i="45" s="1"/>
  <c r="AZ44" i="45"/>
  <c r="AH44" i="45"/>
  <c r="AG44" i="45"/>
  <c r="AI44" i="45" s="1"/>
  <c r="AA44" i="45"/>
  <c r="Z44" i="45"/>
  <c r="AZ43" i="45"/>
  <c r="AH43" i="45"/>
  <c r="AG43" i="45"/>
  <c r="AI43" i="45" s="1"/>
  <c r="AB43" i="45"/>
  <c r="AA43" i="45"/>
  <c r="Z43" i="45"/>
  <c r="AZ42" i="45"/>
  <c r="AH42" i="45"/>
  <c r="AG42" i="45"/>
  <c r="AI42" i="45" s="1"/>
  <c r="AA42" i="45"/>
  <c r="Z42" i="45"/>
  <c r="AZ41" i="45"/>
  <c r="AH41" i="45"/>
  <c r="AG41" i="45"/>
  <c r="AI41" i="45" s="1"/>
  <c r="AA41" i="45"/>
  <c r="Z41" i="45"/>
  <c r="AZ40" i="45"/>
  <c r="AH40" i="45"/>
  <c r="AG40" i="45"/>
  <c r="AI40" i="45" s="1"/>
  <c r="AA40" i="45"/>
  <c r="Z40" i="45"/>
  <c r="AB40" i="45" s="1"/>
  <c r="AZ39" i="45"/>
  <c r="AH39" i="45"/>
  <c r="AG39" i="45"/>
  <c r="AI39" i="45" s="1"/>
  <c r="AA39" i="45"/>
  <c r="Z39" i="45"/>
  <c r="AB39" i="45" s="1"/>
  <c r="AZ38" i="45"/>
  <c r="AH38" i="45"/>
  <c r="AG38" i="45"/>
  <c r="AI38" i="45" s="1"/>
  <c r="AA38" i="45"/>
  <c r="Z38" i="45"/>
  <c r="AB38" i="45" s="1"/>
  <c r="AZ37" i="45"/>
  <c r="AH37" i="45"/>
  <c r="AG37" i="45"/>
  <c r="AA37" i="45"/>
  <c r="Z37" i="45"/>
  <c r="AB37" i="45" s="1"/>
  <c r="AZ36" i="45"/>
  <c r="AH36" i="45"/>
  <c r="AG36" i="45"/>
  <c r="AI36" i="45" s="1"/>
  <c r="AA36" i="45"/>
  <c r="Z36" i="45"/>
  <c r="AZ35" i="45"/>
  <c r="AH35" i="45"/>
  <c r="AG35" i="45"/>
  <c r="AA35" i="45"/>
  <c r="Z35" i="45"/>
  <c r="AB35" i="45" s="1"/>
  <c r="AZ34" i="45"/>
  <c r="AH34" i="45"/>
  <c r="AG34" i="45"/>
  <c r="AA34" i="45"/>
  <c r="AB34" i="45" s="1"/>
  <c r="Z34" i="45"/>
  <c r="AZ33" i="45"/>
  <c r="AH33" i="45"/>
  <c r="AG33" i="45"/>
  <c r="AI33" i="45" s="1"/>
  <c r="AA33" i="45"/>
  <c r="Z33" i="45"/>
  <c r="AB33" i="45" s="1"/>
  <c r="AZ32" i="45"/>
  <c r="AI32" i="45"/>
  <c r="AH32" i="45"/>
  <c r="AG32" i="45"/>
  <c r="AA32" i="45"/>
  <c r="Z32" i="45"/>
  <c r="AB32" i="45" s="1"/>
  <c r="AZ31" i="45"/>
  <c r="AH31" i="45"/>
  <c r="AI31" i="45" s="1"/>
  <c r="AG31" i="45"/>
  <c r="AA31" i="45"/>
  <c r="Z31" i="45"/>
  <c r="AZ30" i="45"/>
  <c r="AH30" i="45"/>
  <c r="AG30" i="45"/>
  <c r="AI30" i="45" s="1"/>
  <c r="AA30" i="45"/>
  <c r="Z30" i="45"/>
  <c r="AZ29" i="45"/>
  <c r="AH29" i="45"/>
  <c r="AI29" i="45" s="1"/>
  <c r="AG29" i="45"/>
  <c r="AA29" i="45"/>
  <c r="Z29" i="45"/>
  <c r="AB29" i="45" s="1"/>
  <c r="AZ28" i="45"/>
  <c r="AH28" i="45"/>
  <c r="AG28" i="45"/>
  <c r="AA28" i="45"/>
  <c r="Z28" i="45"/>
  <c r="AZ27" i="45"/>
  <c r="AH27" i="45"/>
  <c r="AG27" i="45"/>
  <c r="AI27" i="45" s="1"/>
  <c r="AA27" i="45"/>
  <c r="AB27" i="45" s="1"/>
  <c r="Z27" i="45"/>
  <c r="AZ26" i="45"/>
  <c r="AH26" i="45"/>
  <c r="AG26" i="45"/>
  <c r="AA26" i="45"/>
  <c r="Z26" i="45"/>
  <c r="AZ25" i="45"/>
  <c r="AH25" i="45"/>
  <c r="AG25" i="45"/>
  <c r="AA25" i="45"/>
  <c r="Z25" i="45"/>
  <c r="AZ24" i="45"/>
  <c r="AH24" i="45"/>
  <c r="AG24" i="45"/>
  <c r="AI24" i="45" s="1"/>
  <c r="AA24" i="45"/>
  <c r="Z24" i="45"/>
  <c r="Z5" i="45" s="1"/>
  <c r="AZ23" i="45"/>
  <c r="AH23" i="45"/>
  <c r="AI23" i="45" s="1"/>
  <c r="AG23" i="45"/>
  <c r="AA23" i="45"/>
  <c r="Z23" i="45"/>
  <c r="AB23" i="45" s="1"/>
  <c r="AZ22" i="45"/>
  <c r="AH22" i="45"/>
  <c r="AI22" i="45" s="1"/>
  <c r="AG22" i="45"/>
  <c r="AA22" i="45"/>
  <c r="Z22" i="45"/>
  <c r="AZ21" i="45"/>
  <c r="AH21" i="45"/>
  <c r="AG21" i="45"/>
  <c r="AA21" i="45"/>
  <c r="Z21" i="45"/>
  <c r="AB21" i="45" s="1"/>
  <c r="AZ20" i="45"/>
  <c r="AH20" i="45"/>
  <c r="AG20" i="45"/>
  <c r="AA20" i="45"/>
  <c r="Z20" i="45"/>
  <c r="AB20" i="45" s="1"/>
  <c r="AZ19" i="45"/>
  <c r="AH19" i="45"/>
  <c r="AG19" i="45"/>
  <c r="AB19" i="45"/>
  <c r="AA19" i="45"/>
  <c r="Z19" i="45"/>
  <c r="AZ18" i="45"/>
  <c r="AZ69" i="45" s="1"/>
  <c r="AH18" i="45"/>
  <c r="AH69" i="45" s="1"/>
  <c r="AG18" i="45"/>
  <c r="AG69" i="45" s="1"/>
  <c r="AA18" i="45"/>
  <c r="AA69" i="45" s="1"/>
  <c r="Z18" i="45"/>
  <c r="BA14" i="45"/>
  <c r="AZ14" i="45"/>
  <c r="BA12" i="45"/>
  <c r="AZ12" i="45"/>
  <c r="AT10" i="45"/>
  <c r="AR10" i="45"/>
  <c r="AC10" i="45"/>
  <c r="AX9" i="45"/>
  <c r="AV9" i="45"/>
  <c r="AT9" i="45"/>
  <c r="AR9" i="45"/>
  <c r="AP9" i="45"/>
  <c r="AN9" i="45"/>
  <c r="AL9" i="45"/>
  <c r="AJ9" i="45"/>
  <c r="AE9" i="45"/>
  <c r="AC9" i="45"/>
  <c r="X9" i="45"/>
  <c r="V9" i="45"/>
  <c r="T9" i="45"/>
  <c r="R9" i="45"/>
  <c r="AZ8" i="45"/>
  <c r="AX8" i="45"/>
  <c r="AX10" i="45" s="1"/>
  <c r="AV8" i="45"/>
  <c r="AT8" i="45"/>
  <c r="AR8" i="45"/>
  <c r="AP8" i="45"/>
  <c r="AN8" i="45"/>
  <c r="AL8" i="45"/>
  <c r="AJ8" i="45"/>
  <c r="AE8" i="45"/>
  <c r="AE10" i="45" s="1"/>
  <c r="AC8" i="45"/>
  <c r="X8" i="45"/>
  <c r="X10" i="45" s="1"/>
  <c r="V8" i="45"/>
  <c r="V10" i="45" s="1"/>
  <c r="T8" i="45"/>
  <c r="R8" i="45"/>
  <c r="X7" i="45"/>
  <c r="AX6" i="45"/>
  <c r="AV6" i="45"/>
  <c r="AT6" i="45"/>
  <c r="AR6" i="45"/>
  <c r="AP6" i="45"/>
  <c r="AP7" i="45" s="1"/>
  <c r="AN6" i="45"/>
  <c r="AN7" i="45" s="1"/>
  <c r="AL6" i="45"/>
  <c r="AJ6" i="45"/>
  <c r="AE6" i="45"/>
  <c r="AC6" i="45"/>
  <c r="X6" i="45"/>
  <c r="V6" i="45"/>
  <c r="T6" i="45"/>
  <c r="R6" i="45"/>
  <c r="AX5" i="45"/>
  <c r="AV5" i="45"/>
  <c r="AV7" i="45" s="1"/>
  <c r="AT5" i="45"/>
  <c r="AT7" i="45" s="1"/>
  <c r="AR5" i="45"/>
  <c r="AP5" i="45"/>
  <c r="AN5" i="45"/>
  <c r="AL5" i="45"/>
  <c r="AJ5" i="45"/>
  <c r="AJ7" i="45" s="1"/>
  <c r="AE5" i="45"/>
  <c r="AC5" i="45"/>
  <c r="AC7" i="45" s="1"/>
  <c r="X5" i="45"/>
  <c r="V5" i="45"/>
  <c r="T5" i="45"/>
  <c r="R5" i="45"/>
  <c r="AX4" i="45"/>
  <c r="AV4" i="45"/>
  <c r="AT4" i="45"/>
  <c r="AR4" i="45"/>
  <c r="AP4" i="45"/>
  <c r="AN4" i="45"/>
  <c r="AL4" i="45"/>
  <c r="AJ4" i="45"/>
  <c r="AC4" i="45"/>
  <c r="AZ4" i="45" s="1"/>
  <c r="V4" i="45"/>
  <c r="T4" i="45"/>
  <c r="AJ10" i="47" l="1"/>
  <c r="AJ11" i="47" s="1"/>
  <c r="AJ13" i="47" s="1"/>
  <c r="Z63" i="47"/>
  <c r="R7" i="47"/>
  <c r="BC6" i="47"/>
  <c r="AL10" i="47"/>
  <c r="AL11" i="47" s="1"/>
  <c r="AL13" i="47" s="1"/>
  <c r="Z20" i="47"/>
  <c r="AG42" i="47"/>
  <c r="Z52" i="47"/>
  <c r="Z62" i="47"/>
  <c r="Z31" i="47"/>
  <c r="AG39" i="47"/>
  <c r="T7" i="47"/>
  <c r="AN11" i="47"/>
  <c r="AN13" i="47" s="1"/>
  <c r="AN15" i="47" s="1"/>
  <c r="Z23" i="47"/>
  <c r="Z55" i="47"/>
  <c r="AL7" i="47"/>
  <c r="AZ69" i="47"/>
  <c r="BC5" i="47"/>
  <c r="BC9" i="47"/>
  <c r="Z22" i="47"/>
  <c r="X69" i="47"/>
  <c r="Z47" i="47"/>
  <c r="Z50" i="47"/>
  <c r="AT11" i="47"/>
  <c r="AT13" i="47" s="1"/>
  <c r="AT15" i="47" s="1"/>
  <c r="Z9" i="47"/>
  <c r="Z10" i="47" s="1"/>
  <c r="Z5" i="47"/>
  <c r="Z7" i="47" s="1"/>
  <c r="AG33" i="47"/>
  <c r="Z36" i="47"/>
  <c r="Z46" i="47"/>
  <c r="Z57" i="47"/>
  <c r="AG65" i="47"/>
  <c r="Z68" i="47"/>
  <c r="BC4" i="47"/>
  <c r="V7" i="47"/>
  <c r="BC7" i="47" s="1"/>
  <c r="AC11" i="47"/>
  <c r="AC13" i="47" s="1"/>
  <c r="AV11" i="47"/>
  <c r="AV13" i="47" s="1"/>
  <c r="AE69" i="47"/>
  <c r="AG29" i="47"/>
  <c r="AG36" i="47"/>
  <c r="Z42" i="47"/>
  <c r="AG61" i="47"/>
  <c r="AD99" i="46"/>
  <c r="AD111" i="46"/>
  <c r="AD139" i="46"/>
  <c r="AD67" i="46"/>
  <c r="AD71" i="46"/>
  <c r="AD83" i="46"/>
  <c r="AD95" i="46"/>
  <c r="U25" i="46"/>
  <c r="U29" i="46"/>
  <c r="AD51" i="46"/>
  <c r="U57" i="46"/>
  <c r="U85" i="46"/>
  <c r="U97" i="46"/>
  <c r="U98" i="46"/>
  <c r="U99" i="46"/>
  <c r="U101" i="46"/>
  <c r="AD127" i="46"/>
  <c r="U108" i="46"/>
  <c r="U109" i="46"/>
  <c r="AD143" i="46"/>
  <c r="AD30" i="46"/>
  <c r="AD31" i="46"/>
  <c r="U45" i="46"/>
  <c r="AD79" i="46"/>
  <c r="U122" i="46"/>
  <c r="U123" i="46"/>
  <c r="AD115" i="46"/>
  <c r="AD119" i="46"/>
  <c r="U125" i="46"/>
  <c r="U126" i="46"/>
  <c r="U127" i="46"/>
  <c r="U129" i="46"/>
  <c r="AQ7" i="46"/>
  <c r="AD63" i="46"/>
  <c r="U21" i="46"/>
  <c r="U22" i="46"/>
  <c r="U23" i="46"/>
  <c r="AD47" i="46"/>
  <c r="U51" i="46"/>
  <c r="U73" i="46"/>
  <c r="U141" i="46"/>
  <c r="U142" i="46"/>
  <c r="U143" i="46"/>
  <c r="BA4" i="45"/>
  <c r="R7" i="45"/>
  <c r="AB42" i="45"/>
  <c r="AN10" i="45"/>
  <c r="AN11" i="45" s="1"/>
  <c r="AN13" i="45" s="1"/>
  <c r="AG6" i="45"/>
  <c r="AB26" i="45"/>
  <c r="BA5" i="45"/>
  <c r="AR7" i="45"/>
  <c r="AR11" i="45" s="1"/>
  <c r="AR13" i="45" s="1"/>
  <c r="Z6" i="45"/>
  <c r="T10" i="45"/>
  <c r="AP10" i="45"/>
  <c r="AP11" i="45" s="1"/>
  <c r="AP13" i="45" s="1"/>
  <c r="BA9" i="45"/>
  <c r="AI26" i="45"/>
  <c r="AB41" i="45"/>
  <c r="AB44" i="45"/>
  <c r="AI45" i="45"/>
  <c r="AB47" i="45"/>
  <c r="AI48" i="45"/>
  <c r="AB50" i="45"/>
  <c r="AB65" i="45"/>
  <c r="Z7" i="45"/>
  <c r="AL7" i="45"/>
  <c r="T7" i="45"/>
  <c r="T11" i="45" s="1"/>
  <c r="T13" i="45" s="1"/>
  <c r="R10" i="45"/>
  <c r="R11" i="45" s="1"/>
  <c r="AG5" i="45"/>
  <c r="AG7" i="45" s="1"/>
  <c r="AB22" i="45"/>
  <c r="AB25" i="45"/>
  <c r="AB28" i="45"/>
  <c r="AB31" i="45"/>
  <c r="AG8" i="45"/>
  <c r="AI56" i="45"/>
  <c r="AJ10" i="45"/>
  <c r="BA10" i="45" s="1"/>
  <c r="AI37" i="45"/>
  <c r="AL10" i="45"/>
  <c r="X11" i="45"/>
  <c r="X13" i="45" s="1"/>
  <c r="Z9" i="45"/>
  <c r="Z8" i="45"/>
  <c r="AB58" i="45"/>
  <c r="AC11" i="45"/>
  <c r="AC13" i="45" s="1"/>
  <c r="AC15" i="45" s="1"/>
  <c r="AB36" i="45"/>
  <c r="AI61" i="45"/>
  <c r="BA6" i="45"/>
  <c r="AB66" i="45"/>
  <c r="AE7" i="45"/>
  <c r="AE11" i="45" s="1"/>
  <c r="AE13" i="45" s="1"/>
  <c r="AX7" i="45"/>
  <c r="AX11" i="45" s="1"/>
  <c r="AX13" i="45" s="1"/>
  <c r="V7" i="45"/>
  <c r="AV10" i="45"/>
  <c r="AV11" i="45" s="1"/>
  <c r="AV13" i="45" s="1"/>
  <c r="AV16" i="45" s="1"/>
  <c r="Z69" i="45"/>
  <c r="AI19" i="45"/>
  <c r="AI25" i="45"/>
  <c r="AI28" i="45"/>
  <c r="AB30" i="45"/>
  <c r="AI34" i="45"/>
  <c r="AB46" i="45"/>
  <c r="AI58" i="45"/>
  <c r="AB64" i="45"/>
  <c r="AM144" i="23"/>
  <c r="AF144" i="23"/>
  <c r="AE144" i="23"/>
  <c r="AJ3" i="23"/>
  <c r="AL144" i="23"/>
  <c r="V2" i="23"/>
  <c r="V4" i="23" s="1"/>
  <c r="X144" i="23"/>
  <c r="Y144" i="23"/>
  <c r="S65" i="48"/>
  <c r="AB148" i="48"/>
  <c r="S57" i="48"/>
  <c r="S81" i="48"/>
  <c r="S82" i="48"/>
  <c r="AB86" i="48"/>
  <c r="AB90" i="48"/>
  <c r="AB94" i="48"/>
  <c r="S56" i="48"/>
  <c r="AB66" i="48"/>
  <c r="AK10" i="48"/>
  <c r="S83" i="48"/>
  <c r="BA10" i="48"/>
  <c r="AO7" i="48"/>
  <c r="AO10" i="48"/>
  <c r="S20" i="48"/>
  <c r="S53" i="48"/>
  <c r="AB106" i="48"/>
  <c r="AB107" i="48"/>
  <c r="S29" i="48"/>
  <c r="S30" i="48"/>
  <c r="S31" i="48"/>
  <c r="S32" i="48"/>
  <c r="S33" i="48"/>
  <c r="S64" i="48"/>
  <c r="BA7" i="48"/>
  <c r="AB27" i="48"/>
  <c r="S37" i="48"/>
  <c r="S69" i="48"/>
  <c r="AB131" i="48"/>
  <c r="AB147" i="48"/>
  <c r="AB38" i="48"/>
  <c r="S41" i="48"/>
  <c r="AB51" i="48"/>
  <c r="AB74" i="48"/>
  <c r="S77" i="48"/>
  <c r="S84" i="48"/>
  <c r="S85" i="48"/>
  <c r="S86" i="48"/>
  <c r="S87" i="48"/>
  <c r="S88" i="48"/>
  <c r="S89" i="48"/>
  <c r="S90" i="48"/>
  <c r="S91" i="48"/>
  <c r="S92" i="48"/>
  <c r="S93" i="48"/>
  <c r="S94" i="48"/>
  <c r="S95" i="48"/>
  <c r="S96" i="48"/>
  <c r="S100" i="48"/>
  <c r="S25" i="48"/>
  <c r="S28" i="48"/>
  <c r="S71" i="48"/>
  <c r="S72" i="48"/>
  <c r="S73" i="48"/>
  <c r="AB98" i="48"/>
  <c r="S120" i="48"/>
  <c r="S121" i="48"/>
  <c r="S124" i="48"/>
  <c r="S125" i="48"/>
  <c r="S126" i="48"/>
  <c r="S127" i="48"/>
  <c r="S128" i="48"/>
  <c r="S129" i="48"/>
  <c r="S132" i="48"/>
  <c r="S133" i="48"/>
  <c r="S136" i="48"/>
  <c r="S137" i="48"/>
  <c r="S149" i="48"/>
  <c r="AB68" i="48"/>
  <c r="AB70" i="48"/>
  <c r="AB132" i="48"/>
  <c r="AB139" i="48"/>
  <c r="S80" i="48"/>
  <c r="AQ10" i="48"/>
  <c r="S21" i="48"/>
  <c r="AB30" i="48"/>
  <c r="AB47" i="48"/>
  <c r="S49" i="48"/>
  <c r="AB58" i="48"/>
  <c r="AB59" i="48"/>
  <c r="AB75" i="48"/>
  <c r="AB79" i="48"/>
  <c r="AB83" i="48"/>
  <c r="S105" i="48"/>
  <c r="S106" i="48"/>
  <c r="S40" i="48"/>
  <c r="AB49" i="48"/>
  <c r="S52" i="48"/>
  <c r="AI7" i="48"/>
  <c r="AY7" i="48"/>
  <c r="BH6" i="48"/>
  <c r="S67" i="48"/>
  <c r="AB99" i="48"/>
  <c r="S140" i="48"/>
  <c r="S141" i="48"/>
  <c r="S142" i="48"/>
  <c r="S143" i="48"/>
  <c r="S144" i="48"/>
  <c r="S145" i="48"/>
  <c r="S146" i="48"/>
  <c r="AB25" i="48"/>
  <c r="AB26" i="48"/>
  <c r="S39" i="48"/>
  <c r="AB76" i="48"/>
  <c r="S78" i="48"/>
  <c r="S79" i="48"/>
  <c r="AB103" i="48"/>
  <c r="S109" i="48"/>
  <c r="S110" i="48"/>
  <c r="S111" i="48"/>
  <c r="AB133" i="48"/>
  <c r="AB134" i="48"/>
  <c r="AB135" i="48"/>
  <c r="AB143" i="48"/>
  <c r="S148" i="48"/>
  <c r="AB55" i="48"/>
  <c r="AB102" i="48"/>
  <c r="AB67" i="48"/>
  <c r="AB111" i="48"/>
  <c r="AS7" i="48"/>
  <c r="AS11" i="48" s="1"/>
  <c r="AS13" i="48" s="1"/>
  <c r="AB19" i="48"/>
  <c r="AB31" i="48"/>
  <c r="S36" i="48"/>
  <c r="AB71" i="48"/>
  <c r="AB78" i="48"/>
  <c r="AB87" i="48"/>
  <c r="AB110" i="48"/>
  <c r="AB114" i="48"/>
  <c r="AB115" i="48"/>
  <c r="AU7" i="48"/>
  <c r="AU10" i="48"/>
  <c r="BG9" i="48"/>
  <c r="S24" i="48"/>
  <c r="AB62" i="48"/>
  <c r="AB63" i="48"/>
  <c r="AB72" i="48"/>
  <c r="S75" i="48"/>
  <c r="AB82" i="48"/>
  <c r="AB91" i="48"/>
  <c r="S97" i="48"/>
  <c r="S98" i="48"/>
  <c r="AB118" i="48"/>
  <c r="AB123" i="48"/>
  <c r="AG10" i="48"/>
  <c r="AW10" i="48"/>
  <c r="AB21" i="48"/>
  <c r="AB22" i="48"/>
  <c r="AB34" i="48"/>
  <c r="AB35" i="48"/>
  <c r="S44" i="48"/>
  <c r="S45" i="48"/>
  <c r="S55" i="48"/>
  <c r="AB95" i="48"/>
  <c r="S101" i="48"/>
  <c r="S102" i="48"/>
  <c r="S103" i="48"/>
  <c r="AB127" i="48"/>
  <c r="BG5" i="48"/>
  <c r="AB32" i="48"/>
  <c r="S34" i="48"/>
  <c r="S46" i="48"/>
  <c r="AB56" i="48"/>
  <c r="S59" i="48"/>
  <c r="AB69" i="48"/>
  <c r="AB84" i="48"/>
  <c r="AB92" i="48"/>
  <c r="AB100" i="48"/>
  <c r="AB108" i="48"/>
  <c r="S118" i="48"/>
  <c r="S138" i="48"/>
  <c r="S139" i="48"/>
  <c r="AB144" i="48"/>
  <c r="AB145" i="48"/>
  <c r="AB146" i="48"/>
  <c r="AM7" i="48"/>
  <c r="BC7" i="48"/>
  <c r="AI10" i="48"/>
  <c r="AI11" i="48" s="1"/>
  <c r="AI13" i="48" s="1"/>
  <c r="AI15" i="48" s="1"/>
  <c r="AY10" i="48"/>
  <c r="AY11" i="48" s="1"/>
  <c r="AY13" i="48" s="1"/>
  <c r="BH9" i="48"/>
  <c r="S22" i="48"/>
  <c r="S35" i="48"/>
  <c r="AB44" i="48"/>
  <c r="S47" i="48"/>
  <c r="AB85" i="48"/>
  <c r="AB93" i="48"/>
  <c r="AB101" i="48"/>
  <c r="AB109" i="48"/>
  <c r="AB116" i="48"/>
  <c r="S119" i="48"/>
  <c r="AB124" i="48"/>
  <c r="AB125" i="48"/>
  <c r="AB126" i="48"/>
  <c r="S23" i="48"/>
  <c r="AB45" i="48"/>
  <c r="S54" i="48"/>
  <c r="S66" i="48"/>
  <c r="S74" i="48"/>
  <c r="AB117" i="48"/>
  <c r="S130" i="48"/>
  <c r="S131" i="48"/>
  <c r="AB136" i="48"/>
  <c r="AB137" i="48"/>
  <c r="AB138" i="48"/>
  <c r="BH5" i="48"/>
  <c r="AM10" i="48"/>
  <c r="BC10" i="48"/>
  <c r="AB149" i="48"/>
  <c r="BG6" i="48"/>
  <c r="AO11" i="48"/>
  <c r="AO13" i="48" s="1"/>
  <c r="AO16" i="48" s="1"/>
  <c r="BE150" i="48"/>
  <c r="S42" i="48"/>
  <c r="AB53" i="48"/>
  <c r="AB60" i="48"/>
  <c r="S62" i="48"/>
  <c r="AB73" i="48"/>
  <c r="AB80" i="48"/>
  <c r="AB88" i="48"/>
  <c r="AB96" i="48"/>
  <c r="S99" i="48"/>
  <c r="AB104" i="48"/>
  <c r="S107" i="48"/>
  <c r="S114" i="48"/>
  <c r="S122" i="48"/>
  <c r="S123" i="48"/>
  <c r="AB128" i="48"/>
  <c r="AB129" i="48"/>
  <c r="AB130" i="48"/>
  <c r="S19" i="48"/>
  <c r="S26" i="48"/>
  <c r="S43" i="48"/>
  <c r="S50" i="48"/>
  <c r="S63" i="48"/>
  <c r="AB81" i="48"/>
  <c r="AB89" i="48"/>
  <c r="AB97" i="48"/>
  <c r="AB105" i="48"/>
  <c r="AB120" i="48"/>
  <c r="S134" i="48"/>
  <c r="S135" i="48"/>
  <c r="AB140" i="48"/>
  <c r="AB141" i="48"/>
  <c r="AB142" i="48"/>
  <c r="AG7" i="48"/>
  <c r="AW7" i="48"/>
  <c r="AB24" i="48"/>
  <c r="S27" i="48"/>
  <c r="S38" i="48"/>
  <c r="S51" i="48"/>
  <c r="S70" i="48"/>
  <c r="AB113" i="48"/>
  <c r="AB121" i="48"/>
  <c r="AB122" i="48"/>
  <c r="S147" i="48"/>
  <c r="AY15" i="48"/>
  <c r="AY16" i="48"/>
  <c r="BG10" i="48"/>
  <c r="AK7" i="48"/>
  <c r="AK11" i="48" s="1"/>
  <c r="BG8" i="48"/>
  <c r="BH8" i="48"/>
  <c r="AQ7" i="48"/>
  <c r="AQ11" i="48" s="1"/>
  <c r="AQ13" i="48" s="1"/>
  <c r="BG14" i="48"/>
  <c r="U30" i="46"/>
  <c r="U31" i="46"/>
  <c r="AD38" i="46"/>
  <c r="U41" i="46"/>
  <c r="U64" i="46"/>
  <c r="U65" i="46"/>
  <c r="AD78" i="46"/>
  <c r="AD105" i="46"/>
  <c r="AD106" i="46"/>
  <c r="AD107" i="46"/>
  <c r="AD108" i="46"/>
  <c r="U114" i="46"/>
  <c r="U115" i="46"/>
  <c r="AD133" i="46"/>
  <c r="AD134" i="46"/>
  <c r="AD135" i="46"/>
  <c r="AD136" i="46"/>
  <c r="U146" i="46"/>
  <c r="U148" i="46"/>
  <c r="U149" i="46"/>
  <c r="AD27" i="46"/>
  <c r="AD103" i="46"/>
  <c r="AD131" i="46"/>
  <c r="U88" i="46"/>
  <c r="U116" i="46"/>
  <c r="U117" i="46"/>
  <c r="U120" i="46"/>
  <c r="AD149" i="46"/>
  <c r="U92" i="46"/>
  <c r="U93" i="46"/>
  <c r="U121" i="46"/>
  <c r="AG7" i="46"/>
  <c r="AW7" i="46"/>
  <c r="AW11" i="46" s="1"/>
  <c r="AW13" i="46" s="1"/>
  <c r="AG10" i="46"/>
  <c r="AI7" i="46"/>
  <c r="AY7" i="46"/>
  <c r="AI10" i="46"/>
  <c r="AI11" i="46" s="1"/>
  <c r="AI13" i="46" s="1"/>
  <c r="AY10" i="46"/>
  <c r="AY11" i="46" s="1"/>
  <c r="AY13" i="46" s="1"/>
  <c r="AY15" i="46" s="1"/>
  <c r="AQ10" i="46"/>
  <c r="AD19" i="46"/>
  <c r="U36" i="46"/>
  <c r="U44" i="46"/>
  <c r="AD53" i="46"/>
  <c r="U58" i="46"/>
  <c r="U59" i="46"/>
  <c r="U72" i="46"/>
  <c r="AD89" i="46"/>
  <c r="AD90" i="46"/>
  <c r="AD91" i="46"/>
  <c r="AD92" i="46"/>
  <c r="AD93" i="46"/>
  <c r="AD94" i="46"/>
  <c r="AD121" i="46"/>
  <c r="AD147" i="46"/>
  <c r="BF6" i="46"/>
  <c r="BE8" i="46"/>
  <c r="BA10" i="46"/>
  <c r="AS10" i="46"/>
  <c r="AD55" i="46"/>
  <c r="AD56" i="46"/>
  <c r="AD87" i="46"/>
  <c r="AM10" i="46"/>
  <c r="AM11" i="46" s="1"/>
  <c r="AM13" i="46" s="1"/>
  <c r="BC10" i="46"/>
  <c r="U28" i="46"/>
  <c r="AD45" i="46"/>
  <c r="U49" i="46"/>
  <c r="U50" i="46"/>
  <c r="AD75" i="46"/>
  <c r="AD76" i="46"/>
  <c r="U78" i="46"/>
  <c r="U79" i="46"/>
  <c r="U104" i="46"/>
  <c r="U110" i="46"/>
  <c r="U111" i="46"/>
  <c r="U138" i="46"/>
  <c r="U139" i="46"/>
  <c r="AC15" i="47"/>
  <c r="AC16" i="47"/>
  <c r="AV15" i="47"/>
  <c r="AV16" i="47"/>
  <c r="AE11" i="47"/>
  <c r="AE13" i="47" s="1"/>
  <c r="AX11" i="47"/>
  <c r="AX13" i="47" s="1"/>
  <c r="AR15" i="47"/>
  <c r="AR16" i="47"/>
  <c r="AG69" i="47"/>
  <c r="AJ15" i="47"/>
  <c r="AJ16" i="47"/>
  <c r="R11" i="47"/>
  <c r="T11" i="47"/>
  <c r="T13" i="47" s="1"/>
  <c r="AN16" i="47"/>
  <c r="BC10" i="47"/>
  <c r="BB10" i="47"/>
  <c r="V11" i="47"/>
  <c r="AP11" i="47"/>
  <c r="AP13" i="47" s="1"/>
  <c r="X11" i="47"/>
  <c r="X13" i="47" s="1"/>
  <c r="AT16" i="47"/>
  <c r="AG5" i="47"/>
  <c r="AG7" i="47" s="1"/>
  <c r="BC8" i="47"/>
  <c r="AG9" i="47"/>
  <c r="AG10" i="47" s="1"/>
  <c r="Z18" i="47"/>
  <c r="BB5" i="47"/>
  <c r="BB9" i="47"/>
  <c r="Z25" i="47"/>
  <c r="AG68" i="47"/>
  <c r="AF69" i="47"/>
  <c r="BB6" i="47"/>
  <c r="Y69" i="47"/>
  <c r="BB7" i="47"/>
  <c r="U40" i="46"/>
  <c r="U32" i="46"/>
  <c r="U80" i="46"/>
  <c r="U96" i="46"/>
  <c r="AD109" i="46"/>
  <c r="AD110" i="46"/>
  <c r="U112" i="46"/>
  <c r="AD122" i="46"/>
  <c r="U124" i="46"/>
  <c r="AD137" i="46"/>
  <c r="AD138" i="46"/>
  <c r="U140" i="46"/>
  <c r="U48" i="46"/>
  <c r="AD32" i="46"/>
  <c r="AD66" i="46"/>
  <c r="U68" i="46"/>
  <c r="AD80" i="46"/>
  <c r="AD96" i="46"/>
  <c r="AD112" i="46"/>
  <c r="AD124" i="46"/>
  <c r="AD140" i="46"/>
  <c r="U144" i="46"/>
  <c r="BE6" i="46"/>
  <c r="U20" i="46"/>
  <c r="AO10" i="46"/>
  <c r="AK7" i="46"/>
  <c r="AM7" i="46"/>
  <c r="BC7" i="46"/>
  <c r="BC11" i="46" s="1"/>
  <c r="BC13" i="46" s="1"/>
  <c r="AU7" i="46"/>
  <c r="AU11" i="46" s="1"/>
  <c r="AU13" i="46" s="1"/>
  <c r="AD21" i="46"/>
  <c r="AD22" i="46"/>
  <c r="U24" i="46"/>
  <c r="U26" i="46"/>
  <c r="U27" i="46"/>
  <c r="U43" i="46"/>
  <c r="AD49" i="46"/>
  <c r="AD58" i="46"/>
  <c r="U60" i="46"/>
  <c r="AD68" i="46"/>
  <c r="AD81" i="46"/>
  <c r="AD82" i="46"/>
  <c r="U84" i="46"/>
  <c r="U86" i="46"/>
  <c r="U87" i="46"/>
  <c r="AD97" i="46"/>
  <c r="AD98" i="46"/>
  <c r="U100" i="46"/>
  <c r="U102" i="46"/>
  <c r="U103" i="46"/>
  <c r="AD125" i="46"/>
  <c r="AD126" i="46"/>
  <c r="U128" i="46"/>
  <c r="U130" i="46"/>
  <c r="U131" i="46"/>
  <c r="AD141" i="46"/>
  <c r="AD142" i="46"/>
  <c r="U147" i="46"/>
  <c r="U56" i="46"/>
  <c r="BE5" i="46"/>
  <c r="BE150" i="46"/>
  <c r="AD24" i="46"/>
  <c r="AD34" i="46"/>
  <c r="AD60" i="46"/>
  <c r="U62" i="46"/>
  <c r="U63" i="46"/>
  <c r="AD69" i="46"/>
  <c r="AD70" i="46"/>
  <c r="U74" i="46"/>
  <c r="U75" i="46"/>
  <c r="AD84" i="46"/>
  <c r="AD100" i="46"/>
  <c r="AD114" i="46"/>
  <c r="U119" i="46"/>
  <c r="AD128" i="46"/>
  <c r="AD144" i="46"/>
  <c r="BA11" i="46"/>
  <c r="BA13" i="46" s="1"/>
  <c r="BA15" i="46" s="1"/>
  <c r="BE9" i="46"/>
  <c r="AD25" i="46"/>
  <c r="AD26" i="46"/>
  <c r="U46" i="46"/>
  <c r="U54" i="46"/>
  <c r="AD72" i="46"/>
  <c r="AD85" i="46"/>
  <c r="AD86" i="46"/>
  <c r="U90" i="46"/>
  <c r="U91" i="46"/>
  <c r="AD101" i="46"/>
  <c r="AD102" i="46"/>
  <c r="U106" i="46"/>
  <c r="U107" i="46"/>
  <c r="AD116" i="46"/>
  <c r="AD129" i="46"/>
  <c r="AD130" i="46"/>
  <c r="U132" i="46"/>
  <c r="U134" i="46"/>
  <c r="U135" i="46"/>
  <c r="AD145" i="46"/>
  <c r="AD146" i="46"/>
  <c r="U19" i="46"/>
  <c r="U38" i="46"/>
  <c r="U39" i="46"/>
  <c r="AD44" i="46"/>
  <c r="U47" i="46"/>
  <c r="U55" i="46"/>
  <c r="AD62" i="46"/>
  <c r="AD73" i="46"/>
  <c r="AD74" i="46"/>
  <c r="AD88" i="46"/>
  <c r="AD104" i="46"/>
  <c r="AD117" i="46"/>
  <c r="AD118" i="46"/>
  <c r="AD132" i="46"/>
  <c r="AD148" i="46"/>
  <c r="AQ11" i="46"/>
  <c r="AQ13" i="46" s="1"/>
  <c r="AS11" i="46"/>
  <c r="AS13" i="46" s="1"/>
  <c r="AW15" i="46"/>
  <c r="AW16" i="46"/>
  <c r="BF5" i="46"/>
  <c r="BF9" i="46"/>
  <c r="BF8" i="46"/>
  <c r="AO7" i="46"/>
  <c r="AO11" i="46" s="1"/>
  <c r="AO13" i="46" s="1"/>
  <c r="AK10" i="46"/>
  <c r="X15" i="45"/>
  <c r="X16" i="45"/>
  <c r="AV15" i="45"/>
  <c r="AL11" i="45"/>
  <c r="AL13" i="45" s="1"/>
  <c r="AT11" i="45"/>
  <c r="AT13" i="45" s="1"/>
  <c r="AN16" i="45"/>
  <c r="AN15" i="45"/>
  <c r="AP16" i="45"/>
  <c r="AP15" i="45"/>
  <c r="AZ10" i="45"/>
  <c r="AZ5" i="45"/>
  <c r="AZ9" i="45"/>
  <c r="AI20" i="45"/>
  <c r="AB49" i="45"/>
  <c r="BA8" i="45"/>
  <c r="AI21" i="45"/>
  <c r="AB24" i="45"/>
  <c r="AI35" i="45"/>
  <c r="AB18" i="45"/>
  <c r="AB69" i="45" s="1"/>
  <c r="AZ6" i="45"/>
  <c r="AI18" i="45"/>
  <c r="AG9" i="45"/>
  <c r="AG10" i="45" s="1"/>
  <c r="AG11" i="45" s="1"/>
  <c r="AZ7" i="45"/>
  <c r="Z69" i="47" l="1"/>
  <c r="Z11" i="47"/>
  <c r="AI16" i="46"/>
  <c r="AI15" i="46"/>
  <c r="AG11" i="46"/>
  <c r="AR16" i="45"/>
  <c r="AR15" i="45"/>
  <c r="BA7" i="45"/>
  <c r="Z10" i="45"/>
  <c r="Z11" i="45" s="1"/>
  <c r="AJ11" i="45"/>
  <c r="AJ13" i="45" s="1"/>
  <c r="AJ16" i="45" s="1"/>
  <c r="V11" i="45"/>
  <c r="BA11" i="45" s="1"/>
  <c r="BA13" i="45" s="1"/>
  <c r="AC16" i="45"/>
  <c r="AN144" i="23"/>
  <c r="AG144" i="23"/>
  <c r="Z144" i="23"/>
  <c r="AM11" i="48"/>
  <c r="AM13" i="48" s="1"/>
  <c r="AM16" i="48" s="1"/>
  <c r="AI16" i="48"/>
  <c r="AO15" i="48"/>
  <c r="AW11" i="48"/>
  <c r="AW13" i="48" s="1"/>
  <c r="AW15" i="48" s="1"/>
  <c r="BA11" i="48"/>
  <c r="BA13" i="48" s="1"/>
  <c r="BA15" i="48" s="1"/>
  <c r="BH10" i="48"/>
  <c r="AG11" i="48"/>
  <c r="AU11" i="48"/>
  <c r="AU13" i="48" s="1"/>
  <c r="BC11" i="48"/>
  <c r="BC13" i="48" s="1"/>
  <c r="AQ16" i="48"/>
  <c r="AQ15" i="48"/>
  <c r="BH7" i="48"/>
  <c r="BG7" i="48"/>
  <c r="AS15" i="48"/>
  <c r="AS16" i="48"/>
  <c r="AK13" i="48"/>
  <c r="AY16" i="46"/>
  <c r="X15" i="47"/>
  <c r="X16" i="47"/>
  <c r="AX15" i="47"/>
  <c r="AX16" i="47"/>
  <c r="AP15" i="47"/>
  <c r="AP16" i="47"/>
  <c r="AL16" i="47"/>
  <c r="AL15" i="47"/>
  <c r="AE15" i="47"/>
  <c r="AE16" i="47"/>
  <c r="BC11" i="47"/>
  <c r="BC13" i="47" s="1"/>
  <c r="BB11" i="47"/>
  <c r="BB13" i="47" s="1"/>
  <c r="V13" i="47"/>
  <c r="AG11" i="47"/>
  <c r="BA16" i="46"/>
  <c r="AO16" i="46"/>
  <c r="AO15" i="46"/>
  <c r="BE7" i="46"/>
  <c r="AS16" i="46"/>
  <c r="AS15" i="46"/>
  <c r="BF7" i="46"/>
  <c r="AQ16" i="46"/>
  <c r="AQ15" i="46"/>
  <c r="BF10" i="46"/>
  <c r="BE10" i="46"/>
  <c r="AK11" i="46"/>
  <c r="BC16" i="46"/>
  <c r="BC15" i="46"/>
  <c r="AM16" i="46"/>
  <c r="AM15" i="46"/>
  <c r="AU15" i="46"/>
  <c r="AU16" i="46"/>
  <c r="AZ11" i="45"/>
  <c r="AZ13" i="45" s="1"/>
  <c r="V13" i="45"/>
  <c r="AE15" i="45"/>
  <c r="AE16" i="45"/>
  <c r="AT15" i="45"/>
  <c r="AT16" i="45"/>
  <c r="AL16" i="45"/>
  <c r="AL15" i="45"/>
  <c r="AX15" i="45"/>
  <c r="AX16" i="45"/>
  <c r="AI69" i="45"/>
  <c r="AJ15" i="45"/>
  <c r="AM15" i="48" l="1"/>
  <c r="BG11" i="48"/>
  <c r="BG13" i="48" s="1"/>
  <c r="BG16" i="48" s="1"/>
  <c r="BA16" i="48"/>
  <c r="AW16" i="48"/>
  <c r="BH11" i="48"/>
  <c r="BH13" i="48" s="1"/>
  <c r="BH15" i="48" s="1"/>
  <c r="BC16" i="48"/>
  <c r="BC15" i="48"/>
  <c r="AU15" i="48"/>
  <c r="AU16" i="48"/>
  <c r="BG15" i="48"/>
  <c r="AK15" i="48"/>
  <c r="AK16" i="48"/>
  <c r="BC16" i="47"/>
  <c r="BC15" i="47"/>
  <c r="V15" i="47"/>
  <c r="V16" i="47"/>
  <c r="BB15" i="47"/>
  <c r="BB16" i="47"/>
  <c r="AK13" i="46"/>
  <c r="BF11" i="46"/>
  <c r="BF13" i="46" s="1"/>
  <c r="BE11" i="46"/>
  <c r="BE13" i="46" s="1"/>
  <c r="V16" i="45"/>
  <c r="V15" i="45"/>
  <c r="AZ16" i="45"/>
  <c r="AZ15" i="45"/>
  <c r="BA16" i="45"/>
  <c r="BA15" i="45"/>
  <c r="BH16" i="48" l="1"/>
  <c r="BE16" i="46"/>
  <c r="BE15" i="46"/>
  <c r="BF16" i="46"/>
  <c r="BF15" i="46"/>
  <c r="AK15" i="46"/>
  <c r="AK16" i="46"/>
  <c r="BD14" i="29" l="1"/>
  <c r="AY149" i="44" l="1"/>
  <c r="AX149" i="44"/>
  <c r="AW149" i="44"/>
  <c r="AV149" i="44"/>
  <c r="AU149" i="44"/>
  <c r="AT149" i="44"/>
  <c r="AS149" i="44"/>
  <c r="AR149" i="44"/>
  <c r="AQ149" i="44"/>
  <c r="AP149" i="44"/>
  <c r="AO149" i="44"/>
  <c r="AN149" i="44"/>
  <c r="AM149" i="44"/>
  <c r="AL149" i="44"/>
  <c r="AK149" i="44"/>
  <c r="AJ149" i="44"/>
  <c r="AI149" i="44"/>
  <c r="AH149" i="44"/>
  <c r="AG149" i="44"/>
  <c r="AF149" i="44"/>
  <c r="AE149" i="44"/>
  <c r="AD149" i="44"/>
  <c r="AC149" i="44"/>
  <c r="AB149" i="44"/>
  <c r="I149" i="44"/>
  <c r="AZ148" i="44"/>
  <c r="X148" i="44"/>
  <c r="W148" i="44"/>
  <c r="V148" i="44"/>
  <c r="AZ147" i="44"/>
  <c r="X147" i="44"/>
  <c r="W147" i="44"/>
  <c r="V147" i="44"/>
  <c r="AZ146" i="44"/>
  <c r="X146" i="44"/>
  <c r="W146" i="44"/>
  <c r="V146" i="44"/>
  <c r="AZ145" i="44"/>
  <c r="X145" i="44"/>
  <c r="W145" i="44"/>
  <c r="V145" i="44"/>
  <c r="AZ144" i="44"/>
  <c r="X144" i="44"/>
  <c r="W144" i="44"/>
  <c r="V144" i="44"/>
  <c r="AZ143" i="44"/>
  <c r="X143" i="44"/>
  <c r="W143" i="44"/>
  <c r="V143" i="44"/>
  <c r="AZ142" i="44"/>
  <c r="X142" i="44"/>
  <c r="W142" i="44"/>
  <c r="V142" i="44"/>
  <c r="AZ141" i="44"/>
  <c r="X141" i="44"/>
  <c r="W141" i="44"/>
  <c r="V141" i="44"/>
  <c r="AZ140" i="44"/>
  <c r="X140" i="44"/>
  <c r="W140" i="44"/>
  <c r="V140" i="44"/>
  <c r="AZ139" i="44"/>
  <c r="X139" i="44"/>
  <c r="W139" i="44"/>
  <c r="V139" i="44"/>
  <c r="AZ138" i="44"/>
  <c r="X138" i="44"/>
  <c r="W138" i="44"/>
  <c r="V138" i="44"/>
  <c r="AZ137" i="44"/>
  <c r="X137" i="44"/>
  <c r="W137" i="44"/>
  <c r="V137" i="44"/>
  <c r="AZ136" i="44"/>
  <c r="X136" i="44"/>
  <c r="W136" i="44"/>
  <c r="V136" i="44"/>
  <c r="AZ135" i="44"/>
  <c r="X135" i="44"/>
  <c r="W135" i="44"/>
  <c r="V135" i="44"/>
  <c r="AZ134" i="44"/>
  <c r="X134" i="44"/>
  <c r="W134" i="44"/>
  <c r="V134" i="44"/>
  <c r="AZ133" i="44"/>
  <c r="X133" i="44"/>
  <c r="W133" i="44"/>
  <c r="V133" i="44"/>
  <c r="AZ132" i="44"/>
  <c r="X132" i="44"/>
  <c r="W132" i="44"/>
  <c r="V132" i="44"/>
  <c r="AZ131" i="44"/>
  <c r="X131" i="44"/>
  <c r="W131" i="44"/>
  <c r="V131" i="44"/>
  <c r="AZ130" i="44"/>
  <c r="X130" i="44"/>
  <c r="W130" i="44"/>
  <c r="V130" i="44"/>
  <c r="AZ129" i="44"/>
  <c r="X129" i="44"/>
  <c r="W129" i="44"/>
  <c r="V129" i="44"/>
  <c r="AZ128" i="44"/>
  <c r="X128" i="44"/>
  <c r="W128" i="44"/>
  <c r="V128" i="44"/>
  <c r="AZ127" i="44"/>
  <c r="X127" i="44"/>
  <c r="W127" i="44"/>
  <c r="V127" i="44"/>
  <c r="AZ126" i="44"/>
  <c r="X126" i="44"/>
  <c r="W126" i="44"/>
  <c r="V126" i="44"/>
  <c r="AZ125" i="44"/>
  <c r="Y125" i="44"/>
  <c r="X125" i="44"/>
  <c r="W125" i="44"/>
  <c r="V125" i="44"/>
  <c r="AZ124" i="44"/>
  <c r="X124" i="44"/>
  <c r="W124" i="44"/>
  <c r="V124" i="44"/>
  <c r="AZ123" i="44"/>
  <c r="X123" i="44"/>
  <c r="W123" i="44"/>
  <c r="V123" i="44"/>
  <c r="AZ122" i="44"/>
  <c r="X122" i="44"/>
  <c r="Y122" i="44" s="1"/>
  <c r="W122" i="44"/>
  <c r="V122" i="44"/>
  <c r="AZ121" i="44"/>
  <c r="X121" i="44"/>
  <c r="W121" i="44"/>
  <c r="V121" i="44"/>
  <c r="AZ120" i="44"/>
  <c r="X120" i="44"/>
  <c r="W120" i="44"/>
  <c r="V120" i="44"/>
  <c r="AZ119" i="44"/>
  <c r="X119" i="44"/>
  <c r="Y119" i="44" s="1"/>
  <c r="W119" i="44"/>
  <c r="V119" i="44"/>
  <c r="AZ118" i="44"/>
  <c r="X118" i="44"/>
  <c r="W118" i="44"/>
  <c r="V118" i="44"/>
  <c r="AZ117" i="44"/>
  <c r="Y117" i="44"/>
  <c r="X117" i="44"/>
  <c r="W117" i="44"/>
  <c r="V117" i="44"/>
  <c r="AZ116" i="44"/>
  <c r="X116" i="44"/>
  <c r="W116" i="44"/>
  <c r="V116" i="44"/>
  <c r="AZ115" i="44"/>
  <c r="X115" i="44"/>
  <c r="W115" i="44"/>
  <c r="V115" i="44"/>
  <c r="AZ114" i="44"/>
  <c r="X114" i="44"/>
  <c r="W114" i="44"/>
  <c r="V114" i="44"/>
  <c r="Y114" i="44" s="1"/>
  <c r="AZ113" i="44"/>
  <c r="X113" i="44"/>
  <c r="W113" i="44"/>
  <c r="V113" i="44"/>
  <c r="Y113" i="44" s="1"/>
  <c r="AZ112" i="44"/>
  <c r="X112" i="44"/>
  <c r="W112" i="44"/>
  <c r="V112" i="44"/>
  <c r="AZ111" i="44"/>
  <c r="X111" i="44"/>
  <c r="W111" i="44"/>
  <c r="V111" i="44"/>
  <c r="AZ110" i="44"/>
  <c r="X110" i="44"/>
  <c r="W110" i="44"/>
  <c r="V110" i="44"/>
  <c r="AZ109" i="44"/>
  <c r="X109" i="44"/>
  <c r="W109" i="44"/>
  <c r="V109" i="44"/>
  <c r="AZ108" i="44"/>
  <c r="X108" i="44"/>
  <c r="W108" i="44"/>
  <c r="V108" i="44"/>
  <c r="AZ107" i="44"/>
  <c r="X107" i="44"/>
  <c r="W107" i="44"/>
  <c r="V107" i="44"/>
  <c r="AZ106" i="44"/>
  <c r="X106" i="44"/>
  <c r="Y106" i="44" s="1"/>
  <c r="W106" i="44"/>
  <c r="V106" i="44"/>
  <c r="AZ105" i="44"/>
  <c r="X105" i="44"/>
  <c r="W105" i="44"/>
  <c r="V105" i="44"/>
  <c r="AZ104" i="44"/>
  <c r="Y104" i="44"/>
  <c r="X104" i="44"/>
  <c r="W104" i="44"/>
  <c r="V104" i="44"/>
  <c r="AZ103" i="44"/>
  <c r="X103" i="44"/>
  <c r="W103" i="44"/>
  <c r="V103" i="44"/>
  <c r="AZ102" i="44"/>
  <c r="X102" i="44"/>
  <c r="W102" i="44"/>
  <c r="V102" i="44"/>
  <c r="AZ101" i="44"/>
  <c r="X101" i="44"/>
  <c r="W101" i="44"/>
  <c r="V101" i="44"/>
  <c r="AZ100" i="44"/>
  <c r="X100" i="44"/>
  <c r="W100" i="44"/>
  <c r="V100" i="44"/>
  <c r="AZ99" i="44"/>
  <c r="Y99" i="44"/>
  <c r="X99" i="44"/>
  <c r="W99" i="44"/>
  <c r="V99" i="44"/>
  <c r="AZ98" i="44"/>
  <c r="Y98" i="44"/>
  <c r="X98" i="44"/>
  <c r="W98" i="44"/>
  <c r="V98" i="44"/>
  <c r="AZ97" i="44"/>
  <c r="X97" i="44"/>
  <c r="W97" i="44"/>
  <c r="V97" i="44"/>
  <c r="AZ96" i="44"/>
  <c r="Y96" i="44"/>
  <c r="X96" i="44"/>
  <c r="W96" i="44"/>
  <c r="V96" i="44"/>
  <c r="AZ95" i="44"/>
  <c r="X95" i="44"/>
  <c r="W95" i="44"/>
  <c r="V95" i="44"/>
  <c r="AZ94" i="44"/>
  <c r="Y94" i="44"/>
  <c r="X94" i="44"/>
  <c r="W94" i="44"/>
  <c r="V94" i="44"/>
  <c r="AZ93" i="44"/>
  <c r="Y93" i="44"/>
  <c r="X93" i="44"/>
  <c r="W93" i="44"/>
  <c r="V93" i="44"/>
  <c r="AZ92" i="44"/>
  <c r="Y92" i="44"/>
  <c r="X92" i="44"/>
  <c r="W92" i="44"/>
  <c r="V92" i="44"/>
  <c r="AZ91" i="44"/>
  <c r="X91" i="44"/>
  <c r="W91" i="44"/>
  <c r="V91" i="44"/>
  <c r="AZ90" i="44"/>
  <c r="X90" i="44"/>
  <c r="W90" i="44"/>
  <c r="V90" i="44"/>
  <c r="AZ89" i="44"/>
  <c r="X89" i="44"/>
  <c r="W89" i="44"/>
  <c r="V89" i="44"/>
  <c r="AZ88" i="44"/>
  <c r="X88" i="44"/>
  <c r="W88" i="44"/>
  <c r="V88" i="44"/>
  <c r="AZ87" i="44"/>
  <c r="X87" i="44"/>
  <c r="W87" i="44"/>
  <c r="V87" i="44"/>
  <c r="AZ86" i="44"/>
  <c r="Y86" i="44"/>
  <c r="X86" i="44"/>
  <c r="W86" i="44"/>
  <c r="V86" i="44"/>
  <c r="AZ85" i="44"/>
  <c r="X85" i="44"/>
  <c r="Y85" i="44" s="1"/>
  <c r="W85" i="44"/>
  <c r="V85" i="44"/>
  <c r="AZ84" i="44"/>
  <c r="Y84" i="44"/>
  <c r="X84" i="44"/>
  <c r="W84" i="44"/>
  <c r="V84" i="44"/>
  <c r="AZ83" i="44"/>
  <c r="Y83" i="44"/>
  <c r="X83" i="44"/>
  <c r="W83" i="44"/>
  <c r="V83" i="44"/>
  <c r="AZ82" i="44"/>
  <c r="Y82" i="44"/>
  <c r="X82" i="44"/>
  <c r="W82" i="44"/>
  <c r="V82" i="44"/>
  <c r="AZ81" i="44"/>
  <c r="Y81" i="44"/>
  <c r="X81" i="44"/>
  <c r="W81" i="44"/>
  <c r="V81" i="44"/>
  <c r="AZ80" i="44"/>
  <c r="Y80" i="44"/>
  <c r="X80" i="44"/>
  <c r="W80" i="44"/>
  <c r="V80" i="44"/>
  <c r="AZ79" i="44"/>
  <c r="Y79" i="44"/>
  <c r="X79" i="44"/>
  <c r="W79" i="44"/>
  <c r="V79" i="44"/>
  <c r="AZ78" i="44"/>
  <c r="X78" i="44"/>
  <c r="W78" i="44"/>
  <c r="V78" i="44"/>
  <c r="AZ77" i="44"/>
  <c r="Y77" i="44"/>
  <c r="X77" i="44"/>
  <c r="W77" i="44"/>
  <c r="V77" i="44"/>
  <c r="AZ76" i="44"/>
  <c r="Y76" i="44"/>
  <c r="X76" i="44"/>
  <c r="W76" i="44"/>
  <c r="V76" i="44"/>
  <c r="AZ75" i="44"/>
  <c r="X75" i="44"/>
  <c r="W75" i="44"/>
  <c r="V75" i="44"/>
  <c r="AZ74" i="44"/>
  <c r="X74" i="44"/>
  <c r="W74" i="44"/>
  <c r="V74" i="44"/>
  <c r="AZ73" i="44"/>
  <c r="Y73" i="44"/>
  <c r="X73" i="44"/>
  <c r="W73" i="44"/>
  <c r="V73" i="44"/>
  <c r="AZ72" i="44"/>
  <c r="X72" i="44"/>
  <c r="W72" i="44"/>
  <c r="V72" i="44"/>
  <c r="AZ71" i="44"/>
  <c r="X71" i="44"/>
  <c r="W71" i="44"/>
  <c r="V71" i="44"/>
  <c r="AZ70" i="44"/>
  <c r="X70" i="44"/>
  <c r="W70" i="44"/>
  <c r="V70" i="44"/>
  <c r="AZ69" i="44"/>
  <c r="Y69" i="44"/>
  <c r="X69" i="44"/>
  <c r="W69" i="44"/>
  <c r="V69" i="44"/>
  <c r="AZ68" i="44"/>
  <c r="Y68" i="44"/>
  <c r="X68" i="44"/>
  <c r="W68" i="44"/>
  <c r="V68" i="44"/>
  <c r="AZ67" i="44"/>
  <c r="X67" i="44"/>
  <c r="W67" i="44"/>
  <c r="V67" i="44"/>
  <c r="AZ66" i="44"/>
  <c r="X66" i="44"/>
  <c r="Y66" i="44" s="1"/>
  <c r="W66" i="44"/>
  <c r="V66" i="44"/>
  <c r="AZ65" i="44"/>
  <c r="X65" i="44"/>
  <c r="W65" i="44"/>
  <c r="V65" i="44"/>
  <c r="AZ64" i="44"/>
  <c r="X64" i="44"/>
  <c r="W64" i="44"/>
  <c r="V64" i="44"/>
  <c r="AZ63" i="44"/>
  <c r="Y63" i="44"/>
  <c r="X63" i="44"/>
  <c r="W63" i="44"/>
  <c r="V63" i="44"/>
  <c r="AZ62" i="44"/>
  <c r="Y62" i="44"/>
  <c r="X62" i="44"/>
  <c r="W62" i="44"/>
  <c r="V62" i="44"/>
  <c r="AZ61" i="44"/>
  <c r="Y61" i="44"/>
  <c r="X61" i="44"/>
  <c r="W61" i="44"/>
  <c r="V61" i="44"/>
  <c r="AZ60" i="44"/>
  <c r="X60" i="44"/>
  <c r="W60" i="44"/>
  <c r="V60" i="44"/>
  <c r="AZ59" i="44"/>
  <c r="X59" i="44"/>
  <c r="W59" i="44"/>
  <c r="V59" i="44"/>
  <c r="AZ58" i="44"/>
  <c r="X58" i="44"/>
  <c r="W58" i="44"/>
  <c r="V58" i="44"/>
  <c r="AZ57" i="44"/>
  <c r="X57" i="44"/>
  <c r="W57" i="44"/>
  <c r="V57" i="44"/>
  <c r="AZ56" i="44"/>
  <c r="X56" i="44"/>
  <c r="W56" i="44"/>
  <c r="V56" i="44"/>
  <c r="AZ55" i="44"/>
  <c r="X55" i="44"/>
  <c r="W55" i="44"/>
  <c r="V55" i="44"/>
  <c r="AZ54" i="44"/>
  <c r="X54" i="44"/>
  <c r="W54" i="44"/>
  <c r="V54" i="44"/>
  <c r="AZ53" i="44"/>
  <c r="X53" i="44"/>
  <c r="W53" i="44"/>
  <c r="V53" i="44"/>
  <c r="AZ52" i="44"/>
  <c r="X52" i="44"/>
  <c r="W52" i="44"/>
  <c r="V52" i="44"/>
  <c r="AZ51" i="44"/>
  <c r="X51" i="44"/>
  <c r="W51" i="44"/>
  <c r="V51" i="44"/>
  <c r="AZ50" i="44"/>
  <c r="X50" i="44"/>
  <c r="W50" i="44"/>
  <c r="V50" i="44"/>
  <c r="AZ49" i="44"/>
  <c r="X49" i="44"/>
  <c r="W49" i="44"/>
  <c r="V49" i="44"/>
  <c r="AZ48" i="44"/>
  <c r="X48" i="44"/>
  <c r="W48" i="44"/>
  <c r="V48" i="44"/>
  <c r="AZ47" i="44"/>
  <c r="X47" i="44"/>
  <c r="W47" i="44"/>
  <c r="V47" i="44"/>
  <c r="AZ46" i="44"/>
  <c r="X46" i="44"/>
  <c r="W46" i="44"/>
  <c r="V46" i="44"/>
  <c r="AZ45" i="44"/>
  <c r="X45" i="44"/>
  <c r="W45" i="44"/>
  <c r="V45" i="44"/>
  <c r="AZ44" i="44"/>
  <c r="X44" i="44"/>
  <c r="W44" i="44"/>
  <c r="V44" i="44"/>
  <c r="AZ43" i="44"/>
  <c r="X43" i="44"/>
  <c r="W43" i="44"/>
  <c r="V43" i="44"/>
  <c r="AZ42" i="44"/>
  <c r="X42" i="44"/>
  <c r="W42" i="44"/>
  <c r="V42" i="44"/>
  <c r="AZ41" i="44"/>
  <c r="X41" i="44"/>
  <c r="W41" i="44"/>
  <c r="V41" i="44"/>
  <c r="AZ40" i="44"/>
  <c r="X40" i="44"/>
  <c r="W40" i="44"/>
  <c r="V40" i="44"/>
  <c r="AZ39" i="44"/>
  <c r="X39" i="44"/>
  <c r="W39" i="44"/>
  <c r="V39" i="44"/>
  <c r="AZ38" i="44"/>
  <c r="X38" i="44"/>
  <c r="W38" i="44"/>
  <c r="V38" i="44"/>
  <c r="AZ37" i="44"/>
  <c r="X37" i="44"/>
  <c r="W37" i="44"/>
  <c r="V37" i="44"/>
  <c r="AZ36" i="44"/>
  <c r="X36" i="44"/>
  <c r="W36" i="44"/>
  <c r="V36" i="44"/>
  <c r="AZ35" i="44"/>
  <c r="X35" i="44"/>
  <c r="W35" i="44"/>
  <c r="V35" i="44"/>
  <c r="AZ34" i="44"/>
  <c r="X34" i="44"/>
  <c r="W34" i="44"/>
  <c r="V34" i="44"/>
  <c r="AZ33" i="44"/>
  <c r="X33" i="44"/>
  <c r="W33" i="44"/>
  <c r="V33" i="44"/>
  <c r="AZ32" i="44"/>
  <c r="X32" i="44"/>
  <c r="W32" i="44"/>
  <c r="V32" i="44"/>
  <c r="AZ31" i="44"/>
  <c r="X31" i="44"/>
  <c r="W31" i="44"/>
  <c r="V31" i="44"/>
  <c r="AZ30" i="44"/>
  <c r="X30" i="44"/>
  <c r="W30" i="44"/>
  <c r="V30" i="44"/>
  <c r="AZ29" i="44"/>
  <c r="X29" i="44"/>
  <c r="W29" i="44"/>
  <c r="V29" i="44"/>
  <c r="AZ28" i="44"/>
  <c r="X28" i="44"/>
  <c r="W28" i="44"/>
  <c r="V28" i="44"/>
  <c r="AZ27" i="44"/>
  <c r="X27" i="44"/>
  <c r="W27" i="44"/>
  <c r="V27" i="44"/>
  <c r="AZ26" i="44"/>
  <c r="X26" i="44"/>
  <c r="W26" i="44"/>
  <c r="Y26" i="44" s="1"/>
  <c r="V26" i="44"/>
  <c r="AZ25" i="44"/>
  <c r="X25" i="44"/>
  <c r="W25" i="44"/>
  <c r="V25" i="44"/>
  <c r="AZ24" i="44"/>
  <c r="X24" i="44"/>
  <c r="W24" i="44"/>
  <c r="V24" i="44"/>
  <c r="AZ23" i="44"/>
  <c r="X23" i="44"/>
  <c r="W23" i="44"/>
  <c r="V23" i="44"/>
  <c r="AZ22" i="44"/>
  <c r="X22" i="44"/>
  <c r="W22" i="44"/>
  <c r="V22" i="44"/>
  <c r="AZ21" i="44"/>
  <c r="X21" i="44"/>
  <c r="W21" i="44"/>
  <c r="V21" i="44"/>
  <c r="AZ20" i="44"/>
  <c r="X20" i="44"/>
  <c r="W20" i="44"/>
  <c r="V20" i="44"/>
  <c r="AZ19" i="44"/>
  <c r="X19" i="44"/>
  <c r="W19" i="44"/>
  <c r="Y19" i="44" s="1"/>
  <c r="V19" i="44"/>
  <c r="AF14" i="44"/>
  <c r="Y11" i="44"/>
  <c r="AL10" i="44"/>
  <c r="AX9" i="44"/>
  <c r="AV9" i="44"/>
  <c r="AT9" i="44"/>
  <c r="AR9" i="44"/>
  <c r="AP9" i="44"/>
  <c r="AN9" i="44"/>
  <c r="AL9" i="44"/>
  <c r="AJ9" i="44"/>
  <c r="AH9" i="44"/>
  <c r="AF9" i="44"/>
  <c r="AD9" i="44"/>
  <c r="AB9" i="44"/>
  <c r="AX8" i="44"/>
  <c r="AX10" i="44" s="1"/>
  <c r="AV8" i="44"/>
  <c r="AV10" i="44" s="1"/>
  <c r="AT8" i="44"/>
  <c r="AT10" i="44" s="1"/>
  <c r="AR8" i="44"/>
  <c r="AR10" i="44" s="1"/>
  <c r="AP8" i="44"/>
  <c r="AP10" i="44" s="1"/>
  <c r="AN8" i="44"/>
  <c r="AN10" i="44" s="1"/>
  <c r="AL8" i="44"/>
  <c r="AJ8" i="44"/>
  <c r="AH8" i="44"/>
  <c r="AH10" i="44" s="1"/>
  <c r="AF8" i="44"/>
  <c r="AF10" i="44" s="1"/>
  <c r="AD8" i="44"/>
  <c r="AD10" i="44" s="1"/>
  <c r="AB8" i="44"/>
  <c r="AB10" i="44" s="1"/>
  <c r="AX6" i="44"/>
  <c r="AV6" i="44"/>
  <c r="AT6" i="44"/>
  <c r="AR6" i="44"/>
  <c r="AP6" i="44"/>
  <c r="AN6" i="44"/>
  <c r="AL6" i="44"/>
  <c r="BB6" i="44" s="1"/>
  <c r="AJ6" i="44"/>
  <c r="AH6" i="44"/>
  <c r="AF6" i="44"/>
  <c r="AD6" i="44"/>
  <c r="AB6" i="44"/>
  <c r="AX5" i="44"/>
  <c r="AX7" i="44" s="1"/>
  <c r="AV5" i="44"/>
  <c r="AV7" i="44" s="1"/>
  <c r="AT5" i="44"/>
  <c r="AT7" i="44" s="1"/>
  <c r="AR5" i="44"/>
  <c r="AP5" i="44"/>
  <c r="AP7" i="44" s="1"/>
  <c r="AN5" i="44"/>
  <c r="AL5" i="44"/>
  <c r="AJ5" i="44"/>
  <c r="AJ7" i="44" s="1"/>
  <c r="AH5" i="44"/>
  <c r="AH7" i="44" s="1"/>
  <c r="AF5" i="44"/>
  <c r="AF7" i="44" s="1"/>
  <c r="AD5" i="44"/>
  <c r="AD7" i="44" s="1"/>
  <c r="AB5" i="44"/>
  <c r="BB4" i="44"/>
  <c r="BA4" i="44"/>
  <c r="AD4" i="44"/>
  <c r="AY70" i="43"/>
  <c r="AX70" i="43"/>
  <c r="AW70" i="43"/>
  <c r="AV70" i="43"/>
  <c r="AU70" i="43"/>
  <c r="AT70" i="43"/>
  <c r="AS70" i="43"/>
  <c r="AR70" i="43"/>
  <c r="AQ70" i="43"/>
  <c r="AP70" i="43"/>
  <c r="AO70" i="43"/>
  <c r="AN70" i="43"/>
  <c r="AM70" i="43"/>
  <c r="AL70" i="43"/>
  <c r="AK70" i="43"/>
  <c r="AJ70" i="43"/>
  <c r="AF70" i="43"/>
  <c r="AE70" i="43"/>
  <c r="AD70" i="43"/>
  <c r="AC70" i="43"/>
  <c r="Y70" i="43"/>
  <c r="X70" i="43"/>
  <c r="W70" i="43"/>
  <c r="V70" i="43"/>
  <c r="U70" i="43"/>
  <c r="T70" i="43"/>
  <c r="S70" i="43"/>
  <c r="R70" i="43"/>
  <c r="J70" i="43"/>
  <c r="AZ69" i="43"/>
  <c r="AH69" i="43"/>
  <c r="AG69" i="43"/>
  <c r="AI69" i="43" s="1"/>
  <c r="AA69" i="43"/>
  <c r="Z69" i="43"/>
  <c r="AB69" i="43" s="1"/>
  <c r="AZ68" i="43"/>
  <c r="AH68" i="43"/>
  <c r="AG68" i="43"/>
  <c r="AI68" i="43" s="1"/>
  <c r="AB68" i="43"/>
  <c r="AA68" i="43"/>
  <c r="Z68" i="43"/>
  <c r="AZ67" i="43"/>
  <c r="AI67" i="43"/>
  <c r="AH67" i="43"/>
  <c r="AG67" i="43"/>
  <c r="AA67" i="43"/>
  <c r="Z67" i="43"/>
  <c r="AB67" i="43" s="1"/>
  <c r="AZ66" i="43"/>
  <c r="AI66" i="43"/>
  <c r="AH66" i="43"/>
  <c r="AG66" i="43"/>
  <c r="AA66" i="43"/>
  <c r="Z66" i="43"/>
  <c r="AB66" i="43" s="1"/>
  <c r="AZ65" i="43"/>
  <c r="AI65" i="43"/>
  <c r="AH65" i="43"/>
  <c r="AG65" i="43"/>
  <c r="AA65" i="43"/>
  <c r="Z65" i="43"/>
  <c r="AB65" i="43" s="1"/>
  <c r="AZ64" i="43"/>
  <c r="AH64" i="43"/>
  <c r="AG64" i="43"/>
  <c r="AI64" i="43" s="1"/>
  <c r="AB64" i="43"/>
  <c r="AA64" i="43"/>
  <c r="Z64" i="43"/>
  <c r="AZ63" i="43"/>
  <c r="AI63" i="43"/>
  <c r="AH63" i="43"/>
  <c r="AG63" i="43"/>
  <c r="AB63" i="43"/>
  <c r="AA63" i="43"/>
  <c r="Z63" i="43"/>
  <c r="AZ62" i="43"/>
  <c r="AH62" i="43"/>
  <c r="AG62" i="43"/>
  <c r="AI62" i="43" s="1"/>
  <c r="AB62" i="43"/>
  <c r="AA62" i="43"/>
  <c r="Z62" i="43"/>
  <c r="AZ61" i="43"/>
  <c r="AH61" i="43"/>
  <c r="AG61" i="43"/>
  <c r="AI61" i="43" s="1"/>
  <c r="AA61" i="43"/>
  <c r="Z61" i="43"/>
  <c r="AB61" i="43" s="1"/>
  <c r="AZ60" i="43"/>
  <c r="AH60" i="43"/>
  <c r="AG60" i="43"/>
  <c r="AI60" i="43" s="1"/>
  <c r="AB60" i="43"/>
  <c r="AA60" i="43"/>
  <c r="Z60" i="43"/>
  <c r="AZ59" i="43"/>
  <c r="AI59" i="43"/>
  <c r="AH59" i="43"/>
  <c r="AG59" i="43"/>
  <c r="AA59" i="43"/>
  <c r="Z59" i="43"/>
  <c r="AB59" i="43" s="1"/>
  <c r="AZ58" i="43"/>
  <c r="AI58" i="43"/>
  <c r="AH58" i="43"/>
  <c r="AG58" i="43"/>
  <c r="AA58" i="43"/>
  <c r="Z58" i="43"/>
  <c r="AB58" i="43" s="1"/>
  <c r="AZ57" i="43"/>
  <c r="AI57" i="43"/>
  <c r="AH57" i="43"/>
  <c r="AG57" i="43"/>
  <c r="AA57" i="43"/>
  <c r="Z57" i="43"/>
  <c r="AB57" i="43" s="1"/>
  <c r="AZ56" i="43"/>
  <c r="AH56" i="43"/>
  <c r="AG56" i="43"/>
  <c r="AI56" i="43" s="1"/>
  <c r="AB56" i="43"/>
  <c r="AA56" i="43"/>
  <c r="Z56" i="43"/>
  <c r="AZ55" i="43"/>
  <c r="AI55" i="43"/>
  <c r="AH55" i="43"/>
  <c r="AG55" i="43"/>
  <c r="AB55" i="43"/>
  <c r="AA55" i="43"/>
  <c r="Z55" i="43"/>
  <c r="AZ54" i="43"/>
  <c r="AH54" i="43"/>
  <c r="AG54" i="43"/>
  <c r="AI54" i="43" s="1"/>
  <c r="AB54" i="43"/>
  <c r="AA54" i="43"/>
  <c r="Z54" i="43"/>
  <c r="AZ53" i="43"/>
  <c r="AH53" i="43"/>
  <c r="AG53" i="43"/>
  <c r="AI53" i="43" s="1"/>
  <c r="AA53" i="43"/>
  <c r="Z53" i="43"/>
  <c r="AB53" i="43" s="1"/>
  <c r="AZ52" i="43"/>
  <c r="AH52" i="43"/>
  <c r="AG52" i="43"/>
  <c r="AI52" i="43" s="1"/>
  <c r="AB52" i="43"/>
  <c r="AA52" i="43"/>
  <c r="Z52" i="43"/>
  <c r="AZ51" i="43"/>
  <c r="AI51" i="43"/>
  <c r="AH51" i="43"/>
  <c r="AG51" i="43"/>
  <c r="AA51" i="43"/>
  <c r="Z51" i="43"/>
  <c r="AB51" i="43" s="1"/>
  <c r="AZ50" i="43"/>
  <c r="AI50" i="43"/>
  <c r="AH50" i="43"/>
  <c r="AG50" i="43"/>
  <c r="AA50" i="43"/>
  <c r="Z50" i="43"/>
  <c r="AB50" i="43" s="1"/>
  <c r="AZ49" i="43"/>
  <c r="AI49" i="43"/>
  <c r="AH49" i="43"/>
  <c r="AG49" i="43"/>
  <c r="AA49" i="43"/>
  <c r="Z49" i="43"/>
  <c r="AB49" i="43" s="1"/>
  <c r="AZ48" i="43"/>
  <c r="AH48" i="43"/>
  <c r="AG48" i="43"/>
  <c r="AI48" i="43" s="1"/>
  <c r="AB48" i="43"/>
  <c r="AA48" i="43"/>
  <c r="Z48" i="43"/>
  <c r="AZ47" i="43"/>
  <c r="AI47" i="43"/>
  <c r="AH47" i="43"/>
  <c r="AG47" i="43"/>
  <c r="AB47" i="43"/>
  <c r="AA47" i="43"/>
  <c r="Z47" i="43"/>
  <c r="AZ46" i="43"/>
  <c r="AH46" i="43"/>
  <c r="AG46" i="43"/>
  <c r="AI46" i="43" s="1"/>
  <c r="AB46" i="43"/>
  <c r="AA46" i="43"/>
  <c r="Z46" i="43"/>
  <c r="AZ45" i="43"/>
  <c r="AH45" i="43"/>
  <c r="AG45" i="43"/>
  <c r="AI45" i="43" s="1"/>
  <c r="AA45" i="43"/>
  <c r="Z45" i="43"/>
  <c r="AB45" i="43" s="1"/>
  <c r="AZ44" i="43"/>
  <c r="AH44" i="43"/>
  <c r="AG44" i="43"/>
  <c r="AI44" i="43" s="1"/>
  <c r="AB44" i="43"/>
  <c r="AA44" i="43"/>
  <c r="Z44" i="43"/>
  <c r="AZ43" i="43"/>
  <c r="AI43" i="43"/>
  <c r="AH43" i="43"/>
  <c r="AG43" i="43"/>
  <c r="AA43" i="43"/>
  <c r="Z43" i="43"/>
  <c r="AB43" i="43" s="1"/>
  <c r="AZ42" i="43"/>
  <c r="AI42" i="43"/>
  <c r="AH42" i="43"/>
  <c r="AG42" i="43"/>
  <c r="AA42" i="43"/>
  <c r="Z42" i="43"/>
  <c r="AB42" i="43" s="1"/>
  <c r="AZ41" i="43"/>
  <c r="AI41" i="43"/>
  <c r="AH41" i="43"/>
  <c r="AG41" i="43"/>
  <c r="AA41" i="43"/>
  <c r="Z41" i="43"/>
  <c r="AB41" i="43" s="1"/>
  <c r="AZ40" i="43"/>
  <c r="AH40" i="43"/>
  <c r="AG40" i="43"/>
  <c r="AI40" i="43" s="1"/>
  <c r="AA40" i="43"/>
  <c r="Z40" i="43"/>
  <c r="AB40" i="43" s="1"/>
  <c r="AZ39" i="43"/>
  <c r="AI39" i="43"/>
  <c r="AH39" i="43"/>
  <c r="AG39" i="43"/>
  <c r="AB39" i="43"/>
  <c r="AA39" i="43"/>
  <c r="Z39" i="43"/>
  <c r="AZ38" i="43"/>
  <c r="AH38" i="43"/>
  <c r="AG38" i="43"/>
  <c r="AI38" i="43" s="1"/>
  <c r="AB38" i="43"/>
  <c r="AA38" i="43"/>
  <c r="Z38" i="43"/>
  <c r="AZ37" i="43"/>
  <c r="AH37" i="43"/>
  <c r="AG37" i="43"/>
  <c r="AG8" i="43" s="1"/>
  <c r="AA37" i="43"/>
  <c r="Z37" i="43"/>
  <c r="AB37" i="43" s="1"/>
  <c r="AZ36" i="43"/>
  <c r="AH36" i="43"/>
  <c r="AG36" i="43"/>
  <c r="AI36" i="43" s="1"/>
  <c r="AB36" i="43"/>
  <c r="AA36" i="43"/>
  <c r="Z36" i="43"/>
  <c r="AZ35" i="43"/>
  <c r="AI35" i="43"/>
  <c r="AH35" i="43"/>
  <c r="AG35" i="43"/>
  <c r="AA35" i="43"/>
  <c r="Z35" i="43"/>
  <c r="AB35" i="43" s="1"/>
  <c r="AZ34" i="43"/>
  <c r="AI34" i="43"/>
  <c r="AH34" i="43"/>
  <c r="AG34" i="43"/>
  <c r="AA34" i="43"/>
  <c r="Z34" i="43"/>
  <c r="AB34" i="43" s="1"/>
  <c r="AZ33" i="43"/>
  <c r="AI33" i="43"/>
  <c r="AH33" i="43"/>
  <c r="AG33" i="43"/>
  <c r="AA33" i="43"/>
  <c r="Z33" i="43"/>
  <c r="AB33" i="43" s="1"/>
  <c r="AZ32" i="43"/>
  <c r="AH32" i="43"/>
  <c r="AG32" i="43"/>
  <c r="AI32" i="43" s="1"/>
  <c r="AA32" i="43"/>
  <c r="Z32" i="43"/>
  <c r="AB32" i="43" s="1"/>
  <c r="AZ31" i="43"/>
  <c r="AI31" i="43"/>
  <c r="AH31" i="43"/>
  <c r="AG31" i="43"/>
  <c r="AB31" i="43"/>
  <c r="AA31" i="43"/>
  <c r="Z31" i="43"/>
  <c r="AZ30" i="43"/>
  <c r="AH30" i="43"/>
  <c r="AG9" i="43" s="1"/>
  <c r="AG10" i="43" s="1"/>
  <c r="AG30" i="43"/>
  <c r="AI30" i="43" s="1"/>
  <c r="AB30" i="43"/>
  <c r="AA30" i="43"/>
  <c r="Z30" i="43"/>
  <c r="AZ29" i="43"/>
  <c r="AH29" i="43"/>
  <c r="AG29" i="43"/>
  <c r="AI29" i="43" s="1"/>
  <c r="AA29" i="43"/>
  <c r="Z29" i="43"/>
  <c r="AB29" i="43" s="1"/>
  <c r="AZ28" i="43"/>
  <c r="AH28" i="43"/>
  <c r="AG28" i="43"/>
  <c r="AI28" i="43" s="1"/>
  <c r="AB28" i="43"/>
  <c r="AA28" i="43"/>
  <c r="Z28" i="43"/>
  <c r="AZ27" i="43"/>
  <c r="AI27" i="43"/>
  <c r="AH27" i="43"/>
  <c r="AG27" i="43"/>
  <c r="AA27" i="43"/>
  <c r="Z27" i="43"/>
  <c r="AB27" i="43" s="1"/>
  <c r="AZ26" i="43"/>
  <c r="AI26" i="43"/>
  <c r="AH26" i="43"/>
  <c r="AG26" i="43"/>
  <c r="AA26" i="43"/>
  <c r="Z26" i="43"/>
  <c r="Z8" i="43" s="1"/>
  <c r="AZ25" i="43"/>
  <c r="AI25" i="43"/>
  <c r="AH25" i="43"/>
  <c r="AG25" i="43"/>
  <c r="AA25" i="43"/>
  <c r="Z25" i="43"/>
  <c r="AB25" i="43" s="1"/>
  <c r="AZ24" i="43"/>
  <c r="AH24" i="43"/>
  <c r="AG24" i="43"/>
  <c r="AI24" i="43" s="1"/>
  <c r="AA24" i="43"/>
  <c r="Z24" i="43"/>
  <c r="AB24" i="43" s="1"/>
  <c r="AZ23" i="43"/>
  <c r="AI23" i="43"/>
  <c r="AH23" i="43"/>
  <c r="AG23" i="43"/>
  <c r="AB23" i="43"/>
  <c r="AA23" i="43"/>
  <c r="Z23" i="43"/>
  <c r="AZ22" i="43"/>
  <c r="AH22" i="43"/>
  <c r="AG6" i="43" s="1"/>
  <c r="AG22" i="43"/>
  <c r="AB22" i="43"/>
  <c r="AA22" i="43"/>
  <c r="Z22" i="43"/>
  <c r="AZ21" i="43"/>
  <c r="AH21" i="43"/>
  <c r="AG21" i="43"/>
  <c r="AI21" i="43" s="1"/>
  <c r="AA21" i="43"/>
  <c r="Z21" i="43"/>
  <c r="AB21" i="43" s="1"/>
  <c r="AZ20" i="43"/>
  <c r="AH20" i="43"/>
  <c r="AG20" i="43"/>
  <c r="AI20" i="43" s="1"/>
  <c r="AB20" i="43"/>
  <c r="AA20" i="43"/>
  <c r="Z20" i="43"/>
  <c r="AZ19" i="43"/>
  <c r="AH19" i="43"/>
  <c r="AG19" i="43"/>
  <c r="AI19" i="43" s="1"/>
  <c r="AA19" i="43"/>
  <c r="Z9" i="43" s="1"/>
  <c r="Z10" i="43" s="1"/>
  <c r="Z19" i="43"/>
  <c r="AZ18" i="43"/>
  <c r="AZ70" i="43" s="1"/>
  <c r="AI18" i="43"/>
  <c r="AH18" i="43"/>
  <c r="AH70" i="43" s="1"/>
  <c r="AG18" i="43"/>
  <c r="AG70" i="43" s="1"/>
  <c r="AA18" i="43"/>
  <c r="AA70" i="43" s="1"/>
  <c r="Z18" i="43"/>
  <c r="Z5" i="43" s="1"/>
  <c r="Z7" i="43" s="1"/>
  <c r="BA14" i="43"/>
  <c r="AZ14" i="43"/>
  <c r="V14" i="43"/>
  <c r="BA12" i="43"/>
  <c r="AZ12" i="43"/>
  <c r="AR10" i="43"/>
  <c r="AX9" i="43"/>
  <c r="AV9" i="43"/>
  <c r="AT9" i="43"/>
  <c r="AR9" i="43"/>
  <c r="AP9" i="43"/>
  <c r="AN9" i="43"/>
  <c r="AL9" i="43"/>
  <c r="AJ9" i="43"/>
  <c r="AE9" i="43"/>
  <c r="AC9" i="43"/>
  <c r="X9" i="43"/>
  <c r="V9" i="43"/>
  <c r="BA9" i="43" s="1"/>
  <c r="T9" i="43"/>
  <c r="R9" i="43"/>
  <c r="AZ8" i="43"/>
  <c r="AX8" i="43"/>
  <c r="AX10" i="43" s="1"/>
  <c r="AX11" i="43" s="1"/>
  <c r="AX13" i="43" s="1"/>
  <c r="AV8" i="43"/>
  <c r="AV10" i="43" s="1"/>
  <c r="AV11" i="43" s="1"/>
  <c r="AV13" i="43" s="1"/>
  <c r="AT8" i="43"/>
  <c r="AT10" i="43" s="1"/>
  <c r="AT11" i="43" s="1"/>
  <c r="AT13" i="43" s="1"/>
  <c r="AR8" i="43"/>
  <c r="AP8" i="43"/>
  <c r="AP10" i="43" s="1"/>
  <c r="AN8" i="43"/>
  <c r="AN10" i="43" s="1"/>
  <c r="AN11" i="43" s="1"/>
  <c r="AN13" i="43" s="1"/>
  <c r="AL8" i="43"/>
  <c r="AL10" i="43" s="1"/>
  <c r="AJ8" i="43"/>
  <c r="AJ10" i="43" s="1"/>
  <c r="AJ11" i="43" s="1"/>
  <c r="AJ13" i="43" s="1"/>
  <c r="AE8" i="43"/>
  <c r="AE10" i="43" s="1"/>
  <c r="AE11" i="43" s="1"/>
  <c r="AE13" i="43" s="1"/>
  <c r="AC8" i="43"/>
  <c r="AC10" i="43" s="1"/>
  <c r="AC11" i="43" s="1"/>
  <c r="AC13" i="43" s="1"/>
  <c r="X8" i="43"/>
  <c r="X10" i="43" s="1"/>
  <c r="X11" i="43" s="1"/>
  <c r="X13" i="43" s="1"/>
  <c r="V8" i="43"/>
  <c r="V10" i="43" s="1"/>
  <c r="T8" i="43"/>
  <c r="T10" i="43" s="1"/>
  <c r="R8" i="43"/>
  <c r="R10" i="43" s="1"/>
  <c r="AN7" i="43"/>
  <c r="V7" i="43"/>
  <c r="AX6" i="43"/>
  <c r="AV6" i="43"/>
  <c r="AT6" i="43"/>
  <c r="AR6" i="43"/>
  <c r="AP6" i="43"/>
  <c r="AN6" i="43"/>
  <c r="AL6" i="43"/>
  <c r="AJ6" i="43"/>
  <c r="AE6" i="43"/>
  <c r="AC6" i="43"/>
  <c r="BA6" i="43" s="1"/>
  <c r="Z6" i="43"/>
  <c r="X6" i="43"/>
  <c r="V6" i="43"/>
  <c r="AZ6" i="43" s="1"/>
  <c r="T6" i="43"/>
  <c r="R6" i="43"/>
  <c r="AX5" i="43"/>
  <c r="AX7" i="43" s="1"/>
  <c r="AV5" i="43"/>
  <c r="AV7" i="43" s="1"/>
  <c r="AT5" i="43"/>
  <c r="AT7" i="43" s="1"/>
  <c r="AR5" i="43"/>
  <c r="AR7" i="43" s="1"/>
  <c r="AP5" i="43"/>
  <c r="AP7" i="43" s="1"/>
  <c r="AN5" i="43"/>
  <c r="AL5" i="43"/>
  <c r="AL7" i="43" s="1"/>
  <c r="AJ5" i="43"/>
  <c r="AJ7" i="43" s="1"/>
  <c r="AE5" i="43"/>
  <c r="AE7" i="43" s="1"/>
  <c r="AC5" i="43"/>
  <c r="AC7" i="43" s="1"/>
  <c r="X5" i="43"/>
  <c r="X7" i="43" s="1"/>
  <c r="V5" i="43"/>
  <c r="BA5" i="43" s="1"/>
  <c r="T5" i="43"/>
  <c r="T7" i="43" s="1"/>
  <c r="R5" i="43"/>
  <c r="R7" i="43" s="1"/>
  <c r="AZ4" i="43"/>
  <c r="AX4" i="43"/>
  <c r="AV4" i="43"/>
  <c r="AT4" i="43"/>
  <c r="AR4" i="43"/>
  <c r="AP4" i="43"/>
  <c r="AN4" i="43"/>
  <c r="AL4" i="43"/>
  <c r="AJ4" i="43"/>
  <c r="AC4" i="43"/>
  <c r="V4" i="43"/>
  <c r="BA4" i="43" s="1"/>
  <c r="T4" i="43"/>
  <c r="Y37" i="44" l="1"/>
  <c r="Y127" i="44"/>
  <c r="Y39" i="44"/>
  <c r="Y101" i="44"/>
  <c r="Y42" i="44"/>
  <c r="Y133" i="44"/>
  <c r="Y141" i="44"/>
  <c r="Y58" i="44"/>
  <c r="Y90" i="44"/>
  <c r="Y36" i="44"/>
  <c r="Y44" i="44"/>
  <c r="Y50" i="44"/>
  <c r="Y33" i="44"/>
  <c r="Y146" i="44"/>
  <c r="Y138" i="44"/>
  <c r="Y107" i="44"/>
  <c r="Y55" i="44"/>
  <c r="Y103" i="44"/>
  <c r="Y34" i="44"/>
  <c r="Y100" i="44"/>
  <c r="AL7" i="44"/>
  <c r="BB9" i="44"/>
  <c r="Y51" i="44"/>
  <c r="Y57" i="44"/>
  <c r="Y124" i="44"/>
  <c r="AB7" i="44"/>
  <c r="AR7" i="44"/>
  <c r="AP11" i="44"/>
  <c r="AP13" i="44" s="1"/>
  <c r="AP16" i="44" s="1"/>
  <c r="Y126" i="44"/>
  <c r="Y128" i="44"/>
  <c r="Y132" i="44"/>
  <c r="Y136" i="44"/>
  <c r="AD11" i="44"/>
  <c r="AD13" i="44" s="1"/>
  <c r="AT11" i="44"/>
  <c r="AT13" i="44" s="1"/>
  <c r="Y20" i="44"/>
  <c r="Y87" i="44"/>
  <c r="Y109" i="44"/>
  <c r="Y130" i="44"/>
  <c r="Y28" i="44"/>
  <c r="Y67" i="44"/>
  <c r="Y111" i="44"/>
  <c r="Y121" i="44"/>
  <c r="Y74" i="44"/>
  <c r="Y97" i="44"/>
  <c r="Y139" i="44"/>
  <c r="AJ10" i="44"/>
  <c r="AJ11" i="44" s="1"/>
  <c r="AJ13" i="44" s="1"/>
  <c r="AN7" i="44"/>
  <c r="BA6" i="44"/>
  <c r="Y27" i="44"/>
  <c r="Y41" i="44"/>
  <c r="Y64" i="44"/>
  <c r="Y147" i="44"/>
  <c r="Y52" i="44"/>
  <c r="Y135" i="44"/>
  <c r="Y145" i="44"/>
  <c r="Y21" i="44"/>
  <c r="Y31" i="44"/>
  <c r="Y35" i="44"/>
  <c r="Y43" i="44"/>
  <c r="Y49" i="44"/>
  <c r="Y60" i="44"/>
  <c r="Y78" i="44"/>
  <c r="Y88" i="44"/>
  <c r="Y102" i="44"/>
  <c r="Y115" i="44"/>
  <c r="Y23" i="44"/>
  <c r="Y134" i="44"/>
  <c r="Y143" i="44"/>
  <c r="Y29" i="44"/>
  <c r="Y22" i="44"/>
  <c r="Y24" i="44"/>
  <c r="Y30" i="44"/>
  <c r="Y32" i="44"/>
  <c r="Y45" i="44"/>
  <c r="Y47" i="44"/>
  <c r="Y53" i="44"/>
  <c r="Y59" i="44"/>
  <c r="Y71" i="44"/>
  <c r="Y75" i="44"/>
  <c r="Y95" i="44"/>
  <c r="Y108" i="44"/>
  <c r="Y123" i="44"/>
  <c r="Y140" i="44"/>
  <c r="Y38" i="44"/>
  <c r="Y40" i="44"/>
  <c r="Y110" i="44"/>
  <c r="Y112" i="44"/>
  <c r="Y129" i="44"/>
  <c r="Y142" i="44"/>
  <c r="Y144" i="44"/>
  <c r="AZ149" i="44"/>
  <c r="Y46" i="44"/>
  <c r="Y48" i="44"/>
  <c r="Y70" i="44"/>
  <c r="Y72" i="44"/>
  <c r="Y89" i="44"/>
  <c r="Y116" i="44"/>
  <c r="Y131" i="44"/>
  <c r="Y148" i="44"/>
  <c r="Y25" i="44"/>
  <c r="Y54" i="44"/>
  <c r="Y56" i="44"/>
  <c r="Y65" i="44"/>
  <c r="Y91" i="44"/>
  <c r="Y105" i="44"/>
  <c r="Y118" i="44"/>
  <c r="Y120" i="44"/>
  <c r="Y137" i="44"/>
  <c r="AV11" i="44"/>
  <c r="AV13" i="44" s="1"/>
  <c r="AN11" i="44"/>
  <c r="AN13" i="44" s="1"/>
  <c r="BA7" i="44"/>
  <c r="BB7" i="44"/>
  <c r="AB11" i="44"/>
  <c r="AR11" i="44"/>
  <c r="AR13" i="44" s="1"/>
  <c r="AL11" i="44"/>
  <c r="AL13" i="44" s="1"/>
  <c r="AD16" i="44"/>
  <c r="AD15" i="44"/>
  <c r="AF11" i="44"/>
  <c r="BB10" i="44"/>
  <c r="BA10" i="44"/>
  <c r="AH11" i="44"/>
  <c r="AH13" i="44" s="1"/>
  <c r="AX11" i="44"/>
  <c r="AX13" i="44" s="1"/>
  <c r="AT16" i="44"/>
  <c r="AT15" i="44"/>
  <c r="AJ15" i="44"/>
  <c r="AJ16" i="44"/>
  <c r="BA14" i="44"/>
  <c r="BB14" i="44"/>
  <c r="BA5" i="44"/>
  <c r="BA9" i="44"/>
  <c r="BB5" i="44"/>
  <c r="BA8" i="44"/>
  <c r="BB8" i="44"/>
  <c r="BA7" i="43"/>
  <c r="AJ16" i="43"/>
  <c r="AJ15" i="43"/>
  <c r="AT15" i="43"/>
  <c r="AT16" i="43"/>
  <c r="AC15" i="43"/>
  <c r="AC16" i="43"/>
  <c r="AV15" i="43"/>
  <c r="AV16" i="43"/>
  <c r="AL11" i="43"/>
  <c r="AL13" i="43" s="1"/>
  <c r="AE15" i="43"/>
  <c r="AE16" i="43"/>
  <c r="AX15" i="43"/>
  <c r="AX16" i="43"/>
  <c r="AR11" i="43"/>
  <c r="AR13" i="43" s="1"/>
  <c r="R11" i="43"/>
  <c r="AN16" i="43"/>
  <c r="AN15" i="43"/>
  <c r="T11" i="43"/>
  <c r="T13" i="43" s="1"/>
  <c r="AP11" i="43"/>
  <c r="AP13" i="43" s="1"/>
  <c r="X15" i="43"/>
  <c r="X16" i="43"/>
  <c r="BA10" i="43"/>
  <c r="AZ10" i="43"/>
  <c r="V11" i="43"/>
  <c r="Z11" i="43"/>
  <c r="AG5" i="43"/>
  <c r="AG7" i="43" s="1"/>
  <c r="AG11" i="43" s="1"/>
  <c r="BA8" i="43"/>
  <c r="AB19" i="43"/>
  <c r="AI22" i="43"/>
  <c r="AZ5" i="43"/>
  <c r="AZ9" i="43"/>
  <c r="AB18" i="43"/>
  <c r="AB26" i="43"/>
  <c r="AI37" i="43"/>
  <c r="AI70" i="43" s="1"/>
  <c r="Z70" i="43"/>
  <c r="AZ7" i="43"/>
  <c r="AP15" i="44" l="1"/>
  <c r="AH15" i="44"/>
  <c r="AH16" i="44"/>
  <c r="AR16" i="44"/>
  <c r="AR15" i="44"/>
  <c r="AF13" i="44"/>
  <c r="BB11" i="44"/>
  <c r="BB13" i="44" s="1"/>
  <c r="BB16" i="44" s="1"/>
  <c r="BA11" i="44"/>
  <c r="BA13" i="44" s="1"/>
  <c r="BA16" i="44" s="1"/>
  <c r="AN15" i="44"/>
  <c r="AN16" i="44"/>
  <c r="AX15" i="44"/>
  <c r="AX16" i="44"/>
  <c r="AL15" i="44"/>
  <c r="AL16" i="44"/>
  <c r="AV15" i="44"/>
  <c r="AV16" i="44"/>
  <c r="AB70" i="43"/>
  <c r="BA11" i="43"/>
  <c r="BA13" i="43" s="1"/>
  <c r="AZ11" i="43"/>
  <c r="AZ13" i="43" s="1"/>
  <c r="V13" i="43"/>
  <c r="AP15" i="43"/>
  <c r="AP16" i="43"/>
  <c r="AL16" i="43"/>
  <c r="AL15" i="43"/>
  <c r="AR15" i="43"/>
  <c r="AR16" i="43"/>
  <c r="BB15" i="44" l="1"/>
  <c r="BA15" i="44"/>
  <c r="AF16" i="44"/>
  <c r="AF15" i="44"/>
  <c r="V16" i="43"/>
  <c r="V15" i="43"/>
  <c r="AZ16" i="43"/>
  <c r="AZ15" i="43"/>
  <c r="BA16" i="43"/>
  <c r="BA15" i="43"/>
  <c r="AY64" i="42"/>
  <c r="AX64" i="42"/>
  <c r="AW64" i="42"/>
  <c r="AV64" i="42"/>
  <c r="AU64" i="42"/>
  <c r="AT64" i="42"/>
  <c r="AS64" i="42"/>
  <c r="AR64" i="42"/>
  <c r="AQ64" i="42"/>
  <c r="AP64" i="42"/>
  <c r="AO64" i="42"/>
  <c r="AN64" i="42"/>
  <c r="AM64" i="42"/>
  <c r="AL64" i="42"/>
  <c r="AK64" i="42"/>
  <c r="AJ64" i="42"/>
  <c r="AF64" i="42"/>
  <c r="AE64" i="42"/>
  <c r="AD64" i="42"/>
  <c r="AC64" i="42"/>
  <c r="Y64" i="42"/>
  <c r="X64" i="42"/>
  <c r="W64" i="42"/>
  <c r="V64" i="42"/>
  <c r="U64" i="42"/>
  <c r="T64" i="42"/>
  <c r="S64" i="42"/>
  <c r="R64" i="42"/>
  <c r="J64" i="42"/>
  <c r="AZ63" i="42"/>
  <c r="AH63" i="42"/>
  <c r="AG63" i="42"/>
  <c r="AI63" i="42" s="1"/>
  <c r="AB63" i="42"/>
  <c r="AA63" i="42"/>
  <c r="Z63" i="42"/>
  <c r="AZ62" i="42"/>
  <c r="AH62" i="42"/>
  <c r="AG62" i="42"/>
  <c r="AI62" i="42" s="1"/>
  <c r="AB62" i="42"/>
  <c r="AA62" i="42"/>
  <c r="Z62" i="42"/>
  <c r="AZ61" i="42"/>
  <c r="AI61" i="42"/>
  <c r="AH61" i="42"/>
  <c r="AG61" i="42"/>
  <c r="AA61" i="42"/>
  <c r="AB61" i="42" s="1"/>
  <c r="Z61" i="42"/>
  <c r="AZ60" i="42"/>
  <c r="AH60" i="42"/>
  <c r="AG60" i="42"/>
  <c r="AI60" i="42" s="1"/>
  <c r="AA60" i="42"/>
  <c r="Z60" i="42"/>
  <c r="AB60" i="42" s="1"/>
  <c r="AZ59" i="42"/>
  <c r="AI59" i="42"/>
  <c r="AH59" i="42"/>
  <c r="AG59" i="42"/>
  <c r="AA59" i="42"/>
  <c r="Z59" i="42"/>
  <c r="AB59" i="42" s="1"/>
  <c r="AZ58" i="42"/>
  <c r="AH58" i="42"/>
  <c r="AI58" i="42" s="1"/>
  <c r="AG58" i="42"/>
  <c r="AB58" i="42"/>
  <c r="AA58" i="42"/>
  <c r="Z58" i="42"/>
  <c r="AZ57" i="42"/>
  <c r="AI57" i="42"/>
  <c r="AH57" i="42"/>
  <c r="AG57" i="42"/>
  <c r="AA57" i="42"/>
  <c r="Z57" i="42"/>
  <c r="AB57" i="42" s="1"/>
  <c r="AZ56" i="42"/>
  <c r="AH56" i="42"/>
  <c r="AI56" i="42" s="1"/>
  <c r="AG56" i="42"/>
  <c r="AB56" i="42"/>
  <c r="AA56" i="42"/>
  <c r="Z56" i="42"/>
  <c r="AZ55" i="42"/>
  <c r="AH55" i="42"/>
  <c r="AG55" i="42"/>
  <c r="AI55" i="42" s="1"/>
  <c r="AA55" i="42"/>
  <c r="AB55" i="42" s="1"/>
  <c r="Z55" i="42"/>
  <c r="AZ54" i="42"/>
  <c r="AH54" i="42"/>
  <c r="AG54" i="42"/>
  <c r="AI54" i="42" s="1"/>
  <c r="AB54" i="42"/>
  <c r="AA54" i="42"/>
  <c r="Z54" i="42"/>
  <c r="AZ53" i="42"/>
  <c r="AH53" i="42"/>
  <c r="AG53" i="42"/>
  <c r="AI53" i="42" s="1"/>
  <c r="AA53" i="42"/>
  <c r="AB53" i="42" s="1"/>
  <c r="Z53" i="42"/>
  <c r="AZ52" i="42"/>
  <c r="AH52" i="42"/>
  <c r="AG52" i="42"/>
  <c r="AI52" i="42" s="1"/>
  <c r="AA52" i="42"/>
  <c r="Z52" i="42"/>
  <c r="AB52" i="42" s="1"/>
  <c r="AZ51" i="42"/>
  <c r="AI51" i="42"/>
  <c r="AH51" i="42"/>
  <c r="AG51" i="42"/>
  <c r="AA51" i="42"/>
  <c r="Z51" i="42"/>
  <c r="AB51" i="42" s="1"/>
  <c r="AZ50" i="42"/>
  <c r="AH50" i="42"/>
  <c r="AI50" i="42" s="1"/>
  <c r="AG50" i="42"/>
  <c r="AA50" i="42"/>
  <c r="AB50" i="42" s="1"/>
  <c r="Z50" i="42"/>
  <c r="AZ49" i="42"/>
  <c r="AI49" i="42"/>
  <c r="AH49" i="42"/>
  <c r="AG49" i="42"/>
  <c r="AA49" i="42"/>
  <c r="Z49" i="42"/>
  <c r="AB49" i="42" s="1"/>
  <c r="AZ48" i="42"/>
  <c r="AH48" i="42"/>
  <c r="AI48" i="42" s="1"/>
  <c r="AG48" i="42"/>
  <c r="AB48" i="42"/>
  <c r="AA48" i="42"/>
  <c r="Z48" i="42"/>
  <c r="AZ47" i="42"/>
  <c r="AH47" i="42"/>
  <c r="AG47" i="42"/>
  <c r="AI47" i="42" s="1"/>
  <c r="AA47" i="42"/>
  <c r="AB47" i="42" s="1"/>
  <c r="Z47" i="42"/>
  <c r="AZ46" i="42"/>
  <c r="AH46" i="42"/>
  <c r="AG46" i="42"/>
  <c r="AI46" i="42" s="1"/>
  <c r="AB46" i="42"/>
  <c r="AA46" i="42"/>
  <c r="Z46" i="42"/>
  <c r="AZ45" i="42"/>
  <c r="AI45" i="42"/>
  <c r="AH45" i="42"/>
  <c r="AG45" i="42"/>
  <c r="AA45" i="42"/>
  <c r="AB45" i="42" s="1"/>
  <c r="Z45" i="42"/>
  <c r="AZ44" i="42"/>
  <c r="AH44" i="42"/>
  <c r="AG44" i="42"/>
  <c r="AI44" i="42" s="1"/>
  <c r="AA44" i="42"/>
  <c r="Z44" i="42"/>
  <c r="AB44" i="42" s="1"/>
  <c r="AZ43" i="42"/>
  <c r="AI43" i="42"/>
  <c r="AH43" i="42"/>
  <c r="AG43" i="42"/>
  <c r="AA43" i="42"/>
  <c r="Z43" i="42"/>
  <c r="AB43" i="42" s="1"/>
  <c r="AZ42" i="42"/>
  <c r="AH42" i="42"/>
  <c r="AG42" i="42"/>
  <c r="AI42" i="42" s="1"/>
  <c r="AA42" i="42"/>
  <c r="Z42" i="42"/>
  <c r="AB42" i="42" s="1"/>
  <c r="AZ41" i="42"/>
  <c r="AI41" i="42"/>
  <c r="AH41" i="42"/>
  <c r="AG41" i="42"/>
  <c r="AA41" i="42"/>
  <c r="Z41" i="42"/>
  <c r="AB41" i="42" s="1"/>
  <c r="AZ40" i="42"/>
  <c r="AH40" i="42"/>
  <c r="AI40" i="42" s="1"/>
  <c r="AG40" i="42"/>
  <c r="AB40" i="42"/>
  <c r="AA40" i="42"/>
  <c r="Z40" i="42"/>
  <c r="AZ39" i="42"/>
  <c r="AH39" i="42"/>
  <c r="AG39" i="42"/>
  <c r="AI39" i="42" s="1"/>
  <c r="AA39" i="42"/>
  <c r="Z39" i="42"/>
  <c r="AB39" i="42" s="1"/>
  <c r="AZ38" i="42"/>
  <c r="AH38" i="42"/>
  <c r="AG38" i="42"/>
  <c r="AI38" i="42" s="1"/>
  <c r="AB38" i="42"/>
  <c r="AA38" i="42"/>
  <c r="Z38" i="42"/>
  <c r="AZ37" i="42"/>
  <c r="AI37" i="42"/>
  <c r="AH37" i="42"/>
  <c r="AG37" i="42"/>
  <c r="AA37" i="42"/>
  <c r="AB37" i="42" s="1"/>
  <c r="Z37" i="42"/>
  <c r="AZ36" i="42"/>
  <c r="AI36" i="42"/>
  <c r="AH36" i="42"/>
  <c r="AG36" i="42"/>
  <c r="AA36" i="42"/>
  <c r="Z36" i="42"/>
  <c r="AB36" i="42" s="1"/>
  <c r="AZ35" i="42"/>
  <c r="AI35" i="42"/>
  <c r="AH35" i="42"/>
  <c r="AG35" i="42"/>
  <c r="AA35" i="42"/>
  <c r="Z35" i="42"/>
  <c r="AB35" i="42" s="1"/>
  <c r="AZ34" i="42"/>
  <c r="AH34" i="42"/>
  <c r="AG34" i="42"/>
  <c r="AI34" i="42" s="1"/>
  <c r="AA34" i="42"/>
  <c r="Z34" i="42"/>
  <c r="AB34" i="42" s="1"/>
  <c r="AZ33" i="42"/>
  <c r="AI33" i="42"/>
  <c r="AH33" i="42"/>
  <c r="AG33" i="42"/>
  <c r="AB33" i="42"/>
  <c r="AA33" i="42"/>
  <c r="Z33" i="42"/>
  <c r="AZ32" i="42"/>
  <c r="AH32" i="42"/>
  <c r="AG6" i="42" s="1"/>
  <c r="AG32" i="42"/>
  <c r="AB32" i="42"/>
  <c r="AA32" i="42"/>
  <c r="Z32" i="42"/>
  <c r="AZ31" i="42"/>
  <c r="AH31" i="42"/>
  <c r="AG31" i="42"/>
  <c r="AI31" i="42" s="1"/>
  <c r="AA31" i="42"/>
  <c r="Z31" i="42"/>
  <c r="AB31" i="42" s="1"/>
  <c r="AZ30" i="42"/>
  <c r="AH30" i="42"/>
  <c r="AG30" i="42"/>
  <c r="AI30" i="42" s="1"/>
  <c r="AB30" i="42"/>
  <c r="AA30" i="42"/>
  <c r="Z30" i="42"/>
  <c r="AZ29" i="42"/>
  <c r="AI29" i="42"/>
  <c r="AH29" i="42"/>
  <c r="AG29" i="42"/>
  <c r="AA29" i="42"/>
  <c r="AB29" i="42" s="1"/>
  <c r="Z29" i="42"/>
  <c r="AZ28" i="42"/>
  <c r="AH28" i="42"/>
  <c r="AG28" i="42"/>
  <c r="AI28" i="42" s="1"/>
  <c r="AA28" i="42"/>
  <c r="Z28" i="42"/>
  <c r="Z5" i="42" s="1"/>
  <c r="AZ27" i="42"/>
  <c r="AI27" i="42"/>
  <c r="AH27" i="42"/>
  <c r="AG27" i="42"/>
  <c r="AA27" i="42"/>
  <c r="Z27" i="42"/>
  <c r="AB27" i="42" s="1"/>
  <c r="AZ26" i="42"/>
  <c r="AH26" i="42"/>
  <c r="AG26" i="42"/>
  <c r="AI26" i="42" s="1"/>
  <c r="AA26" i="42"/>
  <c r="AB26" i="42" s="1"/>
  <c r="Z26" i="42"/>
  <c r="AZ25" i="42"/>
  <c r="AI25" i="42"/>
  <c r="AH25" i="42"/>
  <c r="AG25" i="42"/>
  <c r="AA25" i="42"/>
  <c r="Z25" i="42"/>
  <c r="AB25" i="42" s="1"/>
  <c r="AZ24" i="42"/>
  <c r="AH24" i="42"/>
  <c r="AI24" i="42" s="1"/>
  <c r="AG24" i="42"/>
  <c r="AB24" i="42"/>
  <c r="AA24" i="42"/>
  <c r="Z24" i="42"/>
  <c r="AZ23" i="42"/>
  <c r="AH23" i="42"/>
  <c r="AG9" i="42" s="1"/>
  <c r="AG23" i="42"/>
  <c r="AG5" i="42" s="1"/>
  <c r="AA23" i="42"/>
  <c r="AB23" i="42" s="1"/>
  <c r="Z23" i="42"/>
  <c r="AZ22" i="42"/>
  <c r="AH22" i="42"/>
  <c r="AG22" i="42"/>
  <c r="AI22" i="42" s="1"/>
  <c r="AB22" i="42"/>
  <c r="AA22" i="42"/>
  <c r="Z22" i="42"/>
  <c r="AZ21" i="42"/>
  <c r="AH21" i="42"/>
  <c r="AG21" i="42"/>
  <c r="AI21" i="42" s="1"/>
  <c r="AA21" i="42"/>
  <c r="AB21" i="42" s="1"/>
  <c r="Z21" i="42"/>
  <c r="AZ20" i="42"/>
  <c r="AH20" i="42"/>
  <c r="AG20" i="42"/>
  <c r="AI20" i="42" s="1"/>
  <c r="AA20" i="42"/>
  <c r="Z20" i="42"/>
  <c r="Z8" i="42" s="1"/>
  <c r="AZ19" i="42"/>
  <c r="AI19" i="42"/>
  <c r="AI64" i="42" s="1"/>
  <c r="AH19" i="42"/>
  <c r="AH64" i="42" s="1"/>
  <c r="AG19" i="42"/>
  <c r="AG64" i="42" s="1"/>
  <c r="AA19" i="42"/>
  <c r="AA64" i="42" s="1"/>
  <c r="Z19" i="42"/>
  <c r="Z64" i="42" s="1"/>
  <c r="AZ18" i="42"/>
  <c r="AH18" i="42"/>
  <c r="AI18" i="42" s="1"/>
  <c r="AG18" i="42"/>
  <c r="AB18" i="42"/>
  <c r="AA18" i="42"/>
  <c r="Z18" i="42"/>
  <c r="BA14" i="42"/>
  <c r="AZ14" i="42"/>
  <c r="BA12" i="42"/>
  <c r="AZ12" i="42"/>
  <c r="AN10" i="42"/>
  <c r="AN11" i="42" s="1"/>
  <c r="AN13" i="42" s="1"/>
  <c r="AL10" i="42"/>
  <c r="AL11" i="42" s="1"/>
  <c r="AL13" i="42" s="1"/>
  <c r="V10" i="42"/>
  <c r="T10" i="42"/>
  <c r="AX9" i="42"/>
  <c r="AV9" i="42"/>
  <c r="AT9" i="42"/>
  <c r="AR9" i="42"/>
  <c r="AP9" i="42"/>
  <c r="AN9" i="42"/>
  <c r="AL9" i="42"/>
  <c r="AJ9" i="42"/>
  <c r="AE9" i="42"/>
  <c r="AC9" i="42"/>
  <c r="X9" i="42"/>
  <c r="V9" i="42"/>
  <c r="T9" i="42"/>
  <c r="R9" i="42"/>
  <c r="AX8" i="42"/>
  <c r="AX10" i="42" s="1"/>
  <c r="AX11" i="42" s="1"/>
  <c r="AX13" i="42" s="1"/>
  <c r="AV8" i="42"/>
  <c r="AV10" i="42" s="1"/>
  <c r="AV11" i="42" s="1"/>
  <c r="AV13" i="42" s="1"/>
  <c r="AT8" i="42"/>
  <c r="AT10" i="42" s="1"/>
  <c r="AT11" i="42" s="1"/>
  <c r="AT13" i="42" s="1"/>
  <c r="AR8" i="42"/>
  <c r="AR10" i="42" s="1"/>
  <c r="AR11" i="42" s="1"/>
  <c r="AR13" i="42" s="1"/>
  <c r="AP8" i="42"/>
  <c r="AP10" i="42" s="1"/>
  <c r="AP11" i="42" s="1"/>
  <c r="AP13" i="42" s="1"/>
  <c r="AN8" i="42"/>
  <c r="AL8" i="42"/>
  <c r="AJ8" i="42"/>
  <c r="AJ10" i="42" s="1"/>
  <c r="AJ11" i="42" s="1"/>
  <c r="AJ13" i="42" s="1"/>
  <c r="AE8" i="42"/>
  <c r="AE10" i="42" s="1"/>
  <c r="AC8" i="42"/>
  <c r="X8" i="42"/>
  <c r="X10" i="42" s="1"/>
  <c r="X11" i="42" s="1"/>
  <c r="X13" i="42" s="1"/>
  <c r="V8" i="42"/>
  <c r="BA8" i="42" s="1"/>
  <c r="T8" i="42"/>
  <c r="R8" i="42"/>
  <c r="R10" i="42" s="1"/>
  <c r="R11" i="42" s="1"/>
  <c r="AX7" i="42"/>
  <c r="AJ7" i="42"/>
  <c r="R7" i="42"/>
  <c r="AX6" i="42"/>
  <c r="AV6" i="42"/>
  <c r="AT6" i="42"/>
  <c r="AR6" i="42"/>
  <c r="AP6" i="42"/>
  <c r="AN6" i="42"/>
  <c r="AL6" i="42"/>
  <c r="AJ6" i="42"/>
  <c r="AE6" i="42"/>
  <c r="AC6" i="42"/>
  <c r="X6" i="42"/>
  <c r="V6" i="42"/>
  <c r="T6" i="42"/>
  <c r="R6" i="42"/>
  <c r="AX5" i="42"/>
  <c r="AV5" i="42"/>
  <c r="AV7" i="42" s="1"/>
  <c r="AT5" i="42"/>
  <c r="AT7" i="42" s="1"/>
  <c r="AR5" i="42"/>
  <c r="AR7" i="42" s="1"/>
  <c r="AP5" i="42"/>
  <c r="AP7" i="42" s="1"/>
  <c r="AN5" i="42"/>
  <c r="AN7" i="42" s="1"/>
  <c r="AL5" i="42"/>
  <c r="AL7" i="42" s="1"/>
  <c r="AJ5" i="42"/>
  <c r="AE5" i="42"/>
  <c r="AE7" i="42" s="1"/>
  <c r="AC5" i="42"/>
  <c r="X5" i="42"/>
  <c r="X7" i="42" s="1"/>
  <c r="V5" i="42"/>
  <c r="BA5" i="42" s="1"/>
  <c r="T5" i="42"/>
  <c r="T7" i="42" s="1"/>
  <c r="R5" i="42"/>
  <c r="AX4" i="42"/>
  <c r="AV4" i="42"/>
  <c r="AT4" i="42"/>
  <c r="AR4" i="42"/>
  <c r="AP4" i="42"/>
  <c r="AN4" i="42"/>
  <c r="AL4" i="42"/>
  <c r="AJ4" i="42"/>
  <c r="AC4" i="42"/>
  <c r="V4" i="42"/>
  <c r="T4" i="42"/>
  <c r="BA9" i="42" l="1"/>
  <c r="BA4" i="42"/>
  <c r="AZ64" i="42"/>
  <c r="AZ6" i="42"/>
  <c r="AC10" i="42"/>
  <c r="AC11" i="42" s="1"/>
  <c r="AC13" i="42" s="1"/>
  <c r="BA6" i="42"/>
  <c r="AC7" i="42"/>
  <c r="X15" i="42"/>
  <c r="X16" i="42"/>
  <c r="AJ16" i="42"/>
  <c r="AJ15" i="42"/>
  <c r="AG7" i="42"/>
  <c r="AV16" i="42"/>
  <c r="AV15" i="42"/>
  <c r="T11" i="42"/>
  <c r="T13" i="42" s="1"/>
  <c r="AL16" i="42"/>
  <c r="AL15" i="42"/>
  <c r="AN15" i="42"/>
  <c r="AN16" i="42"/>
  <c r="AP15" i="42"/>
  <c r="AP16" i="42"/>
  <c r="AR15" i="42"/>
  <c r="AR16" i="42"/>
  <c r="AT15" i="42"/>
  <c r="AT16" i="42"/>
  <c r="BA10" i="42"/>
  <c r="AE11" i="42"/>
  <c r="AE13" i="42" s="1"/>
  <c r="AX16" i="42"/>
  <c r="AX15" i="42"/>
  <c r="AZ10" i="42"/>
  <c r="AG8" i="42"/>
  <c r="AG10" i="42" s="1"/>
  <c r="AG11" i="42" s="1"/>
  <c r="AB20" i="42"/>
  <c r="AI23" i="42"/>
  <c r="AB28" i="42"/>
  <c r="Z9" i="42"/>
  <c r="Z10" i="42" s="1"/>
  <c r="AZ4" i="42"/>
  <c r="Z6" i="42"/>
  <c r="Z7" i="42" s="1"/>
  <c r="V7" i="42"/>
  <c r="AZ8" i="42"/>
  <c r="V11" i="42"/>
  <c r="AB19" i="42"/>
  <c r="AI32" i="42"/>
  <c r="AZ5" i="42"/>
  <c r="AZ9" i="42"/>
  <c r="BA7" i="42" l="1"/>
  <c r="AZ7" i="42"/>
  <c r="Z11" i="42"/>
  <c r="AE16" i="42"/>
  <c r="AE15" i="42"/>
  <c r="V13" i="42"/>
  <c r="AZ11" i="42"/>
  <c r="AZ13" i="42" s="1"/>
  <c r="BA11" i="42"/>
  <c r="BA13" i="42" s="1"/>
  <c r="AB64" i="42"/>
  <c r="AC16" i="42"/>
  <c r="AC15" i="42"/>
  <c r="AZ16" i="42" l="1"/>
  <c r="AZ15" i="42"/>
  <c r="BA16" i="42"/>
  <c r="BA15" i="42"/>
  <c r="V15" i="42"/>
  <c r="V16" i="42"/>
  <c r="AY146" i="41" l="1"/>
  <c r="AX146" i="41"/>
  <c r="AW146" i="41"/>
  <c r="AV146" i="41"/>
  <c r="AU146" i="41"/>
  <c r="AT146" i="41"/>
  <c r="AS146" i="41"/>
  <c r="AR146" i="41"/>
  <c r="AQ146" i="41"/>
  <c r="AP146" i="41"/>
  <c r="AO146" i="41"/>
  <c r="AN146" i="41"/>
  <c r="AM146" i="41"/>
  <c r="AL146" i="41"/>
  <c r="AK146" i="41"/>
  <c r="AJ146" i="41"/>
  <c r="AI146" i="41"/>
  <c r="AH146" i="41"/>
  <c r="AG146" i="41"/>
  <c r="AF146" i="41"/>
  <c r="AE146" i="41"/>
  <c r="AD146" i="41"/>
  <c r="AC146" i="41"/>
  <c r="AB146" i="41"/>
  <c r="I146" i="41"/>
  <c r="A146" i="41"/>
  <c r="AZ145" i="41"/>
  <c r="X145" i="41"/>
  <c r="W145" i="41"/>
  <c r="V145" i="41"/>
  <c r="AZ144" i="41"/>
  <c r="X144" i="41"/>
  <c r="W144" i="41"/>
  <c r="V144" i="41"/>
  <c r="AZ143" i="41"/>
  <c r="X143" i="41"/>
  <c r="W143" i="41"/>
  <c r="V143" i="41"/>
  <c r="AZ142" i="41"/>
  <c r="X142" i="41"/>
  <c r="W142" i="41"/>
  <c r="V142" i="41"/>
  <c r="AZ141" i="41"/>
  <c r="X141" i="41"/>
  <c r="W141" i="41"/>
  <c r="V141" i="41"/>
  <c r="AZ140" i="41"/>
  <c r="X140" i="41"/>
  <c r="W140" i="41"/>
  <c r="V140" i="41"/>
  <c r="AZ139" i="41"/>
  <c r="X139" i="41"/>
  <c r="W139" i="41"/>
  <c r="V139" i="41"/>
  <c r="AZ138" i="41"/>
  <c r="X138" i="41"/>
  <c r="W138" i="41"/>
  <c r="V138" i="41"/>
  <c r="AZ137" i="41"/>
  <c r="X137" i="41"/>
  <c r="W137" i="41"/>
  <c r="V137" i="41"/>
  <c r="AZ136" i="41"/>
  <c r="X136" i="41"/>
  <c r="W136" i="41"/>
  <c r="V136" i="41"/>
  <c r="AZ135" i="41"/>
  <c r="X135" i="41"/>
  <c r="W135" i="41"/>
  <c r="V135" i="41"/>
  <c r="AZ134" i="41"/>
  <c r="X134" i="41"/>
  <c r="W134" i="41"/>
  <c r="V134" i="41"/>
  <c r="AZ133" i="41"/>
  <c r="X133" i="41"/>
  <c r="W133" i="41"/>
  <c r="V133" i="41"/>
  <c r="AZ132" i="41"/>
  <c r="X132" i="41"/>
  <c r="W132" i="41"/>
  <c r="V132" i="41"/>
  <c r="AZ131" i="41"/>
  <c r="X131" i="41"/>
  <c r="W131" i="41"/>
  <c r="V131" i="41"/>
  <c r="AZ130" i="41"/>
  <c r="X130" i="41"/>
  <c r="W130" i="41"/>
  <c r="V130" i="41"/>
  <c r="AZ129" i="41"/>
  <c r="X129" i="41"/>
  <c r="W129" i="41"/>
  <c r="V129" i="41"/>
  <c r="AZ128" i="41"/>
  <c r="X128" i="41"/>
  <c r="W128" i="41"/>
  <c r="V128" i="41"/>
  <c r="AZ127" i="41"/>
  <c r="X127" i="41"/>
  <c r="W127" i="41"/>
  <c r="V127" i="41"/>
  <c r="AZ126" i="41"/>
  <c r="X126" i="41"/>
  <c r="W126" i="41"/>
  <c r="V126" i="41"/>
  <c r="AZ125" i="41"/>
  <c r="X125" i="41"/>
  <c r="W125" i="41"/>
  <c r="V125" i="41"/>
  <c r="AZ124" i="41"/>
  <c r="X124" i="41"/>
  <c r="W124" i="41"/>
  <c r="V124" i="41"/>
  <c r="AZ123" i="41"/>
  <c r="X123" i="41"/>
  <c r="W123" i="41"/>
  <c r="V123" i="41"/>
  <c r="AZ122" i="41"/>
  <c r="X122" i="41"/>
  <c r="W122" i="41"/>
  <c r="V122" i="41"/>
  <c r="AZ121" i="41"/>
  <c r="X121" i="41"/>
  <c r="W121" i="41"/>
  <c r="V121" i="41"/>
  <c r="AZ120" i="41"/>
  <c r="X120" i="41"/>
  <c r="W120" i="41"/>
  <c r="V120" i="41"/>
  <c r="AZ119" i="41"/>
  <c r="X119" i="41"/>
  <c r="W119" i="41"/>
  <c r="V119" i="41"/>
  <c r="AZ118" i="41"/>
  <c r="X118" i="41"/>
  <c r="W118" i="41"/>
  <c r="V118" i="41"/>
  <c r="AZ117" i="41"/>
  <c r="X117" i="41"/>
  <c r="W117" i="41"/>
  <c r="V117" i="41"/>
  <c r="AZ116" i="41"/>
  <c r="X116" i="41"/>
  <c r="W116" i="41"/>
  <c r="V116" i="41"/>
  <c r="AZ115" i="41"/>
  <c r="X115" i="41"/>
  <c r="W115" i="41"/>
  <c r="V115" i="41"/>
  <c r="AZ114" i="41"/>
  <c r="X114" i="41"/>
  <c r="W114" i="41"/>
  <c r="V114" i="41"/>
  <c r="AZ113" i="41"/>
  <c r="X113" i="41"/>
  <c r="W113" i="41"/>
  <c r="V113" i="41"/>
  <c r="AZ112" i="41"/>
  <c r="X112" i="41"/>
  <c r="W112" i="41"/>
  <c r="V112" i="41"/>
  <c r="AZ111" i="41"/>
  <c r="X111" i="41"/>
  <c r="W111" i="41"/>
  <c r="V111" i="41"/>
  <c r="AZ110" i="41"/>
  <c r="X110" i="41"/>
  <c r="W110" i="41"/>
  <c r="V110" i="41"/>
  <c r="AZ109" i="41"/>
  <c r="X109" i="41"/>
  <c r="W109" i="41"/>
  <c r="V109" i="41"/>
  <c r="AZ108" i="41"/>
  <c r="X108" i="41"/>
  <c r="W108" i="41"/>
  <c r="V108" i="41"/>
  <c r="AZ107" i="41"/>
  <c r="X107" i="41"/>
  <c r="W107" i="41"/>
  <c r="V107" i="41"/>
  <c r="AZ106" i="41"/>
  <c r="X106" i="41"/>
  <c r="W106" i="41"/>
  <c r="V106" i="41"/>
  <c r="AZ105" i="41"/>
  <c r="X105" i="41"/>
  <c r="W105" i="41"/>
  <c r="V105" i="41"/>
  <c r="AZ104" i="41"/>
  <c r="X104" i="41"/>
  <c r="W104" i="41"/>
  <c r="V104" i="41"/>
  <c r="AZ103" i="41"/>
  <c r="X103" i="41"/>
  <c r="W103" i="41"/>
  <c r="V103" i="41"/>
  <c r="AZ102" i="41"/>
  <c r="X102" i="41"/>
  <c r="W102" i="41"/>
  <c r="V102" i="41"/>
  <c r="AZ101" i="41"/>
  <c r="X101" i="41"/>
  <c r="W101" i="41"/>
  <c r="V101" i="41"/>
  <c r="AZ100" i="41"/>
  <c r="X100" i="41"/>
  <c r="W100" i="41"/>
  <c r="V100" i="41"/>
  <c r="AZ99" i="41"/>
  <c r="X99" i="41"/>
  <c r="W99" i="41"/>
  <c r="V99" i="41"/>
  <c r="AZ98" i="41"/>
  <c r="X98" i="41"/>
  <c r="W98" i="41"/>
  <c r="V98" i="41"/>
  <c r="AZ97" i="41"/>
  <c r="X97" i="41"/>
  <c r="W97" i="41"/>
  <c r="V97" i="41"/>
  <c r="AZ96" i="41"/>
  <c r="X96" i="41"/>
  <c r="W96" i="41"/>
  <c r="V96" i="41"/>
  <c r="AZ95" i="41"/>
  <c r="X95" i="41"/>
  <c r="W95" i="41"/>
  <c r="V95" i="41"/>
  <c r="AZ94" i="41"/>
  <c r="X94" i="41"/>
  <c r="W94" i="41"/>
  <c r="V94" i="41"/>
  <c r="AZ93" i="41"/>
  <c r="X93" i="41"/>
  <c r="W93" i="41"/>
  <c r="V93" i="41"/>
  <c r="AZ92" i="41"/>
  <c r="X92" i="41"/>
  <c r="W92" i="41"/>
  <c r="V92" i="41"/>
  <c r="AZ91" i="41"/>
  <c r="X91" i="41"/>
  <c r="W91" i="41"/>
  <c r="V91" i="41"/>
  <c r="AZ90" i="41"/>
  <c r="X90" i="41"/>
  <c r="W90" i="41"/>
  <c r="V90" i="41"/>
  <c r="AZ89" i="41"/>
  <c r="X89" i="41"/>
  <c r="W89" i="41"/>
  <c r="V89" i="41"/>
  <c r="AZ88" i="41"/>
  <c r="X88" i="41"/>
  <c r="W88" i="41"/>
  <c r="V88" i="41"/>
  <c r="AZ87" i="41"/>
  <c r="X87" i="41"/>
  <c r="W87" i="41"/>
  <c r="V87" i="41"/>
  <c r="AZ86" i="41"/>
  <c r="X86" i="41"/>
  <c r="W86" i="41"/>
  <c r="V86" i="41"/>
  <c r="AZ85" i="41"/>
  <c r="X85" i="41"/>
  <c r="W85" i="41"/>
  <c r="V85" i="41"/>
  <c r="AZ84" i="41"/>
  <c r="X84" i="41"/>
  <c r="W84" i="41"/>
  <c r="V84" i="41"/>
  <c r="AZ83" i="41"/>
  <c r="X83" i="41"/>
  <c r="W83" i="41"/>
  <c r="V83" i="41"/>
  <c r="AZ82" i="41"/>
  <c r="X82" i="41"/>
  <c r="W82" i="41"/>
  <c r="V82" i="41"/>
  <c r="AZ81" i="41"/>
  <c r="X81" i="41"/>
  <c r="W81" i="41"/>
  <c r="V81" i="41"/>
  <c r="AZ80" i="41"/>
  <c r="W80" i="41"/>
  <c r="V80" i="41"/>
  <c r="AZ79" i="41"/>
  <c r="X79" i="41"/>
  <c r="W79" i="41"/>
  <c r="V79" i="41"/>
  <c r="AZ78" i="41"/>
  <c r="X78" i="41"/>
  <c r="W78" i="41"/>
  <c r="V78" i="41"/>
  <c r="AZ77" i="41"/>
  <c r="X77" i="41"/>
  <c r="W77" i="41"/>
  <c r="V77" i="41"/>
  <c r="AZ76" i="41"/>
  <c r="W76" i="41"/>
  <c r="V76" i="41"/>
  <c r="AZ75" i="41"/>
  <c r="X75" i="41"/>
  <c r="W75" i="41"/>
  <c r="V75" i="41"/>
  <c r="Y75" i="41" s="1"/>
  <c r="AZ74" i="41"/>
  <c r="X74" i="41"/>
  <c r="W74" i="41"/>
  <c r="V74" i="41"/>
  <c r="AZ73" i="41"/>
  <c r="X73" i="41"/>
  <c r="W73" i="41"/>
  <c r="V73" i="41"/>
  <c r="Y73" i="41" s="1"/>
  <c r="AZ72" i="41"/>
  <c r="X72" i="41"/>
  <c r="W72" i="41"/>
  <c r="V72" i="41"/>
  <c r="AZ71" i="41"/>
  <c r="W71" i="41"/>
  <c r="V71" i="41"/>
  <c r="AZ70" i="41"/>
  <c r="X70" i="41"/>
  <c r="W70" i="41"/>
  <c r="V70" i="41"/>
  <c r="AZ69" i="41"/>
  <c r="X69" i="41"/>
  <c r="W69" i="41"/>
  <c r="V69" i="41"/>
  <c r="AZ68" i="41"/>
  <c r="X68" i="41"/>
  <c r="W68" i="41"/>
  <c r="V68" i="41"/>
  <c r="AZ67" i="41"/>
  <c r="X67" i="41"/>
  <c r="W67" i="41"/>
  <c r="V67" i="41"/>
  <c r="AZ66" i="41"/>
  <c r="X66" i="41"/>
  <c r="W66" i="41"/>
  <c r="V66" i="41"/>
  <c r="AZ65" i="41"/>
  <c r="X65" i="41"/>
  <c r="W65" i="41"/>
  <c r="V65" i="41"/>
  <c r="AZ64" i="41"/>
  <c r="X64" i="41"/>
  <c r="W64" i="41"/>
  <c r="V64" i="41"/>
  <c r="AZ63" i="41"/>
  <c r="X63" i="41"/>
  <c r="W63" i="41"/>
  <c r="V63" i="41"/>
  <c r="AZ62" i="41"/>
  <c r="X62" i="41"/>
  <c r="W62" i="41"/>
  <c r="V62" i="41"/>
  <c r="AZ61" i="41"/>
  <c r="X61" i="41"/>
  <c r="W61" i="41"/>
  <c r="V61" i="41"/>
  <c r="AZ60" i="41"/>
  <c r="X60" i="41"/>
  <c r="W60" i="41"/>
  <c r="V60" i="41"/>
  <c r="AZ59" i="41"/>
  <c r="X59" i="41"/>
  <c r="W59" i="41"/>
  <c r="V59" i="41"/>
  <c r="AZ58" i="41"/>
  <c r="X58" i="41"/>
  <c r="W58" i="41"/>
  <c r="V58" i="41"/>
  <c r="AZ57" i="41"/>
  <c r="Y57" i="41"/>
  <c r="X57" i="41"/>
  <c r="W57" i="41"/>
  <c r="V57" i="41"/>
  <c r="AZ56" i="41"/>
  <c r="X56" i="41"/>
  <c r="W56" i="41"/>
  <c r="V56" i="41"/>
  <c r="AZ55" i="41"/>
  <c r="X55" i="41"/>
  <c r="W55" i="41"/>
  <c r="V55" i="41"/>
  <c r="AZ54" i="41"/>
  <c r="X54" i="41"/>
  <c r="W54" i="41"/>
  <c r="V54" i="41"/>
  <c r="AZ53" i="41"/>
  <c r="X53" i="41"/>
  <c r="W53" i="41"/>
  <c r="V53" i="41"/>
  <c r="AZ52" i="41"/>
  <c r="X52" i="41"/>
  <c r="W52" i="41"/>
  <c r="V52" i="41"/>
  <c r="AZ51" i="41"/>
  <c r="X51" i="41"/>
  <c r="W51" i="41"/>
  <c r="V51" i="41"/>
  <c r="AZ50" i="41"/>
  <c r="Y50" i="41"/>
  <c r="X50" i="41"/>
  <c r="W50" i="41"/>
  <c r="V50" i="41"/>
  <c r="AZ49" i="41"/>
  <c r="X49" i="41"/>
  <c r="W49" i="41"/>
  <c r="V49" i="41"/>
  <c r="AZ48" i="41"/>
  <c r="X48" i="41"/>
  <c r="W48" i="41"/>
  <c r="V48" i="41"/>
  <c r="AZ47" i="41"/>
  <c r="X47" i="41"/>
  <c r="W47" i="41"/>
  <c r="V47" i="41"/>
  <c r="AZ46" i="41"/>
  <c r="X46" i="41"/>
  <c r="W46" i="41"/>
  <c r="V46" i="41"/>
  <c r="AZ45" i="41"/>
  <c r="X45" i="41"/>
  <c r="W45" i="41"/>
  <c r="V45" i="41"/>
  <c r="AZ44" i="41"/>
  <c r="X44" i="41"/>
  <c r="W44" i="41"/>
  <c r="V44" i="41"/>
  <c r="AZ43" i="41"/>
  <c r="X43" i="41"/>
  <c r="W43" i="41"/>
  <c r="V43" i="41"/>
  <c r="AZ42" i="41"/>
  <c r="Y42" i="41"/>
  <c r="X42" i="41"/>
  <c r="W42" i="41"/>
  <c r="V42" i="41"/>
  <c r="AZ41" i="41"/>
  <c r="X41" i="41"/>
  <c r="W41" i="41"/>
  <c r="V41" i="41"/>
  <c r="AZ40" i="41"/>
  <c r="Y40" i="41"/>
  <c r="X40" i="41"/>
  <c r="W40" i="41"/>
  <c r="V40" i="41"/>
  <c r="AZ39" i="41"/>
  <c r="Y39" i="41"/>
  <c r="X39" i="41"/>
  <c r="W39" i="41"/>
  <c r="V39" i="41"/>
  <c r="AZ38" i="41"/>
  <c r="X38" i="41"/>
  <c r="W38" i="41"/>
  <c r="V38" i="41"/>
  <c r="AZ37" i="41"/>
  <c r="Y37" i="41"/>
  <c r="X37" i="41"/>
  <c r="W37" i="41"/>
  <c r="V37" i="41"/>
  <c r="AZ36" i="41"/>
  <c r="Y36" i="41"/>
  <c r="X36" i="41"/>
  <c r="W36" i="41"/>
  <c r="V36" i="41"/>
  <c r="AZ35" i="41"/>
  <c r="Y35" i="41"/>
  <c r="X35" i="41"/>
  <c r="W35" i="41"/>
  <c r="V35" i="41"/>
  <c r="AZ34" i="41"/>
  <c r="Y34" i="41"/>
  <c r="X34" i="41"/>
  <c r="W34" i="41"/>
  <c r="V34" i="41"/>
  <c r="AZ33" i="41"/>
  <c r="Y33" i="41"/>
  <c r="X33" i="41"/>
  <c r="W33" i="41"/>
  <c r="V33" i="41"/>
  <c r="AZ32" i="41"/>
  <c r="Y32" i="41"/>
  <c r="X32" i="41"/>
  <c r="W32" i="41"/>
  <c r="V32" i="41"/>
  <c r="AZ31" i="41"/>
  <c r="Y31" i="41"/>
  <c r="X31" i="41"/>
  <c r="W31" i="41"/>
  <c r="V31" i="41"/>
  <c r="AZ30" i="41"/>
  <c r="Y30" i="41"/>
  <c r="X30" i="41"/>
  <c r="W30" i="41"/>
  <c r="V30" i="41"/>
  <c r="AZ29" i="41"/>
  <c r="Y29" i="41"/>
  <c r="X29" i="41"/>
  <c r="W29" i="41"/>
  <c r="V29" i="41"/>
  <c r="AZ28" i="41"/>
  <c r="Y28" i="41"/>
  <c r="X28" i="41"/>
  <c r="W28" i="41"/>
  <c r="V28" i="41"/>
  <c r="AZ27" i="41"/>
  <c r="Y27" i="41"/>
  <c r="X27" i="41"/>
  <c r="W27" i="41"/>
  <c r="V27" i="41"/>
  <c r="AZ26" i="41"/>
  <c r="Y26" i="41"/>
  <c r="X26" i="41"/>
  <c r="W26" i="41"/>
  <c r="V26" i="41"/>
  <c r="AZ25" i="41"/>
  <c r="Y25" i="41"/>
  <c r="X25" i="41"/>
  <c r="W25" i="41"/>
  <c r="V25" i="41"/>
  <c r="AZ24" i="41"/>
  <c r="Y24" i="41"/>
  <c r="X24" i="41"/>
  <c r="W24" i="41"/>
  <c r="V24" i="41"/>
  <c r="AZ23" i="41"/>
  <c r="Y23" i="41"/>
  <c r="X23" i="41"/>
  <c r="W23" i="41"/>
  <c r="V23" i="41"/>
  <c r="AZ22" i="41"/>
  <c r="Y22" i="41"/>
  <c r="X22" i="41"/>
  <c r="W22" i="41"/>
  <c r="V22" i="41"/>
  <c r="AZ21" i="41"/>
  <c r="Y21" i="41"/>
  <c r="X21" i="41"/>
  <c r="W21" i="41"/>
  <c r="V21" i="41"/>
  <c r="AZ20" i="41"/>
  <c r="Y20" i="41"/>
  <c r="X20" i="41"/>
  <c r="W20" i="41"/>
  <c r="V20" i="41"/>
  <c r="AZ19" i="41"/>
  <c r="Y19" i="41"/>
  <c r="X19" i="41"/>
  <c r="W19" i="41"/>
  <c r="V19" i="41"/>
  <c r="BB14" i="41"/>
  <c r="BA14" i="41"/>
  <c r="Y11" i="41"/>
  <c r="AX9" i="41"/>
  <c r="AV9" i="41"/>
  <c r="AT9" i="41"/>
  <c r="AR9" i="41"/>
  <c r="AP9" i="41"/>
  <c r="AN9" i="41"/>
  <c r="AL9" i="41"/>
  <c r="AJ9" i="41"/>
  <c r="AH9" i="41"/>
  <c r="AF9" i="41"/>
  <c r="AD9" i="41"/>
  <c r="AB9" i="41"/>
  <c r="AX8" i="41"/>
  <c r="AV8" i="41"/>
  <c r="AT8" i="41"/>
  <c r="AR8" i="41"/>
  <c r="AP8" i="41"/>
  <c r="AN8" i="41"/>
  <c r="AL8" i="41"/>
  <c r="AJ8" i="41"/>
  <c r="AH8" i="41"/>
  <c r="AF8" i="41"/>
  <c r="AD8" i="41"/>
  <c r="AB8" i="41"/>
  <c r="AX6" i="41"/>
  <c r="AV6" i="41"/>
  <c r="AT6" i="41"/>
  <c r="AR6" i="41"/>
  <c r="AP6" i="41"/>
  <c r="AN6" i="41"/>
  <c r="AL6" i="41"/>
  <c r="AJ6" i="41"/>
  <c r="AH6" i="41"/>
  <c r="AF6" i="41"/>
  <c r="AD6" i="41"/>
  <c r="AB6" i="41"/>
  <c r="AX5" i="41"/>
  <c r="AV5" i="41"/>
  <c r="AT5" i="41"/>
  <c r="AR5" i="41"/>
  <c r="AP5" i="41"/>
  <c r="AN5" i="41"/>
  <c r="AN7" i="41" s="1"/>
  <c r="AL5" i="41"/>
  <c r="AJ5" i="41"/>
  <c r="AH5" i="41"/>
  <c r="AF5" i="41"/>
  <c r="AD5" i="41"/>
  <c r="AB5" i="41"/>
  <c r="BB4" i="41"/>
  <c r="BA4" i="41"/>
  <c r="AD4" i="41"/>
  <c r="Y77" i="41" l="1"/>
  <c r="Y93" i="41"/>
  <c r="Y114" i="41"/>
  <c r="Y76" i="41"/>
  <c r="Y82" i="41"/>
  <c r="AD10" i="41"/>
  <c r="Y59" i="41"/>
  <c r="AT10" i="41"/>
  <c r="Y45" i="41"/>
  <c r="Y49" i="41"/>
  <c r="Y105" i="41"/>
  <c r="Y107" i="41"/>
  <c r="Y109" i="41"/>
  <c r="Y113" i="41"/>
  <c r="Y115" i="41"/>
  <c r="Y117" i="41"/>
  <c r="Y121" i="41"/>
  <c r="Y125" i="41"/>
  <c r="Y127" i="41"/>
  <c r="Y133" i="41"/>
  <c r="Y54" i="41"/>
  <c r="AH7" i="41"/>
  <c r="AX7" i="41"/>
  <c r="Y44" i="41"/>
  <c r="Y46" i="41"/>
  <c r="Y51" i="41"/>
  <c r="Y55" i="41"/>
  <c r="Y81" i="41"/>
  <c r="Y83" i="41"/>
  <c r="Y85" i="41"/>
  <c r="Y89" i="41"/>
  <c r="Y38" i="41"/>
  <c r="Y71" i="41"/>
  <c r="Y137" i="41"/>
  <c r="Y139" i="41"/>
  <c r="Y141" i="41"/>
  <c r="Y145" i="41"/>
  <c r="AR7" i="41"/>
  <c r="AV10" i="41"/>
  <c r="AV11" i="41" s="1"/>
  <c r="AV13" i="41" s="1"/>
  <c r="AV16" i="41" s="1"/>
  <c r="Y95" i="41"/>
  <c r="Y101" i="41"/>
  <c r="AB7" i="41"/>
  <c r="AN10" i="41"/>
  <c r="AN11" i="41" s="1"/>
  <c r="AN13" i="41" s="1"/>
  <c r="AN16" i="41" s="1"/>
  <c r="AT7" i="41"/>
  <c r="Y67" i="41"/>
  <c r="Y86" i="41"/>
  <c r="Y88" i="41"/>
  <c r="Y90" i="41"/>
  <c r="Y92" i="41"/>
  <c r="Y43" i="41"/>
  <c r="AD7" i="41"/>
  <c r="AP10" i="41"/>
  <c r="AF7" i="41"/>
  <c r="AV7" i="41"/>
  <c r="AB10" i="41"/>
  <c r="AR10" i="41"/>
  <c r="AJ10" i="41"/>
  <c r="Y48" i="41"/>
  <c r="Y58" i="41"/>
  <c r="Y72" i="41"/>
  <c r="Y74" i="41"/>
  <c r="Y94" i="41"/>
  <c r="Y96" i="41"/>
  <c r="Y98" i="41"/>
  <c r="Y106" i="41"/>
  <c r="Y118" i="41"/>
  <c r="Y120" i="41"/>
  <c r="Y122" i="41"/>
  <c r="Y124" i="41"/>
  <c r="Y60" i="41"/>
  <c r="Y66" i="41"/>
  <c r="Y70" i="41"/>
  <c r="Y126" i="41"/>
  <c r="Y128" i="41"/>
  <c r="Y130" i="41"/>
  <c r="Y134" i="41"/>
  <c r="Y136" i="41"/>
  <c r="Y138" i="41"/>
  <c r="Y47" i="41"/>
  <c r="Y135" i="41"/>
  <c r="Y53" i="41"/>
  <c r="Y68" i="41"/>
  <c r="Y79" i="41"/>
  <c r="Y100" i="41"/>
  <c r="Y132" i="41"/>
  <c r="AZ146" i="41"/>
  <c r="Y62" i="41"/>
  <c r="Y64" i="41"/>
  <c r="Y102" i="41"/>
  <c r="Y104" i="41"/>
  <c r="Y111" i="41"/>
  <c r="Y143" i="41"/>
  <c r="BA8" i="41"/>
  <c r="AX10" i="41"/>
  <c r="Y91" i="41"/>
  <c r="Y108" i="41"/>
  <c r="Y123" i="41"/>
  <c r="Y140" i="41"/>
  <c r="BB9" i="41"/>
  <c r="Y103" i="41"/>
  <c r="AL7" i="41"/>
  <c r="BB6" i="41"/>
  <c r="AP7" i="41"/>
  <c r="Y41" i="41"/>
  <c r="Y61" i="41"/>
  <c r="Y63" i="41"/>
  <c r="Y65" i="41"/>
  <c r="Y87" i="41"/>
  <c r="Y97" i="41"/>
  <c r="Y110" i="41"/>
  <c r="Y112" i="41"/>
  <c r="Y119" i="41"/>
  <c r="Y129" i="41"/>
  <c r="Y142" i="41"/>
  <c r="Y144" i="41"/>
  <c r="Y56" i="41"/>
  <c r="BA6" i="41"/>
  <c r="BB8" i="41"/>
  <c r="Y52" i="41"/>
  <c r="Y69" i="41"/>
  <c r="Y78" i="41"/>
  <c r="Y80" i="41"/>
  <c r="Y84" i="41"/>
  <c r="Y99" i="41"/>
  <c r="Y116" i="41"/>
  <c r="Y131" i="41"/>
  <c r="AV15" i="41"/>
  <c r="AJ7" i="41"/>
  <c r="AF10" i="41"/>
  <c r="AH10" i="41"/>
  <c r="AL10" i="41"/>
  <c r="AL11" i="41" s="1"/>
  <c r="AL13" i="41" s="1"/>
  <c r="BA5" i="41"/>
  <c r="BA9" i="41"/>
  <c r="BB5" i="41"/>
  <c r="AR11" i="41" l="1"/>
  <c r="AR13" i="41" s="1"/>
  <c r="AR15" i="41" s="1"/>
  <c r="AT11" i="41"/>
  <c r="AT13" i="41" s="1"/>
  <c r="AD11" i="41"/>
  <c r="AD13" i="41" s="1"/>
  <c r="AD15" i="41" s="1"/>
  <c r="AP11" i="41"/>
  <c r="AP13" i="41" s="1"/>
  <c r="AP16" i="41" s="1"/>
  <c r="AH11" i="41"/>
  <c r="AH13" i="41" s="1"/>
  <c r="AH15" i="41" s="1"/>
  <c r="BB7" i="41"/>
  <c r="AX11" i="41"/>
  <c r="AX13" i="41" s="1"/>
  <c r="AX15" i="41" s="1"/>
  <c r="AR16" i="41"/>
  <c r="AB11" i="41"/>
  <c r="AN15" i="41"/>
  <c r="AD16" i="41"/>
  <c r="AJ11" i="41"/>
  <c r="AJ13" i="41" s="1"/>
  <c r="AL15" i="41"/>
  <c r="AL16" i="41"/>
  <c r="AT15" i="41"/>
  <c r="AT16" i="41"/>
  <c r="BA7" i="41"/>
  <c r="BA10" i="41"/>
  <c r="AF11" i="41"/>
  <c r="BB10" i="41"/>
  <c r="AA40" i="38"/>
  <c r="AA22" i="38"/>
  <c r="V5" i="38"/>
  <c r="V6" i="38"/>
  <c r="V8" i="38"/>
  <c r="V9" i="38"/>
  <c r="W5" i="29"/>
  <c r="W6" i="29"/>
  <c r="W8" i="29"/>
  <c r="W9" i="29"/>
  <c r="U6" i="29"/>
  <c r="U5" i="29"/>
  <c r="U4" i="29"/>
  <c r="T4" i="38"/>
  <c r="AF9" i="38"/>
  <c r="AF8" i="38"/>
  <c r="AF6" i="38"/>
  <c r="AF5" i="38"/>
  <c r="AZ65" i="38"/>
  <c r="AY65" i="38"/>
  <c r="AX65" i="38"/>
  <c r="AW65" i="38"/>
  <c r="AV65" i="38"/>
  <c r="AU65" i="38"/>
  <c r="AT65" i="38"/>
  <c r="AS65" i="38"/>
  <c r="AR65" i="38"/>
  <c r="AQ65" i="38"/>
  <c r="AP65" i="38"/>
  <c r="AO65" i="38"/>
  <c r="AN65" i="38"/>
  <c r="AM65" i="38"/>
  <c r="AL65" i="38"/>
  <c r="AK65" i="38"/>
  <c r="AG65" i="38"/>
  <c r="AF65" i="38"/>
  <c r="AE65" i="38"/>
  <c r="AD65" i="38"/>
  <c r="Y65" i="38"/>
  <c r="X65" i="38"/>
  <c r="W65" i="38"/>
  <c r="V65" i="38"/>
  <c r="U65" i="38"/>
  <c r="T65" i="38"/>
  <c r="S65" i="38"/>
  <c r="R65" i="38"/>
  <c r="J65" i="38"/>
  <c r="B65" i="38"/>
  <c r="BA45" i="38"/>
  <c r="AI45" i="38"/>
  <c r="AH45" i="38"/>
  <c r="AA45" i="38"/>
  <c r="Z45" i="38"/>
  <c r="BA42" i="38"/>
  <c r="AI42" i="38"/>
  <c r="AH42" i="38"/>
  <c r="AA42" i="38"/>
  <c r="Z42" i="38"/>
  <c r="BA20" i="38"/>
  <c r="AI20" i="38"/>
  <c r="AH20" i="38"/>
  <c r="AA20" i="38"/>
  <c r="Z20" i="38"/>
  <c r="BA28" i="38"/>
  <c r="AI28" i="38"/>
  <c r="AH28" i="38"/>
  <c r="AA28" i="38"/>
  <c r="Z28" i="38"/>
  <c r="BA27" i="38"/>
  <c r="AI27" i="38"/>
  <c r="AH27" i="38"/>
  <c r="AA27" i="38"/>
  <c r="Z27" i="38"/>
  <c r="BA31" i="38"/>
  <c r="AI31" i="38"/>
  <c r="AH31" i="38"/>
  <c r="AA31" i="38"/>
  <c r="Z31" i="38"/>
  <c r="BA62" i="38"/>
  <c r="AI62" i="38"/>
  <c r="AH62" i="38"/>
  <c r="AA62" i="38"/>
  <c r="Z62" i="38"/>
  <c r="BA30" i="38"/>
  <c r="AI30" i="38"/>
  <c r="AH30" i="38"/>
  <c r="AA30" i="38"/>
  <c r="Z30" i="38"/>
  <c r="BA33" i="38"/>
  <c r="AI33" i="38"/>
  <c r="AH33" i="38"/>
  <c r="AA33" i="38"/>
  <c r="Z33" i="38"/>
  <c r="BA54" i="38"/>
  <c r="AI54" i="38"/>
  <c r="AH54" i="38"/>
  <c r="AA54" i="38"/>
  <c r="Z54" i="38"/>
  <c r="BA56" i="38"/>
  <c r="AI56" i="38"/>
  <c r="AH56" i="38"/>
  <c r="AA56" i="38"/>
  <c r="Z56" i="38"/>
  <c r="BA47" i="38"/>
  <c r="AI47" i="38"/>
  <c r="AH47" i="38"/>
  <c r="AA47" i="38"/>
  <c r="Z47" i="38"/>
  <c r="BA58" i="38"/>
  <c r="AI58" i="38"/>
  <c r="AH58" i="38"/>
  <c r="AA58" i="38"/>
  <c r="Z58" i="38"/>
  <c r="BA53" i="38"/>
  <c r="AI53" i="38"/>
  <c r="AH53" i="38"/>
  <c r="AA53" i="38"/>
  <c r="Z53" i="38"/>
  <c r="BA55" i="38"/>
  <c r="AI55" i="38"/>
  <c r="AH55" i="38"/>
  <c r="AA55" i="38"/>
  <c r="Z55" i="38"/>
  <c r="BA43" i="38"/>
  <c r="AI43" i="38"/>
  <c r="AH43" i="38"/>
  <c r="AA43" i="38"/>
  <c r="Z43" i="38"/>
  <c r="BA49" i="38"/>
  <c r="AI49" i="38"/>
  <c r="AH49" i="38"/>
  <c r="AA49" i="38"/>
  <c r="Z49" i="38"/>
  <c r="BA25" i="38"/>
  <c r="AI25" i="38"/>
  <c r="AH25" i="38"/>
  <c r="AA25" i="38"/>
  <c r="Z25" i="38"/>
  <c r="BA52" i="38"/>
  <c r="AI52" i="38"/>
  <c r="AH52" i="38"/>
  <c r="AA52" i="38"/>
  <c r="Z52" i="38"/>
  <c r="BA26" i="38"/>
  <c r="AI26" i="38"/>
  <c r="AH26" i="38"/>
  <c r="AA26" i="38"/>
  <c r="Z26" i="38"/>
  <c r="BA51" i="38"/>
  <c r="AI51" i="38"/>
  <c r="AH51" i="38"/>
  <c r="AA51" i="38"/>
  <c r="Z51" i="38"/>
  <c r="BA50" i="38"/>
  <c r="AI50" i="38"/>
  <c r="AH50" i="38"/>
  <c r="AA50" i="38"/>
  <c r="Z50" i="38"/>
  <c r="BA39" i="38"/>
  <c r="AI39" i="38"/>
  <c r="AH39" i="38"/>
  <c r="AA39" i="38"/>
  <c r="Z39" i="38"/>
  <c r="BA35" i="38"/>
  <c r="AI35" i="38"/>
  <c r="AH35" i="38"/>
  <c r="AA35" i="38"/>
  <c r="Z35" i="38"/>
  <c r="BA61" i="38"/>
  <c r="AI61" i="38"/>
  <c r="AH61" i="38"/>
  <c r="AA61" i="38"/>
  <c r="Z61" i="38"/>
  <c r="BA57" i="38"/>
  <c r="AI57" i="38"/>
  <c r="AH57" i="38"/>
  <c r="AA57" i="38"/>
  <c r="Z57" i="38"/>
  <c r="BA59" i="38"/>
  <c r="AI59" i="38"/>
  <c r="AH59" i="38"/>
  <c r="AA59" i="38"/>
  <c r="Z59" i="38"/>
  <c r="BA46" i="38"/>
  <c r="AI46" i="38"/>
  <c r="AH46" i="38"/>
  <c r="AA46" i="38"/>
  <c r="Z46" i="38"/>
  <c r="BA21" i="38"/>
  <c r="AI21" i="38"/>
  <c r="AH21" i="38"/>
  <c r="AA21" i="38"/>
  <c r="Z21" i="38"/>
  <c r="BA63" i="38"/>
  <c r="AI63" i="38"/>
  <c r="AH63" i="38"/>
  <c r="AA63" i="38"/>
  <c r="Z63" i="38"/>
  <c r="BA18" i="38"/>
  <c r="AI18" i="38"/>
  <c r="AH18" i="38"/>
  <c r="AA18" i="38"/>
  <c r="Z18" i="38"/>
  <c r="BA19" i="38"/>
  <c r="AI19" i="38"/>
  <c r="AH19" i="38"/>
  <c r="AA19" i="38"/>
  <c r="Z19" i="38"/>
  <c r="BA22" i="38"/>
  <c r="AI22" i="38"/>
  <c r="AH22" i="38"/>
  <c r="Z22" i="38"/>
  <c r="BA48" i="38"/>
  <c r="AI48" i="38"/>
  <c r="AH48" i="38"/>
  <c r="AA48" i="38"/>
  <c r="Z48" i="38"/>
  <c r="BA29" i="38"/>
  <c r="AI29" i="38"/>
  <c r="AH29" i="38"/>
  <c r="AA29" i="38"/>
  <c r="Z29" i="38"/>
  <c r="BA38" i="38"/>
  <c r="AI38" i="38"/>
  <c r="AH38" i="38"/>
  <c r="AA38" i="38"/>
  <c r="Z38" i="38"/>
  <c r="BA64" i="38"/>
  <c r="AI64" i="38"/>
  <c r="AH64" i="38"/>
  <c r="AA64" i="38"/>
  <c r="Z64" i="38"/>
  <c r="BA37" i="38"/>
  <c r="AI37" i="38"/>
  <c r="AH37" i="38"/>
  <c r="AA37" i="38"/>
  <c r="Z37" i="38"/>
  <c r="BA44" i="38"/>
  <c r="AI44" i="38"/>
  <c r="AH44" i="38"/>
  <c r="AA44" i="38"/>
  <c r="Z44" i="38"/>
  <c r="BA34" i="38"/>
  <c r="AI34" i="38"/>
  <c r="AH34" i="38"/>
  <c r="AA34" i="38"/>
  <c r="Z34" i="38"/>
  <c r="BA24" i="38"/>
  <c r="AI24" i="38"/>
  <c r="AH24" i="38"/>
  <c r="AA24" i="38"/>
  <c r="Z24" i="38"/>
  <c r="BA60" i="38"/>
  <c r="AI60" i="38"/>
  <c r="AH60" i="38"/>
  <c r="AA60" i="38"/>
  <c r="Z60" i="38"/>
  <c r="BA32" i="38"/>
  <c r="AI32" i="38"/>
  <c r="AH32" i="38"/>
  <c r="AA32" i="38"/>
  <c r="Z32" i="38"/>
  <c r="BA36" i="38"/>
  <c r="AI36" i="38"/>
  <c r="AH36" i="38"/>
  <c r="AA36" i="38"/>
  <c r="Z36" i="38"/>
  <c r="BA41" i="38"/>
  <c r="AI41" i="38"/>
  <c r="AH41" i="38"/>
  <c r="AA41" i="38"/>
  <c r="Z41" i="38"/>
  <c r="BA23" i="38"/>
  <c r="AI23" i="38"/>
  <c r="AH23" i="38"/>
  <c r="AA23" i="38"/>
  <c r="Z23" i="38"/>
  <c r="BA40" i="38"/>
  <c r="AI40" i="38"/>
  <c r="AH40" i="38"/>
  <c r="Z40" i="38"/>
  <c r="BB14" i="38"/>
  <c r="BA14" i="38"/>
  <c r="BB12" i="38"/>
  <c r="BA12" i="38"/>
  <c r="AY9" i="38"/>
  <c r="AW9" i="38"/>
  <c r="AU9" i="38"/>
  <c r="AS9" i="38"/>
  <c r="AQ9" i="38"/>
  <c r="AO9" i="38"/>
  <c r="AM9" i="38"/>
  <c r="AK9" i="38"/>
  <c r="AD9" i="38"/>
  <c r="X9" i="38"/>
  <c r="T9" i="38"/>
  <c r="R9" i="38"/>
  <c r="AY8" i="38"/>
  <c r="AW8" i="38"/>
  <c r="AU8" i="38"/>
  <c r="AS8" i="38"/>
  <c r="AQ8" i="38"/>
  <c r="AO8" i="38"/>
  <c r="AM8" i="38"/>
  <c r="AK8" i="38"/>
  <c r="AD8" i="38"/>
  <c r="X8" i="38"/>
  <c r="T8" i="38"/>
  <c r="R8" i="38"/>
  <c r="AY6" i="38"/>
  <c r="AW6" i="38"/>
  <c r="AU6" i="38"/>
  <c r="AS6" i="38"/>
  <c r="AQ6" i="38"/>
  <c r="AO6" i="38"/>
  <c r="AM6" i="38"/>
  <c r="AK6" i="38"/>
  <c r="AD6" i="38"/>
  <c r="X6" i="38"/>
  <c r="T6" i="38"/>
  <c r="R6" i="38"/>
  <c r="AY5" i="38"/>
  <c r="AW5" i="38"/>
  <c r="AU5" i="38"/>
  <c r="AS5" i="38"/>
  <c r="AQ5" i="38"/>
  <c r="AO5" i="38"/>
  <c r="AM5" i="38"/>
  <c r="AK5" i="38"/>
  <c r="AD5" i="38"/>
  <c r="X5" i="38"/>
  <c r="T5" i="38"/>
  <c r="R5" i="38"/>
  <c r="AY4" i="38"/>
  <c r="AW4" i="38"/>
  <c r="AU4" i="38"/>
  <c r="AS4" i="38"/>
  <c r="AQ4" i="38"/>
  <c r="AO4" i="38"/>
  <c r="AM4" i="38"/>
  <c r="AK4" i="38"/>
  <c r="AD4" i="38"/>
  <c r="V4" i="38"/>
  <c r="AY4" i="29"/>
  <c r="AW4" i="29"/>
  <c r="AU4" i="29"/>
  <c r="AS4" i="29"/>
  <c r="AQ4" i="29"/>
  <c r="AO4" i="29"/>
  <c r="AM4" i="29"/>
  <c r="AK4" i="29"/>
  <c r="AD4" i="29"/>
  <c r="BK65" i="31"/>
  <c r="BJ65" i="31"/>
  <c r="BI65" i="31"/>
  <c r="BH65" i="31"/>
  <c r="BG65" i="31"/>
  <c r="BF65" i="31"/>
  <c r="BE65" i="31"/>
  <c r="BD65" i="31"/>
  <c r="BC65" i="31"/>
  <c r="BB65" i="31"/>
  <c r="BA65" i="31"/>
  <c r="AZ65" i="31"/>
  <c r="AY65" i="31"/>
  <c r="AX65" i="31"/>
  <c r="AW65" i="31"/>
  <c r="AV65" i="31"/>
  <c r="AU65" i="31"/>
  <c r="AT65" i="31"/>
  <c r="AS65" i="31"/>
  <c r="AR65" i="31"/>
  <c r="AQ65" i="31"/>
  <c r="AP65" i="31"/>
  <c r="AO65" i="31"/>
  <c r="AN65" i="31"/>
  <c r="I65" i="31"/>
  <c r="BL20" i="31"/>
  <c r="AL20" i="31"/>
  <c r="AK20" i="31"/>
  <c r="AJ20" i="31"/>
  <c r="BL21" i="31"/>
  <c r="AL21" i="31"/>
  <c r="AK21" i="31"/>
  <c r="AJ21" i="31"/>
  <c r="BL22" i="31"/>
  <c r="AL22" i="31"/>
  <c r="AK22" i="31"/>
  <c r="AJ22" i="31"/>
  <c r="BL19" i="31"/>
  <c r="AL19" i="31"/>
  <c r="AK19" i="31"/>
  <c r="AJ19" i="31"/>
  <c r="BL32" i="31"/>
  <c r="AK32" i="31"/>
  <c r="AJ32" i="31"/>
  <c r="BL37" i="31"/>
  <c r="AK37" i="31"/>
  <c r="AJ37" i="31"/>
  <c r="BL31" i="31"/>
  <c r="AK31" i="31"/>
  <c r="AJ31" i="31"/>
  <c r="BL23" i="31"/>
  <c r="AL23" i="31"/>
  <c r="AK23" i="31"/>
  <c r="AJ23" i="31"/>
  <c r="BL30" i="31"/>
  <c r="AK30" i="31"/>
  <c r="AJ30" i="31"/>
  <c r="BL57" i="31"/>
  <c r="AK57" i="31"/>
  <c r="AJ57" i="31"/>
  <c r="BL59" i="31"/>
  <c r="AK59" i="31"/>
  <c r="AJ59" i="31"/>
  <c r="BL55" i="31"/>
  <c r="AK55" i="31"/>
  <c r="AJ55" i="31"/>
  <c r="BL53" i="31"/>
  <c r="AK53" i="31"/>
  <c r="AJ53" i="31"/>
  <c r="BL54" i="31"/>
  <c r="AK54" i="31"/>
  <c r="AJ54" i="31"/>
  <c r="BL61" i="31"/>
  <c r="AK61" i="31"/>
  <c r="AJ61" i="31"/>
  <c r="BL50" i="31"/>
  <c r="AK50" i="31"/>
  <c r="AJ50" i="31"/>
  <c r="BL42" i="31"/>
  <c r="AK42" i="31"/>
  <c r="AJ42" i="31"/>
  <c r="BL49" i="31"/>
  <c r="AK49" i="31"/>
  <c r="AJ49" i="31"/>
  <c r="BL29" i="31"/>
  <c r="AK29" i="31"/>
  <c r="AJ29" i="31"/>
  <c r="BL63" i="31"/>
  <c r="AK63" i="31"/>
  <c r="AJ63" i="31"/>
  <c r="BL62" i="31"/>
  <c r="AK62" i="31"/>
  <c r="AJ62" i="31"/>
  <c r="BL41" i="31"/>
  <c r="AK41" i="31"/>
  <c r="AJ41" i="31"/>
  <c r="BL47" i="31"/>
  <c r="AK47" i="31"/>
  <c r="AJ47" i="31"/>
  <c r="BL25" i="31"/>
  <c r="AK25" i="31"/>
  <c r="AJ25" i="31"/>
  <c r="BL48" i="31"/>
  <c r="AK48" i="31"/>
  <c r="AJ48" i="31"/>
  <c r="BL58" i="31"/>
  <c r="AK58" i="31"/>
  <c r="AJ58" i="31"/>
  <c r="BL24" i="31"/>
  <c r="AK24" i="31"/>
  <c r="AJ24" i="31"/>
  <c r="BL39" i="31"/>
  <c r="AK39" i="31"/>
  <c r="AJ39" i="31"/>
  <c r="BL40" i="31"/>
  <c r="AK40" i="31"/>
  <c r="AJ40" i="31"/>
  <c r="BL43" i="31"/>
  <c r="AK43" i="31"/>
  <c r="AJ43" i="31"/>
  <c r="BL60" i="31"/>
  <c r="AK60" i="31"/>
  <c r="AJ60" i="31"/>
  <c r="BL56" i="31"/>
  <c r="AK56" i="31"/>
  <c r="AJ56" i="31"/>
  <c r="BL44" i="31"/>
  <c r="AK44" i="31"/>
  <c r="AJ44" i="31"/>
  <c r="BL52" i="31"/>
  <c r="AK52" i="31"/>
  <c r="AJ52" i="31"/>
  <c r="BL64" i="31"/>
  <c r="AK64" i="31"/>
  <c r="AJ64" i="31"/>
  <c r="BL28" i="31"/>
  <c r="AK28" i="31"/>
  <c r="AJ28" i="31"/>
  <c r="BL35" i="31"/>
  <c r="AK35" i="31"/>
  <c r="AJ35" i="31"/>
  <c r="BL27" i="31"/>
  <c r="AK27" i="31"/>
  <c r="AJ27" i="31"/>
  <c r="BL46" i="31"/>
  <c r="AK46" i="31"/>
  <c r="AJ46" i="31"/>
  <c r="BL26" i="31"/>
  <c r="AK26" i="31"/>
  <c r="AJ26" i="31"/>
  <c r="BL34" i="31"/>
  <c r="AK34" i="31"/>
  <c r="AJ34" i="31"/>
  <c r="BL33" i="31"/>
  <c r="AK33" i="31"/>
  <c r="AJ33" i="31"/>
  <c r="BL51" i="31"/>
  <c r="AK51" i="31"/>
  <c r="AJ51" i="31"/>
  <c r="BL38" i="31"/>
  <c r="AK38" i="31"/>
  <c r="AJ38" i="31"/>
  <c r="BL45" i="31"/>
  <c r="AK45" i="31"/>
  <c r="AJ45" i="31"/>
  <c r="BL36" i="31"/>
  <c r="AK36" i="31"/>
  <c r="AJ36" i="31"/>
  <c r="BM14" i="31"/>
  <c r="BL14" i="31"/>
  <c r="AL11" i="31"/>
  <c r="BJ9" i="31"/>
  <c r="BH9" i="31"/>
  <c r="BF9" i="31"/>
  <c r="BD9" i="31"/>
  <c r="BB9" i="31"/>
  <c r="AZ9" i="31"/>
  <c r="AX9" i="31"/>
  <c r="AV9" i="31"/>
  <c r="AT9" i="31"/>
  <c r="AR9" i="31"/>
  <c r="AP9" i="31"/>
  <c r="AN9" i="31"/>
  <c r="BJ8" i="31"/>
  <c r="BH8" i="31"/>
  <c r="BF8" i="31"/>
  <c r="BD8" i="31"/>
  <c r="BB8" i="31"/>
  <c r="AZ8" i="31"/>
  <c r="AX8" i="31"/>
  <c r="AV8" i="31"/>
  <c r="AT8" i="31"/>
  <c r="AR8" i="31"/>
  <c r="AP8" i="31"/>
  <c r="AN8" i="31"/>
  <c r="BJ6" i="31"/>
  <c r="BH6" i="31"/>
  <c r="BF6" i="31"/>
  <c r="BD6" i="31"/>
  <c r="BB6" i="31"/>
  <c r="AZ6" i="31"/>
  <c r="AX6" i="31"/>
  <c r="AV6" i="31"/>
  <c r="AT6" i="31"/>
  <c r="AR6" i="31"/>
  <c r="AP6" i="31"/>
  <c r="AN6" i="31"/>
  <c r="BJ5" i="31"/>
  <c r="BH5" i="31"/>
  <c r="BF5" i="31"/>
  <c r="BD5" i="31"/>
  <c r="BB5" i="31"/>
  <c r="AZ5" i="31"/>
  <c r="AX5" i="31"/>
  <c r="AV5" i="31"/>
  <c r="AT5" i="31"/>
  <c r="AR5" i="31"/>
  <c r="AP5" i="31"/>
  <c r="AN5" i="31"/>
  <c r="BM4" i="31"/>
  <c r="BL4" i="31"/>
  <c r="W7" i="29" l="1"/>
  <c r="AP15" i="41"/>
  <c r="AX16" i="41"/>
  <c r="AH16" i="41"/>
  <c r="AF13" i="41"/>
  <c r="BB11" i="41"/>
  <c r="BB13" i="41" s="1"/>
  <c r="BA11" i="41"/>
  <c r="BA13" i="41" s="1"/>
  <c r="AJ16" i="41"/>
  <c r="AJ15" i="41"/>
  <c r="Z5" i="38"/>
  <c r="AL27" i="31"/>
  <c r="AL55" i="31"/>
  <c r="AL31" i="31"/>
  <c r="AL34" i="31"/>
  <c r="AL44" i="31"/>
  <c r="AL48" i="31"/>
  <c r="AL42" i="31"/>
  <c r="AL30" i="31"/>
  <c r="BB10" i="31"/>
  <c r="AN10" i="31"/>
  <c r="BD10" i="31"/>
  <c r="BB7" i="31"/>
  <c r="AL32" i="31"/>
  <c r="AP7" i="31"/>
  <c r="BF7" i="31"/>
  <c r="AN7" i="31"/>
  <c r="BD7" i="31"/>
  <c r="AL63" i="31"/>
  <c r="AR10" i="31"/>
  <c r="BH10" i="31"/>
  <c r="BJ7" i="31"/>
  <c r="AL61" i="31"/>
  <c r="AL64" i="31"/>
  <c r="W10" i="29"/>
  <c r="T7" i="38"/>
  <c r="V7" i="38"/>
  <c r="U7" i="29"/>
  <c r="AY7" i="38"/>
  <c r="AB33" i="38"/>
  <c r="AW7" i="38"/>
  <c r="R10" i="38"/>
  <c r="AO10" i="38"/>
  <c r="AS10" i="38"/>
  <c r="AK7" i="38"/>
  <c r="T10" i="38"/>
  <c r="AJ20" i="38"/>
  <c r="AF7" i="38"/>
  <c r="AD7" i="38"/>
  <c r="AB25" i="38"/>
  <c r="AJ54" i="38"/>
  <c r="AB24" i="38"/>
  <c r="AJ56" i="38"/>
  <c r="AB45" i="38"/>
  <c r="AB28" i="38"/>
  <c r="AJ64" i="38"/>
  <c r="AJ51" i="38"/>
  <c r="AJ58" i="38"/>
  <c r="AJ47" i="38"/>
  <c r="R7" i="38"/>
  <c r="AJ53" i="38"/>
  <c r="AB47" i="38"/>
  <c r="AB18" i="38"/>
  <c r="AJ61" i="38"/>
  <c r="AJ45" i="38"/>
  <c r="AJ39" i="38"/>
  <c r="AB54" i="38"/>
  <c r="AB42" i="38"/>
  <c r="AB23" i="38"/>
  <c r="AJ34" i="38"/>
  <c r="AB37" i="38"/>
  <c r="AJ35" i="38"/>
  <c r="AJ23" i="38"/>
  <c r="AB39" i="38"/>
  <c r="AJ48" i="38"/>
  <c r="AB19" i="38"/>
  <c r="AB35" i="38"/>
  <c r="AJ25" i="38"/>
  <c r="AB27" i="38"/>
  <c r="AJ27" i="38"/>
  <c r="AB49" i="38"/>
  <c r="AJ37" i="38"/>
  <c r="AJ24" i="38"/>
  <c r="AB41" i="38"/>
  <c r="AS7" i="38"/>
  <c r="AK10" i="38"/>
  <c r="X7" i="38"/>
  <c r="AU7" i="38"/>
  <c r="AM10" i="38"/>
  <c r="AJ59" i="38"/>
  <c r="AB61" i="38"/>
  <c r="AB60" i="38"/>
  <c r="Z6" i="38"/>
  <c r="AJ49" i="38"/>
  <c r="AB55" i="38"/>
  <c r="X10" i="38"/>
  <c r="AU10" i="38"/>
  <c r="AJ60" i="38"/>
  <c r="AJ33" i="38"/>
  <c r="AQ7" i="38"/>
  <c r="AD10" i="38"/>
  <c r="AW10" i="38"/>
  <c r="AJ41" i="38"/>
  <c r="AB34" i="38"/>
  <c r="AJ44" i="38"/>
  <c r="AB48" i="38"/>
  <c r="AB57" i="38"/>
  <c r="AB51" i="38"/>
  <c r="AJ26" i="38"/>
  <c r="AB20" i="38"/>
  <c r="AJ40" i="38"/>
  <c r="AB26" i="38"/>
  <c r="BA5" i="38"/>
  <c r="AF10" i="38"/>
  <c r="AY10" i="38"/>
  <c r="AJ62" i="38"/>
  <c r="Z9" i="38"/>
  <c r="Z8" i="38"/>
  <c r="AB36" i="38"/>
  <c r="AB50" i="38"/>
  <c r="AB52" i="38"/>
  <c r="AJ31" i="38"/>
  <c r="AO7" i="38"/>
  <c r="BA9" i="38"/>
  <c r="AB62" i="38"/>
  <c r="AB38" i="38"/>
  <c r="AH6" i="38"/>
  <c r="AJ63" i="38"/>
  <c r="AB46" i="38"/>
  <c r="AJ50" i="38"/>
  <c r="AJ55" i="38"/>
  <c r="AJ28" i="38"/>
  <c r="AA65" i="38"/>
  <c r="AB44" i="38"/>
  <c r="AJ29" i="38"/>
  <c r="AB22" i="38"/>
  <c r="AB59" i="38"/>
  <c r="AJ43" i="38"/>
  <c r="AJ42" i="38"/>
  <c r="AQ10" i="38"/>
  <c r="AB32" i="38"/>
  <c r="BB8" i="38"/>
  <c r="AB64" i="38"/>
  <c r="AJ38" i="38"/>
  <c r="AJ22" i="38"/>
  <c r="AB56" i="38"/>
  <c r="AH5" i="38"/>
  <c r="AB30" i="38"/>
  <c r="BB4" i="38"/>
  <c r="AJ18" i="38"/>
  <c r="AB21" i="38"/>
  <c r="AJ46" i="38"/>
  <c r="V10" i="38"/>
  <c r="AH65" i="38"/>
  <c r="AB29" i="38"/>
  <c r="AB43" i="38"/>
  <c r="AJ30" i="38"/>
  <c r="BA6" i="38"/>
  <c r="BB9" i="38"/>
  <c r="AJ36" i="38"/>
  <c r="AJ19" i="38"/>
  <c r="AB63" i="38"/>
  <c r="AJ21" i="38"/>
  <c r="AJ57" i="38"/>
  <c r="AJ52" i="38"/>
  <c r="AB58" i="38"/>
  <c r="AB31" i="38"/>
  <c r="BA65" i="38"/>
  <c r="Z65" i="38"/>
  <c r="BB5" i="38"/>
  <c r="BB6" i="38"/>
  <c r="AM7" i="38"/>
  <c r="AH8" i="38"/>
  <c r="BA4" i="38"/>
  <c r="BA8" i="38"/>
  <c r="AJ32" i="38"/>
  <c r="AB53" i="38"/>
  <c r="AH9" i="38"/>
  <c r="AB40" i="38"/>
  <c r="AI65" i="38"/>
  <c r="BE4" i="29"/>
  <c r="BD4" i="29"/>
  <c r="BL65" i="31"/>
  <c r="AX7" i="31"/>
  <c r="AZ10" i="31"/>
  <c r="AL45" i="31"/>
  <c r="AL26" i="31"/>
  <c r="AL56" i="31"/>
  <c r="AL35" i="31"/>
  <c r="AL38" i="31"/>
  <c r="AL46" i="31"/>
  <c r="AL62" i="31"/>
  <c r="AL50" i="31"/>
  <c r="AL59" i="31"/>
  <c r="AV7" i="31"/>
  <c r="AT10" i="31"/>
  <c r="BJ10" i="31"/>
  <c r="AL28" i="31"/>
  <c r="AL60" i="31"/>
  <c r="AL53" i="31"/>
  <c r="AL37" i="31"/>
  <c r="AL36" i="31"/>
  <c r="AL39" i="31"/>
  <c r="AL47" i="31"/>
  <c r="AL51" i="31"/>
  <c r="AL43" i="31"/>
  <c r="AL41" i="31"/>
  <c r="AL24" i="31"/>
  <c r="AL54" i="31"/>
  <c r="AL40" i="31"/>
  <c r="AL25" i="31"/>
  <c r="AL29" i="31"/>
  <c r="AX10" i="31"/>
  <c r="BM6" i="31"/>
  <c r="AL33" i="31"/>
  <c r="AL58" i="31"/>
  <c r="AL57" i="31"/>
  <c r="BM5" i="31"/>
  <c r="BL5" i="31"/>
  <c r="AZ7" i="31"/>
  <c r="BM9" i="31"/>
  <c r="BH7" i="31"/>
  <c r="AV10" i="31"/>
  <c r="AL52" i="31"/>
  <c r="AL49" i="31"/>
  <c r="AP10" i="31"/>
  <c r="BF10" i="31"/>
  <c r="BL6" i="31"/>
  <c r="BL9" i="31"/>
  <c r="AR7" i="31"/>
  <c r="BL8" i="31"/>
  <c r="AT7" i="31"/>
  <c r="BM8" i="31"/>
  <c r="W11" i="29" l="1"/>
  <c r="BA16" i="41"/>
  <c r="BA15" i="41"/>
  <c r="BB15" i="41"/>
  <c r="BB16" i="41"/>
  <c r="AF15" i="41"/>
  <c r="AF16" i="41"/>
  <c r="BB11" i="31"/>
  <c r="BB13" i="31" s="1"/>
  <c r="BB16" i="31" s="1"/>
  <c r="BF11" i="31"/>
  <c r="BF13" i="31" s="1"/>
  <c r="BF15" i="31" s="1"/>
  <c r="BD11" i="31"/>
  <c r="BD13" i="31" s="1"/>
  <c r="BD15" i="31" s="1"/>
  <c r="AV11" i="31"/>
  <c r="AV13" i="31" s="1"/>
  <c r="AV15" i="31" s="1"/>
  <c r="AP11" i="31"/>
  <c r="AP13" i="31" s="1"/>
  <c r="AP15" i="31" s="1"/>
  <c r="AN11" i="31"/>
  <c r="BH11" i="31"/>
  <c r="BH13" i="31" s="1"/>
  <c r="BH15" i="31" s="1"/>
  <c r="AX11" i="31"/>
  <c r="AX13" i="31" s="1"/>
  <c r="AX15" i="31" s="1"/>
  <c r="BJ11" i="31"/>
  <c r="BJ13" i="31" s="1"/>
  <c r="BJ16" i="31" s="1"/>
  <c r="AZ11" i="31"/>
  <c r="AZ13" i="31" s="1"/>
  <c r="AZ15" i="31" s="1"/>
  <c r="AQ11" i="38"/>
  <c r="AQ13" i="38" s="1"/>
  <c r="AQ15" i="38" s="1"/>
  <c r="AY11" i="38"/>
  <c r="AY13" i="38" s="1"/>
  <c r="AY16" i="38" s="1"/>
  <c r="V11" i="38"/>
  <c r="V13" i="38" s="1"/>
  <c r="AO11" i="38"/>
  <c r="AO13" i="38" s="1"/>
  <c r="AO15" i="38" s="1"/>
  <c r="AW11" i="38"/>
  <c r="AW13" i="38" s="1"/>
  <c r="AW16" i="38" s="1"/>
  <c r="AS11" i="38"/>
  <c r="AS13" i="38" s="1"/>
  <c r="AS15" i="38" s="1"/>
  <c r="R11" i="38"/>
  <c r="T11" i="38"/>
  <c r="T13" i="38" s="1"/>
  <c r="AK11" i="38"/>
  <c r="AK13" i="38" s="1"/>
  <c r="AK16" i="38" s="1"/>
  <c r="AU11" i="38"/>
  <c r="AU13" i="38" s="1"/>
  <c r="AU15" i="38" s="1"/>
  <c r="AD11" i="38"/>
  <c r="AD13" i="38" s="1"/>
  <c r="AD16" i="38" s="1"/>
  <c r="AF11" i="38"/>
  <c r="AF13" i="38" s="1"/>
  <c r="AF16" i="38" s="1"/>
  <c r="X11" i="38"/>
  <c r="X13" i="38" s="1"/>
  <c r="X15" i="38" s="1"/>
  <c r="AH7" i="38"/>
  <c r="Z7" i="38"/>
  <c r="BA10" i="38"/>
  <c r="AM11" i="38"/>
  <c r="AM13" i="38" s="1"/>
  <c r="AM15" i="38" s="1"/>
  <c r="Z10" i="38"/>
  <c r="BB10" i="38"/>
  <c r="AJ65" i="38"/>
  <c r="AB65" i="38"/>
  <c r="BA7" i="38"/>
  <c r="BB7" i="38"/>
  <c r="AH10" i="38"/>
  <c r="BM10" i="31"/>
  <c r="AT11" i="31"/>
  <c r="AT13" i="31" s="1"/>
  <c r="AT15" i="31" s="1"/>
  <c r="BL10" i="31"/>
  <c r="BM7" i="31"/>
  <c r="BL7" i="31"/>
  <c r="AR11" i="31"/>
  <c r="W13" i="29" l="1"/>
  <c r="BF16" i="31"/>
  <c r="BB15" i="31"/>
  <c r="AV16" i="31"/>
  <c r="BD16" i="31"/>
  <c r="BH16" i="31"/>
  <c r="AX16" i="31"/>
  <c r="AZ16" i="31"/>
  <c r="AP16" i="31"/>
  <c r="BJ15" i="31"/>
  <c r="AQ16" i="38"/>
  <c r="AY15" i="38"/>
  <c r="AW15" i="38"/>
  <c r="AO16" i="38"/>
  <c r="AU16" i="38"/>
  <c r="AK15" i="38"/>
  <c r="AS16" i="38"/>
  <c r="X16" i="38"/>
  <c r="BA11" i="38"/>
  <c r="BA13" i="38" s="1"/>
  <c r="BA16" i="38" s="1"/>
  <c r="Z11" i="38"/>
  <c r="AD15" i="38"/>
  <c r="AF15" i="38"/>
  <c r="AH11" i="38"/>
  <c r="BB11" i="38"/>
  <c r="BB13" i="38" s="1"/>
  <c r="BB16" i="38" s="1"/>
  <c r="AM16" i="38"/>
  <c r="V15" i="38"/>
  <c r="V16" i="38"/>
  <c r="AT16" i="31"/>
  <c r="BM11" i="31"/>
  <c r="BM13" i="31" s="1"/>
  <c r="BL11" i="31"/>
  <c r="BL13" i="31" s="1"/>
  <c r="AR13" i="31"/>
  <c r="BA15" i="38" l="1"/>
  <c r="BB15" i="38"/>
  <c r="BM16" i="31"/>
  <c r="BM15" i="31"/>
  <c r="BL16" i="31"/>
  <c r="BL15" i="31"/>
  <c r="AR15" i="31"/>
  <c r="AR16" i="31"/>
  <c r="AY9" i="29" l="1"/>
  <c r="AW9" i="29"/>
  <c r="AU9" i="29"/>
  <c r="AS9" i="29"/>
  <c r="AQ9" i="29"/>
  <c r="AO9" i="29"/>
  <c r="AM9" i="29"/>
  <c r="AK9" i="29"/>
  <c r="AD9" i="29"/>
  <c r="U9" i="29"/>
  <c r="S9" i="29"/>
  <c r="AY8" i="29"/>
  <c r="AW8" i="29"/>
  <c r="AU8" i="29"/>
  <c r="AS8" i="29"/>
  <c r="AQ8" i="29"/>
  <c r="AO8" i="29"/>
  <c r="AM8" i="29"/>
  <c r="AK8" i="29"/>
  <c r="AD8" i="29"/>
  <c r="U8" i="29"/>
  <c r="S8" i="29"/>
  <c r="AY6" i="29"/>
  <c r="AW6" i="29"/>
  <c r="AU6" i="29"/>
  <c r="AS6" i="29"/>
  <c r="AQ6" i="29"/>
  <c r="AO6" i="29"/>
  <c r="AM6" i="29"/>
  <c r="AK6" i="29"/>
  <c r="AD6" i="29"/>
  <c r="S6" i="29"/>
  <c r="AY5" i="29"/>
  <c r="AW5" i="29"/>
  <c r="AU5" i="29"/>
  <c r="AS5" i="29"/>
  <c r="AQ5" i="29"/>
  <c r="AO5" i="29"/>
  <c r="AM5" i="29"/>
  <c r="AK5" i="29"/>
  <c r="AD5" i="29"/>
  <c r="S5" i="29"/>
  <c r="BD6" i="29" l="1"/>
  <c r="BE6" i="29"/>
  <c r="BD8" i="29"/>
  <c r="BE8" i="29"/>
  <c r="BD5" i="29"/>
  <c r="BE5" i="29"/>
  <c r="BD9" i="29"/>
  <c r="BE9" i="29"/>
  <c r="AM7" i="29"/>
  <c r="AM10" i="29"/>
  <c r="AD10" i="29"/>
  <c r="AY10" i="29"/>
  <c r="AQ10" i="29"/>
  <c r="S7" i="29"/>
  <c r="AS7" i="29"/>
  <c r="AU7" i="29"/>
  <c r="AQ7" i="29"/>
  <c r="AW10" i="29"/>
  <c r="BC85" i="29"/>
  <c r="AK10" i="29"/>
  <c r="AK7" i="29"/>
  <c r="AO7" i="29"/>
  <c r="AO10" i="29"/>
  <c r="AW7" i="29"/>
  <c r="S10" i="29"/>
  <c r="AS10" i="29"/>
  <c r="AD7" i="29"/>
  <c r="AY7" i="29"/>
  <c r="U10" i="29"/>
  <c r="AU10" i="29"/>
  <c r="AQ11" i="29" l="1"/>
  <c r="AQ13" i="29" s="1"/>
  <c r="AQ16" i="29" s="1"/>
  <c r="AU11" i="29"/>
  <c r="AU13" i="29" s="1"/>
  <c r="AY11" i="29"/>
  <c r="AY13" i="29" s="1"/>
  <c r="AY16" i="29" s="1"/>
  <c r="AW11" i="29"/>
  <c r="AW13" i="29" s="1"/>
  <c r="AW15" i="29" s="1"/>
  <c r="AS11" i="29"/>
  <c r="AS13" i="29" s="1"/>
  <c r="AS15" i="29" s="1"/>
  <c r="U11" i="29"/>
  <c r="U13" i="29" s="1"/>
  <c r="BD10" i="29"/>
  <c r="BE10" i="29"/>
  <c r="BD7" i="29"/>
  <c r="BE7" i="29"/>
  <c r="AD11" i="29"/>
  <c r="AM11" i="29"/>
  <c r="AM13" i="29" s="1"/>
  <c r="AM15" i="29" s="1"/>
  <c r="S11" i="29"/>
  <c r="AO11" i="29"/>
  <c r="AO13" i="29" s="1"/>
  <c r="AO16" i="29" s="1"/>
  <c r="AK11" i="29"/>
  <c r="BD11" i="29" l="1"/>
  <c r="BD13" i="29" s="1"/>
  <c r="BE11" i="29"/>
  <c r="BE13" i="29" s="1"/>
  <c r="AD13" i="29"/>
  <c r="AD15" i="29" s="1"/>
  <c r="W16" i="29"/>
  <c r="AK13" i="29"/>
  <c r="AK15" i="29" s="1"/>
  <c r="AQ15" i="29"/>
  <c r="AM16" i="29"/>
  <c r="AW16" i="29"/>
  <c r="AS16" i="29"/>
  <c r="AY15" i="29"/>
  <c r="AO15" i="29"/>
  <c r="AU15" i="29"/>
  <c r="AU16" i="29"/>
  <c r="BE16" i="29" l="1"/>
  <c r="BE15" i="29"/>
  <c r="AD16" i="29"/>
  <c r="BD16" i="29"/>
  <c r="AK16" i="29"/>
  <c r="W15" i="29"/>
  <c r="AU3" i="23"/>
  <c r="AJ2" i="23"/>
  <c r="AJ4" i="23" s="1"/>
  <c r="AY2" i="23"/>
  <c r="AQ2" i="23"/>
  <c r="AC2" i="23"/>
  <c r="AU2" i="23"/>
  <c r="AY3" i="23"/>
  <c r="AQ3" i="23"/>
  <c r="AC3" i="23"/>
  <c r="AC4" i="23" l="1"/>
  <c r="BD15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tc={897B4867-74A0-4C8A-8FB8-0E6AD4B98FA5}</author>
  </authors>
  <commentList>
    <comment ref="N72" authorId="0" shapeId="0" xr:uid="{897B4867-74A0-4C8A-8FB8-0E6AD4B98F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Sera inclut au contrat d’entretien d’été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tc={59C08077-DC27-4744-AE35-29BB64E75935}</author>
  </authors>
  <commentList>
    <comment ref="O125" authorId="0" shapeId="0" xr:uid="{59C08077-DC27-4744-AE35-29BB64E759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Report en raison d’un conflit avec le projet d’aérogare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tc={6E878C7B-4781-4503-B7A8-C34ABB8410C2}</author>
  </authors>
  <commentList>
    <comment ref="L85" authorId="0" shapeId="0" xr:uid="{6E878C7B-4781-4503-B7A8-C34ABB8410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 DPPA ne fait d’étude pour ce type de projet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tc={B8698192-1C61-42DE-B210-4209E6CA262D}</author>
    <author>tc={F7F0DEB9-D2D1-447C-82DD-6758CD23BDC8}</author>
    <author>tc={8D7364CD-F4B9-4EB4-A3B7-8D6B57AB111C}</author>
    <author>tc={44E0384E-F750-4DA3-B26D-ABA4566AE08E}</author>
    <author>tc={5A5593B8-78F0-48C7-9577-B8A67989DD45}</author>
    <author>tc={1FA049BB-FACD-418E-8040-62565F3B5BAB}</author>
    <author>tc={1A92F73A-4E6B-40DF-8435-ABF52AED3BB2}</author>
    <author>tc={1F02DAE5-7F69-455C-8805-747F3426B888}</author>
    <author>tc={D7ACD50A-CC67-4A24-8787-9538BC05FDC7}</author>
    <author>tc={01D697F9-3434-4DAE-BF48-6AF5E6A87264}</author>
    <author>tc={DCAA592E-CDC3-4777-9521-688E4727BF74}</author>
    <author>tc={6E6CEB8E-AFD5-48C6-8646-34363BED673F}</author>
    <author>tc={EF1F4A05-0731-4D20-BF9D-7DA4149FB3B4}</author>
    <author>tc={D2D4CBDC-6952-41E9-A8FA-63E114077464}</author>
    <author>tc={2E459530-00A5-4749-82F6-8B3BCA5AADC0}</author>
    <author>tc={D4915E2E-C5CE-48FD-AEC4-AAB2730E92B3}</author>
    <author>tc={0D7A89A3-1C6C-482A-8AB1-E3FF7FFB3765}</author>
    <author>tc={0CCF014B-2FAA-4F65-A364-2887C342C2BD}</author>
  </authors>
  <commentList>
    <comment ref="L43" authorId="0" shapeId="0" xr:uid="{B8698192-1C61-42DE-B210-4209E6CA26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Valider montant en travaux</t>
      </text>
    </comment>
    <comment ref="L45" authorId="1" shapeId="0" xr:uid="{F7F0DEB9-D2D1-447C-82DD-6758CD23BDC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Travaux répartie sur 2 ans Hiver 2026 et Printemps-Été 2027</t>
      </text>
    </comment>
    <comment ref="Y45" authorId="2" shapeId="0" xr:uid="{8D7364CD-F4B9-4EB4-A3B7-8D6B57AB11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Risque acceptable pour des travaux hiver 2026</t>
      </text>
    </comment>
    <comment ref="L46" authorId="3" shapeId="0" xr:uid="{44E0384E-F750-4DA3-B26D-ABA4566AE0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Travaux répartie sur 2ans automne 2026 (25%) et printemps-été 2027 (75%)</t>
      </text>
    </comment>
    <comment ref="L47" authorId="4" shapeId="0" xr:uid="{5A5593B8-78F0-48C7-9577-B8A67989D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tableau des coûts</t>
      </text>
    </comment>
    <comment ref="L49" authorId="5" shapeId="0" xr:uid="{1FA049BB-FACD-418E-8040-62565F3B5B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Valider le PC-5. Créer un projet phase 2</t>
      </text>
    </comment>
    <comment ref="L51" authorId="6" shapeId="0" xr:uid="{1A92F73A-4E6B-40DF-8435-ABF52AED3B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attente du PC-1 DPPA. Évaluez si la date de PC-5 est réaliste.</t>
      </text>
    </comment>
    <comment ref="L54" authorId="7" shapeId="0" xr:uid="{1F02DAE5-7F69-455C-8805-747F3426B8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Quelle équipe prend en charge la réalisation des travaux? Créer un projet seulement pour le sud</t>
      </text>
    </comment>
    <comment ref="T55" authorId="8" shapeId="0" xr:uid="{D7ACD50A-CC67-4A24-8787-9538BC05FD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Revoir PC-1</t>
      </text>
    </comment>
    <comment ref="L58" authorId="9" shapeId="0" xr:uid="{01D697F9-3434-4DAE-BF48-6AF5E6A872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à laisser 2027</t>
      </text>
    </comment>
    <comment ref="L59" authorId="10" shapeId="0" xr:uid="{DCAA592E-CDC3-4777-9521-688E4727BF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conclusion présenté au PC-1 donneront l’orientation au projet. Peut-être que la ville sera en mesure de fournir l’eau et que les travaux ne seront plus nécessaires</t>
      </text>
    </comment>
    <comment ref="L62" authorId="11" shapeId="0" xr:uid="{6E6CEB8E-AFD5-48C6-8646-34363BED67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Valider les prévisions</t>
      </text>
    </comment>
    <comment ref="L63" authorId="12" shapeId="0" xr:uid="{EF1F4A05-0731-4D20-BF9D-7DA4149FB3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 attente de la date du PC-1 pour évaluer l’orientation du projet</t>
      </text>
    </comment>
    <comment ref="L65" authorId="13" shapeId="0" xr:uid="{D2D4CBDC-6952-41E9-A8FA-63E1140774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Est-ce que la date du PC-3 est réaliste?</t>
      </text>
    </comment>
    <comment ref="L83" authorId="14" shapeId="0" xr:uid="{2E459530-00A5-4749-82F6-8B3BCA5AAD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Pourquoi l’échéancier entre le PC-1 et le PC-5 est plus de 24 mois?</t>
      </text>
    </comment>
    <comment ref="L84" authorId="15" shapeId="0" xr:uid="{D4915E2E-C5CE-48FD-AEC4-AAB2730E92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pour ramener 2028</t>
      </text>
    </comment>
    <comment ref="L102" authorId="16" shapeId="0" xr:uid="{0D7A89A3-1C6C-482A-8AB1-E3FF7FFB376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Qui prend en charge l’Étude d’opportunité? Est-ce qu’on peut maintenir en 2029?</t>
      </text>
    </comment>
    <comment ref="L111" authorId="17" shapeId="0" xr:uid="{0CCF014B-2FAA-4F65-A364-2887C342C2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Que nécessite l’acquisition de matériaux granulaire pour renflouer la réserve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1DA2F-DF7F-4AD0-8103-E32CA4E0C590}" keepAlive="1" name="Requête - Categorie_INTRV" description="Connexion à la requête « Categorie_INTRV » dans le classeur." type="5" refreshedVersion="0" background="1" saveData="1">
    <dbPr connection="Provider=Microsoft.Mashup.OleDb.1;Data Source=$Workbook$;Location=Categorie_INTRV;Extended Properties=&quot;&quot;" command="SELECT * FROM [Categorie_INTRV]"/>
  </connection>
  <connection id="2" xr16:uid="{EFF56CEA-7FF4-4206-9E7E-00B172A184B2}" keepAlive="1" name="Requête - HorizonDécennale" description="Connexion à la requête « HorizonDécennale » dans le classeur." type="5" refreshedVersion="0" background="1">
    <dbPr connection="Provider=Microsoft.Mashup.OleDb.1;Data Source=$Workbook$;Location=HorizonDécennale;Extended Properties=&quot;&quot;" command="SELECT * FROM [HorizonDécennale]"/>
  </connection>
  <connection id="3" xr16:uid="{E293D29C-2C3E-4C59-BD9F-E1FCD821D976}" keepAlive="1" name="Requête - HorizonOPC" description="Connexion à la requête « HorizonOPC » dans le classeur." type="5" refreshedVersion="0" background="1">
    <dbPr connection="Provider=Microsoft.Mashup.OleDb.1;Data Source=$Workbook$;Location=HorizonOPC;Extended Properties=&quot;&quot;" command="SELECT * FROM [HorizonOPC]"/>
  </connection>
  <connection id="4" xr16:uid="{FD53FA30-4205-42B8-8D2A-5B5C3742D1B4}" keepAlive="1" name="Requête - HorizonPlanif_ANT" description="Connexion à la requête « HorizonPlanif_ANT » dans le classeur." type="5" refreshedVersion="0" background="1">
    <dbPr connection="Provider=Microsoft.Mashup.OleDb.1;Data Source=$Workbook$;Location=HorizonPlanif_ANT;Extended Properties=&quot;&quot;" command="SELECT * FROM [HorizonPlanif_ANT]"/>
  </connection>
  <connection id="5" xr16:uid="{F645E5E5-C0B4-4B58-995C-6C285C4522C1}" keepAlive="1" name="Requête - HorizonPlanif_ULT" description="Connexion à la requête « HorizonPlanif_ULT » dans le classeur." type="5" refreshedVersion="0" background="1">
    <dbPr connection="Provider=Microsoft.Mashup.OleDb.1;Data Source=$Workbook$;Location=HorizonPlanif_ULT;Extended Properties=&quot;&quot;" command="SELECT * FROM [HorizonPlanif_ULT]"/>
  </connection>
  <connection id="6" xr16:uid="{9578DE32-87D4-46AB-9E27-14D5F1CBC9A6}" keepAlive="1" name="Requête - HorizonPlanification" description="Connexion à la requête « HorizonPlanification » dans le classeur." type="5" refreshedVersion="0" background="1" saveData="1">
    <dbPr connection="Provider=Microsoft.Mashup.OleDb.1;Data Source=$Workbook$;Location=HorizonPlanification;Extended Properties=&quot;&quot;" command="SELECT * FROM [HorizonPlanification]"/>
  </connection>
  <connection id="7" xr16:uid="{25AE07A5-0BD3-482E-A721-5DF2354EA7C7}" keepAlive="1" name="Requête - HorizonQuinquennale" description="Connexion à la requête « HorizonQuinquennale » dans le classeur." type="5" refreshedVersion="0" background="1">
    <dbPr connection="Provider=Microsoft.Mashup.OleDb.1;Data Source=$Workbook$;Location=HorizonQuinquennale;Extended Properties=&quot;&quot;" command="SELECT * FROM [HorizonQuinquennale]"/>
  </connection>
  <connection id="8" xr16:uid="{73B06FBC-7BD9-4AA5-9D76-387C038B1F42}" keepAlive="1" name="Requête - IND OPC" description="Connexion à la requête « IND OPC » dans le classeur." type="5" refreshedVersion="0" background="1" saveData="1">
    <dbPr connection="Provider=Microsoft.Mashup.OleDb.1;Data Source=$Workbook$;Location=&quot;IND OPC&quot;;Extended Properties=&quot;&quot;" command="SELECT * FROM [IND OPC]"/>
  </connection>
  <connection id="9" xr16:uid="{36791378-DA77-4FA5-BDDB-31EDB48F329F}" keepAlive="1" name="Requête - IND PARACHÈVEMENT" description="Connexion à la requête « IND PARACHÈVEMENT » dans le classeur." type="5" refreshedVersion="0" background="1">
    <dbPr connection="Provider=Microsoft.Mashup.OleDb.1;Data Source=$Workbook$;Location=&quot;IND PARACHÈVEMENT&quot;;Extended Properties=&quot;&quot;" command="SELECT * FROM [IND PARACHÈVEMENT]"/>
  </connection>
  <connection id="10" xr16:uid="{E6DB7518-B010-4F9C-81CC-C9D6FC76F203}" keepAlive="1" name="Requête - Mise_a_Jour_Suivi_Planif_26" description="Connexion à la requête « Mise_a_Jour_Suivi_Planif_26 » dans le classeur." type="5" refreshedVersion="8" background="1" saveData="1">
    <dbPr connection="Provider=Microsoft.Mashup.OleDb.1;Data Source=$Workbook$;Location=Mise_a_Jour_Suivi_Planif_26;Extended Properties=&quot;&quot;" command="SELECT * FROM [Mise_a_Jour_Suivi_Planif_26]"/>
  </connection>
  <connection id="11" xr16:uid="{7C305D0B-4F77-4C9F-8194-195B568E862D}" keepAlive="1" name="Requête - PLANIFICATION" description="Connexion à la requête « PLANIFICATION » dans le classeur." type="5" refreshedVersion="8" background="1" saveData="1">
    <dbPr connection="Provider=Microsoft.Mashup.OleDb.1;Data Source=$Workbook$;Location=PLANIFICATION;Extended Properties=&quot;&quot;" command="SELECT * FROM [PLANIFICATION]"/>
  </connection>
  <connection id="12" xr16:uid="{C8C11FEA-789F-4A04-8543-5EF947296EBF}" keepAlive="1" name="Requête - PPS_ACC_MONTN_PROG_TRV_MIN" description="Connexion à la requête « PPS_ACC_MONTN_PROG_TRV_MIN » dans le classeur." type="5" refreshedVersion="0" background="1" saveData="1">
    <dbPr connection="Provider=Microsoft.Mashup.OleDb.1;Data Source=$Workbook$;Location=PPS_ACC_MONTN_PROG_TRV_MIN;Extended Properties=&quot;&quot;" command="SELECT * FROM [PPS_ACC_MONTN_PROG_TRV_MIN]"/>
  </connection>
  <connection id="13" xr16:uid="{E6CA1AEE-38BF-49DF-B40F-E1DA6658EDDE}" keepAlive="1" name="Requête - PROGRAMMATION" description="Connexion à la requête « PROGRAMMATION » dans le classeur." type="5" refreshedVersion="8" background="1" saveData="1">
    <dbPr connection="Provider=Microsoft.Mashup.OleDb.1;Data Source=$Workbook$;Location=PROGRAMMATION;Extended Properties=&quot;&quot;" command="SELECT * FROM [PROGRAMMATION]"/>
  </connection>
  <connection id="14" xr16:uid="{56AC4ED8-381A-4C1A-98B0-7BBE334BC8BF}" keepAlive="1" name="Requête - Programmation proposé" description="Connexion à la requête « Programmation proposé » dans le classeur." type="5" refreshedVersion="8" background="1" saveData="1">
    <dbPr connection="Provider=Microsoft.Mashup.OleDb.1;Data Source=$Workbook$;Location=&quot;Programmation proposé&quot;;Extended Properties=&quot;&quot;" command="SELECT * FROM [Programmation proposé]"/>
  </connection>
  <connection id="15" xr16:uid="{1E7FEE0D-3577-4DCC-AD3A-C587387858C8}" keepAlive="1" name="Requête - R_INFO_SUPPL_PROJET" description="Connexion à la requête « R_INFO_SUPPL_PROJET » dans le classeur." type="5" refreshedVersion="8" background="1" saveData="1">
    <dbPr connection="Provider=Microsoft.Mashup.OleDb.1;Data Source=$Workbook$;Location=R_INFO_SUPPL_PROJET;Extended Properties=&quot;&quot;" command="SELECT * FROM [R_INFO_SUPPL_PROJET]"/>
  </connection>
  <connection id="16" xr16:uid="{E887BD73-8DE9-40B6-983B-52279A29D0F2}" keepAlive="1" name="Requête - R_MNT_SFP_AGR_U_MNT_PPS_13" description="Connexion à la requête « R_MNT_SFP_AGR_U_MNT_PPS_13 » dans le classeur." type="5" refreshedVersion="0" background="1">
    <dbPr connection="Provider=Microsoft.Mashup.OleDb.1;Data Source=$Workbook$;Location=R_MNT_SFP_AGR_U_MNT_PPS_13;Extended Properties=&quot;&quot;" command="SELECT * FROM [R_MNT_SFP_AGR_U_MNT_PPS_13]"/>
  </connection>
  <connection id="17" xr16:uid="{262F1B0A-F002-4D18-8A1F-7C661A6A7731}" keepAlive="1" name="Requête - R_MNT_SFP_AGR_U_MNT_PPS_13_1" description="Connexion à la requête « R_MNT_SFP_AGR_U_MNT_PPS_13_1 » dans le classeur." type="5" refreshedVersion="0" background="1">
    <dbPr connection="Provider=Microsoft.Mashup.OleDb.1;Data Source=$Workbook$;Location=R_MNT_SFP_AGR_U_MNT_PPS_13_1;Extended Properties=&quot;&quot;" command="SELECT * FROM [R_MNT_SFP_AGR_U_MNT_PPS_13_1]"/>
  </connection>
  <connection id="18" xr16:uid="{819AAABC-430B-4ACE-AB0E-732E24434B01}" keepAlive="1" name="Requête - Select_ProjetPlanif" description="Connexion à la requête « Select_ProjetPlanif » dans le classeur." type="5" refreshedVersion="0" background="1" saveData="1">
    <dbPr connection="Provider=Microsoft.Mashup.OleDb.1;Data Source=$Workbook$;Location=Select_ProjetPlanif;Extended Properties=&quot;&quot;" command="SELECT * FROM [Select_ProjetPlanif]"/>
  </connection>
  <connection id="19" xr16:uid="{0C4EF78A-9D1B-4863-9F78-5D09A1CECC3E}" keepAlive="1" name="Requête - Site Prioritaire 26-28" description="Connexion à la requête « Site Prioritaire 26-28 » dans le classeur." type="5" refreshedVersion="0" background="1" saveData="1">
    <dbPr connection="Provider=Microsoft.Mashup.OleDb.1;Data Source=$Workbook$;Location=&quot;Site Prioritaire 26-28&quot;;Extended Properties=&quot;&quot;" command="SELECT * FROM [Site Prioritaire 26-28]"/>
  </connection>
  <connection id="20" xr16:uid="{AAD1BA18-966E-4A8F-A830-62DD0A556AFA}" keepAlive="1" name="Requête - Suivi_PC_DRPA" description="Connexion à la requête « Suivi_PC_DRPA » dans le classeur." type="5" refreshedVersion="0" background="1" saveData="1">
    <dbPr connection="Provider=Microsoft.Mashup.OleDb.1;Data Source=$Workbook$;Location=Suivi_PC_DRPA;Extended Properties=&quot;&quot;" command="SELECT * FROM [Suivi_PC_DRPA]"/>
  </connection>
  <connection id="21" xr16:uid="{3CADA362-F479-4D5F-A39A-9B89079539E2}" keepAlive="1" name="Requête - TFICHE_PROJET" description="Connexion à la requête « TFICHE_PROJET » dans le classeur." type="5" refreshedVersion="0" background="1" saveData="1">
    <dbPr connection="Provider=Microsoft.Mashup.OleDb.1;Data Source=$Workbook$;Location=TFICHE_PROJET;Extended Properties=&quot;&quot;" command="SELECT * FROM [TFICHE_PROJET]"/>
  </connection>
  <connection id="22" xr16:uid="{05B89468-5DE3-4B0E-9C7A-5AB1CD6FE19F}" keepAlive="1" name="Requête - TotalProjet" description="Connexion à la requête « TotalProjet » dans le classeur." type="5" refreshedVersion="0" background="1" saveData="1">
    <dbPr connection="Provider=Microsoft.Mashup.OleDb.1;Data Source=$Workbook$;Location=TotalProjet;Extended Properties=&quot;&quot;" command="SELECT * FROM [TotalProjet]"/>
  </connection>
  <connection id="23" xr16:uid="{4238FAD4-3AF3-4044-BC66-8EFB6DC19AC6}" keepAlive="1" name="Requête - TotalProjet_décennale" description="Connexion à la requête « TotalProjet_décennale » dans le classeur." type="5" refreshedVersion="0" background="1" saveData="1">
    <dbPr connection="Provider=Microsoft.Mashup.OleDb.1;Data Source=$Workbook$;Location=TotalProjet_décennale;Extended Properties=&quot;&quot;" command="SELECT * FROM [TotalProjet_décennale]"/>
  </connection>
  <connection id="24" xr16:uid="{3A630648-3280-492E-BDB1-AC87568C094F}" keepAlive="1" name="Requête - TotalProjet_quinquennale" description="Connexion à la requête « TotalProjet_quinquennale » dans le classeur." type="5" refreshedVersion="0" background="1" saveData="1">
    <dbPr connection="Provider=Microsoft.Mashup.OleDb.1;Data Source=$Workbook$;Location=TotalProjet_quinquennale;Extended Properties=&quot;&quot;" command="SELECT * FROM [TotalProjet_quinquennale]"/>
  </connection>
  <connection id="25" xr16:uid="{B9101F02-B508-484A-ABE5-AA61F022F4EF}" keepAlive="1" name="Requête - TSITE_AERIEN_0" description="Connexion à la requête « TSITE_AERIEN_0 » dans le classeur." type="5" refreshedVersion="8" background="1" saveData="1">
    <dbPr connection="Provider=Microsoft.Mashup.OleDb.1;Data Source=$Workbook$;Location=TSITE_AERIEN_0;Extended Properties=&quot;&quot;" command="SELECT * FROM [TSITE_AERIEN_0]"/>
  </connection>
  <connection id="26" xr16:uid="{14FDDDD9-2E5A-485A-B7C1-DF99FDB951E8}" keepAlive="1" name="Requête - TSITE_AERIEN_1(1)" description="Connexion à la requête « TSITE_AERIEN_1 » dans le classeur." type="5" refreshedVersion="0" background="1" saveData="1">
    <dbPr connection="Provider=Microsoft.Mashup.OleDb.1;Data Source=$Workbook$;Location=TSITE_AERIEN_1;Extended Properties=&quot;&quot;" command="SELECT * FROM [TSITE_AERIEN_1]"/>
  </connection>
  <connection id="27" xr16:uid="{1378DEE2-A5B5-455F-BF8C-359D9B4E1DF5}" keepAlive="1" name="Requête - TSITE_AERIEN_2(1)" description="Connexion à la requête « TSITE_AERIEN_2 » dans le classeur." type="5" refreshedVersion="0" background="1" saveData="1">
    <dbPr connection="Provider=Microsoft.Mashup.OleDb.1;Data Source=$Workbook$;Location=TSITE_AERIEN_2;Extended Properties=&quot;&quot;" command="SELECT * FROM [TSITE_AERIEN_2]"/>
  </connection>
  <connection id="28" xr16:uid="{5EF471DD-8EFD-4BD7-A565-79000D829836}" keepAlive="1" name="Requête - TSITE_AERIEN_3" description="Connexion à la requête « TSITE_AERIEN_3 » dans le classeur." type="5" refreshedVersion="0" background="1">
    <dbPr connection="Provider=Microsoft.Mashup.OleDb.1;Data Source=$Workbook$;Location=TSITE_AERIEN_3;Extended Properties=&quot;&quot;" command="SELECT * FROM [TSITE_AERIEN_3]"/>
  </connection>
  <connection id="29" xr16:uid="{1E1AD841-C1C4-4770-998A-008A5826C923}" keepAlive="1" name="Requête - TSITE_AERIEN_4" description="Connexion à la requête « TSITE_AERIEN_4 » dans le classeur." type="5" refreshedVersion="0" background="1" saveData="1">
    <dbPr connection="Provider=Microsoft.Mashup.OleDb.1;Data Source=$Workbook$;Location=TSITE_AERIEN_4;Extended Properties=&quot;&quot;" command="SELECT * FROM [TSITE_AERIEN_4]"/>
  </connection>
  <connection id="30" xr16:uid="{A541339F-9027-4F36-9D8E-C02B38395A29}" keepAlive="1" name="Requête - Valeurs_ANT" description="Connexion à la requête « Valeurs_ANT » dans le classeur." type="5" refreshedVersion="0" background="1" saveData="1">
    <dbPr connection="Provider=Microsoft.Mashup.OleDb.1;Data Source=$Workbook$;Location=Valeurs_ANT;Extended Properties=&quot;&quot;" command="SELECT * FROM [Valeurs_ANT]"/>
  </connection>
  <connection id="31" xr16:uid="{25DD25F2-12C7-4929-BA15-F9C12021955C}" keepAlive="1" name="Requête - Valeurs_HorizonPlanif" description="Connexion à la requête « Valeurs_HorizonPlanif » dans le classeur." type="5" refreshedVersion="0" background="1" saveData="1">
    <dbPr connection="Provider=Microsoft.Mashup.OleDb.1;Data Source=$Workbook$;Location=Valeurs_HorizonPlanif;Extended Properties=&quot;&quot;" command="SELECT * FROM [Valeurs_HorizonPlanif]"/>
  </connection>
  <connection id="32" xr16:uid="{1BDF916F-BB0A-4A6A-BB1A-752D5EC8F1A3}" keepAlive="1" name="Requête - Valeurs_ULT" description="Connexion à la requête « Valeurs_ULT » dans le classeur." type="5" refreshedVersion="0" background="1" saveData="1">
    <dbPr connection="Provider=Microsoft.Mashup.OleDb.1;Data Source=$Workbook$;Location=Valeurs_ULT;Extended Properties=&quot;&quot;" command="SELECT * FROM [Valeurs_ULT]"/>
  </connection>
</connections>
</file>

<file path=xl/sharedStrings.xml><?xml version="1.0" encoding="utf-8"?>
<sst xmlns="http://schemas.openxmlformats.org/spreadsheetml/2006/main" count="42799" uniqueCount="754">
  <si>
    <t>Programmation des investissements aéroportaires 2025-2027 en milliers de dollars (000$)</t>
  </si>
  <si>
    <t>Mise à jour des données</t>
  </si>
  <si>
    <t>Légende:</t>
  </si>
  <si>
    <t>Critères</t>
  </si>
  <si>
    <t>Poids</t>
  </si>
  <si>
    <t>Composante/État</t>
  </si>
  <si>
    <t>ANT</t>
  </si>
  <si>
    <t>TOTAL 25-30</t>
  </si>
  <si>
    <t>TOTAL 25-35</t>
  </si>
  <si>
    <t>AC</t>
  </si>
  <si>
    <t>Activités Connexes</t>
  </si>
  <si>
    <t>Fonctionnement</t>
  </si>
  <si>
    <t>TR</t>
  </si>
  <si>
    <t>Travaux</t>
  </si>
  <si>
    <t>Pondération</t>
  </si>
  <si>
    <t>Activités connexes PR</t>
  </si>
  <si>
    <t>PR</t>
  </si>
  <si>
    <t>Programmé</t>
  </si>
  <si>
    <t>Parachèvement/Priorité DGPEA</t>
  </si>
  <si>
    <t>Travaux PR</t>
  </si>
  <si>
    <t>PL</t>
  </si>
  <si>
    <t>Planifié</t>
  </si>
  <si>
    <t>Projet annoncé MTMD/PQI</t>
  </si>
  <si>
    <t>Sous-Total PR</t>
  </si>
  <si>
    <t>Respect PC/Avancement</t>
  </si>
  <si>
    <t>Activités connexes PL</t>
  </si>
  <si>
    <t>Site prioritaire</t>
  </si>
  <si>
    <t>Travaux PL</t>
  </si>
  <si>
    <t>État Infra/Intrv Prioritaire</t>
  </si>
  <si>
    <t>Sous-Total PL</t>
  </si>
  <si>
    <t>Poids Total</t>
  </si>
  <si>
    <t>Total PR+PL</t>
  </si>
  <si>
    <t>Avis de Modifications prévus</t>
  </si>
  <si>
    <t>Total prévus(PR+PL+Avis)</t>
  </si>
  <si>
    <t>Balises budgétaire 25-27</t>
  </si>
  <si>
    <t>Écart Total PR+PL vs Balises 25-27</t>
  </si>
  <si>
    <t>% Écart Total PR+PL vs Balises 25-27</t>
  </si>
  <si>
    <t>Axe</t>
  </si>
  <si>
    <t>Catégorie Investissement</t>
  </si>
  <si>
    <t>Type Infrastructure</t>
  </si>
  <si>
    <t>Gérant projet</t>
  </si>
  <si>
    <t>État Composante AC</t>
  </si>
  <si>
    <t>État Composante TR</t>
  </si>
  <si>
    <t>Priorité DG</t>
  </si>
  <si>
    <t>Région</t>
  </si>
  <si>
    <t>Numéro projet</t>
  </si>
  <si>
    <t>Titre projet</t>
  </si>
  <si>
    <t>Localisation</t>
  </si>
  <si>
    <t>Année DÉBUT Travaux prévu</t>
  </si>
  <si>
    <t>État avancement</t>
  </si>
  <si>
    <t>PC-1</t>
  </si>
  <si>
    <t>PC-3</t>
  </si>
  <si>
    <t>PC-5</t>
  </si>
  <si>
    <t>IND_PROJT_ANNONCE</t>
  </si>
  <si>
    <t>IND_PC5_TR2025</t>
  </si>
  <si>
    <t>IND_PC3_TR2026</t>
  </si>
  <si>
    <t>IND_PC1_AC2025</t>
  </si>
  <si>
    <t>IEG_Batiment_Moy</t>
  </si>
  <si>
    <t>IEG_Gravier</t>
  </si>
  <si>
    <t>IEG_ChausseePavee</t>
  </si>
  <si>
    <t>IEG_Ponceaux_Moy</t>
  </si>
  <si>
    <t>IEG_RouteAcces</t>
  </si>
  <si>
    <t>IEG_SystElectro</t>
  </si>
  <si>
    <t>IND_Batiment_Moy</t>
  </si>
  <si>
    <t>IND_ChausseeGravier</t>
  </si>
  <si>
    <t>IND_ChausseePavee</t>
  </si>
  <si>
    <t>IND_Ponceaux_Moy</t>
  </si>
  <si>
    <t>IND_RouteAcces</t>
  </si>
  <si>
    <t>IND_SystElectro_Moy</t>
  </si>
  <si>
    <t>IND_Etat_avancement</t>
  </si>
  <si>
    <t>IND_Site_Prioritaire</t>
  </si>
  <si>
    <t>IND_Parachèvement</t>
  </si>
  <si>
    <t>Critère PC Atteint</t>
  </si>
  <si>
    <t>Critère Etat Infrastructure</t>
  </si>
  <si>
    <t>Priorité Programmation</t>
  </si>
  <si>
    <t>Colonne1</t>
  </si>
  <si>
    <t>AC ANT</t>
  </si>
  <si>
    <t>TR ANT</t>
  </si>
  <si>
    <t>AC 2024</t>
  </si>
  <si>
    <t>TR 2024</t>
  </si>
  <si>
    <t>AC 2025</t>
  </si>
  <si>
    <t>TR 2025</t>
  </si>
  <si>
    <t>AC 2026</t>
  </si>
  <si>
    <t>TR 2026</t>
  </si>
  <si>
    <t>AC 2027</t>
  </si>
  <si>
    <t>TR 2027</t>
  </si>
  <si>
    <t>AC 2028</t>
  </si>
  <si>
    <t>TR 2028</t>
  </si>
  <si>
    <t>AC 2029</t>
  </si>
  <si>
    <t>TR 2029</t>
  </si>
  <si>
    <t>AC 2030</t>
  </si>
  <si>
    <t>TR 2030</t>
  </si>
  <si>
    <t>AC 2031</t>
  </si>
  <si>
    <t>TR 2031</t>
  </si>
  <si>
    <t>AC 2032</t>
  </si>
  <si>
    <t>TR 2032</t>
  </si>
  <si>
    <t>AC 2033</t>
  </si>
  <si>
    <t>TR 2033</t>
  </si>
  <si>
    <t>AC 2034</t>
  </si>
  <si>
    <t>TR 2034</t>
  </si>
  <si>
    <t>Total Projet</t>
  </si>
  <si>
    <t>I</t>
  </si>
  <si>
    <t>MA</t>
  </si>
  <si>
    <t>Chaussée</t>
  </si>
  <si>
    <t>JULIE AUDET</t>
  </si>
  <si>
    <t>Nunavik</t>
  </si>
  <si>
    <t>154190692</t>
  </si>
  <si>
    <t>Rechargement de piste, remplacement du balisage et divers travaux à Kuujjuarapik</t>
  </si>
  <si>
    <t>Kuujjuarapik</t>
  </si>
  <si>
    <t>2026</t>
  </si>
  <si>
    <t>3. Conception</t>
  </si>
  <si>
    <t>B</t>
  </si>
  <si>
    <t>3</t>
  </si>
  <si>
    <t>BENOIT BERUBE</t>
  </si>
  <si>
    <t>154180736</t>
  </si>
  <si>
    <t>Rechargement des aires de mouvements, réparation de sections de clôtures et divers travaux à l'aéroport de Tasiujaq</t>
  </si>
  <si>
    <t>Tasiujaq</t>
  </si>
  <si>
    <t>D</t>
  </si>
  <si>
    <t>M</t>
  </si>
  <si>
    <t>Syst. Approv. et Drainage</t>
  </si>
  <si>
    <t>154230987</t>
  </si>
  <si>
    <t>Remplacement des ponceaux sous la piste</t>
  </si>
  <si>
    <t>Salluit</t>
  </si>
  <si>
    <t>5. Plans et devis</t>
  </si>
  <si>
    <t>E</t>
  </si>
  <si>
    <t>5</t>
  </si>
  <si>
    <t>G</t>
  </si>
  <si>
    <t>Bonif</t>
  </si>
  <si>
    <t>Barrière/Clôture</t>
  </si>
  <si>
    <t>DOMINIC BRIAND</t>
  </si>
  <si>
    <t>RT</t>
  </si>
  <si>
    <t>Sud 55e Parallèle</t>
  </si>
  <si>
    <t>154151060</t>
  </si>
  <si>
    <t>Installation d’une clôture, correction de l’aire de mouvement et divers travaux électriques à l’aéroport de Tête-à-la-Ba</t>
  </si>
  <si>
    <t>Tête-à-la-Baleine</t>
  </si>
  <si>
    <t>C</t>
  </si>
  <si>
    <t>Bâtiment</t>
  </si>
  <si>
    <t>154081840</t>
  </si>
  <si>
    <t>Construction d'une nouvelle aérogare à Matagami</t>
  </si>
  <si>
    <t>Matagami (Riv. Bell)</t>
  </si>
  <si>
    <t>Dominic/Valérie</t>
  </si>
  <si>
    <t>154160008</t>
  </si>
  <si>
    <t>Remplacement de sections de clôtures à l'aéroport de Puvirnituq</t>
  </si>
  <si>
    <t>Puvirnituq</t>
  </si>
  <si>
    <t>Benoit/Valérie</t>
  </si>
  <si>
    <t>154190674</t>
  </si>
  <si>
    <t>Réfection des voies A, D, E, des aires de trafics nord et sud, et travaux divers à l'aérport de Chicoutimi/St-Honoré</t>
  </si>
  <si>
    <t>Chicoutimi/Saint-Honoré</t>
  </si>
  <si>
    <t>2025</t>
  </si>
  <si>
    <t>LUC MARLEAU</t>
  </si>
  <si>
    <t>154200665</t>
  </si>
  <si>
    <t>Réfection de clôtures à l'aéroport de La Romaine</t>
  </si>
  <si>
    <t>La Romaine</t>
  </si>
  <si>
    <t>154200653</t>
  </si>
  <si>
    <t>Amélioration du service d'eau potable à l'aéroport de Tête-à-la-Baleine</t>
  </si>
  <si>
    <t>1. Études d'opportunité</t>
  </si>
  <si>
    <t>1</t>
  </si>
  <si>
    <t>154230792</t>
  </si>
  <si>
    <t>Réparation du système de traitement des eaux à Chibougamau</t>
  </si>
  <si>
    <t>Chibougamau-Chapais</t>
  </si>
  <si>
    <t>154171105</t>
  </si>
  <si>
    <t>Remplacement de sections de clôtures à l'aéroport de Salluit</t>
  </si>
  <si>
    <t>154061996</t>
  </si>
  <si>
    <t>Construction d'une nouvelle aérogare et d'un garage à Salluit</t>
  </si>
  <si>
    <t>7. AO Publié</t>
  </si>
  <si>
    <t>7</t>
  </si>
  <si>
    <t>154061997</t>
  </si>
  <si>
    <t>Réfection et agrandissement de l'aérogare, du garage et de l'aire de trafic à l'aéroport de Kangiqsujuaq</t>
  </si>
  <si>
    <t>Kangiqsujuaq (Wakeham Bay)</t>
  </si>
  <si>
    <t>2029</t>
  </si>
  <si>
    <t>154062002</t>
  </si>
  <si>
    <t>Construction d'une nouvelle aérogare et agrandissement d'un garage à Kangiqsualujjuaq</t>
  </si>
  <si>
    <t>Kangiqsualujjuaq (Georges River)</t>
  </si>
  <si>
    <t>2027</t>
  </si>
  <si>
    <t>154171517</t>
  </si>
  <si>
    <t>Rechargement de l'aire de mouvement à Puvirnituq</t>
  </si>
  <si>
    <t>2024</t>
  </si>
  <si>
    <t>Autre</t>
  </si>
  <si>
    <t>154180922</t>
  </si>
  <si>
    <t>Installation de caméras de vidéo-surveillance Phase 1</t>
  </si>
  <si>
    <t>Z_Plusieurs sites</t>
  </si>
  <si>
    <t>154101522</t>
  </si>
  <si>
    <t>Réfection de l'aérogare à l'aéroport et du cabanon à l'héliport de La Tabatière</t>
  </si>
  <si>
    <t>La Tabatière</t>
  </si>
  <si>
    <t>2030</t>
  </si>
  <si>
    <t>154140339</t>
  </si>
  <si>
    <t>Construction d'une nouvelle aérogare et d'un garage et réfection de l'aire de trafic à l'aéroport de Montmagny</t>
  </si>
  <si>
    <t>Montmagny</t>
  </si>
  <si>
    <t>Réservoir pétrolier</t>
  </si>
  <si>
    <t>154151031</t>
  </si>
  <si>
    <t>Amélioration du système de stockage de produits pétroliers à Saint-Bruno-de-Guigues</t>
  </si>
  <si>
    <t>Saint-Bruno-de-Guigues</t>
  </si>
  <si>
    <t>154190478</t>
  </si>
  <si>
    <t>Réfection des tabliers 1 et 2 et des voies A, B et C à l'aéroport de Bonaventure</t>
  </si>
  <si>
    <t>Bonaventure</t>
  </si>
  <si>
    <t>154171403</t>
  </si>
  <si>
    <t>Réfection de l'aérogare et du garage à l'aéroport et du cabanon à l'héliport de Saint-Augustin</t>
  </si>
  <si>
    <t>2028</t>
  </si>
  <si>
    <t>154951716</t>
  </si>
  <si>
    <t>Démolition du hangar existant à Kuujjuarapik</t>
  </si>
  <si>
    <t>Syst. Électro.</t>
  </si>
  <si>
    <t>154180023</t>
  </si>
  <si>
    <t>Réaménagement des aires de trafics et modification des accès dans l'aérogare à l'aéroport de Kuujjjuarapik</t>
  </si>
  <si>
    <t>154180731</t>
  </si>
  <si>
    <t>Mise à niveau du transit à Umiujaq</t>
  </si>
  <si>
    <t>Umiujaq</t>
  </si>
  <si>
    <t>Luc/Valérie</t>
  </si>
  <si>
    <t>154180745</t>
  </si>
  <si>
    <t>Réfection du système d'eau potable à l'aéroport de Port-Menier</t>
  </si>
  <si>
    <t>Port-Menier</t>
  </si>
  <si>
    <t>154180768</t>
  </si>
  <si>
    <t>Réfection de la piste à Port-Menier</t>
  </si>
  <si>
    <t>154180773</t>
  </si>
  <si>
    <t>Réfection de l'aérogare et du garage à l'aéroport de l'Isle-aux-Grues</t>
  </si>
  <si>
    <t>Isle-aux-Grues</t>
  </si>
  <si>
    <t>154101261</t>
  </si>
  <si>
    <t>Rechargement de l'aire de mouvements et travaux divers à l'aéroport d'Aupaluk</t>
  </si>
  <si>
    <t>Aupaluk</t>
  </si>
  <si>
    <t>154101520</t>
  </si>
  <si>
    <t>Réparation du système de chauffage à l'aéroport de La Romaine</t>
  </si>
  <si>
    <t>154190517</t>
  </si>
  <si>
    <t>Réfection et agrandissement de l'aire de trafic et ajout d'une voie de circulation à l'aéroport de Chibougamau</t>
  </si>
  <si>
    <t>Julie/Valérie</t>
  </si>
  <si>
    <t>Nord-Sud</t>
  </si>
  <si>
    <t>154190529</t>
  </si>
  <si>
    <t>Installation d'AWOS dans 12 aéroports</t>
  </si>
  <si>
    <t>154190601</t>
  </si>
  <si>
    <t>Construction d'un nouveau garage à Matagami</t>
  </si>
  <si>
    <t>154190480</t>
  </si>
  <si>
    <t>Rechargement de l'aire de mouvement de l'aéroport et installation de glissières sur la route d'accès de Quaqtaq</t>
  </si>
  <si>
    <t>Quaqtaq</t>
  </si>
  <si>
    <t>154190675</t>
  </si>
  <si>
    <t>Mise à niveau de l'atelier et construction d'un nouveau bâtiment à Chicoutimi/St-Honoré</t>
  </si>
  <si>
    <t>154190681</t>
  </si>
  <si>
    <t>Agrandissement de l'air de trafic et travaux divers à La Romaine</t>
  </si>
  <si>
    <t>154190684</t>
  </si>
  <si>
    <t>Rechargement de l'aire de mouvements et remplacement de sections de clôture à l'aéroport d'Umiujaq</t>
  </si>
  <si>
    <t>154190686</t>
  </si>
  <si>
    <t>Rechargement de la piste et déplacement du réservoir à Kangirsuk</t>
  </si>
  <si>
    <t>Kangirsuk</t>
  </si>
  <si>
    <t>154200650</t>
  </si>
  <si>
    <t>Réfection des berges à Montmagny</t>
  </si>
  <si>
    <t>Héliport</t>
  </si>
  <si>
    <t>154210524</t>
  </si>
  <si>
    <t>Travaux divers à l'héliport d'Harrington Harbour</t>
  </si>
  <si>
    <t>Harrington Harbour</t>
  </si>
  <si>
    <t>154210528</t>
  </si>
  <si>
    <t>Amélioration du contrôle des accès, remplacement balisage lumineux et travaux divers à l'aéroport et héliport La Tabatiè</t>
  </si>
  <si>
    <t>154230630</t>
  </si>
  <si>
    <t>Acquisition et installation de systèmes d'extraction des gaz d'échappements dans divers aéroports du Nunavik</t>
  </si>
  <si>
    <t>154240034</t>
  </si>
  <si>
    <t>Remplacement des clôtures en bout de piste à L'Isle-aux-Grues</t>
  </si>
  <si>
    <t>DAA</t>
  </si>
  <si>
    <t>154240039</t>
  </si>
  <si>
    <t>Installation de clôtures (Festival dans l'vent) à l'aéroport de Chicoutimi/Saint-Honoré</t>
  </si>
  <si>
    <t>154240497</t>
  </si>
  <si>
    <t>Installation d'un bloc sanitaire à l'aéroport de Port-Menier</t>
  </si>
  <si>
    <t>154240498</t>
  </si>
  <si>
    <t>Scellement de fissures dans divers aéroports (2025)</t>
  </si>
  <si>
    <t>154240500</t>
  </si>
  <si>
    <t>Installation d'une clôture à l'aéroport de Chibougamau</t>
  </si>
  <si>
    <t>Suivi de la Programmation proposée des investissements aéroportaires 25-27 en milliers de dollars (000$)</t>
  </si>
  <si>
    <t>Mise à jour des données:  2024-11-13</t>
  </si>
  <si>
    <t>2025 Actuel</t>
  </si>
  <si>
    <t>2025 Trimestre précédent</t>
  </si>
  <si>
    <t>ÉCART 2025 Total Actuel vs trimestre précédent</t>
  </si>
  <si>
    <t>2026 Actuel</t>
  </si>
  <si>
    <t>2026 Trimestre précédent</t>
  </si>
  <si>
    <t>ÉCART 2026 Total Actuel vs trimestre précédent</t>
  </si>
  <si>
    <t>TOTAL 25-27</t>
  </si>
  <si>
    <t>Avis de modification en cours de préparation</t>
  </si>
  <si>
    <t>Modification directe à PPS-6003</t>
  </si>
  <si>
    <t>Total PR+PL (Inclus Fonctionnement)</t>
  </si>
  <si>
    <t>DES_COMPL_NATR_COMPB</t>
  </si>
  <si>
    <t>NUM_PRIRT_DG</t>
  </si>
  <si>
    <t>AC 2025 Trimestre précédent</t>
  </si>
  <si>
    <t>TR 2025 Trimestre précédent</t>
  </si>
  <si>
    <t>Écart AC 2025</t>
  </si>
  <si>
    <t>Écart TR 2025</t>
  </si>
  <si>
    <t>Écart 2025 Total</t>
  </si>
  <si>
    <t>État travaux 2025</t>
  </si>
  <si>
    <t>AC 2026 Trimestre précédent</t>
  </si>
  <si>
    <t>TR 2026 Trimestre précédent</t>
  </si>
  <si>
    <t>Écart AC 2026</t>
  </si>
  <si>
    <t>Écart TR 2026</t>
  </si>
  <si>
    <t>Écart 2026 Total</t>
  </si>
  <si>
    <t>Immobilisation</t>
  </si>
  <si>
    <t>Report</t>
  </si>
  <si>
    <t>Correction de l’aire de mouvement et divers travaux électriques à l’aéroport de Tête-à-la-Baleine</t>
  </si>
  <si>
    <t>Intervention de gainage sur les ponceaux situés sous la piste de l’aéroport de Salluit</t>
  </si>
  <si>
    <t>Devancé</t>
  </si>
  <si>
    <t>0. Non démarré</t>
  </si>
  <si>
    <t>Retrait</t>
  </si>
  <si>
    <t>154240647</t>
  </si>
  <si>
    <t>Réserve de matériaux granulaire à l'aéroport de Tête-à-la-Baleine</t>
  </si>
  <si>
    <t>Ajout</t>
  </si>
  <si>
    <t>Agrandissement de l'aérogare de l'aéroport de La Tabatière</t>
  </si>
  <si>
    <t>6. En attente publication AO</t>
  </si>
  <si>
    <t>Planification des investissements aéroportaires 24-34 en milliers de dollars (000$)</t>
  </si>
  <si>
    <t>Programmation</t>
  </si>
  <si>
    <t>154061991</t>
  </si>
  <si>
    <t>Construction d'une nouvelle aérogare et d'un garage à l'aéroport d'Inukjuak</t>
  </si>
  <si>
    <t>Inukjuak</t>
  </si>
  <si>
    <t>154091454</t>
  </si>
  <si>
    <t>Construction d'un entrepôt à abrasif, rénovation du garage et du hangar existant à Bonaventure</t>
  </si>
  <si>
    <t>154101262</t>
  </si>
  <si>
    <t>Rechargement de l'aire de mouvement, adaptation changements climatiques et remplacement du balisage lumineux à Inukjuak</t>
  </si>
  <si>
    <t>154130267</t>
  </si>
  <si>
    <t>Construction d'une nouvelle aérogare à Chibougamau / Chapais</t>
  </si>
  <si>
    <t>154150340</t>
  </si>
  <si>
    <t>Rechargement des aires de mouvement et remplacement des aides visuelles à Kuujjuarapik</t>
  </si>
  <si>
    <t>0</t>
  </si>
  <si>
    <t>154160152</t>
  </si>
  <si>
    <t>Rechargement de l’aire de mouvement et remplacement des dispositifs lumineux à l’aéroport de Kangiqsujuaq</t>
  </si>
  <si>
    <t>154160743</t>
  </si>
  <si>
    <t>Rechargement de la piste et réparation d'un section de la route d'accès à Akulivik</t>
  </si>
  <si>
    <t>Akulivik</t>
  </si>
  <si>
    <t>154160752</t>
  </si>
  <si>
    <t>Réfection de l'aire de mouvement de l'Aéroport de Montmagny</t>
  </si>
  <si>
    <t>154171269</t>
  </si>
  <si>
    <t>Réfection de la piste 04-22 à Chibougamau / Chapais</t>
  </si>
  <si>
    <t>154171270</t>
  </si>
  <si>
    <t>Reconstruction de la piste 18-36 et construction de deux pistes d’entraînement pour hélicoptères</t>
  </si>
  <si>
    <t>154171295</t>
  </si>
  <si>
    <t>Installation d'une clôture et de barrières à L'Isle-aux-Grues</t>
  </si>
  <si>
    <t>RL</t>
  </si>
  <si>
    <t>154171402</t>
  </si>
  <si>
    <t>Rechargement des aires de mouvement, réfection du balisage et du drainage et divers travaux électriques à La Tabatière</t>
  </si>
  <si>
    <t>154171405</t>
  </si>
  <si>
    <t>Relocalisation des unités lumineuses de pentes d'approches (PAPI) et remplacement du balisage à La Romaine</t>
  </si>
  <si>
    <t>154180001</t>
  </si>
  <si>
    <t>Remplacement des RTIL à Aupaluk et Kangirsuk et du balisage lumineux à Aupaluk</t>
  </si>
  <si>
    <t>154180091</t>
  </si>
  <si>
    <t>Remplacement de ponceaux sur la route d'accès à l'aéroport de Salluit</t>
  </si>
  <si>
    <t>154180629</t>
  </si>
  <si>
    <t>Relocalisation d'un PAPI, installation d'une barrière motorisée et divers travaux électrotechniques à Umiujaq</t>
  </si>
  <si>
    <t>154190163</t>
  </si>
  <si>
    <t>Remplacement du circuit de piste, du balisage lumineux et d'une manche de vent à l'aéroport de Saint-Augustin</t>
  </si>
  <si>
    <t>154190251</t>
  </si>
  <si>
    <t>Remplacement des RTIL aux aéroports d'Ivujivik et de Quaqtaq</t>
  </si>
  <si>
    <t>VALERIE SOUCY</t>
  </si>
  <si>
    <t>154190477</t>
  </si>
  <si>
    <t>Réfection de la piste 12-30, des voies de circulation B et C et travaux divers à l'aéroport de Chicoutimi/Saint-Honoré</t>
  </si>
  <si>
    <t>154200233</t>
  </si>
  <si>
    <t>Remplacement des réservoirs de carburant à l'aéroport de Matagami</t>
  </si>
  <si>
    <t>154200567</t>
  </si>
  <si>
    <t>Remplacement de 4 portes de garage et 3 séries de fenêtres sur le garage à l'aéroport de Chicoutimi / Saint-Honoré</t>
  </si>
  <si>
    <t>154200568</t>
  </si>
  <si>
    <t>Remplacement de la porte du garage sur l'atelier à l'aéroport de l'Isle-aux-Grues</t>
  </si>
  <si>
    <t>6</t>
  </si>
  <si>
    <t>154200670</t>
  </si>
  <si>
    <t>Dynamitage du cap de roche à l'aéroport de La Romaine</t>
  </si>
  <si>
    <t>154210133</t>
  </si>
  <si>
    <t>Installation de nacelles avec conteneurs sur les sites aéroportuaires de Kuujjuarapik et de Salluit</t>
  </si>
  <si>
    <t>154230638</t>
  </si>
  <si>
    <t>Travaux de rechargement d'urgence à l'aéroport de Puvirnituq</t>
  </si>
  <si>
    <t>154180005</t>
  </si>
  <si>
    <t>Réfection de la structure P-11930 sur la route d'accès à Tasiujaq</t>
  </si>
  <si>
    <t>154951715</t>
  </si>
  <si>
    <t>Construction d'un nouveau garage à Kuujjuarapik</t>
  </si>
  <si>
    <t>154180746</t>
  </si>
  <si>
    <t>Ajout d'un groupe électrogène aéroport de Tête-à-la-Baleine</t>
  </si>
  <si>
    <t>154180843</t>
  </si>
  <si>
    <t>Rechargement de l'aire de mouvement et travaux divers à l'aéroport de  Salluit</t>
  </si>
  <si>
    <t>154061990</t>
  </si>
  <si>
    <t>Rénovations de l'aérogare et du garage à Umiujaq</t>
  </si>
  <si>
    <t>154061995</t>
  </si>
  <si>
    <t>Reconstruction de l'aérogare et d'un garage à Akulivik</t>
  </si>
  <si>
    <t>154160749</t>
  </si>
  <si>
    <t>Réfection et agrandissement de l'aérogare et du garage à l'aéroport d'Aupaluk</t>
  </si>
  <si>
    <t>2031</t>
  </si>
  <si>
    <t>154171401</t>
  </si>
  <si>
    <t>Réfection de la piste de l'aéroport de La Romaine</t>
  </si>
  <si>
    <t>154190597</t>
  </si>
  <si>
    <t>Réfection d'un garage à l'aéroport de Chibougamau</t>
  </si>
  <si>
    <t>154171404</t>
  </si>
  <si>
    <t>Rénovation de l'aérogare et du garage à l'aéroport de Port-Menier</t>
  </si>
  <si>
    <t>154180766</t>
  </si>
  <si>
    <t>Réfection des aires de mouvements et du balisage lumineux à l'aéroport de Saint-Bruno-de-Guigues</t>
  </si>
  <si>
    <t>154180769</t>
  </si>
  <si>
    <t>Rechargement de la  piste à l'aéroport de Tête-à-la-Baleine</t>
  </si>
  <si>
    <t>154220313</t>
  </si>
  <si>
    <t>Remplacement d'un groupe électrogène à l'aéroport de Bonaventure</t>
  </si>
  <si>
    <t>154180771</t>
  </si>
  <si>
    <t>Rechargement de la  piste à La Tabatière</t>
  </si>
  <si>
    <t>154180774</t>
  </si>
  <si>
    <t>Travaux divers à l'héliport de Tête-à-la-Baleine</t>
  </si>
  <si>
    <t>154220312</t>
  </si>
  <si>
    <t>Scellement de fissures dans les divers aéroports au sud (2024)</t>
  </si>
  <si>
    <t>Route d'accès</t>
  </si>
  <si>
    <t>154220339</t>
  </si>
  <si>
    <t>Réfection de la route d'accès et des ponceaux à Kangiqsualujjuaq</t>
  </si>
  <si>
    <t>2033</t>
  </si>
  <si>
    <t>154220344</t>
  </si>
  <si>
    <t>Rechargement de l'aire de mouvement à Salluit</t>
  </si>
  <si>
    <t>2034</t>
  </si>
  <si>
    <t>154220351</t>
  </si>
  <si>
    <t>Réfection de la piste et travaux d'amélioration du drainage à l'aéroport de Bonaventure</t>
  </si>
  <si>
    <t>154190685</t>
  </si>
  <si>
    <t>Rechargement de piste à Kangiqsualujjuaq</t>
  </si>
  <si>
    <t>154190687</t>
  </si>
  <si>
    <t>Rechargement des aires de mouvement, réfection de sections des clôtures et de la route d'accès à l'aéroport d'Ivujivik</t>
  </si>
  <si>
    <t>Ivujivik</t>
  </si>
  <si>
    <t>154200654</t>
  </si>
  <si>
    <t>Réfection de la piste et du balisage lumineux à L'Isle-aux-Grues</t>
  </si>
  <si>
    <t>154210517</t>
  </si>
  <si>
    <t>Réfection de l'aérogare et du garage de La Romaine</t>
  </si>
  <si>
    <t>154200684</t>
  </si>
  <si>
    <t>Modification des accès dans l'aérogare de Kuujjuarapik</t>
  </si>
  <si>
    <t>154210545</t>
  </si>
  <si>
    <t>Travaux divers à l'héliport de Cacouna</t>
  </si>
  <si>
    <t>Cacouna</t>
  </si>
  <si>
    <t>154210546</t>
  </si>
  <si>
    <t>Travaux divers à l'héliport de Kégaska</t>
  </si>
  <si>
    <t>Kégaska</t>
  </si>
  <si>
    <t>154210548</t>
  </si>
  <si>
    <t>Travaux divers à l'héliport de Notre-Dame-des-Sept-Douleurs</t>
  </si>
  <si>
    <t>Île Verte</t>
  </si>
  <si>
    <t>154220352</t>
  </si>
  <si>
    <t>Réfection de la piste à l'aéroport de Saint-Augustin</t>
  </si>
  <si>
    <t>Saint-Augustin</t>
  </si>
  <si>
    <t>2032</t>
  </si>
  <si>
    <t>154220353</t>
  </si>
  <si>
    <t>Réfection de la piste à l'aéroport de Matagami</t>
  </si>
  <si>
    <t>154220358</t>
  </si>
  <si>
    <t>Réfection de la route d'accès et des ponceaux à Umiujaq</t>
  </si>
  <si>
    <t>154220487</t>
  </si>
  <si>
    <t>Rechargement de l'aire de trafic, de la voie de circulation et remplacement de ponceaux</t>
  </si>
  <si>
    <t>154220359</t>
  </si>
  <si>
    <t>Réfection de la route d'accès et des ponceaux à Inukjuaq</t>
  </si>
  <si>
    <t>154230555</t>
  </si>
  <si>
    <t>Réfection du pavage de la Rue de l'Aéroport à l'aéroport de Chicoutimi</t>
  </si>
  <si>
    <t>154220360</t>
  </si>
  <si>
    <t>Réfection de la route d'accès et des ponceaux à Puvirnituq</t>
  </si>
  <si>
    <t>154220431</t>
  </si>
  <si>
    <t>Installation de clôtures et de barrières secteur nord à l'aéroport de Chicoutimi/Saint-Honoré</t>
  </si>
  <si>
    <t>154230556</t>
  </si>
  <si>
    <t>Remplacement du balisage lumineux et divers travaux électrotechniques à l'aéroport de Matagami</t>
  </si>
  <si>
    <t>154230631</t>
  </si>
  <si>
    <t>Installation de caméras de vidéo-surveillance Phase 2</t>
  </si>
  <si>
    <t>154230793</t>
  </si>
  <si>
    <t>Installation d'un système d'approvisionnement en eau potable à La Romaine</t>
  </si>
  <si>
    <t>154230840</t>
  </si>
  <si>
    <t>Agrandissement de l'aire de trafic, ajout d'une voie de circulation et d’un système de captation des contaminants</t>
  </si>
  <si>
    <t>154240284</t>
  </si>
  <si>
    <t>Rechargement de l’aire de mouvement à l’aéroport d'Inukjuaq</t>
  </si>
  <si>
    <t>154240285</t>
  </si>
  <si>
    <t>Rechargement de l’aire de mouvement à l’aéroport de Kangiqsujuaq</t>
  </si>
  <si>
    <t>154240494</t>
  </si>
  <si>
    <t>Réparation de fissures en bordure de piste à l'aéroport de Chibougamau-Chapais</t>
  </si>
  <si>
    <t>154240496</t>
  </si>
  <si>
    <t>Réaménagement des fossés à l'aéroport de Isle-aux-Grues</t>
  </si>
  <si>
    <t>154240499</t>
  </si>
  <si>
    <t>Pavage du chemin d'accès menant aux terrains locatifs à l'aéroport de Chibougamau</t>
  </si>
  <si>
    <t>154240501</t>
  </si>
  <si>
    <t>Agrandissement du garage à l'aéroport de Puvirnituq</t>
  </si>
  <si>
    <t>154240502</t>
  </si>
  <si>
    <t>Agrandissement du garage à l'aéroport de Ivujivik</t>
  </si>
  <si>
    <t>154240503</t>
  </si>
  <si>
    <t>Agrandissement du garage à l'aéroport de Kangirsuk</t>
  </si>
  <si>
    <t>154240504</t>
  </si>
  <si>
    <t>Agrandissement du garage à l'aéroport de Kuujjuarapik</t>
  </si>
  <si>
    <t>154240505</t>
  </si>
  <si>
    <t>Agrandissement du garage à l'aéroport de Quaqtaq</t>
  </si>
  <si>
    <t>154240506</t>
  </si>
  <si>
    <t>Agrandissement du garage à l'aéroport de Tasiujaq</t>
  </si>
  <si>
    <t>154240507</t>
  </si>
  <si>
    <t>Pavage des aires de mouvement à l'aéroport de Kujjuarapik</t>
  </si>
  <si>
    <t>154240508</t>
  </si>
  <si>
    <t>Pavage des aires de mouvement à l'aéroport de Puvirnituq</t>
  </si>
  <si>
    <t>154240509</t>
  </si>
  <si>
    <t>Rénovation de l'aérogare et du garage à Saint-Bruno-de-Guigues</t>
  </si>
  <si>
    <t>154240510</t>
  </si>
  <si>
    <t>Agrandissement de l’aire de trafic et ajout d’un système de captation des contaminants à Puvirnituq</t>
  </si>
  <si>
    <t>154240511</t>
  </si>
  <si>
    <t>Agrandissement de l’aire de trafic II, ajout d'une voie de circulation et d’un système de captation des contaminants Kuu</t>
  </si>
  <si>
    <t>Total Programmation actuelle</t>
  </si>
  <si>
    <t>Total Prévisions</t>
  </si>
  <si>
    <t>ÉCART</t>
  </si>
  <si>
    <t>PREV AC 2024</t>
  </si>
  <si>
    <t>PREV TR 2024</t>
  </si>
  <si>
    <t>ÉCART AC 2024</t>
  </si>
  <si>
    <t>ÉCART TR 2024</t>
  </si>
  <si>
    <t>ÉCART TOTAL 2024</t>
  </si>
  <si>
    <t>PREV AC 2025</t>
  </si>
  <si>
    <t>PREV TR 2025</t>
  </si>
  <si>
    <t>ÉCART AC 2025</t>
  </si>
  <si>
    <t>ÉCART TR 2025</t>
  </si>
  <si>
    <t>ÉCART TOTAL 2025</t>
  </si>
  <si>
    <t>PREV AC 2026</t>
  </si>
  <si>
    <t>PREV TR 2026</t>
  </si>
  <si>
    <t>PREV AC 2027</t>
  </si>
  <si>
    <t>PREV TR 2027</t>
  </si>
  <si>
    <t>PREV AC 2028</t>
  </si>
  <si>
    <t>PREV TR 2028</t>
  </si>
  <si>
    <t>PREV AC 2029</t>
  </si>
  <si>
    <t>PREV TR 2029</t>
  </si>
  <si>
    <t>PREV AC 2030</t>
  </si>
  <si>
    <t>PREV TR 2030</t>
  </si>
  <si>
    <t>PREV AC 2031</t>
  </si>
  <si>
    <t>PREV TR 2031</t>
  </si>
  <si>
    <t>PREV AC 2032</t>
  </si>
  <si>
    <t>PREV TR 2032</t>
  </si>
  <si>
    <t>PREV AC 2033</t>
  </si>
  <si>
    <t>PREV TR 2033</t>
  </si>
  <si>
    <t>PREV AC 2034</t>
  </si>
  <si>
    <t>PREV TR 2034</t>
  </si>
  <si>
    <t>Total</t>
  </si>
  <si>
    <t>A</t>
  </si>
  <si>
    <t xml:space="preserve">Mise à jour des données: </t>
  </si>
  <si>
    <t>Rechargement de l'aire de mouvement et remplacement de sections de clôture à l'aéroport d'Umiujaq</t>
  </si>
  <si>
    <t>154240709</t>
  </si>
  <si>
    <t>Réfection des aires de sécurité et de la bande de piste à l'aéroport de Montmagny</t>
  </si>
  <si>
    <t>Mise à jour des données:  2024-01-17</t>
  </si>
  <si>
    <t>Modification des accès et travaux de maintien des actifs de l'aérogare de Kuujjuarapik</t>
  </si>
  <si>
    <t>Traitement de surface de l’aire de trafic à l’aéroport et remplacement du balisage lumineux à l’héliport de La Tabatière</t>
  </si>
  <si>
    <t>154240756</t>
  </si>
  <si>
    <t>Remplacement des portes coulissantes et réparation des seuils de porte de garage de l’aérogare, aéroport d’Inukjuak.</t>
  </si>
  <si>
    <t>154240757</t>
  </si>
  <si>
    <t>Remplacement des portes coulissantes de l’aérogare, aéroport de Puvirnituq</t>
  </si>
  <si>
    <t>Acquisition et installation d'AWOS dans 12 aéroports</t>
  </si>
  <si>
    <t>Les montants en travaux sont inscrits à l'année suivante pour ne pas que la composante TR soit programmé lors de l'approbation de la programmation initiale</t>
  </si>
  <si>
    <t>154240787</t>
  </si>
  <si>
    <t>Projet de compensation impacts env. (réfection des berges) à l'aéroport de Montmagny</t>
  </si>
  <si>
    <t>Réfection des aires de mouvements à L'Isle-aux-Grues</t>
  </si>
  <si>
    <t>Reconstruction de la piste 18-36 et construction de deux pistes d’entraînement pour hélicoptères à Chicoutimi</t>
  </si>
  <si>
    <t>Agrandissement de l'aire de trafic, ajout d'une VC et d’un syst. de captation des contaminants à Kangiqsujuaq</t>
  </si>
  <si>
    <t>Rechargement de l'aire de trafic, de la voie de circulation et remplacement de ponceaux à l'aéroport de Salluit</t>
  </si>
  <si>
    <t>Agrandissement de l’aire de trafic II, ajout d'une VC et d’un syst. de captation des contaminants à Kuujjuarapik</t>
  </si>
  <si>
    <t>Travaux de réparation des infrastructures sanitaires à l'aéroport de Port-Menier</t>
  </si>
  <si>
    <t>Réfection de la piste et des accotements à l'aéroport de Saint-Augustin</t>
  </si>
  <si>
    <t>154240816</t>
  </si>
  <si>
    <t>Réfection de la piste de l'aéroport de Montmagny</t>
  </si>
  <si>
    <t>2035</t>
  </si>
  <si>
    <t>Délais PC3 et PC5</t>
  </si>
  <si>
    <t>Délais PC1 et PC3</t>
  </si>
  <si>
    <t>Délais total PC3 et PC5</t>
  </si>
  <si>
    <t>OPC PC-5</t>
  </si>
  <si>
    <t>OPC PC-3</t>
  </si>
  <si>
    <t>PQI 25-35</t>
  </si>
  <si>
    <t>Investissements aéroportuaires en milliers  (000$)</t>
  </si>
  <si>
    <t>Rechargement de l'aire de mouvement, de la route d'accès et des ponceaux de l'aéroport de Kangiqsualujjuaq</t>
  </si>
  <si>
    <t>Agrandissement de l'aire de trafic et travaux divers à La Romaine</t>
  </si>
  <si>
    <t>154250021</t>
  </si>
  <si>
    <t>Réfection du hangar à l'aéroport de Montmagny</t>
  </si>
  <si>
    <t>ÉCART AC 20262</t>
  </si>
  <si>
    <t>ÉCART TR 20263</t>
  </si>
  <si>
    <t>ÉCART TOTAL 20264</t>
  </si>
  <si>
    <t>OPC-1</t>
  </si>
  <si>
    <t>AC 2025 Initiale</t>
  </si>
  <si>
    <t>TR 2025 Initiale</t>
  </si>
  <si>
    <t>AC 2026 Initiale</t>
  </si>
  <si>
    <t>TR 2026 Initiale</t>
  </si>
  <si>
    <t>2025 Prog Initiale 25-27</t>
  </si>
  <si>
    <t>ÉCART 2025 Total Actuel vs Prog Initiale 25-27</t>
  </si>
  <si>
    <t>Écart Total PR+PL vs PQI 25-35</t>
  </si>
  <si>
    <t>% Écart Total PR+PL vs PQI 25-35</t>
  </si>
  <si>
    <t>2026 Prog Initiale 25-27</t>
  </si>
  <si>
    <t>ÉCART 2026 Total Actuel vs Prog Initiale 25-27</t>
  </si>
  <si>
    <t>Suivi de la Programmation des investissements aéroportaires 25-27 en milliers de dollars (000$)</t>
  </si>
  <si>
    <t>TOTAL 26-31</t>
  </si>
  <si>
    <t>Projet en travaux 2025-2026 en milliers de dollars (000$)</t>
  </si>
  <si>
    <t>Mise à jour</t>
  </si>
  <si>
    <t>Indicateur d'avancement</t>
  </si>
  <si>
    <t>Parachèvement</t>
  </si>
  <si>
    <t>En contrôle</t>
  </si>
  <si>
    <t>À surveiller</t>
  </si>
  <si>
    <t>Préoccupant</t>
  </si>
  <si>
    <t>Critique</t>
  </si>
  <si>
    <t>Projet en travaux 2026-2027 en milliers de dollars (000$)</t>
  </si>
  <si>
    <t>Projet en préparation 2025 pour travaux prévus 2027 et plus en milliers de dollars (000$)</t>
  </si>
  <si>
    <t>Tavaux terminé</t>
  </si>
  <si>
    <t>NP
Contrats de construction et contrôle qualité signés</t>
  </si>
  <si>
    <t>NP
AO terminé</t>
  </si>
  <si>
    <t>NP
AO publié</t>
  </si>
  <si>
    <t>NP
Reprise AO publié</t>
  </si>
  <si>
    <t>Non annoncé
En attente publication AO</t>
  </si>
  <si>
    <t>Initiale 2025</t>
  </si>
  <si>
    <t>Actuel 2026</t>
  </si>
  <si>
    <t>Actuel 2025</t>
  </si>
  <si>
    <t>Initiale 2026</t>
  </si>
  <si>
    <t>NP
Contrat de construction signé</t>
  </si>
  <si>
    <t>Précisions</t>
  </si>
  <si>
    <t>Litige en cours
En attente des résultats d’études géotechniques</t>
  </si>
  <si>
    <t>En attente de signature du contrat de surveillance</t>
  </si>
  <si>
    <t>En négociation pour les contrats de surveillance et contrôle qualité</t>
  </si>
  <si>
    <t>En attente de la validation des soumissions 
En négo pour mandat de surveillance</t>
  </si>
  <si>
    <r>
      <t>Ouverture soumission 1</t>
    </r>
    <r>
      <rPr>
        <vertAlign val="superscript"/>
        <sz val="11"/>
        <color rgb="FF000000"/>
        <rFont val="Calibri"/>
        <family val="2"/>
        <scheme val="minor"/>
      </rPr>
      <t>er</t>
    </r>
    <r>
      <rPr>
        <sz val="11"/>
        <color rgb="FF000000"/>
        <rFont val="Calibri"/>
        <family val="2"/>
        <scheme val="minor"/>
      </rPr>
      <t xml:space="preserve"> mai</t>
    </r>
  </si>
  <si>
    <t>Acquisition seulement en 2026</t>
  </si>
  <si>
    <t>Répartie sur 2 ans 26-27
En attente de la DGG décembre 2025</t>
  </si>
  <si>
    <t>En attente d’orientation
Firme externe poursuit la préparation</t>
  </si>
  <si>
    <t xml:space="preserve"> Valeurs à risque de report</t>
  </si>
  <si>
    <t>Total prévus(PR+PL+Report)</t>
  </si>
  <si>
    <t>AC 2035</t>
  </si>
  <si>
    <t>TR 2035</t>
  </si>
  <si>
    <t>TOTAL 26-36</t>
  </si>
  <si>
    <t>Réfection de la piste et du balisage lumineux à l'aéroport de L'Isle-aux-Grues</t>
  </si>
  <si>
    <t>154250176</t>
  </si>
  <si>
    <t>Scellement de fissures dans divers aéroports (2026)</t>
  </si>
  <si>
    <t>154250180</t>
  </si>
  <si>
    <t>Remplacement d’un réservoir de produits pétroliers de la génératrice à l'aéroport de Matagami</t>
  </si>
  <si>
    <t>154250181</t>
  </si>
  <si>
    <t>Amélioration de la route d'accès à Kangirsuk</t>
  </si>
  <si>
    <t>154111623</t>
  </si>
  <si>
    <t>acquisition et l’installation d’une génératrice d’urgence et l’ajout d’éclairage à l'aéroport de l'Isle-aux-Grues</t>
  </si>
  <si>
    <t>Année Proposée</t>
  </si>
  <si>
    <t>154250200</t>
  </si>
  <si>
    <t>Scellement de fissures dans divers aéroports (2027)</t>
  </si>
  <si>
    <t>Travaux terminé</t>
  </si>
  <si>
    <t>Contrat de construction signé</t>
  </si>
  <si>
    <t>Litige en cours
En attente des résultats d’expertises</t>
  </si>
  <si>
    <t>Surveillance interne</t>
  </si>
  <si>
    <t>Contrats de construction et de surveillance signés</t>
  </si>
  <si>
    <t>Travaux en cours</t>
  </si>
  <si>
    <t>En attente de l'échéancier des travaux</t>
  </si>
  <si>
    <t>Reprise des travaux automne 2025</t>
  </si>
  <si>
    <t>Contrats de construction, contrôle qualité et surveillance signés</t>
  </si>
  <si>
    <t>Mobilisation en cours</t>
  </si>
  <si>
    <t>Surveillance interne
En attente de l'échéancier des travaux</t>
  </si>
  <si>
    <t>Ouverture prévue 11 juillet 2025</t>
  </si>
  <si>
    <t>En Appel d'offres</t>
  </si>
  <si>
    <t>Travaux terminés</t>
  </si>
  <si>
    <t>En attente de l'acception finale des travaux</t>
  </si>
  <si>
    <t>En fermeture de contrats</t>
  </si>
  <si>
    <t>En réclamation</t>
  </si>
  <si>
    <t>Précision</t>
  </si>
  <si>
    <t>En attente du phasage des travaux pour confirmer la répartition des travaux</t>
  </si>
  <si>
    <t>Conception interne</t>
  </si>
  <si>
    <t>En attente de l’échéancier pour confirmer la répartition des travaux</t>
  </si>
  <si>
    <t>Retrait de l’intervention visant à résoudre la problématique de poussière sur l’aire de trafic</t>
  </si>
  <si>
    <t>Point d’arrêt prévu le 24 juillet 2025</t>
  </si>
  <si>
    <t>Devis en révision</t>
  </si>
  <si>
    <t>Publication AO prévue Août 2025</t>
  </si>
  <si>
    <t>CEDPP en préparation</t>
  </si>
  <si>
    <t>Acquisition prévue en 2026
Risque de report des travaux 2027 à 2028</t>
  </si>
  <si>
    <t>154220338</t>
  </si>
  <si>
    <t>Étude d’opportunité sur le développement de l’aménagement de l’aéroport à Puvirnituq</t>
  </si>
  <si>
    <t>Agrandissement de l’aire de trafic II, ajout d'une VC et pavage de la piste à Kuujjuarapik</t>
  </si>
  <si>
    <t>Remplacement du réservoir de la génératrice à l'aéroport de Matagami</t>
  </si>
  <si>
    <t>Ajustement des fosses de tirage (circuits12-30 et Delta) et réfection de la rue de l'Aéroport à l'aéroport de Chicoutimi</t>
  </si>
  <si>
    <t>Cible PC-1</t>
  </si>
  <si>
    <t>Cible PC-3</t>
  </si>
  <si>
    <t>Cible PC-5</t>
  </si>
  <si>
    <t>Réfection de la piste à l'aéroport de L'Isle-aux-Grues</t>
  </si>
  <si>
    <t>Réfection du balisage lumineux et de la structure de l'héliport de Kégaska</t>
  </si>
  <si>
    <t>154250374</t>
  </si>
  <si>
    <t>Fourniture et installation d'une remise pour l'échantillonnage des produits pétroliers à l'aéroport de Matagami</t>
  </si>
  <si>
    <t>154250377</t>
  </si>
  <si>
    <t>Travaux de thermorapiéçage au seuil de la piste 30 à l'aéroport de Chicoutimi/Saint-Honoré</t>
  </si>
  <si>
    <t>154250378</t>
  </si>
  <si>
    <t>Réparation du terrain de l'héliport de Kégaska</t>
  </si>
  <si>
    <t>154250379</t>
  </si>
  <si>
    <t>Installation d'un système d'éclairage pour les cabinets d'avitaillement à l'aéroport de Matagami</t>
  </si>
  <si>
    <t>154250401</t>
  </si>
  <si>
    <t>Amélioration de la surface de l'aire de trafic à l'aéroport de Tête-à-la-Baleine</t>
  </si>
  <si>
    <t>Année DÉBUT Travaux proposée</t>
  </si>
  <si>
    <t>Diff année</t>
  </si>
  <si>
    <t>IND_PARA_25-26</t>
  </si>
  <si>
    <t>IND_PROJT_ANNONCE_25-27</t>
  </si>
  <si>
    <t>INDICE OPC</t>
  </si>
  <si>
    <t>IND_SITE_PRIO_2024</t>
  </si>
  <si>
    <t>TYPE_INVEST_SCT</t>
  </si>
  <si>
    <t>Maintien</t>
  </si>
  <si>
    <t>Amélioration</t>
  </si>
  <si>
    <t>Remplacement</t>
  </si>
  <si>
    <t>Rechargement de la piste, réparation des clôtures et déplacement du réservoir à Kangirsuk</t>
  </si>
  <si>
    <t>Rechargement de l’aire de mouvement, réparation de la route d'accès et des ponceaux à l’aéroport d'Inukjuaq</t>
  </si>
  <si>
    <t xml:space="preserve">Niveau de risque et Priorité </t>
  </si>
  <si>
    <r>
      <t xml:space="preserve">
</t>
    </r>
    <r>
      <rPr>
        <sz val="10"/>
        <color theme="1"/>
        <rFont val="Calibri"/>
        <family val="2"/>
        <scheme val="minor"/>
      </rPr>
      <t>Inacceptable - P1
Intolérable - P2
Tolérable - P3
Acceptable - P4</t>
    </r>
  </si>
  <si>
    <t>Intervention de maintien:</t>
  </si>
  <si>
    <t xml:space="preserve">Intervention de bonification: </t>
  </si>
  <si>
    <t>Amélioration du nivau de service/ de la fonctionnalité et/ou de la capacité: 3</t>
  </si>
  <si>
    <t>Amélioration du niveau de sécurité: 4</t>
  </si>
  <si>
    <t>Maintien bâtiment/Rechargement ou réfection aire de trafic, voie de circulation, route d'accès/Risque d'intrusion faible: 3</t>
  </si>
  <si>
    <t>Enjeux de sécurité ou Non-conformité/Risque d'intrusion élevé/Ponceau sous une piste en mauvais état : 5</t>
  </si>
  <si>
    <t>Remplacement de bâtiment/ Rechargement ou réfection de piste/Risque d'intrusion moyen/Ponceau en mauvais état sous une route d'accès/ Équipement en fin de vie utile: 4</t>
  </si>
  <si>
    <t xml:space="preserve">Aérogare et garage - Saint-Augustin - Reconstruction, agrandissement et réfection </t>
  </si>
  <si>
    <t xml:space="preserve">Aérogare Kangiqsualujjuaq et garage - Réfection, reconstruction et agrandissement </t>
  </si>
  <si>
    <t>Aérogare Kangiqsujuaq et garage - Réfection</t>
  </si>
  <si>
    <t>Priorité DGATA ou enjeux de sécurité ou annoncé au tableau de bord SCT : 5</t>
  </si>
  <si>
    <t>Stratégie d'intervention</t>
  </si>
  <si>
    <t>Année DÉBUT Travaux proposé</t>
  </si>
  <si>
    <t>Année DÉBUT Travaux Prog actuel</t>
  </si>
  <si>
    <t>Diff Année</t>
  </si>
  <si>
    <t>Année DÉBUT Travaux prog actuelle</t>
  </si>
  <si>
    <t>Diff</t>
  </si>
  <si>
    <t>Réfection de l'hélipad, agrandissement du stationnement et amélioration des clôtures à l'héliport de Saint-Augustin</t>
  </si>
  <si>
    <t>Saint-Augustin (Héli)</t>
  </si>
  <si>
    <t>Année prog actuelle à jour</t>
  </si>
  <si>
    <t>Diff 2</t>
  </si>
  <si>
    <t>Écart Total PR+PL vs Balises</t>
  </si>
  <si>
    <t>% Écart Total PR+PL vs Balises</t>
  </si>
  <si>
    <t>Balises budgétaires</t>
  </si>
  <si>
    <t>Réparation de la toiture du garage à l'aéroport de Kangirsuk</t>
  </si>
  <si>
    <t>Réparation de la toiture du garage à l'aéroport de Ivujivik</t>
  </si>
  <si>
    <t>Réparation des héligares des héliports de Notre-Dame-des-Sept-Douleurs et de Cacouna</t>
  </si>
  <si>
    <t>Phase 2: Acquisition et installation de systèmes d'extraction des gaz d'échappements dans divers aéroports du Nunavik</t>
  </si>
  <si>
    <t>Réparation de la toiture du garage à l'aéroport de Quaqtaq</t>
  </si>
  <si>
    <t>Planification décennale des projets aéroportuaires en milliers (000$)</t>
  </si>
  <si>
    <t>TOTAL 31-36</t>
  </si>
  <si>
    <t>Avis de modification (Non soumis)</t>
  </si>
  <si>
    <t>Programmation proposée préliminaire 26-28 en milliers (000$)</t>
  </si>
  <si>
    <t>Reconstruction de l'héligare à l'héliport de Harrington Harbour</t>
  </si>
  <si>
    <t>Total Projet 2026-2031</t>
  </si>
  <si>
    <t>Requis</t>
  </si>
  <si>
    <t>Franchi</t>
  </si>
  <si>
    <t>Prévu</t>
  </si>
  <si>
    <t>Non franchi</t>
  </si>
  <si>
    <t>TOTAL</t>
  </si>
  <si>
    <t>Taux de respect</t>
  </si>
  <si>
    <t>Respect de l’orientation des points de contrôle (OPC)</t>
  </si>
  <si>
    <t>Total Projet 2026-2036</t>
  </si>
  <si>
    <t>154250476</t>
  </si>
  <si>
    <t>154250512</t>
  </si>
  <si>
    <t>154250513</t>
  </si>
  <si>
    <t>154250514</t>
  </si>
  <si>
    <t>154250515</t>
  </si>
  <si>
    <t>154250516</t>
  </si>
  <si>
    <t>154250517</t>
  </si>
  <si>
    <t>Rechargement des aires de mouvements, réparation de sections de clôture et divers travaux à l'aéroport de Tasiujaq</t>
  </si>
  <si>
    <t>Réfection des voies A, D, E, des aires de trafics nord et sud, et travaux divers à l'aéroport de Chicoutimi/St-Honoré</t>
  </si>
  <si>
    <t>Réfection des clôtures à l'aéroport de La Romaine</t>
  </si>
  <si>
    <t>Acquisition et installation de systèmes d'extraction des gaz d'échappement dans divers aéroports du Nunavik</t>
  </si>
  <si>
    <t>IND_PARA</t>
  </si>
  <si>
    <t>PC-0</t>
  </si>
  <si>
    <t>Plusieurs sites</t>
  </si>
  <si>
    <t>Planification des investissements aéroportaires en milliers de dollars (000$)</t>
  </si>
  <si>
    <t>Période de planification</t>
  </si>
  <si>
    <t>Début</t>
  </si>
  <si>
    <t>Fin</t>
  </si>
  <si>
    <t>Total Quinquennale</t>
  </si>
  <si>
    <t>Total Décennale</t>
  </si>
  <si>
    <t>11</t>
  </si>
  <si>
    <t/>
  </si>
  <si>
    <t>8</t>
  </si>
  <si>
    <t>10</t>
  </si>
  <si>
    <t>2</t>
  </si>
  <si>
    <t>4</t>
  </si>
  <si>
    <t>9</t>
  </si>
  <si>
    <t>Remplacement du balisage lumineux, instal. de clôture et réparation de la structure de l'héliport de Harrington Harbour</t>
  </si>
  <si>
    <t>Remplacement du balisage lumineux et réparation de la structure de l'héliport de Tête-à-la-Baleine</t>
  </si>
  <si>
    <t>AC ULT</t>
  </si>
  <si>
    <t>TR ULT</t>
  </si>
  <si>
    <t>AC 2036</t>
  </si>
  <si>
    <t>TR 2036</t>
  </si>
  <si>
    <t>Année</t>
  </si>
  <si>
    <t>Budget année</t>
  </si>
  <si>
    <t>Projet annoncé</t>
  </si>
  <si>
    <t>Oui</t>
  </si>
  <si>
    <t>Non</t>
  </si>
  <si>
    <t>Date PC-0</t>
  </si>
  <si>
    <t>Date PC-1</t>
  </si>
  <si>
    <t>Date PC-3</t>
  </si>
  <si>
    <t>Date PC-5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</si>
</sst>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\ ###\ ##0"/>
    <numFmt numFmtId="165" formatCode="0.0"/>
    <numFmt numFmtId="166" formatCode="[$-F800]dddd\,\ mmmm\ dd\,\ 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 Nova Cond"/>
      <family val="2"/>
    </font>
    <font>
      <b/>
      <sz val="10"/>
      <color theme="1"/>
      <name val="Calibri"/>
      <family val="2"/>
      <scheme val="minor"/>
    </font>
    <font>
      <b/>
      <sz val="10"/>
      <color theme="8" tint="-0.249977111117893"/>
      <name val="Arial Nova Cond"/>
      <family val="2"/>
    </font>
    <font>
      <sz val="10"/>
      <name val="Arial Nova Cond"/>
      <family val="2"/>
    </font>
    <font>
      <b/>
      <sz val="11"/>
      <color theme="8" tint="-0.249977111117893"/>
      <name val="Arial Nova Cond"/>
      <family val="2"/>
    </font>
    <font>
      <b/>
      <sz val="10"/>
      <name val="Arial Nova Cond"/>
      <family val="2"/>
    </font>
    <font>
      <b/>
      <sz val="12"/>
      <color theme="0"/>
      <name val="Arial Nova Cond"/>
      <family val="2"/>
    </font>
    <font>
      <sz val="12"/>
      <color theme="8" tint="-0.249977111117893"/>
      <name val="Arial Nova Cond"/>
      <family val="2"/>
    </font>
    <font>
      <sz val="11"/>
      <color theme="8" tint="-0.249977111117893"/>
      <name val="Arial Nova Cond"/>
      <family val="2"/>
    </font>
    <font>
      <b/>
      <sz val="10"/>
      <color theme="0"/>
      <name val="Arial Nova Cond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 Nova Cond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Arial Nova Cond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Nova Light"/>
      <family val="2"/>
    </font>
  </fonts>
  <fills count="3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2F75B5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8" tint="0.59996337778862885"/>
      </left>
      <right/>
      <top style="thin">
        <color indexed="64"/>
      </top>
      <bottom/>
      <diagonal/>
    </border>
    <border>
      <left/>
      <right style="medium">
        <color theme="8" tint="0.59996337778862885"/>
      </right>
      <top style="thin">
        <color indexed="64"/>
      </top>
      <bottom/>
      <diagonal/>
    </border>
    <border>
      <left style="medium">
        <color theme="8" tint="0.5999633777886288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8" tint="0.59996337778862885"/>
      </right>
      <top/>
      <bottom/>
      <diagonal/>
    </border>
    <border>
      <left style="thin">
        <color theme="8" tint="0.59996337778862885"/>
      </left>
      <right/>
      <top/>
      <bottom/>
      <diagonal/>
    </border>
    <border>
      <left/>
      <right style="thin">
        <color theme="8" tint="0.59996337778862885"/>
      </right>
      <top/>
      <bottom/>
      <diagonal/>
    </border>
    <border>
      <left style="thin">
        <color indexed="64"/>
      </left>
      <right style="thin">
        <color theme="8" tint="0.59996337778862885"/>
      </right>
      <top/>
      <bottom style="thin">
        <color indexed="64"/>
      </bottom>
      <diagonal/>
    </border>
    <border>
      <left style="thin">
        <color theme="8" tint="0.59996337778862885"/>
      </left>
      <right/>
      <top/>
      <bottom style="thin">
        <color indexed="64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 style="thin">
        <color theme="8" tint="0.59996337778862885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59996337778862885"/>
      </left>
      <right/>
      <top/>
      <bottom style="thick">
        <color theme="0"/>
      </bottom>
      <diagonal/>
    </border>
    <border>
      <left/>
      <right style="medium">
        <color theme="8" tint="0.59996337778862885"/>
      </right>
      <top/>
      <bottom style="thick">
        <color theme="0"/>
      </bottom>
      <diagonal/>
    </border>
    <border>
      <left style="medium">
        <color theme="8" tint="0.59996337778862885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4" tint="0.79998168889431442"/>
      </left>
      <right/>
      <top/>
      <bottom/>
      <diagonal/>
    </border>
    <border>
      <left/>
      <right style="thin">
        <color theme="4" tint="0.79998168889431442"/>
      </right>
      <top/>
      <bottom/>
      <diagonal/>
    </border>
    <border>
      <left/>
      <right style="thin">
        <color theme="4" tint="0.79998168889431442"/>
      </right>
      <top/>
      <bottom style="thin">
        <color indexed="64"/>
      </bottom>
      <diagonal/>
    </border>
    <border>
      <left style="thin">
        <color theme="4" tint="0.79998168889431442"/>
      </left>
      <right/>
      <top/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/>
      <right style="thin">
        <color theme="4" tint="0.79998168889431442"/>
      </right>
      <top/>
      <bottom style="thick">
        <color theme="0"/>
      </bottom>
      <diagonal/>
    </border>
    <border>
      <left/>
      <right style="thin">
        <color theme="4" tint="0.79998168889431442"/>
      </right>
      <top style="thick">
        <color theme="0"/>
      </top>
      <bottom/>
      <diagonal/>
    </border>
    <border>
      <left style="thin">
        <color theme="4" tint="0.79998168889431442"/>
      </left>
      <right/>
      <top style="thin">
        <color indexed="64"/>
      </top>
      <bottom/>
      <diagonal/>
    </border>
    <border>
      <left style="thin">
        <color theme="4" tint="0.79998168889431442"/>
      </left>
      <right/>
      <top/>
      <bottom style="medium">
        <color theme="8" tint="0.59996337778862885"/>
      </bottom>
      <diagonal/>
    </border>
    <border>
      <left/>
      <right/>
      <top/>
      <bottom style="medium">
        <color theme="8" tint="0.59996337778862885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medium">
        <color theme="8" tint="0.59996337778862885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indexed="64"/>
      </bottom>
      <diagonal/>
    </border>
    <border>
      <left style="thin">
        <color theme="4" tint="0.79998168889431442"/>
      </left>
      <right/>
      <top/>
      <bottom style="thick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8" tint="0.59996337778862885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medium">
        <color rgb="FFBDD7EE"/>
      </left>
      <right/>
      <top style="medium">
        <color rgb="FFBDD7EE"/>
      </top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4" tint="0.79998168889431442"/>
      </right>
      <top style="thin">
        <color indexed="64"/>
      </top>
      <bottom/>
      <diagonal/>
    </border>
    <border>
      <left style="thin">
        <color theme="4" tint="0.79998168889431442"/>
      </left>
      <right/>
      <top style="thick">
        <color theme="0"/>
      </top>
      <bottom/>
      <diagonal/>
    </border>
    <border>
      <left style="thin">
        <color theme="8" tint="0.59996337778862885"/>
      </left>
      <right/>
      <top/>
      <bottom style="medium">
        <color theme="8" tint="0.59996337778862885"/>
      </bottom>
      <diagonal/>
    </border>
    <border>
      <left/>
      <right style="thin">
        <color theme="8" tint="0.59996337778862885"/>
      </right>
      <top/>
      <bottom style="medium">
        <color theme="8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3" fillId="2" borderId="19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left"/>
    </xf>
    <xf numFmtId="0" fontId="3" fillId="5" borderId="0" xfId="0" applyFont="1" applyFill="1"/>
    <xf numFmtId="3" fontId="0" fillId="0" borderId="0" xfId="0" applyNumberFormat="1"/>
    <xf numFmtId="0" fontId="0" fillId="6" borderId="0" xfId="0" applyFill="1"/>
    <xf numFmtId="3" fontId="9" fillId="0" borderId="0" xfId="0" applyNumberFormat="1" applyFont="1" applyAlignment="1">
      <alignment horizontal="center"/>
    </xf>
    <xf numFmtId="164" fontId="8" fillId="5" borderId="15" xfId="0" applyNumberFormat="1" applyFont="1" applyFill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164" fontId="8" fillId="5" borderId="20" xfId="0" applyNumberFormat="1" applyFont="1" applyFill="1" applyBorder="1" applyAlignment="1">
      <alignment horizontal="center"/>
    </xf>
    <xf numFmtId="3" fontId="9" fillId="4" borderId="0" xfId="0" applyNumberFormat="1" applyFont="1" applyFill="1" applyAlignment="1">
      <alignment horizontal="center"/>
    </xf>
    <xf numFmtId="3" fontId="10" fillId="7" borderId="15" xfId="0" applyNumberFormat="1" applyFont="1" applyFill="1" applyBorder="1" applyAlignment="1">
      <alignment horizontal="center"/>
    </xf>
    <xf numFmtId="9" fontId="12" fillId="5" borderId="12" xfId="1" applyFont="1" applyFill="1" applyBorder="1" applyAlignment="1">
      <alignment horizontal="center"/>
    </xf>
    <xf numFmtId="38" fontId="12" fillId="5" borderId="15" xfId="0" applyNumberFormat="1" applyFont="1" applyFill="1" applyBorder="1" applyAlignment="1">
      <alignment horizontal="center"/>
    </xf>
    <xf numFmtId="0" fontId="15" fillId="0" borderId="0" xfId="0" applyFont="1" applyAlignment="1">
      <alignment horizontal="right" vertical="center"/>
    </xf>
    <xf numFmtId="0" fontId="0" fillId="5" borderId="0" xfId="0" applyFill="1"/>
    <xf numFmtId="0" fontId="4" fillId="2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right"/>
    </xf>
    <xf numFmtId="3" fontId="7" fillId="0" borderId="9" xfId="0" applyNumberFormat="1" applyFont="1" applyBorder="1" applyAlignment="1">
      <alignment horizontal="left"/>
    </xf>
    <xf numFmtId="0" fontId="8" fillId="0" borderId="8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3" fontId="7" fillId="0" borderId="13" xfId="0" applyNumberFormat="1" applyFont="1" applyBorder="1" applyAlignment="1">
      <alignment horizontal="left"/>
    </xf>
    <xf numFmtId="0" fontId="16" fillId="4" borderId="0" xfId="0" applyFont="1" applyFill="1"/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21" xfId="0" applyFont="1" applyBorder="1" applyAlignment="1">
      <alignment horizontal="right" vertical="center"/>
    </xf>
    <xf numFmtId="0" fontId="0" fillId="0" borderId="12" xfId="0" applyBorder="1"/>
    <xf numFmtId="0" fontId="16" fillId="4" borderId="0" xfId="0" applyFont="1" applyFill="1" applyAlignment="1">
      <alignment horizontal="right"/>
    </xf>
    <xf numFmtId="0" fontId="10" fillId="7" borderId="14" xfId="0" applyFont="1" applyFill="1" applyBorder="1" applyAlignment="1">
      <alignment horizontal="right"/>
    </xf>
    <xf numFmtId="0" fontId="11" fillId="5" borderId="14" xfId="0" applyFont="1" applyFill="1" applyBorder="1" applyAlignment="1">
      <alignment horizontal="right"/>
    </xf>
    <xf numFmtId="0" fontId="11" fillId="5" borderId="8" xfId="0" applyFont="1" applyFill="1" applyBorder="1" applyAlignment="1">
      <alignment horizontal="right"/>
    </xf>
    <xf numFmtId="0" fontId="11" fillId="5" borderId="17" xfId="0" applyFont="1" applyFill="1" applyBorder="1" applyAlignment="1">
      <alignment horizontal="right"/>
    </xf>
    <xf numFmtId="0" fontId="0" fillId="8" borderId="23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1" borderId="0" xfId="0" applyFill="1"/>
    <xf numFmtId="0" fontId="0" fillId="12" borderId="24" xfId="0" applyFill="1" applyBorder="1" applyAlignment="1">
      <alignment horizontal="center" vertical="center" wrapText="1"/>
    </xf>
    <xf numFmtId="0" fontId="0" fillId="12" borderId="0" xfId="0" applyFill="1"/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9" borderId="0" xfId="0" applyFill="1"/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0" xfId="0" applyFill="1"/>
    <xf numFmtId="0" fontId="0" fillId="10" borderId="0" xfId="0" applyFill="1"/>
    <xf numFmtId="1" fontId="0" fillId="0" borderId="0" xfId="0" applyNumberFormat="1"/>
    <xf numFmtId="0" fontId="0" fillId="10" borderId="0" xfId="0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3" fontId="10" fillId="7" borderId="16" xfId="0" applyNumberFormat="1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9" fontId="0" fillId="0" borderId="13" xfId="0" applyNumberFormat="1" applyBorder="1" applyAlignment="1">
      <alignment horizontal="center" vertical="center"/>
    </xf>
    <xf numFmtId="0" fontId="4" fillId="2" borderId="13" xfId="0" applyFont="1" applyFill="1" applyBorder="1" applyAlignment="1">
      <alignment vertical="center" wrapText="1"/>
    </xf>
    <xf numFmtId="0" fontId="15" fillId="0" borderId="22" xfId="0" applyFont="1" applyBorder="1" applyAlignment="1">
      <alignment horizontal="right" vertical="center"/>
    </xf>
    <xf numFmtId="0" fontId="6" fillId="0" borderId="21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0" fontId="8" fillId="4" borderId="21" xfId="0" applyFont="1" applyFill="1" applyBorder="1" applyAlignment="1">
      <alignment horizontal="right"/>
    </xf>
    <xf numFmtId="0" fontId="8" fillId="4" borderId="22" xfId="0" applyFont="1" applyFill="1" applyBorder="1" applyAlignment="1">
      <alignment horizontal="right"/>
    </xf>
    <xf numFmtId="0" fontId="10" fillId="7" borderId="22" xfId="0" applyFont="1" applyFill="1" applyBorder="1" applyAlignment="1">
      <alignment horizontal="right"/>
    </xf>
    <xf numFmtId="3" fontId="17" fillId="0" borderId="15" xfId="0" applyNumberFormat="1" applyFont="1" applyBorder="1" applyAlignment="1">
      <alignment horizontal="center"/>
    </xf>
    <xf numFmtId="3" fontId="17" fillId="0" borderId="20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38" fontId="12" fillId="5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64" fontId="12" fillId="5" borderId="0" xfId="0" applyNumberFormat="1" applyFont="1" applyFill="1" applyAlignment="1">
      <alignment horizontal="center"/>
    </xf>
    <xf numFmtId="0" fontId="18" fillId="0" borderId="0" xfId="0" applyFont="1"/>
    <xf numFmtId="0" fontId="8" fillId="0" borderId="0" xfId="0" applyFont="1" applyAlignment="1">
      <alignment horizontal="right"/>
    </xf>
    <xf numFmtId="0" fontId="11" fillId="5" borderId="0" xfId="0" applyFont="1" applyFill="1" applyAlignment="1">
      <alignment horizontal="right"/>
    </xf>
    <xf numFmtId="0" fontId="16" fillId="0" borderId="0" xfId="0" applyFont="1"/>
    <xf numFmtId="0" fontId="0" fillId="18" borderId="0" xfId="0" applyFill="1"/>
    <xf numFmtId="14" fontId="0" fillId="18" borderId="0" xfId="0" applyNumberFormat="1" applyFill="1"/>
    <xf numFmtId="0" fontId="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19" borderId="0" xfId="0" applyFill="1" applyAlignment="1">
      <alignment horizontal="center" vertical="center" wrapText="1"/>
    </xf>
    <xf numFmtId="0" fontId="13" fillId="20" borderId="19" xfId="0" applyFont="1" applyFill="1" applyBorder="1" applyAlignment="1">
      <alignment horizontal="center" vertical="center" wrapText="1"/>
    </xf>
    <xf numFmtId="38" fontId="12" fillId="5" borderId="30" xfId="0" applyNumberFormat="1" applyFont="1" applyFill="1" applyBorder="1" applyAlignment="1">
      <alignment horizontal="center"/>
    </xf>
    <xf numFmtId="3" fontId="7" fillId="5" borderId="0" xfId="0" applyNumberFormat="1" applyFont="1" applyFill="1" applyAlignment="1">
      <alignment horizontal="center"/>
    </xf>
    <xf numFmtId="3" fontId="10" fillId="5" borderId="0" xfId="0" applyNumberFormat="1" applyFont="1" applyFill="1" applyAlignment="1">
      <alignment horizontal="center"/>
    </xf>
    <xf numFmtId="9" fontId="12" fillId="5" borderId="33" xfId="1" applyFont="1" applyFill="1" applyBorder="1" applyAlignment="1">
      <alignment horizontal="center"/>
    </xf>
    <xf numFmtId="0" fontId="0" fillId="0" borderId="30" xfId="0" applyBorder="1"/>
    <xf numFmtId="0" fontId="13" fillId="20" borderId="28" xfId="0" applyFont="1" applyFill="1" applyBorder="1" applyAlignment="1">
      <alignment horizontal="center" vertical="center" wrapText="1"/>
    </xf>
    <xf numFmtId="164" fontId="12" fillId="5" borderId="31" xfId="0" applyNumberFormat="1" applyFont="1" applyFill="1" applyBorder="1" applyAlignment="1">
      <alignment horizontal="center"/>
    </xf>
    <xf numFmtId="38" fontId="12" fillId="5" borderId="31" xfId="0" applyNumberFormat="1" applyFont="1" applyFill="1" applyBorder="1" applyAlignment="1">
      <alignment horizontal="center"/>
    </xf>
    <xf numFmtId="0" fontId="0" fillId="21" borderId="0" xfId="0" applyFill="1"/>
    <xf numFmtId="0" fontId="0" fillId="22" borderId="0" xfId="0" applyFill="1"/>
    <xf numFmtId="0" fontId="6" fillId="0" borderId="0" xfId="0" applyFont="1" applyAlignment="1">
      <alignment horizontal="right"/>
    </xf>
    <xf numFmtId="3" fontId="13" fillId="7" borderId="0" xfId="0" applyNumberFormat="1" applyFont="1" applyFill="1" applyAlignment="1">
      <alignment horizontal="center"/>
    </xf>
    <xf numFmtId="3" fontId="7" fillId="0" borderId="30" xfId="0" applyNumberFormat="1" applyFont="1" applyBorder="1" applyAlignment="1">
      <alignment horizontal="center"/>
    </xf>
    <xf numFmtId="3" fontId="7" fillId="0" borderId="31" xfId="0" applyNumberFormat="1" applyFont="1" applyBorder="1" applyAlignment="1">
      <alignment horizontal="center"/>
    </xf>
    <xf numFmtId="3" fontId="7" fillId="5" borderId="30" xfId="0" applyNumberFormat="1" applyFont="1" applyFill="1" applyBorder="1" applyAlignment="1">
      <alignment horizontal="center"/>
    </xf>
    <xf numFmtId="3" fontId="7" fillId="5" borderId="31" xfId="0" applyNumberFormat="1" applyFont="1" applyFill="1" applyBorder="1" applyAlignment="1">
      <alignment horizontal="center"/>
    </xf>
    <xf numFmtId="3" fontId="10" fillId="5" borderId="30" xfId="0" applyNumberFormat="1" applyFont="1" applyFill="1" applyBorder="1" applyAlignment="1">
      <alignment horizontal="center"/>
    </xf>
    <xf numFmtId="3" fontId="10" fillId="5" borderId="31" xfId="0" applyNumberFormat="1" applyFont="1" applyFill="1" applyBorder="1" applyAlignment="1">
      <alignment horizontal="center"/>
    </xf>
    <xf numFmtId="164" fontId="12" fillId="5" borderId="30" xfId="0" applyNumberFormat="1" applyFont="1" applyFill="1" applyBorder="1" applyAlignment="1">
      <alignment horizontal="center"/>
    </xf>
    <xf numFmtId="9" fontId="12" fillId="5" borderId="38" xfId="1" applyFont="1" applyFill="1" applyBorder="1" applyAlignment="1">
      <alignment horizontal="center"/>
    </xf>
    <xf numFmtId="9" fontId="12" fillId="5" borderId="39" xfId="1" applyFont="1" applyFill="1" applyBorder="1" applyAlignment="1">
      <alignment horizontal="center"/>
    </xf>
    <xf numFmtId="9" fontId="12" fillId="5" borderId="40" xfId="1" applyFont="1" applyFill="1" applyBorder="1" applyAlignment="1">
      <alignment horizontal="center"/>
    </xf>
    <xf numFmtId="0" fontId="8" fillId="4" borderId="0" xfId="0" applyFont="1" applyFill="1" applyAlignment="1">
      <alignment horizontal="right"/>
    </xf>
    <xf numFmtId="0" fontId="8" fillId="4" borderId="12" xfId="0" applyFont="1" applyFill="1" applyBorder="1" applyAlignment="1">
      <alignment horizontal="right"/>
    </xf>
    <xf numFmtId="0" fontId="10" fillId="7" borderId="0" xfId="0" applyFont="1" applyFill="1" applyAlignment="1">
      <alignment horizontal="right"/>
    </xf>
    <xf numFmtId="0" fontId="11" fillId="5" borderId="12" xfId="0" applyFont="1" applyFill="1" applyBorder="1" applyAlignment="1">
      <alignment horizontal="right"/>
    </xf>
    <xf numFmtId="3" fontId="10" fillId="7" borderId="30" xfId="0" applyNumberFormat="1" applyFont="1" applyFill="1" applyBorder="1" applyAlignment="1">
      <alignment horizontal="center"/>
    </xf>
    <xf numFmtId="9" fontId="12" fillId="5" borderId="44" xfId="1" applyFont="1" applyFill="1" applyBorder="1" applyAlignment="1">
      <alignment horizontal="center"/>
    </xf>
    <xf numFmtId="9" fontId="12" fillId="5" borderId="45" xfId="1" applyFont="1" applyFill="1" applyBorder="1" applyAlignment="1">
      <alignment horizontal="center"/>
    </xf>
    <xf numFmtId="3" fontId="7" fillId="5" borderId="49" xfId="0" applyNumberFormat="1" applyFont="1" applyFill="1" applyBorder="1" applyAlignment="1">
      <alignment horizontal="center"/>
    </xf>
    <xf numFmtId="9" fontId="12" fillId="5" borderId="46" xfId="1" applyFont="1" applyFill="1" applyBorder="1" applyAlignment="1">
      <alignment horizontal="center"/>
    </xf>
    <xf numFmtId="9" fontId="12" fillId="5" borderId="47" xfId="1" applyFont="1" applyFill="1" applyBorder="1" applyAlignment="1">
      <alignment horizontal="center"/>
    </xf>
    <xf numFmtId="0" fontId="0" fillId="7" borderId="0" xfId="0" applyFill="1"/>
    <xf numFmtId="0" fontId="0" fillId="4" borderId="0" xfId="0" applyFill="1"/>
    <xf numFmtId="0" fontId="4" fillId="23" borderId="2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left" vertical="center" wrapText="1"/>
    </xf>
    <xf numFmtId="0" fontId="4" fillId="23" borderId="3" xfId="0" applyFont="1" applyFill="1" applyBorder="1" applyAlignment="1">
      <alignment horizontal="left" vertical="center" wrapText="1"/>
    </xf>
    <xf numFmtId="0" fontId="0" fillId="21" borderId="8" xfId="0" applyFill="1" applyBorder="1"/>
    <xf numFmtId="0" fontId="0" fillId="22" borderId="11" xfId="0" applyFill="1" applyBorder="1"/>
    <xf numFmtId="0" fontId="21" fillId="0" borderId="0" xfId="0" applyFont="1"/>
    <xf numFmtId="0" fontId="21" fillId="7" borderId="0" xfId="0" applyFont="1" applyFill="1"/>
    <xf numFmtId="0" fontId="13" fillId="7" borderId="12" xfId="0" applyFont="1" applyFill="1" applyBorder="1" applyAlignment="1">
      <alignment horizontal="right"/>
    </xf>
    <xf numFmtId="0" fontId="21" fillId="0" borderId="30" xfId="0" applyFont="1" applyBorder="1"/>
    <xf numFmtId="0" fontId="13" fillId="20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5" fillId="3" borderId="50" xfId="0" applyFont="1" applyFill="1" applyBorder="1" applyAlignment="1">
      <alignment horizontal="center" vertical="center"/>
    </xf>
    <xf numFmtId="9" fontId="0" fillId="0" borderId="50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10" fillId="7" borderId="8" xfId="0" applyFont="1" applyFill="1" applyBorder="1" applyAlignment="1">
      <alignment horizontal="right"/>
    </xf>
    <xf numFmtId="0" fontId="10" fillId="7" borderId="13" xfId="0" applyFont="1" applyFill="1" applyBorder="1" applyAlignment="1">
      <alignment horizontal="right"/>
    </xf>
    <xf numFmtId="0" fontId="11" fillId="5" borderId="16" xfId="0" applyFont="1" applyFill="1" applyBorder="1" applyAlignment="1">
      <alignment horizontal="right"/>
    </xf>
    <xf numFmtId="0" fontId="11" fillId="5" borderId="51" xfId="0" applyFont="1" applyFill="1" applyBorder="1" applyAlignment="1">
      <alignment horizontal="right"/>
    </xf>
    <xf numFmtId="9" fontId="12" fillId="5" borderId="0" xfId="1" applyFont="1" applyFill="1" applyBorder="1" applyAlignment="1">
      <alignment horizontal="center"/>
    </xf>
    <xf numFmtId="0" fontId="22" fillId="24" borderId="52" xfId="0" applyFont="1" applyFill="1" applyBorder="1" applyAlignment="1">
      <alignment horizontal="center" vertical="center" wrapText="1"/>
    </xf>
    <xf numFmtId="0" fontId="24" fillId="26" borderId="53" xfId="0" applyFont="1" applyFill="1" applyBorder="1"/>
    <xf numFmtId="0" fontId="24" fillId="27" borderId="53" xfId="0" applyFont="1" applyFill="1" applyBorder="1"/>
    <xf numFmtId="1" fontId="24" fillId="27" borderId="53" xfId="0" applyNumberFormat="1" applyFont="1" applyFill="1" applyBorder="1"/>
    <xf numFmtId="0" fontId="24" fillId="26" borderId="54" xfId="0" applyFont="1" applyFill="1" applyBorder="1"/>
    <xf numFmtId="0" fontId="22" fillId="24" borderId="56" xfId="0" applyFont="1" applyFill="1" applyBorder="1" applyAlignment="1">
      <alignment horizontal="center" vertical="center" wrapText="1"/>
    </xf>
    <xf numFmtId="0" fontId="23" fillId="25" borderId="57" xfId="0" applyFont="1" applyFill="1" applyBorder="1" applyAlignment="1">
      <alignment horizontal="center" vertical="center" wrapText="1"/>
    </xf>
    <xf numFmtId="0" fontId="24" fillId="26" borderId="58" xfId="0" applyFont="1" applyFill="1" applyBorder="1" applyAlignment="1">
      <alignment horizontal="left"/>
    </xf>
    <xf numFmtId="0" fontId="24" fillId="27" borderId="58" xfId="0" applyFont="1" applyFill="1" applyBorder="1" applyAlignment="1">
      <alignment horizontal="left"/>
    </xf>
    <xf numFmtId="0" fontId="24" fillId="27" borderId="55" xfId="0" applyFont="1" applyFill="1" applyBorder="1"/>
    <xf numFmtId="0" fontId="24" fillId="27" borderId="60" xfId="0" applyFont="1" applyFill="1" applyBorder="1" applyAlignment="1">
      <alignment horizontal="left"/>
    </xf>
    <xf numFmtId="0" fontId="10" fillId="0" borderId="0" xfId="0" applyFont="1" applyAlignment="1">
      <alignment horizontal="right"/>
    </xf>
    <xf numFmtId="0" fontId="4" fillId="7" borderId="0" xfId="0" applyFont="1" applyFill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3" fontId="10" fillId="7" borderId="0" xfId="0" applyNumberFormat="1" applyFont="1" applyFill="1" applyAlignment="1">
      <alignment horizontal="center"/>
    </xf>
    <xf numFmtId="0" fontId="0" fillId="28" borderId="0" xfId="0" applyFill="1"/>
    <xf numFmtId="3" fontId="9" fillId="4" borderId="9" xfId="0" applyNumberFormat="1" applyFont="1" applyFill="1" applyBorder="1" applyAlignment="1">
      <alignment horizontal="center"/>
    </xf>
    <xf numFmtId="3" fontId="10" fillId="7" borderId="20" xfId="0" applyNumberFormat="1" applyFont="1" applyFill="1" applyBorder="1" applyAlignment="1">
      <alignment horizontal="center"/>
    </xf>
    <xf numFmtId="38" fontId="12" fillId="5" borderId="20" xfId="0" applyNumberFormat="1" applyFont="1" applyFill="1" applyBorder="1" applyAlignment="1">
      <alignment horizontal="center"/>
    </xf>
    <xf numFmtId="9" fontId="12" fillId="5" borderId="13" xfId="1" applyFont="1" applyFill="1" applyBorder="1" applyAlignment="1">
      <alignment horizontal="center"/>
    </xf>
    <xf numFmtId="38" fontId="12" fillId="18" borderId="15" xfId="0" applyNumberFormat="1" applyFont="1" applyFill="1" applyBorder="1" applyAlignment="1">
      <alignment horizontal="center"/>
    </xf>
    <xf numFmtId="0" fontId="11" fillId="18" borderId="0" xfId="0" applyFont="1" applyFill="1" applyAlignment="1">
      <alignment horizontal="right"/>
    </xf>
    <xf numFmtId="0" fontId="0" fillId="28" borderId="11" xfId="0" applyFill="1" applyBorder="1"/>
    <xf numFmtId="0" fontId="0" fillId="22" borderId="8" xfId="0" applyFill="1" applyBorder="1"/>
    <xf numFmtId="3" fontId="7" fillId="0" borderId="13" xfId="0" applyNumberFormat="1" applyFont="1" applyBorder="1" applyAlignment="1">
      <alignment horizontal="left" wrapText="1"/>
    </xf>
    <xf numFmtId="0" fontId="19" fillId="17" borderId="0" xfId="0" applyFont="1" applyFill="1" applyAlignment="1">
      <alignment horizontal="center" vertical="center" wrapText="1"/>
    </xf>
    <xf numFmtId="38" fontId="12" fillId="18" borderId="31" xfId="0" applyNumberFormat="1" applyFont="1" applyFill="1" applyBorder="1" applyAlignment="1">
      <alignment horizontal="center"/>
    </xf>
    <xf numFmtId="38" fontId="12" fillId="18" borderId="0" xfId="0" applyNumberFormat="1" applyFont="1" applyFill="1" applyAlignment="1">
      <alignment horizontal="center"/>
    </xf>
    <xf numFmtId="38" fontId="12" fillId="18" borderId="30" xfId="0" applyNumberFormat="1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38" fontId="12" fillId="0" borderId="15" xfId="0" applyNumberFormat="1" applyFont="1" applyBorder="1" applyAlignment="1">
      <alignment horizontal="center"/>
    </xf>
    <xf numFmtId="3" fontId="7" fillId="0" borderId="29" xfId="0" applyNumberFormat="1" applyFont="1" applyBorder="1" applyAlignment="1">
      <alignment horizontal="center"/>
    </xf>
    <xf numFmtId="0" fontId="19" fillId="17" borderId="34" xfId="0" applyFont="1" applyFill="1" applyBorder="1" applyAlignment="1">
      <alignment horizontal="center" vertical="center" wrapText="1"/>
    </xf>
    <xf numFmtId="0" fontId="25" fillId="0" borderId="0" xfId="0" applyFont="1"/>
    <xf numFmtId="14" fontId="25" fillId="0" borderId="0" xfId="0" applyNumberFormat="1" applyFont="1" applyAlignment="1">
      <alignment horizontal="left"/>
    </xf>
    <xf numFmtId="0" fontId="0" fillId="29" borderId="8" xfId="0" applyFill="1" applyBorder="1"/>
    <xf numFmtId="0" fontId="0" fillId="30" borderId="8" xfId="0" applyFill="1" applyBorder="1"/>
    <xf numFmtId="3" fontId="7" fillId="0" borderId="9" xfId="0" applyNumberFormat="1" applyFont="1" applyBorder="1" applyAlignment="1">
      <alignment horizontal="left" wrapText="1"/>
    </xf>
    <xf numFmtId="0" fontId="21" fillId="31" borderId="8" xfId="0" applyFont="1" applyFill="1" applyBorder="1"/>
    <xf numFmtId="0" fontId="0" fillId="32" borderId="11" xfId="0" applyFill="1" applyBorder="1"/>
    <xf numFmtId="0" fontId="26" fillId="33" borderId="53" xfId="0" applyFont="1" applyFill="1" applyBorder="1" applyAlignment="1">
      <alignment horizontal="left" wrapText="1" readingOrder="1"/>
    </xf>
    <xf numFmtId="0" fontId="27" fillId="22" borderId="0" xfId="0" applyFont="1" applyFill="1" applyAlignment="1">
      <alignment horizontal="left" readingOrder="1"/>
    </xf>
    <xf numFmtId="0" fontId="0" fillId="30" borderId="0" xfId="0" applyFill="1" applyAlignment="1">
      <alignment wrapText="1"/>
    </xf>
    <xf numFmtId="0" fontId="0" fillId="22" borderId="0" xfId="0" applyFill="1" applyAlignment="1">
      <alignment wrapText="1"/>
    </xf>
    <xf numFmtId="0" fontId="19" fillId="19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wrapText="1" readingOrder="1"/>
    </xf>
    <xf numFmtId="0" fontId="26" fillId="0" borderId="0" xfId="0" applyFont="1" applyAlignment="1">
      <alignment horizontal="left" wrapText="1" readingOrder="1"/>
    </xf>
    <xf numFmtId="0" fontId="0" fillId="0" borderId="0" xfId="0" applyAlignment="1">
      <alignment wrapText="1"/>
    </xf>
    <xf numFmtId="0" fontId="0" fillId="31" borderId="0" xfId="0" applyFill="1" applyAlignment="1">
      <alignment wrapText="1"/>
    </xf>
    <xf numFmtId="0" fontId="0" fillId="31" borderId="0" xfId="0" applyFill="1"/>
    <xf numFmtId="0" fontId="27" fillId="0" borderId="0" xfId="0" applyFont="1" applyAlignment="1">
      <alignment horizontal="left" readingOrder="1"/>
    </xf>
    <xf numFmtId="0" fontId="0" fillId="0" borderId="0" xfId="0" applyAlignment="1">
      <alignment horizontal="left" wrapText="1"/>
    </xf>
    <xf numFmtId="38" fontId="12" fillId="0" borderId="0" xfId="0" applyNumberFormat="1" applyFont="1" applyAlignment="1">
      <alignment horizontal="center"/>
    </xf>
    <xf numFmtId="3" fontId="7" fillId="0" borderId="2" xfId="0" applyNumberFormat="1" applyFont="1" applyBorder="1"/>
    <xf numFmtId="3" fontId="7" fillId="0" borderId="0" xfId="0" applyNumberFormat="1" applyFont="1"/>
    <xf numFmtId="3" fontId="7" fillId="0" borderId="12" xfId="0" applyNumberFormat="1" applyFont="1" applyBorder="1"/>
    <xf numFmtId="9" fontId="0" fillId="0" borderId="66" xfId="0" applyNumberFormat="1" applyBorder="1" applyAlignment="1">
      <alignment horizontal="center" vertical="center"/>
    </xf>
    <xf numFmtId="0" fontId="0" fillId="22" borderId="0" xfId="0" applyFill="1" applyAlignment="1">
      <alignment horizontal="left"/>
    </xf>
    <xf numFmtId="49" fontId="0" fillId="0" borderId="0" xfId="0" applyNumberFormat="1"/>
    <xf numFmtId="0" fontId="0" fillId="22" borderId="0" xfId="0" applyFill="1" applyAlignment="1">
      <alignment horizontal="right"/>
    </xf>
    <xf numFmtId="14" fontId="0" fillId="9" borderId="0" xfId="0" applyNumberFormat="1" applyFill="1"/>
    <xf numFmtId="0" fontId="0" fillId="30" borderId="0" xfId="0" applyFill="1"/>
    <xf numFmtId="166" fontId="0" fillId="0" borderId="0" xfId="0" applyNumberFormat="1"/>
    <xf numFmtId="49" fontId="0" fillId="0" borderId="0" xfId="0" applyNumberFormat="1" applyAlignment="1">
      <alignment horizontal="right"/>
    </xf>
    <xf numFmtId="0" fontId="24" fillId="26" borderId="55" xfId="0" applyFont="1" applyFill="1" applyBorder="1"/>
    <xf numFmtId="165" fontId="0" fillId="5" borderId="0" xfId="0" applyNumberFormat="1" applyFill="1" applyAlignment="1">
      <alignment horizontal="left"/>
    </xf>
    <xf numFmtId="0" fontId="29" fillId="34" borderId="67" xfId="0" applyFont="1" applyFill="1" applyBorder="1" applyAlignment="1" applyProtection="1">
      <alignment horizontal="center" vertical="center" wrapText="1"/>
      <protection locked="0"/>
    </xf>
    <xf numFmtId="0" fontId="30" fillId="34" borderId="68" xfId="0" applyFont="1" applyFill="1" applyBorder="1" applyAlignment="1" applyProtection="1">
      <alignment horizontal="center" vertical="top" wrapText="1"/>
      <protection locked="0"/>
    </xf>
    <xf numFmtId="0" fontId="30" fillId="34" borderId="0" xfId="0" applyFont="1" applyFill="1" applyAlignment="1" applyProtection="1">
      <alignment horizontal="center" vertical="top" wrapText="1"/>
      <protection locked="0"/>
    </xf>
    <xf numFmtId="0" fontId="24" fillId="27" borderId="54" xfId="0" applyFont="1" applyFill="1" applyBorder="1"/>
    <xf numFmtId="0" fontId="24" fillId="26" borderId="59" xfId="0" applyFont="1" applyFill="1" applyBorder="1"/>
    <xf numFmtId="0" fontId="0" fillId="35" borderId="0" xfId="0" applyFill="1"/>
    <xf numFmtId="0" fontId="0" fillId="35" borderId="0" xfId="0" applyFill="1" applyAlignment="1">
      <alignment horizontal="left"/>
    </xf>
    <xf numFmtId="0" fontId="0" fillId="35" borderId="0" xfId="0" applyFill="1" applyAlignment="1">
      <alignment horizontal="right"/>
    </xf>
    <xf numFmtId="14" fontId="0" fillId="35" borderId="0" xfId="0" applyNumberFormat="1" applyFill="1"/>
    <xf numFmtId="0" fontId="13" fillId="2" borderId="0" xfId="0" applyFont="1" applyFill="1" applyAlignment="1">
      <alignment horizontal="center" vertical="center" wrapText="1"/>
    </xf>
    <xf numFmtId="0" fontId="31" fillId="14" borderId="12" xfId="0" applyFont="1" applyFill="1" applyBorder="1"/>
    <xf numFmtId="3" fontId="7" fillId="0" borderId="15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9" fontId="2" fillId="0" borderId="0" xfId="1" applyFont="1"/>
    <xf numFmtId="3" fontId="0" fillId="0" borderId="0" xfId="0" applyNumberFormat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12" fillId="5" borderId="15" xfId="0" applyNumberFormat="1" applyFont="1" applyFill="1" applyBorder="1" applyAlignment="1">
      <alignment horizontal="center"/>
    </xf>
    <xf numFmtId="164" fontId="12" fillId="5" borderId="16" xfId="0" applyNumberFormat="1" applyFont="1" applyFill="1" applyBorder="1" applyAlignment="1">
      <alignment horizontal="center"/>
    </xf>
    <xf numFmtId="9" fontId="12" fillId="5" borderId="18" xfId="1" applyFont="1" applyFill="1" applyBorder="1" applyAlignment="1">
      <alignment horizontal="center"/>
    </xf>
    <xf numFmtId="9" fontId="12" fillId="5" borderId="51" xfId="1" applyFont="1" applyFill="1" applyBorder="1" applyAlignment="1">
      <alignment horizontal="center"/>
    </xf>
    <xf numFmtId="38" fontId="12" fillId="5" borderId="16" xfId="0" applyNumberFormat="1" applyFont="1" applyFill="1" applyBorder="1" applyAlignment="1">
      <alignment horizontal="center"/>
    </xf>
    <xf numFmtId="0" fontId="31" fillId="14" borderId="12" xfId="0" applyFont="1" applyFill="1" applyBorder="1" applyAlignment="1">
      <alignment horizontal="center"/>
    </xf>
    <xf numFmtId="3" fontId="10" fillId="7" borderId="8" xfId="0" applyNumberFormat="1" applyFont="1" applyFill="1" applyBorder="1" applyAlignment="1">
      <alignment horizontal="center"/>
    </xf>
    <xf numFmtId="0" fontId="31" fillId="14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3" fontId="17" fillId="0" borderId="0" xfId="0" applyNumberFormat="1" applyFont="1" applyAlignment="1">
      <alignment horizontal="center"/>
    </xf>
    <xf numFmtId="164" fontId="8" fillId="5" borderId="0" xfId="0" applyNumberFormat="1" applyFont="1" applyFill="1" applyAlignment="1">
      <alignment horizontal="center"/>
    </xf>
    <xf numFmtId="38" fontId="12" fillId="5" borderId="15" xfId="0" applyNumberFormat="1" applyFont="1" applyFill="1" applyBorder="1" applyAlignment="1">
      <alignment horizontal="center"/>
    </xf>
    <xf numFmtId="38" fontId="12" fillId="5" borderId="0" xfId="0" applyNumberFormat="1" applyFont="1" applyFill="1" applyAlignment="1">
      <alignment horizontal="center"/>
    </xf>
    <xf numFmtId="9" fontId="12" fillId="5" borderId="18" xfId="1" applyFont="1" applyFill="1" applyBorder="1" applyAlignment="1">
      <alignment horizontal="center"/>
    </xf>
    <xf numFmtId="9" fontId="12" fillId="5" borderId="12" xfId="1" applyFont="1" applyFill="1" applyBorder="1" applyAlignment="1">
      <alignment horizontal="center"/>
    </xf>
    <xf numFmtId="164" fontId="12" fillId="5" borderId="15" xfId="0" applyNumberFormat="1" applyFont="1" applyFill="1" applyBorder="1" applyAlignment="1">
      <alignment horizontal="center"/>
    </xf>
    <xf numFmtId="164" fontId="12" fillId="5" borderId="16" xfId="0" applyNumberFormat="1" applyFont="1" applyFill="1" applyBorder="1" applyAlignment="1">
      <alignment horizontal="center"/>
    </xf>
    <xf numFmtId="3" fontId="10" fillId="7" borderId="15" xfId="0" applyNumberFormat="1" applyFont="1" applyFill="1" applyBorder="1" applyAlignment="1">
      <alignment horizontal="center"/>
    </xf>
    <xf numFmtId="3" fontId="10" fillId="7" borderId="16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10" fillId="7" borderId="0" xfId="0" applyNumberFormat="1" applyFont="1" applyFill="1" applyAlignment="1">
      <alignment horizontal="center"/>
    </xf>
    <xf numFmtId="3" fontId="9" fillId="4" borderId="0" xfId="0" applyNumberFormat="1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0" borderId="30" xfId="0" applyFont="1" applyFill="1" applyBorder="1" applyAlignment="1">
      <alignment horizontal="center" vertical="top" wrapText="1"/>
    </xf>
    <xf numFmtId="0" fontId="13" fillId="20" borderId="0" xfId="0" applyFont="1" applyFill="1" applyAlignment="1">
      <alignment horizontal="center" vertical="top" wrapText="1"/>
    </xf>
    <xf numFmtId="38" fontId="12" fillId="5" borderId="30" xfId="0" applyNumberFormat="1" applyFont="1" applyFill="1" applyBorder="1" applyAlignment="1">
      <alignment horizontal="center"/>
    </xf>
    <xf numFmtId="38" fontId="12" fillId="5" borderId="31" xfId="0" applyNumberFormat="1" applyFont="1" applyFill="1" applyBorder="1" applyAlignment="1">
      <alignment horizontal="center"/>
    </xf>
    <xf numFmtId="164" fontId="12" fillId="5" borderId="30" xfId="0" applyNumberFormat="1" applyFont="1" applyFill="1" applyBorder="1" applyAlignment="1">
      <alignment horizontal="center"/>
    </xf>
    <xf numFmtId="164" fontId="12" fillId="5" borderId="31" xfId="0" applyNumberFormat="1" applyFont="1" applyFill="1" applyBorder="1" applyAlignment="1">
      <alignment horizontal="center"/>
    </xf>
    <xf numFmtId="164" fontId="12" fillId="5" borderId="0" xfId="0" applyNumberFormat="1" applyFont="1" applyFill="1" applyAlignment="1">
      <alignment horizontal="center"/>
    </xf>
    <xf numFmtId="9" fontId="12" fillId="5" borderId="44" xfId="1" applyFont="1" applyFill="1" applyBorder="1" applyAlignment="1">
      <alignment horizontal="center"/>
    </xf>
    <xf numFmtId="9" fontId="12" fillId="5" borderId="45" xfId="1" applyFont="1" applyFill="1" applyBorder="1" applyAlignment="1">
      <alignment horizontal="center"/>
    </xf>
    <xf numFmtId="9" fontId="12" fillId="5" borderId="32" xfId="1" applyFont="1" applyFill="1" applyBorder="1" applyAlignment="1">
      <alignment horizontal="center"/>
    </xf>
    <xf numFmtId="9" fontId="12" fillId="5" borderId="33" xfId="1" applyFont="1" applyFill="1" applyBorder="1" applyAlignment="1">
      <alignment horizontal="center"/>
    </xf>
    <xf numFmtId="3" fontId="10" fillId="7" borderId="31" xfId="0" applyNumberFormat="1" applyFont="1" applyFill="1" applyBorder="1" applyAlignment="1">
      <alignment horizontal="center"/>
    </xf>
    <xf numFmtId="3" fontId="10" fillId="7" borderId="30" xfId="0" applyNumberFormat="1" applyFont="1" applyFill="1" applyBorder="1" applyAlignment="1">
      <alignment horizontal="center"/>
    </xf>
    <xf numFmtId="3" fontId="7" fillId="0" borderId="30" xfId="0" applyNumberFormat="1" applyFont="1" applyBorder="1" applyAlignment="1">
      <alignment horizontal="center"/>
    </xf>
    <xf numFmtId="3" fontId="7" fillId="0" borderId="31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3" fontId="13" fillId="7" borderId="0" xfId="0" applyNumberFormat="1" applyFont="1" applyFill="1" applyAlignment="1">
      <alignment horizontal="center"/>
    </xf>
    <xf numFmtId="3" fontId="13" fillId="7" borderId="16" xfId="0" applyNumberFormat="1" applyFont="1" applyFill="1" applyBorder="1" applyAlignment="1">
      <alignment horizontal="center"/>
    </xf>
    <xf numFmtId="3" fontId="13" fillId="7" borderId="15" xfId="0" applyNumberFormat="1" applyFont="1" applyFill="1" applyBorder="1" applyAlignment="1">
      <alignment horizontal="center"/>
    </xf>
    <xf numFmtId="3" fontId="13" fillId="7" borderId="30" xfId="0" applyNumberFormat="1" applyFont="1" applyFill="1" applyBorder="1" applyAlignment="1">
      <alignment horizontal="center"/>
    </xf>
    <xf numFmtId="3" fontId="13" fillId="7" borderId="31" xfId="0" applyNumberFormat="1" applyFont="1" applyFill="1" applyBorder="1" applyAlignment="1">
      <alignment horizontal="center"/>
    </xf>
    <xf numFmtId="3" fontId="9" fillId="4" borderId="30" xfId="0" applyNumberFormat="1" applyFont="1" applyFill="1" applyBorder="1" applyAlignment="1">
      <alignment horizontal="center"/>
    </xf>
    <xf numFmtId="3" fontId="9" fillId="4" borderId="31" xfId="0" applyNumberFormat="1" applyFont="1" applyFill="1" applyBorder="1" applyAlignment="1">
      <alignment horizontal="center"/>
    </xf>
    <xf numFmtId="3" fontId="9" fillId="4" borderId="38" xfId="0" applyNumberFormat="1" applyFont="1" applyFill="1" applyBorder="1" applyAlignment="1">
      <alignment horizontal="center"/>
    </xf>
    <xf numFmtId="3" fontId="9" fillId="4" borderId="40" xfId="0" applyNumberFormat="1" applyFont="1" applyFill="1" applyBorder="1" applyAlignment="1">
      <alignment horizontal="center"/>
    </xf>
    <xf numFmtId="3" fontId="9" fillId="4" borderId="39" xfId="0" applyNumberFormat="1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 vertical="center" wrapText="1"/>
    </xf>
    <xf numFmtId="0" fontId="19" fillId="17" borderId="27" xfId="0" applyFont="1" applyFill="1" applyBorder="1" applyAlignment="1">
      <alignment horizontal="center" vertical="center" wrapText="1"/>
    </xf>
    <xf numFmtId="3" fontId="7" fillId="0" borderId="29" xfId="0" applyNumberFormat="1" applyFont="1" applyBorder="1" applyAlignment="1">
      <alignment horizontal="center"/>
    </xf>
    <xf numFmtId="3" fontId="7" fillId="0" borderId="42" xfId="0" applyNumberFormat="1" applyFont="1" applyBorder="1" applyAlignment="1">
      <alignment horizontal="center"/>
    </xf>
    <xf numFmtId="0" fontId="19" fillId="19" borderId="48" xfId="0" applyFont="1" applyFill="1" applyBorder="1" applyAlignment="1">
      <alignment horizontal="center" vertical="center" wrapText="1"/>
    </xf>
    <xf numFmtId="0" fontId="19" fillId="19" borderId="41" xfId="0" applyFont="1" applyFill="1" applyBorder="1" applyAlignment="1">
      <alignment horizontal="center" vertical="center" wrapText="1"/>
    </xf>
    <xf numFmtId="0" fontId="13" fillId="20" borderId="31" xfId="0" applyFont="1" applyFill="1" applyBorder="1" applyAlignment="1">
      <alignment horizontal="center" vertical="top" wrapText="1"/>
    </xf>
    <xf numFmtId="0" fontId="19" fillId="17" borderId="34" xfId="0" applyFont="1" applyFill="1" applyBorder="1" applyAlignment="1">
      <alignment horizontal="center" vertical="center" wrapText="1"/>
    </xf>
    <xf numFmtId="0" fontId="4" fillId="23" borderId="43" xfId="0" applyFont="1" applyFill="1" applyBorder="1" applyAlignment="1">
      <alignment horizontal="center" vertical="center" wrapText="1"/>
    </xf>
    <xf numFmtId="0" fontId="4" fillId="23" borderId="6" xfId="0" applyFont="1" applyFill="1" applyBorder="1" applyAlignment="1">
      <alignment horizontal="center" vertical="center" wrapText="1"/>
    </xf>
    <xf numFmtId="0" fontId="4" fillId="23" borderId="5" xfId="0" applyFont="1" applyFill="1" applyBorder="1" applyAlignment="1">
      <alignment horizontal="center" vertical="center" wrapText="1"/>
    </xf>
    <xf numFmtId="0" fontId="19" fillId="17" borderId="41" xfId="0" applyFont="1" applyFill="1" applyBorder="1" applyAlignment="1">
      <alignment horizontal="center" vertical="center" wrapText="1"/>
    </xf>
    <xf numFmtId="0" fontId="19" fillId="19" borderId="3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0" borderId="30" xfId="0" applyFont="1" applyFill="1" applyBorder="1" applyAlignment="1">
      <alignment horizontal="center" vertical="center" wrapText="1"/>
    </xf>
    <xf numFmtId="0" fontId="13" fillId="20" borderId="0" xfId="0" applyFont="1" applyFill="1" applyAlignment="1">
      <alignment horizontal="center" vertical="center" wrapText="1"/>
    </xf>
    <xf numFmtId="0" fontId="13" fillId="20" borderId="31" xfId="0" applyFont="1" applyFill="1" applyBorder="1" applyAlignment="1">
      <alignment horizontal="center" vertical="center" wrapText="1"/>
    </xf>
    <xf numFmtId="0" fontId="13" fillId="20" borderId="35" xfId="0" applyFont="1" applyFill="1" applyBorder="1" applyAlignment="1">
      <alignment horizontal="center" vertical="center" wrapText="1"/>
    </xf>
    <xf numFmtId="0" fontId="13" fillId="20" borderId="36" xfId="0" applyFont="1" applyFill="1" applyBorder="1" applyAlignment="1">
      <alignment horizontal="center" vertical="center" wrapText="1"/>
    </xf>
    <xf numFmtId="0" fontId="13" fillId="20" borderId="3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wrapText="1"/>
    </xf>
    <xf numFmtId="38" fontId="12" fillId="18" borderId="15" xfId="0" applyNumberFormat="1" applyFont="1" applyFill="1" applyBorder="1" applyAlignment="1">
      <alignment horizontal="center"/>
    </xf>
    <xf numFmtId="38" fontId="12" fillId="18" borderId="31" xfId="0" applyNumberFormat="1" applyFont="1" applyFill="1" applyBorder="1" applyAlignment="1">
      <alignment horizontal="center"/>
    </xf>
    <xf numFmtId="38" fontId="12" fillId="18" borderId="0" xfId="0" applyNumberFormat="1" applyFont="1" applyFill="1" applyAlignment="1">
      <alignment horizontal="center"/>
    </xf>
    <xf numFmtId="38" fontId="12" fillId="18" borderId="30" xfId="0" applyNumberFormat="1" applyFont="1" applyFill="1" applyBorder="1" applyAlignment="1">
      <alignment horizontal="center"/>
    </xf>
    <xf numFmtId="3" fontId="10" fillId="7" borderId="64" xfId="0" applyNumberFormat="1" applyFont="1" applyFill="1" applyBorder="1" applyAlignment="1">
      <alignment horizontal="center"/>
    </xf>
    <xf numFmtId="3" fontId="10" fillId="7" borderId="45" xfId="0" applyNumberFormat="1" applyFont="1" applyFill="1" applyBorder="1" applyAlignment="1">
      <alignment horizontal="center"/>
    </xf>
    <xf numFmtId="3" fontId="10" fillId="7" borderId="65" xfId="0" applyNumberFormat="1" applyFont="1" applyFill="1" applyBorder="1" applyAlignment="1">
      <alignment horizontal="center"/>
    </xf>
    <xf numFmtId="3" fontId="7" fillId="5" borderId="30" xfId="0" applyNumberFormat="1" applyFont="1" applyFill="1" applyBorder="1" applyAlignment="1">
      <alignment horizontal="center"/>
    </xf>
    <xf numFmtId="3" fontId="7" fillId="5" borderId="0" xfId="0" applyNumberFormat="1" applyFont="1" applyFill="1" applyAlignment="1">
      <alignment horizontal="center"/>
    </xf>
    <xf numFmtId="3" fontId="7" fillId="5" borderId="31" xfId="0" applyNumberFormat="1" applyFont="1" applyFill="1" applyBorder="1" applyAlignment="1">
      <alignment horizontal="center"/>
    </xf>
    <xf numFmtId="3" fontId="9" fillId="4" borderId="29" xfId="0" applyNumberFormat="1" applyFont="1" applyFill="1" applyBorder="1" applyAlignment="1">
      <alignment horizontal="center"/>
    </xf>
    <xf numFmtId="3" fontId="7" fillId="0" borderId="35" xfId="0" applyNumberFormat="1" applyFont="1" applyBorder="1" applyAlignment="1">
      <alignment horizontal="center"/>
    </xf>
    <xf numFmtId="3" fontId="7" fillId="0" borderId="36" xfId="0" applyNumberFormat="1" applyFont="1" applyBorder="1" applyAlignment="1">
      <alignment horizontal="center"/>
    </xf>
    <xf numFmtId="3" fontId="7" fillId="0" borderId="37" xfId="0" applyNumberFormat="1" applyFont="1" applyBorder="1" applyAlignment="1">
      <alignment horizontal="center"/>
    </xf>
    <xf numFmtId="0" fontId="4" fillId="23" borderId="1" xfId="0" applyFont="1" applyFill="1" applyBorder="1" applyAlignment="1">
      <alignment horizontal="left" vertical="center" wrapText="1"/>
    </xf>
    <xf numFmtId="0" fontId="4" fillId="23" borderId="3" xfId="0" applyFont="1" applyFill="1" applyBorder="1" applyAlignment="1">
      <alignment horizontal="left" vertical="center" wrapText="1"/>
    </xf>
    <xf numFmtId="3" fontId="7" fillId="0" borderId="34" xfId="0" applyNumberFormat="1" applyFont="1" applyBorder="1" applyAlignment="1">
      <alignment horizontal="center"/>
    </xf>
    <xf numFmtId="0" fontId="4" fillId="23" borderId="2" xfId="0" applyFont="1" applyFill="1" applyBorder="1" applyAlignment="1">
      <alignment horizontal="right" vertical="center" wrapText="1"/>
    </xf>
    <xf numFmtId="0" fontId="4" fillId="23" borderId="62" xfId="0" applyFont="1" applyFill="1" applyBorder="1" applyAlignment="1">
      <alignment horizontal="right" vertical="center" wrapText="1"/>
    </xf>
    <xf numFmtId="3" fontId="7" fillId="0" borderId="63" xfId="0" applyNumberFormat="1" applyFont="1" applyBorder="1" applyAlignment="1">
      <alignment horizontal="center"/>
    </xf>
    <xf numFmtId="38" fontId="12" fillId="0" borderId="30" xfId="0" applyNumberFormat="1" applyFont="1" applyBorder="1" applyAlignment="1">
      <alignment horizontal="center"/>
    </xf>
    <xf numFmtId="38" fontId="12" fillId="0" borderId="0" xfId="0" applyNumberFormat="1" applyFont="1" applyAlignment="1">
      <alignment horizontal="center"/>
    </xf>
    <xf numFmtId="38" fontId="12" fillId="0" borderId="15" xfId="0" applyNumberFormat="1" applyFont="1" applyBorder="1" applyAlignment="1">
      <alignment horizontal="center"/>
    </xf>
    <xf numFmtId="38" fontId="12" fillId="0" borderId="31" xfId="0" applyNumberFormat="1" applyFont="1" applyBorder="1" applyAlignment="1">
      <alignment horizontal="center"/>
    </xf>
    <xf numFmtId="9" fontId="12" fillId="5" borderId="38" xfId="1" applyFont="1" applyFill="1" applyBorder="1" applyAlignment="1">
      <alignment horizontal="center"/>
    </xf>
    <xf numFmtId="9" fontId="12" fillId="5" borderId="39" xfId="1" applyFont="1" applyFill="1" applyBorder="1" applyAlignment="1">
      <alignment horizontal="center"/>
    </xf>
    <xf numFmtId="9" fontId="12" fillId="5" borderId="40" xfId="1" applyFont="1" applyFill="1" applyBorder="1" applyAlignment="1">
      <alignment horizontal="center"/>
    </xf>
    <xf numFmtId="0" fontId="4" fillId="23" borderId="0" xfId="0" applyFont="1" applyFill="1" applyAlignment="1">
      <alignment horizontal="center" vertical="center" wrapText="1"/>
    </xf>
    <xf numFmtId="0" fontId="10" fillId="7" borderId="11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right"/>
    </xf>
    <xf numFmtId="0" fontId="4" fillId="7" borderId="16" xfId="0" applyFont="1" applyFill="1" applyBorder="1" applyAlignment="1">
      <alignment horizontal="right"/>
    </xf>
    <xf numFmtId="9" fontId="12" fillId="5" borderId="51" xfId="1" applyFont="1" applyFill="1" applyBorder="1" applyAlignment="1">
      <alignment horizontal="center"/>
    </xf>
    <xf numFmtId="38" fontId="12" fillId="5" borderId="16" xfId="0" applyNumberFormat="1" applyFont="1" applyFill="1" applyBorder="1" applyAlignment="1">
      <alignment horizontal="center"/>
    </xf>
    <xf numFmtId="0" fontId="31" fillId="14" borderId="1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3" fontId="2" fillId="0" borderId="61" xfId="0" applyNumberFormat="1" applyFont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</cellXfs>
  <cellStyles count="2">
    <cellStyle name="Normal" xfId="0" builtinId="0"/>
    <cellStyle name="Pourcentage" xfId="1" builtinId="5"/>
  </cellStyles>
  <dxfs count="2548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fill>
        <patternFill patternType="solid">
          <fgColor indexed="64"/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fill>
        <patternFill patternType="solid">
          <fgColor indexed="64"/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-0.249977111117893"/>
        </patternFill>
      </fill>
    </dxf>
    <dxf>
      <numFmt numFmtId="0" formatCode="General"/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  <dxf>
      <numFmt numFmtId="0" formatCode="General"/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  <dxf>
      <numFmt numFmtId="0" formatCode="General"/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-0.249977111117893"/>
        </patternFill>
      </fill>
    </dxf>
    <dxf>
      <numFmt numFmtId="0" formatCode="General"/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indexed="64"/>
          <bgColor theme="5" tint="-0.249977111117893"/>
        </patternFill>
      </fill>
    </dxf>
    <dxf>
      <numFmt numFmtId="0" formatCode="General"/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indexed="64"/>
          <bgColor theme="5" tint="-0.249977111117893"/>
        </patternFill>
      </fill>
    </dxf>
    <dxf>
      <numFmt numFmtId="0" formatCode="General"/>
      <fill>
        <patternFill patternType="solid">
          <fgColor indexed="64"/>
          <bgColor theme="5" tint="-0.249977111117893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499984740745262"/>
        </patternFill>
      </fill>
    </dxf>
    <dxf>
      <numFmt numFmtId="0" formatCode="General"/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numFmt numFmtId="0" formatCode="General"/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numFmt numFmtId="0" formatCode="General"/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left style="thin">
          <color rgb="FFFFFFFF"/>
        </left>
        <right style="thin">
          <color rgb="FFFFFFFF"/>
        </right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</dxf>
    <dxf>
      <numFmt numFmtId="166" formatCode="[$-F800]dddd\,\ mmmm\ dd\,\ yyyy"/>
    </dxf>
    <dxf>
      <numFmt numFmtId="1" formatCode="0"/>
    </dxf>
    <dxf>
      <numFmt numFmtId="166" formatCode="[$-F800]dddd\,\ mmmm\ dd\,\ yyyy"/>
    </dxf>
    <dxf>
      <numFmt numFmtId="1" formatCode="0"/>
    </dxf>
    <dxf>
      <numFmt numFmtId="166" formatCode="[$-F800]dddd\,\ mmmm\ dd\,\ yyyy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numFmt numFmtId="3" formatCode="#,##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19" formatCode="yyyy/mm/dd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numFmt numFmtId="1" formatCode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solid">
          <fgColor indexed="64"/>
          <bgColor theme="5" tint="0.39997558519241921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3" formatCode="#,##0"/>
    </dxf>
    <dxf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19" formatCode="yyyy/mm/dd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47" Type="http://schemas.openxmlformats.org/officeDocument/2006/relationships/customXml" Target="../customXml/item4.xml"/><Relationship Id="rId50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52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48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urget, Guillaume" id="{5A55FDC7-F201-4CA5-9EE7-302190102C39}" userId="S::Guillaume.Bourget@transports.gouv.qc.ca::c835d56b-fda7-4a5a-987b-30a635f37619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adjustColumnWidth="0" connectionId="13" xr16:uid="{2ADFBFF1-A298-49FE-8CFE-6DF820AF33CD}" autoFormatId="16" applyNumberFormats="0" applyBorderFormats="0" applyFontFormats="0" applyPatternFormats="0" applyAlignmentFormats="0" applyWidthHeightFormats="0">
  <queryTableRefresh nextId="543">
    <queryTableFields count="62">
      <queryTableField id="241" name="DES_COMPL_NATR_COMPB" tableColumnId="49"/>
      <queryTableField id="365" name="TYPE_INVEST_SCT" tableColumnId="8"/>
      <queryTableField id="203" name="NUM_PRIRT_DG" tableColumnId="44"/>
      <queryTableField id="375" name="Axe" tableColumnId="1"/>
      <queryTableField id="376" name="Catégorie Investissement" tableColumnId="2"/>
      <queryTableField id="377" name="Type Infrastructure" tableColumnId="3"/>
      <queryTableField id="378" name="Gérant projet" tableColumnId="4"/>
      <queryTableField id="379" name="État Composante AC" tableColumnId="5"/>
      <queryTableField id="380" name="État Composante TR" tableColumnId="6"/>
      <queryTableField id="381" name="Région" tableColumnId="7"/>
      <queryTableField id="382" name="Numéro projet" tableColumnId="30"/>
      <queryTableField id="383" name="Titre projet" tableColumnId="37"/>
      <queryTableField id="384" name="Localisation" tableColumnId="38"/>
      <queryTableField id="366" name="Année DÉBUT Travaux prévu" tableColumnId="9"/>
      <queryTableField id="385" name="État avancement" tableColumnId="39"/>
      <queryTableField id="386" name="PC-0" tableColumnId="40"/>
      <queryTableField id="387" name="PC-1" tableColumnId="42"/>
      <queryTableField id="388" name="PC-3" tableColumnId="43"/>
      <queryTableField id="389" name="PC-5" tableColumnId="45"/>
      <queryTableField id="238" dataBound="0" tableColumnId="65"/>
      <queryTableField id="218" dataBound="0" tableColumnId="64"/>
      <queryTableField id="217" dataBound="0" tableColumnId="63"/>
      <queryTableField id="216" dataBound="0" tableColumnId="62"/>
      <queryTableField id="215" dataBound="0" tableColumnId="61"/>
      <queryTableField id="214" dataBound="0" tableColumnId="60"/>
      <queryTableField id="372" name="IND_PARA" tableColumnId="35"/>
      <queryTableField id="373" name="IND_PROJT_ANNONCE" tableColumnId="36"/>
      <queryTableField id="368" name="INDICE OPC" tableColumnId="31"/>
      <queryTableField id="390" name="IND_Etat_avancement" tableColumnId="47"/>
      <queryTableField id="391" name="IND_SITE_PRIO_2024" tableColumnId="50"/>
      <queryTableField id="185" dataBound="0" tableColumnId="59"/>
      <queryTableField id="201" dataBound="0" tableColumnId="58"/>
      <queryTableField id="282" dataBound="0" tableColumnId="51"/>
      <queryTableField id="187" name="AC ANT" tableColumnId="78"/>
      <queryTableField id="34" name="TR ANT" tableColumnId="34"/>
      <queryTableField id="12" name="AC 2026" tableColumnId="12"/>
      <queryTableField id="13" name="TR 2026" tableColumnId="13"/>
      <queryTableField id="14" name="AC 2027" tableColumnId="14"/>
      <queryTableField id="15" name="TR 2027" tableColumnId="15"/>
      <queryTableField id="16" name="AC 2028" tableColumnId="16"/>
      <queryTableField id="17" name="TR 2028" tableColumnId="17"/>
      <queryTableField id="18" name="AC 2029" tableColumnId="18"/>
      <queryTableField id="19" name="TR 2029" tableColumnId="19"/>
      <queryTableField id="20" name="AC 2030" tableColumnId="20"/>
      <queryTableField id="21" name="TR 2030" tableColumnId="21"/>
      <queryTableField id="22" name="AC 2031" tableColumnId="22"/>
      <queryTableField id="23" name="TR 2031" tableColumnId="23"/>
      <queryTableField id="24" name="AC 2032" tableColumnId="24"/>
      <queryTableField id="25" name="TR 2032" tableColumnId="25"/>
      <queryTableField id="509" name="AC 2033" tableColumnId="10"/>
      <queryTableField id="510" name="TR 2033" tableColumnId="11"/>
      <queryTableField id="511" name="AC 2034" tableColumnId="26"/>
      <queryTableField id="512" name="TR 2034" tableColumnId="27"/>
      <queryTableField id="513" name="AC 2035" tableColumnId="28"/>
      <queryTableField id="514" name="TR 2035" tableColumnId="29"/>
      <queryTableField id="515" name="AC 2036" tableColumnId="48"/>
      <queryTableField id="516" name="TR 2036" tableColumnId="52"/>
      <queryTableField id="477" name="AC ULT" tableColumnId="41"/>
      <queryTableField id="478" name="TR ULT" tableColumnId="46"/>
      <queryTableField id="442" name="Total Projet" tableColumnId="68"/>
      <queryTableField id="445" name="Total Quinquennale" tableColumnId="32"/>
      <queryTableField id="446" name="Total Décennale" tableColumnId="33"/>
    </queryTableFields>
    <queryTableDeletedFields count="3">
      <deletedField name="AC ANT"/>
      <deletedField name="AC 2035"/>
      <deletedField name="TR 203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adjustColumnWidth="0" connectionId="11" xr16:uid="{B9CCFE20-EDB3-46C1-A58F-B2A4AF11182F}" autoFormatId="16" applyNumberFormats="0" applyBorderFormats="0" applyFontFormats="0" applyPatternFormats="0" applyAlignmentFormats="0" applyWidthHeightFormats="0">
  <queryTableRefresh nextId="622">
    <queryTableFields count="62">
      <queryTableField id="241" name="DES_COMPL_NATR_COMPB" tableColumnId="49"/>
      <queryTableField id="365" name="TYPE_INVEST_SCT" tableColumnId="8"/>
      <queryTableField id="203" name="NUM_PRIRT_DG" tableColumnId="44"/>
      <queryTableField id="375" name="Axe" tableColumnId="1"/>
      <queryTableField id="376" name="Catégorie Investissement" tableColumnId="2"/>
      <queryTableField id="377" name="Type Infrastructure" tableColumnId="3"/>
      <queryTableField id="378" name="Gérant projet" tableColumnId="4"/>
      <queryTableField id="379" name="État Composante AC" tableColumnId="5"/>
      <queryTableField id="380" name="État Composante TR" tableColumnId="6"/>
      <queryTableField id="381" name="Région" tableColumnId="7"/>
      <queryTableField id="382" name="Numéro projet" tableColumnId="30"/>
      <queryTableField id="383" name="Titre projet" tableColumnId="37"/>
      <queryTableField id="384" name="Localisation" tableColumnId="38"/>
      <queryTableField id="366" name="Année DÉBUT Travaux prévu" tableColumnId="9"/>
      <queryTableField id="385" name="État avancement" tableColumnId="39"/>
      <queryTableField id="386" name="PC-0" tableColumnId="40"/>
      <queryTableField id="387" name="PC-1" tableColumnId="42"/>
      <queryTableField id="238" dataBound="0" tableColumnId="65"/>
      <queryTableField id="218" dataBound="0" tableColumnId="64"/>
      <queryTableField id="217" dataBound="0" tableColumnId="63"/>
      <queryTableField id="216" dataBound="0" tableColumnId="62"/>
      <queryTableField id="215" dataBound="0" tableColumnId="61"/>
      <queryTableField id="214" dataBound="0" tableColumnId="60"/>
      <queryTableField id="388" name="PC-3" tableColumnId="43"/>
      <queryTableField id="389" name="PC-5" tableColumnId="45"/>
      <queryTableField id="372" name="IND_PARA" tableColumnId="35"/>
      <queryTableField id="373" name="IND_PROJT_ANNONCE" tableColumnId="36"/>
      <queryTableField id="368" name="INDICE OPC" tableColumnId="31"/>
      <queryTableField id="185" dataBound="0" tableColumnId="59"/>
      <queryTableField id="201" dataBound="0" tableColumnId="58"/>
      <queryTableField id="282" dataBound="0" tableColumnId="51"/>
      <queryTableField id="390" name="IND_Etat_avancement" tableColumnId="47"/>
      <queryTableField id="391" name="IND_SITE_PRIO_2024" tableColumnId="50"/>
      <queryTableField id="187" name="AC ANT" tableColumnId="78"/>
      <queryTableField id="34" name="TR ANT" tableColumnId="34"/>
      <queryTableField id="12" name="AC 2026" tableColumnId="12"/>
      <queryTableField id="13" name="TR 2026" tableColumnId="13"/>
      <queryTableField id="14" name="AC 2027" tableColumnId="14"/>
      <queryTableField id="15" name="TR 2027" tableColumnId="15"/>
      <queryTableField id="16" name="AC 2028" tableColumnId="16"/>
      <queryTableField id="17" name="TR 2028" tableColumnId="17"/>
      <queryTableField id="18" name="AC 2029" tableColumnId="18"/>
      <queryTableField id="19" name="TR 2029" tableColumnId="19"/>
      <queryTableField id="20" name="AC 2030" tableColumnId="20"/>
      <queryTableField id="21" name="TR 2030" tableColumnId="21"/>
      <queryTableField id="22" name="AC 2031" tableColumnId="22"/>
      <queryTableField id="23" name="TR 2031" tableColumnId="23"/>
      <queryTableField id="24" name="AC 2032" tableColumnId="24"/>
      <queryTableField id="25" name="TR 2032" tableColumnId="25"/>
      <queryTableField id="588" name="AC 2033" tableColumnId="10"/>
      <queryTableField id="589" name="TR 2033" tableColumnId="11"/>
      <queryTableField id="590" name="AC 2034" tableColumnId="26"/>
      <queryTableField id="591" name="TR 2034" tableColumnId="27"/>
      <queryTableField id="592" name="AC 2035" tableColumnId="28"/>
      <queryTableField id="593" name="TR 2035" tableColumnId="29"/>
      <queryTableField id="594" name="AC 2036" tableColumnId="48"/>
      <queryTableField id="595" name="TR 2036" tableColumnId="52"/>
      <queryTableField id="556" name="AC ULT" tableColumnId="41"/>
      <queryTableField id="557" name="TR ULT" tableColumnId="46"/>
      <queryTableField id="442" name="Total Projet" tableColumnId="68"/>
      <queryTableField id="445" name="Total Quinquennale" tableColumnId="32"/>
      <queryTableField id="446" name="Total Décennale" tableColumnId="33"/>
    </queryTableFields>
    <queryTableDeletedFields count="3">
      <deletedField name="AC ANT"/>
      <deletedField name="AC 2035"/>
      <deletedField name="TR 203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4" xr16:uid="{C2C4E655-1AFD-4D61-861C-07654798E091}" autoFormatId="16" applyNumberFormats="0" applyBorderFormats="0" applyFontFormats="0" applyPatternFormats="0" applyAlignmentFormats="0" applyWidthHeightFormats="0">
  <queryTableRefresh nextId="18">
    <queryTableFields count="12">
      <queryTableField id="1" name="Année" tableColumnId="1"/>
      <queryTableField id="2" name="Numéro projet" tableColumnId="2"/>
      <queryTableField id="3" name="Titre projet" tableColumnId="3"/>
      <queryTableField id="4" name="État avancement" tableColumnId="4"/>
      <queryTableField id="10" name="Date PC-0" tableColumnId="10"/>
      <queryTableField id="11" name="Date PC-1" tableColumnId="11"/>
      <queryTableField id="12" name="Date PC-3" tableColumnId="12"/>
      <queryTableField id="13" name="Date PC-5" tableColumnId="13"/>
      <queryTableField id="6" name="AC" tableColumnId="6"/>
      <queryTableField id="7" name="TR" tableColumnId="7"/>
      <queryTableField id="8" name="Budget année" tableColumnId="8"/>
      <queryTableField id="9" name="Projet annoncé" tableColumnId="9"/>
    </queryTableFields>
  </queryTableRefresh>
</queryTable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2D0B3F-0C17-4B30-BBE1-8E00C5A69521}" name="ProgProp_20241016" displayName="ProgProp_20241016" ref="A18:BL65" totalsRowCount="1" headerRowDxfId="2547">
  <autoFilter ref="A18:BL64" xr:uid="{9F04E8B0-9684-4F3F-8527-175E5EC6D67D}"/>
  <tableColumns count="64">
    <tableColumn id="1" xr3:uid="{5B07FA2E-E06B-4433-BAA1-847F7D96F5CD}" name="Axe"/>
    <tableColumn id="3" xr3:uid="{095725FF-81C4-46BD-9712-4DCFDB361FB1}" name="Catégorie Investissement"/>
    <tableColumn id="4" xr3:uid="{5DC9BA9B-96C3-40F7-A19B-92CA655860B0}" name="Type Infrastructure"/>
    <tableColumn id="5" xr3:uid="{145A3B81-A875-43B9-AE2C-583FAC5D2FDD}" name="Gérant projet"/>
    <tableColumn id="35" xr3:uid="{7E229572-8B4C-4D4D-AE52-4E7392838F2C}" name="État Composante AC"/>
    <tableColumn id="36" xr3:uid="{0A8AB4DF-5782-4A7A-839D-A07B287C8748}" name="État Composante TR"/>
    <tableColumn id="62" xr3:uid="{16FB4048-DCA3-4A9E-A8B4-7E75ACE43F51}" name="Priorité DG"/>
    <tableColumn id="2" xr3:uid="{38D38823-B506-413E-8C10-31E5622E836D}" name="Région" dataDxfId="2546"/>
    <tableColumn id="37" xr3:uid="{9C0DBEF5-4BA5-485E-BAE2-02DCCE0FF1C4}" name="Numéro projet" totalsRowFunction="count"/>
    <tableColumn id="57" xr3:uid="{D45F19E6-66BB-43B9-B83D-C66A90B8477F}" name="Titre projet"/>
    <tableColumn id="30" xr3:uid="{A2C8A336-184F-4DFD-9F56-0165E0A80136}" name="Localisation"/>
    <tableColumn id="59" xr3:uid="{164DCF68-FCF6-4F55-91CF-326CA647610C}" name="Année DÉBUT Travaux prévu" dataDxfId="2545"/>
    <tableColumn id="7" xr3:uid="{9DE0084E-357F-438E-8D3D-9230E96495D0}" name="État avancement" dataDxfId="2544"/>
    <tableColumn id="38" xr3:uid="{3F93C670-A018-45BB-A26A-606C0CD3B400}" name="PC-1" dataDxfId="2543"/>
    <tableColumn id="39" xr3:uid="{0AD350A6-717A-4585-BE4D-52416FCD91BB}" name="PC-3" dataDxfId="2542"/>
    <tableColumn id="40" xr3:uid="{1984F51F-CAEF-4625-954C-67E0BB928B24}" name="PC-5" dataDxfId="2541"/>
    <tableColumn id="31" xr3:uid="{0C088669-F1C4-4C57-B963-C0223DA54BC1}" name="IND_PROJT_ANNONCE"/>
    <tableColumn id="43" xr3:uid="{967752B6-DF13-40ED-B038-1B604309CA59}" name="IND_PC5_TR2025" dataDxfId="2540"/>
    <tableColumn id="42" xr3:uid="{B898E674-22F0-4303-B8CD-A265912DE8B9}" name="IND_PC3_TR2026" dataDxfId="2539"/>
    <tableColumn id="41" xr3:uid="{271207C3-889C-4668-A1D9-CA7B3EF8108F}" name="IND_PC1_AC2025" dataDxfId="2538"/>
    <tableColumn id="44" xr3:uid="{86B2608F-942F-4A90-BDCA-FFBFCD5F5324}" name="IEG_Batiment_Moy" dataDxfId="2537"/>
    <tableColumn id="45" xr3:uid="{89A36EB6-0604-4A10-BC57-BA7C908D67A5}" name="IEG_Gravier" dataDxfId="2536"/>
    <tableColumn id="46" xr3:uid="{BA8B455F-F824-4618-AE3D-AF0E2E192988}" name="IEG_ChausseePavee" dataDxfId="2535"/>
    <tableColumn id="47" xr3:uid="{1242B4CD-3D6E-46FB-AF69-E7DCBF8977A3}" name="IEG_Ponceaux_Moy" dataDxfId="2534"/>
    <tableColumn id="48" xr3:uid="{9383B5C4-05E1-4D7F-8A10-0C9E463EC804}" name="IEG_RouteAcces" dataDxfId="2533"/>
    <tableColumn id="49" xr3:uid="{990449BB-C92C-4BDC-9585-3808374B3DC2}" name="IEG_SystElectro" dataDxfId="2532"/>
    <tableColumn id="50" xr3:uid="{7FA08FEF-DD81-44DC-8C43-4DD018CBF2DB}" name="IND_Batiment_Moy"/>
    <tableColumn id="51" xr3:uid="{EAEE960D-D0AF-45C1-9960-EAE0EE7F6B99}" name="IND_ChausseeGravier"/>
    <tableColumn id="52" xr3:uid="{6D0FCCFA-3AB6-456E-BB8C-B6F682CDFCF8}" name="IND_ChausseePavee"/>
    <tableColumn id="53" xr3:uid="{5788B620-6F23-42AD-AE0D-2C9FB3B8622B}" name="IND_Ponceaux_Moy"/>
    <tableColumn id="54" xr3:uid="{723B78AB-328B-4C25-8D38-2E3968CA9B6C}" name="IND_RouteAcces"/>
    <tableColumn id="55" xr3:uid="{6DBB9C57-03C9-403F-B685-628B4C136348}" name="IND_SystElectro_Moy"/>
    <tableColumn id="6" xr3:uid="{6D9C466D-D86E-47E5-92CA-B6549A4B26BD}" name="IND_Etat_avancement" dataDxfId="2531"/>
    <tableColumn id="56" xr3:uid="{2017460C-0F88-43DB-BB16-6033934E44F5}" name="IND_Site_Prioritaire"/>
    <tableColumn id="72" xr3:uid="{1D54C32D-042E-4409-8D7B-F34E945EF33A}" name="IND_Parachèvement" dataDxfId="2530"/>
    <tableColumn id="58" xr3:uid="{303E672F-7796-4C7A-8B1D-B1DB134423FB}" name="Critère PC Atteint" dataDxfId="2529">
      <calculatedColumnFormula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calculatedColumnFormula>
    </tableColumn>
    <tableColumn id="33" xr3:uid="{E35AE19F-BA36-40E2-8CCB-87C9292E9672}" name="Critère Etat Infrastructure" dataDxfId="2528">
      <calculatedColumnFormula>MAX(ProgProp_20241016[[#This Row],[IND_Batiment_Moy]:[IND_SystElectro_Moy]])</calculatedColumnFormula>
    </tableColumn>
    <tableColumn id="61" xr3:uid="{BD167D4A-6B4A-427E-B373-A46334DC3CA3}" name="Priorité Programmation" dataDxfId="2527">
      <calculatedColumnFormula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calculatedColumnFormula>
    </tableColumn>
    <tableColumn id="60" xr3:uid="{E9997C62-0C5D-4A68-AC7A-44B8DF480D63}" name="Colonne1" dataDxfId="2526" totalsRowDxfId="2525"/>
    <tableColumn id="78" xr3:uid="{D9E01F87-056B-4DA9-B504-9096FD210BB8}" name="AC ANT" totalsRowFunction="sum" totalsRowDxfId="2524"/>
    <tableColumn id="34" xr3:uid="{F9E1DC86-68DB-4D3F-9E6B-B4D014D01BD0}" name="TR ANT" totalsRowFunction="sum" totalsRowDxfId="2523"/>
    <tableColumn id="8" xr3:uid="{5AE9D615-88FE-4F41-9EBC-3C8E93775D92}" name="AC 2024" totalsRowFunction="sum" totalsRowDxfId="2522"/>
    <tableColumn id="9" xr3:uid="{008E52B9-7595-4BE0-9149-F4E05394771E}" name="TR 2024" totalsRowFunction="sum" totalsRowDxfId="2521"/>
    <tableColumn id="10" xr3:uid="{B8E455C9-756F-4D14-ACAB-34C3F632E340}" name="AC 2025" totalsRowFunction="sum" totalsRowDxfId="2520"/>
    <tableColumn id="11" xr3:uid="{9CCD5D04-4329-4FE8-A93F-5BAAB1A2E329}" name="TR 2025" totalsRowFunction="sum" totalsRowDxfId="2519"/>
    <tableColumn id="12" xr3:uid="{C0A7857E-43D7-436E-AD4A-DF8266AA35B0}" name="AC 2026" totalsRowFunction="sum" totalsRowDxfId="2518"/>
    <tableColumn id="13" xr3:uid="{48A755C8-5E42-4D48-A1FD-1466410A433C}" name="TR 2026" totalsRowFunction="sum" totalsRowDxfId="2517"/>
    <tableColumn id="14" xr3:uid="{CEEB1197-490B-49B7-959D-6EBE2BED3AC6}" name="AC 2027" totalsRowFunction="sum" totalsRowDxfId="2516"/>
    <tableColumn id="15" xr3:uid="{8AA21816-DBA7-4557-89C1-EA1010EBC05F}" name="TR 2027" totalsRowFunction="sum" totalsRowDxfId="2515"/>
    <tableColumn id="16" xr3:uid="{C76676CA-0379-4417-85C5-3C0700821B52}" name="AC 2028" totalsRowFunction="sum" totalsRowDxfId="2514"/>
    <tableColumn id="17" xr3:uid="{40C205DD-1E63-47AD-A837-A6662708249F}" name="TR 2028" totalsRowFunction="sum" totalsRowDxfId="2513"/>
    <tableColumn id="18" xr3:uid="{7418F563-A668-4972-9A44-6CA682AAB900}" name="AC 2029" totalsRowFunction="sum" totalsRowDxfId="2512"/>
    <tableColumn id="19" xr3:uid="{E355189B-E654-4674-874A-71F7A0D44161}" name="TR 2029" totalsRowFunction="sum" totalsRowDxfId="2511"/>
    <tableColumn id="20" xr3:uid="{012057FD-308B-4FAA-BEAA-D5889A664E71}" name="AC 2030" totalsRowFunction="sum" totalsRowDxfId="2510"/>
    <tableColumn id="21" xr3:uid="{BC0B9B0E-C987-47A2-9EEF-5CFE9FA7D993}" name="TR 2030" totalsRowFunction="count" totalsRowDxfId="2509"/>
    <tableColumn id="22" xr3:uid="{B44A77EE-CCB3-4289-966B-537DF824F9BF}" name="AC 2031" totalsRowFunction="sum" totalsRowDxfId="2508"/>
    <tableColumn id="23" xr3:uid="{432B31FB-4291-4C6B-9237-681C90BBA3D9}" name="TR 2031" totalsRowFunction="sum" totalsRowDxfId="2507"/>
    <tableColumn id="24" xr3:uid="{78345D37-BABF-43ED-A03D-D98867ACAB21}" name="AC 2032" totalsRowFunction="sum" totalsRowDxfId="2506"/>
    <tableColumn id="25" xr3:uid="{FB97DE35-CCA0-4825-87FC-966AD054BC44}" name="TR 2032" totalsRowFunction="sum" totalsRowDxfId="2505"/>
    <tableColumn id="26" xr3:uid="{CE15ACAD-A8D3-4E6C-9A10-8D684797467A}" name="AC 2033" totalsRowFunction="sum" totalsRowDxfId="2504"/>
    <tableColumn id="27" xr3:uid="{4D4C1543-A1E6-4047-9E5E-4B81CAE4073B}" name="TR 2033" totalsRowFunction="sum" totalsRowDxfId="2503"/>
    <tableColumn id="28" xr3:uid="{B5FDCF2C-753E-4251-857F-D269A7909676}" name="AC 2034" totalsRowFunction="sum" totalsRowDxfId="2502"/>
    <tableColumn id="29" xr3:uid="{01357897-4B94-4210-9112-E7DD4CD73038}" name="TR 2034" totalsRowFunction="sum" totalsRowDxfId="2501"/>
    <tableColumn id="32" xr3:uid="{C2DB09A5-5AC0-42E9-8AAF-AC98491C821E}" name="Total Projet" totalsRowFunction="sum" dataDxfId="2500" totalsRowDxfId="2499">
      <calculatedColumnFormula>SUM(ProgProp_20241016[[#This Row],[AC ANT]:[TR 2034]])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47E0F0-5427-47A0-BB62-70904325ACEF}" name="Portefeuille_ProgPropose4" displayName="Portefeuille_ProgPropose4" ref="A17:BA65" totalsRowCount="1" headerRowDxfId="2498">
  <autoFilter ref="A17:BA64" xr:uid="{9F04E8B0-9684-4F3F-8527-175E5EC6D67D}"/>
  <tableColumns count="53">
    <tableColumn id="45" xr3:uid="{50260C3E-B129-4C48-88BE-97CFE4E2E8C0}" name="DES_COMPL_NATR_COMPB" dataDxfId="2497"/>
    <tableColumn id="44" xr3:uid="{3B04EB03-6E8C-4A4C-AE25-607EFAF97C4C}" name="NUM_PRIRT_DG" totalsRowFunction="count"/>
    <tableColumn id="1" xr3:uid="{1B1AE6C9-A83F-4E49-822D-8688FF7D71E5}" name="Axe"/>
    <tableColumn id="3" xr3:uid="{EB61F35B-9B71-457B-A5EF-141AFF3A22E2}" name="Catégorie Investissement"/>
    <tableColumn id="4" xr3:uid="{5AAB28A3-CCE0-4D75-89EC-7A5B7B91824A}" name="Type Infrastructure"/>
    <tableColumn id="5" xr3:uid="{54AF1ED1-3DB8-4144-83C4-D07B901DCF50}" name="Gérant projet"/>
    <tableColumn id="35" xr3:uid="{99904BAA-3115-431D-B641-99C74FD6BC9E}" name="État Composante AC"/>
    <tableColumn id="36" xr3:uid="{E507A922-8E27-480D-83EC-3B0E36AD5A4A}" name="État Composante TR"/>
    <tableColumn id="2" xr3:uid="{8D5E86A8-BE45-4D09-9572-56A6CE725230}" name="Région" dataDxfId="2496"/>
    <tableColumn id="37" xr3:uid="{752AC7C1-7E31-497D-86BF-85D97090AACA}" name="Numéro projet" totalsRowFunction="count" dataDxfId="2495"/>
    <tableColumn id="57" xr3:uid="{5EE5C883-A1CE-43F5-9CC3-8261DA120CC5}" name="Titre projet" dataDxfId="2494"/>
    <tableColumn id="30" xr3:uid="{8F687B7A-4653-4C35-A2FE-7BF59D8138AF}" name="Localisation" dataDxfId="2493"/>
    <tableColumn id="59" xr3:uid="{62F420AE-3EE3-4286-AE11-CE868579D5E4}" name="Année DÉBUT Travaux prévu" dataDxfId="2492"/>
    <tableColumn id="7" xr3:uid="{649CBD63-1999-4825-ABC3-FF83281CA74E}" name="État avancement" dataDxfId="2491"/>
    <tableColumn id="38" xr3:uid="{DEAAA59D-C230-4CA2-AA39-AD7C0FFF5BEF}" name="PC-1" dataDxfId="2490"/>
    <tableColumn id="39" xr3:uid="{54C09E73-25FA-4B34-AE0B-AED9EE1CBC20}" name="PC-3" dataDxfId="2489"/>
    <tableColumn id="40" xr3:uid="{6C0D8F42-5779-4F4B-8F4A-4239248878C7}" name="PC-5" dataDxfId="2488"/>
    <tableColumn id="78" xr3:uid="{98CD3314-E79C-4331-98D8-F4AF9D15C5AF}" name="AC ANT" totalsRowFunction="sum" dataDxfId="2487" totalsRowDxfId="2486"/>
    <tableColumn id="34" xr3:uid="{82D666EF-88B9-4087-A607-15171A21A087}" name="TR ANT" totalsRowFunction="sum" dataDxfId="2485" totalsRowDxfId="2484"/>
    <tableColumn id="8" xr3:uid="{934BBBA4-39FF-4A33-AE50-E2E008EEB66D}" name="AC 2024" totalsRowFunction="sum" dataDxfId="2483" totalsRowDxfId="2482"/>
    <tableColumn id="9" xr3:uid="{41D0602C-990B-4011-9B07-CBBC0DD9ABE7}" name="TR 2024" totalsRowFunction="sum" dataDxfId="2481" totalsRowDxfId="2480"/>
    <tableColumn id="10" xr3:uid="{67F88942-A9DB-4A8F-99E1-910CD411DB73}" name="AC 2025" totalsRowFunction="sum" dataDxfId="2479" totalsRowDxfId="2478"/>
    <tableColumn id="11" xr3:uid="{D94F215F-D09D-49FF-888C-B21A7A854320}" name="TR 2025" totalsRowFunction="sum" dataDxfId="2477" totalsRowDxfId="2476"/>
    <tableColumn id="46" xr3:uid="{631C9C68-8680-4AA3-B650-AD23609CDBCB}" name="AC 2025 Trimestre précédent" totalsRowFunction="sum" totalsRowDxfId="2475"/>
    <tableColumn id="47" xr3:uid="{5D7F3671-11E1-4B90-8526-73C401106982}" name="TR 2025 Trimestre précédent" totalsRowFunction="sum" totalsRowDxfId="2474"/>
    <tableColumn id="52" xr3:uid="{DD92074F-E833-443F-8700-4E1FEBA93EFD}" name="Écart AC 2025" totalsRowFunction="sum" dataDxfId="2473" totalsRowDxfId="2472">
      <calculatedColumnFormula>Portefeuille_ProgPropose4[[#This Row],[AC 2025]]-Portefeuille_ProgPropose4[[#This Row],[AC 2025 Trimestre précédent]]</calculatedColumnFormula>
    </tableColumn>
    <tableColumn id="51" xr3:uid="{F4BFB36C-FF53-4993-9D9B-A02F75E5953B}" name="Écart TR 2025" totalsRowFunction="sum" dataDxfId="2471" totalsRowDxfId="2470">
      <calculatedColumnFormula>Portefeuille_ProgPropose4[[#This Row],[TR 2025]]-Portefeuille_ProgPropose4[[#This Row],[TR 2025 Trimestre précédent]]</calculatedColumnFormula>
    </tableColumn>
    <tableColumn id="50" xr3:uid="{4690A6E8-AAF9-4921-8110-78632CE18C58}" name="Écart 2025 Total" totalsRowFunction="sum" dataDxfId="2469" totalsRowDxfId="2468">
      <calculatedColumnFormula>Portefeuille_ProgPropose4[[#This Row],[Écart AC 2025]]+Portefeuille_ProgPropose4[[#This Row],[Écart TR 2025]]</calculatedColumnFormula>
    </tableColumn>
    <tableColumn id="41" xr3:uid="{558F1FB2-A0D6-4E4D-8202-A5FA83121068}" name="État travaux 2025" totalsRowDxfId="2467"/>
    <tableColumn id="12" xr3:uid="{7D417907-2120-46EC-A727-9252F8766F26}" name="AC 2026" totalsRowFunction="sum" dataDxfId="2466" totalsRowDxfId="2465"/>
    <tableColumn id="13" xr3:uid="{00CF11DA-201F-4EE3-94BA-2F6CDB6E5572}" name="TR 2026" totalsRowFunction="sum" dataDxfId="2464" totalsRowDxfId="2463"/>
    <tableColumn id="48" xr3:uid="{C28D970B-6849-4F64-8593-6A075CFE8600}" name="AC 2026 Trimestre précédent" totalsRowFunction="sum" totalsRowDxfId="2462"/>
    <tableColumn id="49" xr3:uid="{3082514B-33CD-4EEA-907B-E4B0FD102BD4}" name="TR 2026 Trimestre précédent" totalsRowFunction="sum" totalsRowDxfId="2461"/>
    <tableColumn id="31" xr3:uid="{2CBB8A98-92F3-41FB-8349-4B03AB4474C2}" name="Écart AC 2026" totalsRowFunction="sum" dataDxfId="2460" totalsRowDxfId="2459">
      <calculatedColumnFormula>Portefeuille_ProgPropose4[[#This Row],[AC 2026]]-Portefeuille_ProgPropose4[[#This Row],[AC 2026 Trimestre précédent]]</calculatedColumnFormula>
    </tableColumn>
    <tableColumn id="33" xr3:uid="{2E59005A-483F-4D8F-960B-1CF8D5B1E449}" name="Écart TR 2026" totalsRowFunction="sum" dataDxfId="2458" totalsRowDxfId="2457">
      <calculatedColumnFormula>Portefeuille_ProgPropose4[[#This Row],[TR 2026]]-Portefeuille_ProgPropose4[[#This Row],[TR 2026 Trimestre précédent]]</calculatedColumnFormula>
    </tableColumn>
    <tableColumn id="6" xr3:uid="{0462F522-F76D-4868-B542-E6DD35059E69}" name="Écart 2026 Total" totalsRowFunction="sum" dataDxfId="2456" totalsRowDxfId="2455">
      <calculatedColumnFormula>Portefeuille_ProgPropose4[[#This Row],[Écart AC 2026]]+Portefeuille_ProgPropose4[[#This Row],[Écart TR 2026]]</calculatedColumnFormula>
    </tableColumn>
    <tableColumn id="14" xr3:uid="{760DB61F-F805-4BF8-9844-2B350698E461}" name="AC 2027" totalsRowFunction="sum" dataDxfId="2454" totalsRowDxfId="2453"/>
    <tableColumn id="15" xr3:uid="{F095CA03-E332-4394-9FFF-8686CD8C07E5}" name="TR 2027" totalsRowFunction="sum" dataDxfId="2452" totalsRowDxfId="2451"/>
    <tableColumn id="16" xr3:uid="{FB186015-CF0E-4C93-8E5E-4A357C6E546B}" name="AC 2028" totalsRowFunction="sum" dataDxfId="2450" totalsRowDxfId="2449"/>
    <tableColumn id="17" xr3:uid="{DEE6ADE4-EB4E-45B6-AA45-D6F4408364D7}" name="TR 2028" totalsRowFunction="sum" dataDxfId="2448" totalsRowDxfId="2447"/>
    <tableColumn id="18" xr3:uid="{814A09F9-F11D-484A-BDCA-23CD7EE0A6A7}" name="AC 2029" totalsRowFunction="sum" dataDxfId="2446" totalsRowDxfId="2445"/>
    <tableColumn id="19" xr3:uid="{44BA1BA3-9466-4FEA-B74A-68CCDB61DACB}" name="TR 2029" totalsRowFunction="sum" dataDxfId="2444" totalsRowDxfId="2443"/>
    <tableColumn id="20" xr3:uid="{19375F8E-D6DC-4BE6-8D50-9DCAC0FAD4B9}" name="AC 2030" totalsRowFunction="sum" dataDxfId="2442" totalsRowDxfId="2441"/>
    <tableColumn id="21" xr3:uid="{74D17ED3-5EF1-4F44-A482-1EAE6139EDB3}" name="TR 2030" totalsRowFunction="sum" dataDxfId="2440" totalsRowDxfId="2439"/>
    <tableColumn id="22" xr3:uid="{D5324C2F-EFAA-4871-9C28-CAC10FAEE9A6}" name="AC 2031" totalsRowFunction="sum" dataDxfId="2438" totalsRowDxfId="2437"/>
    <tableColumn id="23" xr3:uid="{C310E35D-893E-49D7-A60F-B5DBE377328F}" name="TR 2031" totalsRowFunction="sum" dataDxfId="2436" totalsRowDxfId="2435"/>
    <tableColumn id="24" xr3:uid="{246FB304-BDCA-4BA7-8207-562970B81D9D}" name="AC 2032" totalsRowFunction="sum" dataDxfId="2434" totalsRowDxfId="2433"/>
    <tableColumn id="25" xr3:uid="{0F653384-B60B-4E79-A5F9-E793FC0B09A6}" name="TR 2032" totalsRowFunction="sum" dataDxfId="2432" totalsRowDxfId="2431"/>
    <tableColumn id="26" xr3:uid="{9F36ACF5-A023-4379-8DAB-10ECCE2D1A33}" name="AC 2033" totalsRowFunction="sum" dataDxfId="2430" totalsRowDxfId="2429"/>
    <tableColumn id="27" xr3:uid="{A57A4879-69BD-4C7F-8AA3-6A2986CCAB8E}" name="TR 2033" totalsRowFunction="sum" dataDxfId="2428" totalsRowDxfId="2427"/>
    <tableColumn id="28" xr3:uid="{202EF7E3-1486-47E0-BA97-63D3C1014E7E}" name="AC 2034" totalsRowFunction="sum" dataDxfId="2426" totalsRowDxfId="2425"/>
    <tableColumn id="29" xr3:uid="{9884E98F-08F2-4D53-812B-FE2FFBD71903}" name="TR 2034" totalsRowFunction="sum" dataDxfId="2424" totalsRowDxfId="2423"/>
    <tableColumn id="32" xr3:uid="{FAA64662-177E-4440-B7FA-9A77E23CBD3A}" name="Total Projet" totalsRowFunction="sum" dataDxfId="2422" totalsRowDxfId="2421">
      <calculatedColumnFormula>SUM(Portefeuille_ProgPropose4[[#This Row],[AC ANT]:[TR 2025]],Portefeuille_ProgPropose4[[#This Row],[AC 2026]:[TR 2026]],Portefeuille_ProgPropose4[[#This Row],[AC 2027]:[TR 2034]])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8E9665-3792-4929-81D5-7E2F94FB25FD}" name="Portefeuille_MNT_PPS_Access8" displayName="Portefeuille_MNT_PPS_Access8" ref="A18:AZ146" totalsRowCount="1" headerRowDxfId="2420">
  <autoFilter ref="A18:AZ145" xr:uid="{9F04E8B0-9684-4F3F-8527-175E5EC6D67D}">
    <filterColumn colId="10">
      <filters>
        <filter val="Z_Plusieurs sites"/>
      </filters>
    </filterColumn>
  </autoFilter>
  <tableColumns count="52">
    <tableColumn id="44" xr3:uid="{3941E337-EA92-4871-AB02-8A073AB44A99}" name="NUM_PRIRT_DG" totalsRowFunction="count"/>
    <tableColumn id="1" xr3:uid="{251290CE-290B-4B77-ABFE-0247DE7F976D}" name="Axe"/>
    <tableColumn id="3" xr3:uid="{42F27865-119E-4043-A21E-5B2E9F6F7B74}" name="Catégorie Investissement"/>
    <tableColumn id="4" xr3:uid="{D98D88F2-16C6-4513-A363-900D2CDEE704}" name="Type Infrastructure"/>
    <tableColumn id="5" xr3:uid="{E75E6710-ACD0-4D06-A121-5C304453AD2D}" name="Gérant projet"/>
    <tableColumn id="35" xr3:uid="{BF461808-25A3-4CD2-A72F-3925CC027E3D}" name="État Composante AC"/>
    <tableColumn id="36" xr3:uid="{CAE2EA19-9316-4DC7-A1C8-E7ECAE4C7F0E}" name="État Composante TR"/>
    <tableColumn id="2" xr3:uid="{DF5DF9A0-F403-4C70-A75D-73D057956058}" name="Région" dataDxfId="2419"/>
    <tableColumn id="37" xr3:uid="{4653F957-FFD9-4E0E-94B5-B095B11B4B11}" name="Numéro projet" totalsRowFunction="count" dataDxfId="2418"/>
    <tableColumn id="57" xr3:uid="{24F5652A-40B7-45D8-AE54-59B1FFE64FE7}" name="Titre projet" dataDxfId="2417"/>
    <tableColumn id="30" xr3:uid="{CB94E4CD-6977-458D-9606-428E2654930B}" name="Localisation" dataDxfId="2416"/>
    <tableColumn id="59" xr3:uid="{64427EC1-264C-40DD-B3B5-E5D8861D374B}" name="Année DÉBUT Travaux prévu" dataDxfId="2415"/>
    <tableColumn id="7" xr3:uid="{AEDAD428-3146-42F1-BD4A-2A2BB742B568}" name="État avancement" dataDxfId="2414"/>
    <tableColumn id="38" xr3:uid="{EED7476C-71A3-49A7-A1A6-3BD4E092C368}" name="PC-1" dataDxfId="2413"/>
    <tableColumn id="39" xr3:uid="{33408073-4B22-4C75-9CA9-334998981775}" name="PC-3" dataDxfId="2412"/>
    <tableColumn id="40" xr3:uid="{8F01AD05-1E59-42A9-BE2C-FB415D07ED5B}" name="PC-5" dataDxfId="2411"/>
    <tableColumn id="31" xr3:uid="{428B4ADD-C136-46F8-9ADB-28621BF7F30B}" name="IND_PROJT_ANNONCE" dataDxfId="2410"/>
    <tableColumn id="43" xr3:uid="{9457F2B4-6CE9-468E-A5F4-6C92AEAC08F4}" name="IND_PC5_TR2025" dataDxfId="2409"/>
    <tableColumn id="42" xr3:uid="{8B554DE3-FE65-47B3-93FF-8D798316387B}" name="IND_PC3_TR2026" dataDxfId="2408"/>
    <tableColumn id="41" xr3:uid="{F21F7325-6E3F-4380-9535-F1B7EDBCD540}" name="IND_PC1_AC2025" dataDxfId="2407"/>
    <tableColumn id="6" xr3:uid="{037017F0-2E42-494C-8257-5256F0BCD190}" name="IND_Etat_avancement" dataDxfId="2406"/>
    <tableColumn id="58" xr3:uid="{24FAE8BD-51C5-4143-A039-F4C24FEA867E}" name="Critère PC Atteint" dataDxfId="2405">
      <calculatedColumnFormula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calculatedColumnFormula>
    </tableColumn>
    <tableColumn id="47" xr3:uid="{25268DBA-858D-40AC-9DCB-342B50C2AFB6}" name="Site prioritaire" dataDxfId="2404">
      <calculatedColumnFormula>_xlfn.XLOOKUP(Portefeuille_MNT_PPS_Access8[[#This Row],[Numéro projet]],Tableau5[Numéro projet],Tableau5[IND_Site_Prioritaire])</calculatedColumnFormula>
    </tableColumn>
    <tableColumn id="33" xr3:uid="{37C4E0C3-881F-41F0-A475-C98F95761241}" name="Critère Etat Infrastructure" dataDxfId="2403">
      <calculatedColumnFormula>_xlfn.XLOOKUP(Portefeuille_MNT_PPS_Access8[[#This Row],[Numéro projet]],Tableau5[Numéro projet],Tableau5[Critère Etat Infrastructure])</calculatedColumnFormula>
    </tableColumn>
    <tableColumn id="61" xr3:uid="{E8E64629-5106-4986-A1D8-33F891022B6A}" name="Priorité Programmation" dataDxfId="2402">
      <calculatedColumnFormula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calculatedColumnFormula>
    </tableColumn>
    <tableColumn id="72" xr3:uid="{6AEF5857-9E2B-435F-95A8-6457B4A4AD19}" name="IND_Parachèvement" dataDxfId="2401"/>
    <tableColumn id="45" xr3:uid="{AE36AB51-F02F-49AD-8998-E9387261F993}" name="Colonne1" dataDxfId="2400" totalsRowDxfId="2399"/>
    <tableColumn id="78" xr3:uid="{26E3B0E9-5265-4A19-8B0D-55C499CF2BB8}" name="AC ANT" totalsRowFunction="sum" dataDxfId="2398" totalsRowDxfId="2397"/>
    <tableColumn id="34" xr3:uid="{A881A14F-8D17-43EF-90F9-6292907C55F8}" name="TR ANT" totalsRowFunction="sum" dataDxfId="2396" totalsRowDxfId="2395"/>
    <tableColumn id="8" xr3:uid="{F73E028D-D8D5-46AE-9681-52A8B270AB83}" name="AC 2024" totalsRowFunction="sum" dataDxfId="2394" totalsRowDxfId="2393"/>
    <tableColumn id="9" xr3:uid="{3F982594-8976-4AC3-8DEB-949404BE144C}" name="TR 2024" totalsRowFunction="sum" dataDxfId="2392" totalsRowDxfId="2391"/>
    <tableColumn id="10" xr3:uid="{CE1C899A-2417-46C4-8BAB-3497E68B95A9}" name="AC 2025" totalsRowFunction="sum" dataDxfId="2390" totalsRowDxfId="2389"/>
    <tableColumn id="11" xr3:uid="{51B1C434-B1AF-419C-818C-2BD0FE9314A7}" name="TR 2025" totalsRowFunction="sum" dataDxfId="2388" totalsRowDxfId="2387"/>
    <tableColumn id="12" xr3:uid="{C0399094-F7D3-477F-B324-5945E924F239}" name="AC 2026" totalsRowFunction="sum" dataDxfId="2386" totalsRowDxfId="2385"/>
    <tableColumn id="13" xr3:uid="{1AD76950-C579-4366-9355-41A06F7DB821}" name="TR 2026" totalsRowFunction="sum" dataDxfId="2384" totalsRowDxfId="2383"/>
    <tableColumn id="14" xr3:uid="{2E79CD3C-D09D-4AF2-8A62-5FE19E7DA32C}" name="AC 2027" totalsRowFunction="sum" dataDxfId="2382" totalsRowDxfId="2381"/>
    <tableColumn id="15" xr3:uid="{ED7A5127-6052-410F-BE9D-1DAF7C9E1B7A}" name="TR 2027" totalsRowFunction="sum" dataDxfId="2380" totalsRowDxfId="2379"/>
    <tableColumn id="16" xr3:uid="{D3DFD0BD-F48D-4CD1-8FEB-60C83C9A6DFC}" name="AC 2028" totalsRowFunction="sum" dataDxfId="2378" totalsRowDxfId="2377"/>
    <tableColumn id="17" xr3:uid="{B52DF49E-126C-4D47-9881-1B356A9E32AE}" name="TR 2028" totalsRowFunction="sum" dataDxfId="2376" totalsRowDxfId="2375"/>
    <tableColumn id="18" xr3:uid="{C9AABB37-BBF7-457A-AB2A-ACBE530AD5BB}" name="AC 2029" totalsRowFunction="sum" dataDxfId="2374" totalsRowDxfId="2373"/>
    <tableColumn id="19" xr3:uid="{C5A6711F-6830-4F13-8F71-0F3831FA50C5}" name="TR 2029" totalsRowFunction="sum" dataDxfId="2372" totalsRowDxfId="2371"/>
    <tableColumn id="20" xr3:uid="{0C7533E9-6E9F-4485-927B-28DA46F04C29}" name="AC 2030" totalsRowFunction="sum" dataDxfId="2370" totalsRowDxfId="2369"/>
    <tableColumn id="21" xr3:uid="{637B4B16-9646-4209-A938-035583E3A08E}" name="TR 2030" totalsRowFunction="sum" dataDxfId="2368" totalsRowDxfId="2367"/>
    <tableColumn id="22" xr3:uid="{33124549-8976-4A34-9176-42A4438C39B8}" name="AC 2031" totalsRowFunction="sum" dataDxfId="2366" totalsRowDxfId="2365"/>
    <tableColumn id="23" xr3:uid="{09F567A1-71F1-475C-BA54-75FFC8FD1DF4}" name="TR 2031" totalsRowFunction="sum" dataDxfId="2364" totalsRowDxfId="2363"/>
    <tableColumn id="24" xr3:uid="{6FAAF1FD-18DA-4D7E-B9B3-C3D35E8D8343}" name="AC 2032" totalsRowFunction="sum" dataDxfId="2362" totalsRowDxfId="2361"/>
    <tableColumn id="25" xr3:uid="{A6B79BFB-0A33-4D9F-A92F-D31F4E65978F}" name="TR 2032" totalsRowFunction="sum" dataDxfId="2360" totalsRowDxfId="2359"/>
    <tableColumn id="26" xr3:uid="{3EF19656-F106-416E-B93C-685441A2D3EE}" name="AC 2033" totalsRowFunction="sum" dataDxfId="2358" totalsRowDxfId="2357"/>
    <tableColumn id="27" xr3:uid="{E6F9BDE6-E9D1-4529-89EA-6C0F28271023}" name="TR 2033" totalsRowFunction="sum" dataDxfId="2356" totalsRowDxfId="2355"/>
    <tableColumn id="28" xr3:uid="{7E8AD0D0-FB5F-4E7A-B344-76D3154B98D9}" name="AC 2034" totalsRowFunction="sum" dataDxfId="2354" totalsRowDxfId="2353"/>
    <tableColumn id="29" xr3:uid="{069791DA-B0A4-46A2-90A1-82533746A9BD}" name="TR 2034" totalsRowFunction="sum" dataDxfId="2352" totalsRowDxfId="2351"/>
    <tableColumn id="32" xr3:uid="{64942F1D-24B8-4BCB-8905-0CCEF6A3940E}" name="Total Projet" totalsRowFunction="sum" dataDxfId="2350" totalsRowDxfId="2349">
      <calculatedColumnFormula>SUM(Portefeuille_MNT_PPS_Access8[[#This Row],[AC ANT]:[TR 2034]])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CA762-8292-428A-A476-D775F297C416}" name="Portefeuille_ProgPropose2" displayName="Portefeuille_ProgPropose2" ref="A17:AZ64" totalsRowCount="1" headerRowDxfId="2348">
  <autoFilter ref="A17:AZ63" xr:uid="{9F04E8B0-9684-4F3F-8527-175E5EC6D67D}">
    <filterColumn colId="12">
      <filters>
        <filter val="2026"/>
      </filters>
    </filterColumn>
  </autoFilter>
  <tableColumns count="52">
    <tableColumn id="45" xr3:uid="{1D640B91-0686-4BD3-8FD0-F1BCE94031F2}" name="DES_COMPL_NATR_COMPB" dataDxfId="2347"/>
    <tableColumn id="44" xr3:uid="{D20F85A5-63A2-4B88-9AE8-A0E5CB572554}" name="NUM_PRIRT_DG"/>
    <tableColumn id="1" xr3:uid="{7F46D4AF-DEF1-42FF-A6B1-1E2927CB0123}" name="Axe"/>
    <tableColumn id="3" xr3:uid="{F15F4378-A5EA-414C-82B2-0FB8E3EBA410}" name="Catégorie Investissement"/>
    <tableColumn id="4" xr3:uid="{3A406738-75F5-433F-85E4-B45484F383F8}" name="Type Infrastructure"/>
    <tableColumn id="5" xr3:uid="{A8B1FF9F-8F53-4B05-803B-487D6AD2401A}" name="Gérant projet"/>
    <tableColumn id="35" xr3:uid="{C67A3A1E-9F06-448F-A87A-D0AF8FB0C6A5}" name="État Composante AC"/>
    <tableColumn id="36" xr3:uid="{57D19C85-15A6-4D12-A0C6-57FB6FB0AD04}" name="État Composante TR"/>
    <tableColumn id="2" xr3:uid="{02F4E73D-4EB1-4595-90FB-E1E7DA9E2139}" name="Région" dataDxfId="2346"/>
    <tableColumn id="37" xr3:uid="{F784C256-677B-4200-B9E3-F14023B112C4}" name="Numéro projet" totalsRowFunction="count" dataDxfId="2345"/>
    <tableColumn id="57" xr3:uid="{12A43C13-0899-4637-A20F-86671F1941FA}" name="Titre projet" dataDxfId="2344"/>
    <tableColumn id="30" xr3:uid="{0D8766B9-A59D-4CFA-AEAE-F9E63F9392C7}" name="Localisation" dataDxfId="2343"/>
    <tableColumn id="59" xr3:uid="{125CE05B-9642-40E0-9735-C36320346F88}" name="Année DÉBUT Travaux prévu" dataDxfId="2342"/>
    <tableColumn id="7" xr3:uid="{46CCD6FE-5AFA-4820-9A86-60C3006541F6}" name="État avancement" dataDxfId="2341"/>
    <tableColumn id="38" xr3:uid="{EB11072C-97F5-4A61-9D5C-F6AD68E88692}" name="PC-1" dataDxfId="2340"/>
    <tableColumn id="39" xr3:uid="{59BA979C-358C-4BF5-96F9-27212D44B1C3}" name="PC-3" dataDxfId="2339"/>
    <tableColumn id="40" xr3:uid="{E0C554B9-F70B-41C9-BB75-C8E980D6BAEB}" name="PC-5" dataDxfId="2338"/>
    <tableColumn id="78" xr3:uid="{E78383B8-1003-43AA-B7B6-74C446EAAC1C}" name="AC ANT" totalsRowFunction="sum" dataDxfId="2337" totalsRowDxfId="2336"/>
    <tableColumn id="34" xr3:uid="{320895F4-5DF2-4DD1-9F21-2EBFFB4A7D4D}" name="TR ANT" totalsRowFunction="sum" dataDxfId="2335" totalsRowDxfId="2334"/>
    <tableColumn id="8" xr3:uid="{BD8230CE-DA5B-40E4-ABA4-9D44F8C6781B}" name="AC 2024" totalsRowFunction="sum" dataDxfId="2333" totalsRowDxfId="2332"/>
    <tableColumn id="9" xr3:uid="{F91E6803-0E6F-4743-BDD5-BBFD671DE681}" name="TR 2024" totalsRowFunction="sum" dataDxfId="2331" totalsRowDxfId="2330"/>
    <tableColumn id="10" xr3:uid="{3002AE04-21EC-4299-87A8-CDEC848B0F40}" name="AC 2025" totalsRowFunction="sum" dataDxfId="2329" totalsRowDxfId="2328"/>
    <tableColumn id="11" xr3:uid="{CD251484-F5FE-4D5E-ADE1-317858591B0F}" name="TR 2025" totalsRowFunction="sum" dataDxfId="2327" totalsRowDxfId="2326"/>
    <tableColumn id="46" xr3:uid="{0AD9D442-C237-4D91-B676-B6345089B518}" name="AC 2025 Trimestre précédent" totalsRowFunction="sum" totalsRowDxfId="2325"/>
    <tableColumn id="47" xr3:uid="{F7E2BAF5-38E6-433B-BC02-AC2002E8A3E2}" name="TR 2025 Trimestre précédent" totalsRowFunction="sum" totalsRowDxfId="2324"/>
    <tableColumn id="52" xr3:uid="{1BE01984-FC17-4E42-8252-4D7F48F7F6D2}" name="Écart AC 2025" totalsRowFunction="sum" dataDxfId="2323" totalsRowDxfId="2322">
      <calculatedColumnFormula>Portefeuille_ProgPropose2[[#This Row],[AC 2025]]-Portefeuille_ProgPropose2[[#This Row],[AC 2025 Trimestre précédent]]</calculatedColumnFormula>
    </tableColumn>
    <tableColumn id="51" xr3:uid="{C4F18B33-9D5A-45D9-9B07-CC424DC8A20B}" name="Écart TR 2025" totalsRowFunction="sum" dataDxfId="2321" totalsRowDxfId="2320">
      <calculatedColumnFormula>Portefeuille_ProgPropose2[[#This Row],[TR 2025]]-Portefeuille_ProgPropose2[[#This Row],[TR 2025 Trimestre précédent]]</calculatedColumnFormula>
    </tableColumn>
    <tableColumn id="50" xr3:uid="{CBA0E78E-482B-4672-8767-4F0E41FF3512}" name="Écart 2025 Total" totalsRowFunction="sum" dataDxfId="2319" totalsRowDxfId="2318">
      <calculatedColumnFormula>Portefeuille_ProgPropose2[[#This Row],[Écart AC 2025]]+Portefeuille_ProgPropose2[[#This Row],[Écart TR 2025]]</calculatedColumnFormula>
    </tableColumn>
    <tableColumn id="12" xr3:uid="{3BB55937-5F87-4C88-BACB-87F87BEF3FAA}" name="AC 2026" totalsRowFunction="sum" dataDxfId="2317" totalsRowDxfId="2316"/>
    <tableColumn id="13" xr3:uid="{77A49DF2-436D-43B0-BA32-067ED875D3B1}" name="TR 2026" totalsRowFunction="sum" dataDxfId="2315" totalsRowDxfId="2314"/>
    <tableColumn id="48" xr3:uid="{100475AB-689F-4A0A-8C26-1A428959E7B0}" name="AC 2026 Trimestre précédent" totalsRowFunction="sum" totalsRowDxfId="2313"/>
    <tableColumn id="49" xr3:uid="{B264ECFE-DDDC-49E2-8CA2-58B4A612053A}" name="TR 2026 Trimestre précédent" totalsRowFunction="sum" totalsRowDxfId="2312"/>
    <tableColumn id="31" xr3:uid="{C0875A3E-0998-444E-9CF9-23DB799DEF64}" name="Écart AC 2026" totalsRowFunction="sum" dataDxfId="2311" totalsRowDxfId="2310">
      <calculatedColumnFormula>Portefeuille_ProgPropose2[[#This Row],[AC 2026]]-Portefeuille_ProgPropose2[[#This Row],[AC 2026 Trimestre précédent]]</calculatedColumnFormula>
    </tableColumn>
    <tableColumn id="33" xr3:uid="{9D19E38D-30D6-46EF-8549-22745E8FC390}" name="Écart TR 2026" totalsRowFunction="sum" dataDxfId="2309" totalsRowDxfId="2308">
      <calculatedColumnFormula>Portefeuille_ProgPropose2[[#This Row],[TR 2026]]-Portefeuille_ProgPropose2[[#This Row],[TR 2026 Trimestre précédent]]</calculatedColumnFormula>
    </tableColumn>
    <tableColumn id="6" xr3:uid="{3792E123-1957-4217-B8F4-D77FE6ECAE2F}" name="Écart 2026 Total" totalsRowFunction="sum" dataDxfId="2307" totalsRowDxfId="2306">
      <calculatedColumnFormula>Portefeuille_ProgPropose2[[#This Row],[Écart AC 2026]]+Portefeuille_ProgPropose2[[#This Row],[Écart TR 2026]]</calculatedColumnFormula>
    </tableColumn>
    <tableColumn id="14" xr3:uid="{23261C09-B80F-439C-9B4C-778164E41CC8}" name="AC 2027" totalsRowFunction="sum" dataDxfId="2305" totalsRowDxfId="2304"/>
    <tableColumn id="15" xr3:uid="{FFF5886D-3693-4904-BFFB-C11FEF04EE65}" name="TR 2027" totalsRowFunction="sum" dataDxfId="2303" totalsRowDxfId="2302"/>
    <tableColumn id="16" xr3:uid="{61A39305-853A-43A7-ABCB-2C94BB4741EF}" name="AC 2028" totalsRowFunction="sum" dataDxfId="2301" totalsRowDxfId="2300"/>
    <tableColumn id="17" xr3:uid="{395E02FD-383F-4DFD-867D-7DD2D6C918AD}" name="TR 2028" totalsRowFunction="sum" dataDxfId="2299" totalsRowDxfId="2298"/>
    <tableColumn id="18" xr3:uid="{50BCFECE-EE83-4F13-B808-8223FCBB348D}" name="AC 2029" totalsRowFunction="sum" dataDxfId="2297" totalsRowDxfId="2296"/>
    <tableColumn id="19" xr3:uid="{23C6A385-B588-4139-95AE-318DC1F66A6E}" name="TR 2029" totalsRowFunction="sum" dataDxfId="2295" totalsRowDxfId="2294"/>
    <tableColumn id="20" xr3:uid="{EBD9240A-0B81-40C7-9EB9-0CC820087561}" name="AC 2030" totalsRowFunction="sum" dataDxfId="2293" totalsRowDxfId="2292"/>
    <tableColumn id="21" xr3:uid="{943394FC-0FC3-4F07-B9F8-71A4173F75C9}" name="TR 2030" totalsRowFunction="sum" dataDxfId="2291" totalsRowDxfId="2290"/>
    <tableColumn id="22" xr3:uid="{AFBEB16C-1183-409C-9655-D684F3933A4A}" name="AC 2031" totalsRowFunction="sum" dataDxfId="2289" totalsRowDxfId="2288"/>
    <tableColumn id="23" xr3:uid="{CA26BF45-91F6-4FE3-B9A6-1035179A0592}" name="TR 2031" totalsRowFunction="sum" dataDxfId="2287" totalsRowDxfId="2286"/>
    <tableColumn id="24" xr3:uid="{99318128-1F7C-4C1E-A11D-E2C06492582A}" name="AC 2032" totalsRowFunction="sum" dataDxfId="2285" totalsRowDxfId="2284"/>
    <tableColumn id="25" xr3:uid="{2E67E97C-1FC3-45F4-BA37-5D02353EE3F0}" name="TR 2032" totalsRowFunction="sum" dataDxfId="2283" totalsRowDxfId="2282"/>
    <tableColumn id="26" xr3:uid="{EBB41089-015A-417A-9F99-81E5143980E7}" name="AC 2033" totalsRowFunction="sum" dataDxfId="2281" totalsRowDxfId="2280"/>
    <tableColumn id="27" xr3:uid="{285A7192-D200-49FD-BE54-9248BA092916}" name="TR 2033" totalsRowFunction="sum" dataDxfId="2279" totalsRowDxfId="2278"/>
    <tableColumn id="28" xr3:uid="{01A1FE1E-9BA1-479D-9CB6-B5F25127D298}" name="AC 2034" totalsRowFunction="sum" dataDxfId="2277" totalsRowDxfId="2276"/>
    <tableColumn id="29" xr3:uid="{1C07B8FF-8058-474D-90C0-C85C4DC664D4}" name="TR 2034" totalsRowFunction="sum" dataDxfId="2275" totalsRowDxfId="2274"/>
    <tableColumn id="32" xr3:uid="{FBF51A06-451D-4E65-8042-1849126904CC}" name="Total Projet" totalsRowFunction="sum" dataDxfId="2273" totalsRowDxfId="2272">
      <calculatedColumnFormula>SUM(Portefeuille_ProgPropose2[[#This Row],[AC ANT]:[TR 2025]],Portefeuille_ProgPropose2[[#This Row],[AC 2026]:[TR 2026]],Portefeuille_ProgPropose2[[#This Row],[AC 2027]:[TR 2034]])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0ADF05-EAA0-4345-821A-EBE77A349880}" name="Portefeuille_ProgPropose10" displayName="Portefeuille_ProgPropose10" ref="A17:AZ70" totalsRowCount="1" headerRowDxfId="2271">
  <autoFilter ref="A17:AZ69" xr:uid="{9F04E8B0-9684-4F3F-8527-175E5EC6D67D}"/>
  <tableColumns count="52">
    <tableColumn id="45" xr3:uid="{D7D99F56-698A-4D8B-93C6-B1796F351126}" name="DES_COMPL_NATR_COMPB" dataDxfId="2270"/>
    <tableColumn id="44" xr3:uid="{3E7198D6-941B-4CAE-BD03-F8E36C590B50}" name="NUM_PRIRT_DG"/>
    <tableColumn id="1" xr3:uid="{A238A8A6-F69A-40EC-A1CE-045AE3ADD692}" name="Axe"/>
    <tableColumn id="3" xr3:uid="{BFB44857-2924-43BD-9C19-6CE02D81D123}" name="Catégorie Investissement"/>
    <tableColumn id="4" xr3:uid="{EB09C422-05E1-41CD-ADD5-34E278C2B5D6}" name="Type Infrastructure"/>
    <tableColumn id="5" xr3:uid="{2A3BA485-BD6F-4680-ABC0-FF4B4D181339}" name="Gérant projet"/>
    <tableColumn id="35" xr3:uid="{F5071109-F29E-4159-B60F-6E0B77D36DC5}" name="État Composante AC"/>
    <tableColumn id="36" xr3:uid="{5BFA57F7-80DA-47EB-8515-2CDCF2A56D4B}" name="État Composante TR"/>
    <tableColumn id="2" xr3:uid="{DD3DCB40-406C-46D6-80E0-64485C882B5A}" name="Région" dataDxfId="2269"/>
    <tableColumn id="37" xr3:uid="{78FA00E4-3D76-4950-A6FF-861EF4378F6A}" name="Numéro projet" totalsRowFunction="count" dataDxfId="2268"/>
    <tableColumn id="57" xr3:uid="{0A5AA855-245F-4CB7-B2D9-B5CD0A33533D}" name="Titre projet" dataDxfId="2267"/>
    <tableColumn id="30" xr3:uid="{F0F359ED-7066-4870-BCC4-06D957896EAF}" name="Localisation" dataDxfId="2266"/>
    <tableColumn id="59" xr3:uid="{1B1277BF-D672-4186-9573-D591EFE7EF57}" name="Année DÉBUT Travaux prévu" dataDxfId="2265"/>
    <tableColumn id="7" xr3:uid="{06387048-B3C2-4520-96F4-E90BE3D9D8D0}" name="État avancement" dataDxfId="2264"/>
    <tableColumn id="38" xr3:uid="{120EC718-6FC4-4724-9BCB-06FD325F7AA1}" name="PC-1" dataDxfId="2263"/>
    <tableColumn id="39" xr3:uid="{FA2E8EC1-B624-44BD-9140-82A40A60FA18}" name="PC-3" dataDxfId="2262"/>
    <tableColumn id="40" xr3:uid="{A5C0C5F3-53CA-44DB-91CD-D61A3A7C5F59}" name="PC-5" dataDxfId="2261"/>
    <tableColumn id="78" xr3:uid="{877978D5-1069-4F12-AF80-E124757CAE2A}" name="AC ANT" totalsRowFunction="sum" dataDxfId="2260" totalsRowDxfId="2259"/>
    <tableColumn id="34" xr3:uid="{977F56DA-B0F7-49EA-904E-EF74619F5F82}" name="TR ANT" totalsRowFunction="sum" dataDxfId="2258" totalsRowDxfId="2257"/>
    <tableColumn id="8" xr3:uid="{068177E1-DCBE-4354-8B8C-E24EB19C8B22}" name="AC 2024" totalsRowFunction="sum" dataDxfId="2256" totalsRowDxfId="2255"/>
    <tableColumn id="9" xr3:uid="{C21DDD40-9D7F-415F-A84A-D94C8816BB07}" name="TR 2024" totalsRowFunction="sum" dataDxfId="2254" totalsRowDxfId="2253"/>
    <tableColumn id="10" xr3:uid="{0C79071D-E9FB-4573-B9ED-94FDE77737D5}" name="AC 2025" totalsRowFunction="sum" dataDxfId="2252" totalsRowDxfId="2251"/>
    <tableColumn id="11" xr3:uid="{CD281347-B759-4FC3-8851-FAFB9506C13E}" name="TR 2025" totalsRowFunction="sum" dataDxfId="2250" totalsRowDxfId="2249"/>
    <tableColumn id="46" xr3:uid="{1E3B1EB1-271E-45A8-BEB4-6767421DB0D3}" name="AC 2025 Trimestre précédent" totalsRowFunction="sum" totalsRowDxfId="2248"/>
    <tableColumn id="47" xr3:uid="{119BF749-F84C-4D4F-9097-B6E48598CE68}" name="TR 2025 Trimestre précédent" totalsRowFunction="sum" totalsRowDxfId="2247"/>
    <tableColumn id="52" xr3:uid="{EF660635-35FD-4D93-8B4D-8B318646B09C}" name="Écart AC 2025" totalsRowFunction="sum" dataDxfId="2246" totalsRowDxfId="2245">
      <calculatedColumnFormula>Portefeuille_ProgPropose10[[#This Row],[AC 2025]]-Portefeuille_ProgPropose10[[#This Row],[AC 2025 Trimestre précédent]]</calculatedColumnFormula>
    </tableColumn>
    <tableColumn id="51" xr3:uid="{99C200A2-8FF8-44BA-A8A6-7D41778FF756}" name="Écart TR 2025" totalsRowFunction="sum" dataDxfId="2244" totalsRowDxfId="2243">
      <calculatedColumnFormula>Portefeuille_ProgPropose10[[#This Row],[TR 2025]]-Portefeuille_ProgPropose10[[#This Row],[TR 2025 Trimestre précédent]]</calculatedColumnFormula>
    </tableColumn>
    <tableColumn id="50" xr3:uid="{F6B6AEC8-0396-4662-85F3-6CB2A5AB9A9A}" name="Écart 2025 Total" totalsRowFunction="sum" dataDxfId="2242" totalsRowDxfId="2241">
      <calculatedColumnFormula>Portefeuille_ProgPropose10[[#This Row],[Écart AC 2025]]+Portefeuille_ProgPropose10[[#This Row],[Écart TR 2025]]</calculatedColumnFormula>
    </tableColumn>
    <tableColumn id="12" xr3:uid="{98BA4734-FBFE-4653-8EAC-A9AC16C0C997}" name="AC 2026" totalsRowFunction="sum" dataDxfId="2240" totalsRowDxfId="2239"/>
    <tableColumn id="13" xr3:uid="{F8C7EB1B-B11C-46C4-9681-112182ED078A}" name="TR 2026" totalsRowFunction="sum" dataDxfId="2238" totalsRowDxfId="2237"/>
    <tableColumn id="48" xr3:uid="{1724AEB7-8A6D-4A09-AFE3-6C0174BF9F9F}" name="AC 2026 Trimestre précédent" totalsRowFunction="sum" totalsRowDxfId="2236"/>
    <tableColumn id="49" xr3:uid="{F8269239-F7A0-42F6-A360-6F67A298CF55}" name="TR 2026 Trimestre précédent" totalsRowFunction="sum" totalsRowDxfId="2235"/>
    <tableColumn id="31" xr3:uid="{6AF29680-6E49-40FE-89FB-1C8E8F96387B}" name="Écart AC 2026" totalsRowFunction="sum" dataDxfId="2234" totalsRowDxfId="2233">
      <calculatedColumnFormula>Portefeuille_ProgPropose10[[#This Row],[AC 2026]]-Portefeuille_ProgPropose10[[#This Row],[AC 2026 Trimestre précédent]]</calculatedColumnFormula>
    </tableColumn>
    <tableColumn id="33" xr3:uid="{6387173A-E018-4CF6-97F7-D839DFCAB06B}" name="Écart TR 2026" totalsRowFunction="sum" dataDxfId="2232" totalsRowDxfId="2231">
      <calculatedColumnFormula>Portefeuille_ProgPropose10[[#This Row],[TR 2026]]-Portefeuille_ProgPropose10[[#This Row],[TR 2026 Trimestre précédent]]</calculatedColumnFormula>
    </tableColumn>
    <tableColumn id="6" xr3:uid="{236D8F3E-B7D8-4E3A-A7F1-6B7CB4615864}" name="Écart 2026 Total" totalsRowFunction="sum" dataDxfId="2230" totalsRowDxfId="2229">
      <calculatedColumnFormula>Portefeuille_ProgPropose10[[#This Row],[Écart AC 2026]]+Portefeuille_ProgPropose10[[#This Row],[Écart TR 2026]]</calculatedColumnFormula>
    </tableColumn>
    <tableColumn id="14" xr3:uid="{96AE84A6-58CB-4C3F-96D3-9ED4B266CADA}" name="AC 2027" totalsRowFunction="sum" dataDxfId="2228" totalsRowDxfId="2227"/>
    <tableColumn id="15" xr3:uid="{46AB00DF-F037-45AB-AFF5-8D6476AA2064}" name="TR 2027" totalsRowFunction="sum" dataDxfId="2226" totalsRowDxfId="2225"/>
    <tableColumn id="16" xr3:uid="{6948EC84-6264-419B-853D-C2BC68E68AF8}" name="AC 2028" totalsRowFunction="sum" dataDxfId="2224" totalsRowDxfId="2223"/>
    <tableColumn id="17" xr3:uid="{57393ECA-58CF-453E-87A4-17ABCF666631}" name="TR 2028" totalsRowFunction="sum" dataDxfId="2222" totalsRowDxfId="2221"/>
    <tableColumn id="18" xr3:uid="{5E96D8A2-C494-45E5-8666-6197625BC909}" name="AC 2029" totalsRowFunction="sum" dataDxfId="2220" totalsRowDxfId="2219"/>
    <tableColumn id="19" xr3:uid="{B1807AC9-CE75-4977-A8B3-FA644C5C969D}" name="TR 2029" totalsRowFunction="sum" dataDxfId="2218" totalsRowDxfId="2217"/>
    <tableColumn id="20" xr3:uid="{3FCE19A4-94D2-4F37-9348-D73ABA2A1B3C}" name="AC 2030" totalsRowFunction="sum" dataDxfId="2216" totalsRowDxfId="2215"/>
    <tableColumn id="21" xr3:uid="{8D616059-7B50-49C2-97C0-7DE925254861}" name="TR 2030" totalsRowFunction="sum" dataDxfId="2214" totalsRowDxfId="2213"/>
    <tableColumn id="22" xr3:uid="{A5E14D56-216D-448E-B7E1-62A41B1280B2}" name="AC 2031" totalsRowFunction="sum" dataDxfId="2212" totalsRowDxfId="2211"/>
    <tableColumn id="23" xr3:uid="{DF47A5B2-4572-4052-8637-A9C7DAFBB9EB}" name="TR 2031" totalsRowFunction="sum" dataDxfId="2210" totalsRowDxfId="2209"/>
    <tableColumn id="24" xr3:uid="{ADEC3A5D-E4B2-4C28-8432-CC9857055C3E}" name="AC 2032" totalsRowFunction="sum" dataDxfId="2208" totalsRowDxfId="2207"/>
    <tableColumn id="25" xr3:uid="{40CB201F-5A12-49A3-A65A-44D25CF7B5EA}" name="TR 2032" totalsRowFunction="sum" dataDxfId="2206" totalsRowDxfId="2205"/>
    <tableColumn id="26" xr3:uid="{D2FCCB7A-ED57-4ACD-976F-F55018815957}" name="AC 2033" totalsRowFunction="sum" dataDxfId="2204" totalsRowDxfId="2203"/>
    <tableColumn id="27" xr3:uid="{46B1242A-830F-495B-B2F8-7010595BEC09}" name="TR 2033" totalsRowFunction="sum" dataDxfId="2202" totalsRowDxfId="2201"/>
    <tableColumn id="28" xr3:uid="{855355FF-A9CB-47B7-B51F-3E2FDA62A368}" name="AC 2034" totalsRowFunction="sum" dataDxfId="2200" totalsRowDxfId="2199"/>
    <tableColumn id="29" xr3:uid="{417E78A8-4265-446C-8BF1-9CFA7AF87B10}" name="TR 2034" totalsRowFunction="sum" dataDxfId="2198" totalsRowDxfId="2197"/>
    <tableColumn id="32" xr3:uid="{83405988-5586-41C7-B685-9D8FCF31833A}" name="Total Projet" totalsRowFunction="sum" dataDxfId="2196" totalsRowDxfId="2195">
      <calculatedColumnFormula>SUM(Portefeuille_ProgPropose10[[#This Row],[AC ANT]:[TR 2025]],Portefeuille_ProgPropose10[[#This Row],[AC 2026]:[TR 2026]],Portefeuille_ProgPropose10[[#This Row],[AC 2027]:[TR 2034]])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9FE6AB-FEF6-40F8-BD7E-977304C13627}" name="Portefeuille_MNT_PPS_Access11" displayName="Portefeuille_MNT_PPS_Access11" ref="A18:AZ149" totalsRowCount="1" headerRowDxfId="2194">
  <autoFilter ref="A18:AZ148" xr:uid="{9F04E8B0-9684-4F3F-8527-175E5EC6D67D}"/>
  <tableColumns count="52">
    <tableColumn id="44" xr3:uid="{CFEBA96F-2E27-4F5A-AB0F-07C39B9E8099}" name="NUM_PRIRT_DG"/>
    <tableColumn id="1" xr3:uid="{3B4B9943-3F87-4B70-9D53-4AC48D20237D}" name="Axe"/>
    <tableColumn id="3" xr3:uid="{B3031720-CF65-4F03-8B1D-060CC8816604}" name="Catégorie Investissement"/>
    <tableColumn id="4" xr3:uid="{8988E720-FC1E-4032-96AF-5DEC0B6BE72E}" name="Type Infrastructure"/>
    <tableColumn id="5" xr3:uid="{E8B76AD4-21A2-4748-BA25-7A0DCD7205AF}" name="Gérant projet"/>
    <tableColumn id="35" xr3:uid="{82FDA698-D705-4934-B9B0-89102ABEA8EC}" name="État Composante AC"/>
    <tableColumn id="36" xr3:uid="{2485D02E-46CC-4ACD-BB81-C71A74DAA309}" name="État Composante TR"/>
    <tableColumn id="2" xr3:uid="{F695DA82-DEA5-4895-87E7-33F4EE8E6197}" name="Région" dataDxfId="2193"/>
    <tableColumn id="37" xr3:uid="{FBF00A1B-940B-4D69-89EC-850B242242DE}" name="Numéro projet" totalsRowFunction="count" dataDxfId="2192"/>
    <tableColumn id="57" xr3:uid="{FA5A055C-7B12-466E-B434-E8A1D093AF7D}" name="Titre projet" dataDxfId="2191"/>
    <tableColumn id="30" xr3:uid="{F9EFBC4A-D023-4A86-A7C9-1D52A0B552AE}" name="Localisation" dataDxfId="2190"/>
    <tableColumn id="59" xr3:uid="{C1F7C47A-3D31-4B00-BB09-DE6AB29C7782}" name="Année DÉBUT Travaux prévu" dataDxfId="2189"/>
    <tableColumn id="7" xr3:uid="{0E3A47D0-2C20-4377-AD1D-3381909A700B}" name="État avancement" dataDxfId="2188"/>
    <tableColumn id="38" xr3:uid="{61891C1B-4534-4CE8-8577-54341C8FFE20}" name="PC-1" dataDxfId="2187"/>
    <tableColumn id="39" xr3:uid="{AF7FB4C7-3424-433A-8688-1264632D0630}" name="PC-3" dataDxfId="2186"/>
    <tableColumn id="40" xr3:uid="{140C0145-7556-4747-9DFD-9C588D4DD804}" name="PC-5" dataDxfId="2185"/>
    <tableColumn id="31" xr3:uid="{1B3B032F-A619-4CA8-B950-62083D302F54}" name="IND_PROJT_ANNONCE" dataDxfId="2184"/>
    <tableColumn id="43" xr3:uid="{A1546EA2-632F-4A35-A6EF-C40C37B86563}" name="IND_PC5_TR2025" dataDxfId="2183"/>
    <tableColumn id="42" xr3:uid="{77F095FF-F2D7-4FB6-8048-F2E60741E4FD}" name="IND_PC3_TR2026" dataDxfId="2182"/>
    <tableColumn id="41" xr3:uid="{CDE73C52-7358-4187-B558-850445325C4F}" name="IND_PC1_AC2025" dataDxfId="2181"/>
    <tableColumn id="6" xr3:uid="{80D75FBA-D152-4CD7-B31A-B1F947DDE971}" name="IND_Etat_avancement" dataDxfId="2180"/>
    <tableColumn id="58" xr3:uid="{D06401B9-1601-4476-8A99-8EEBFF2090D0}" name="Critère PC Atteint" dataDxfId="2179">
      <calculatedColumnFormula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calculatedColumnFormula>
    </tableColumn>
    <tableColumn id="47" xr3:uid="{453412EE-9AC5-4378-8C6A-4C089C4ABF64}" name="Site prioritaire" dataDxfId="2178">
      <calculatedColumnFormula>_xlfn.XLOOKUP(Portefeuille_MNT_PPS_Access11[[#This Row],[Numéro projet]],Tableau5[Numéro projet],Tableau5[IND_Site_Prioritaire])</calculatedColumnFormula>
    </tableColumn>
    <tableColumn id="33" xr3:uid="{C0AAF385-34E3-4B56-824D-F2A97F878EAA}" name="Critère Etat Infrastructure" dataDxfId="2177">
      <calculatedColumnFormula>_xlfn.XLOOKUP(Portefeuille_MNT_PPS_Access11[[#This Row],[Numéro projet]],Tableau5[Numéro projet],Tableau5[Critère Etat Infrastructure])</calculatedColumnFormula>
    </tableColumn>
    <tableColumn id="61" xr3:uid="{4BDF1393-B603-48C3-BD07-32EC886C07A9}" name="Priorité Programmation" dataDxfId="2176">
      <calculatedColumnFormula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calculatedColumnFormula>
    </tableColumn>
    <tableColumn id="72" xr3:uid="{BF0F395C-6011-40E0-B941-416C39802A46}" name="IND_Parachèvement" dataDxfId="2175"/>
    <tableColumn id="45" xr3:uid="{D00CB9E6-7262-4F58-B7F7-4E7E28331E32}" name="Colonne1" dataDxfId="2174" totalsRowDxfId="2173"/>
    <tableColumn id="78" xr3:uid="{BBCA87C1-D969-4C1D-9ABF-1C1453FF0731}" name="AC ANT" totalsRowFunction="sum" dataDxfId="2172" totalsRowDxfId="2171"/>
    <tableColumn id="34" xr3:uid="{317C335A-8AE7-4936-98DC-11ECA86462D2}" name="TR ANT" totalsRowFunction="sum" dataDxfId="2170" totalsRowDxfId="2169"/>
    <tableColumn id="8" xr3:uid="{44EF3698-0BFC-4A76-BD32-CB9C4F8B46D3}" name="AC 2024" totalsRowFunction="sum" dataDxfId="2168" totalsRowDxfId="2167"/>
    <tableColumn id="9" xr3:uid="{43020A3A-D29D-44AD-BF13-D1DCC7BE57D4}" name="TR 2024" totalsRowFunction="sum" dataDxfId="2166" totalsRowDxfId="2165"/>
    <tableColumn id="10" xr3:uid="{7C82965E-39AB-4F89-87AB-87534E8326D7}" name="AC 2025" totalsRowFunction="sum" dataDxfId="2164" totalsRowDxfId="2163"/>
    <tableColumn id="11" xr3:uid="{4537CA0C-A4A8-4617-A07D-345E9E3329BC}" name="TR 2025" totalsRowFunction="sum" dataDxfId="2162" totalsRowDxfId="2161"/>
    <tableColumn id="12" xr3:uid="{8C4DCB7E-A4A3-4C5F-9449-2338AE471BD8}" name="AC 2026" totalsRowFunction="sum" dataDxfId="2160" totalsRowDxfId="2159"/>
    <tableColumn id="13" xr3:uid="{F0207AFE-5AE8-4799-99D1-7AA48A2F0CC8}" name="TR 2026" totalsRowFunction="sum" dataDxfId="2158" totalsRowDxfId="2157"/>
    <tableColumn id="14" xr3:uid="{47034631-0B3E-4097-9EE1-76BECB916779}" name="AC 2027" totalsRowFunction="sum" dataDxfId="2156" totalsRowDxfId="2155"/>
    <tableColumn id="15" xr3:uid="{4BAEE039-2C97-4A49-BE15-E24A3AB2D71F}" name="TR 2027" totalsRowFunction="sum" dataDxfId="2154" totalsRowDxfId="2153"/>
    <tableColumn id="16" xr3:uid="{F7C1CC13-B877-49EA-958A-3C7D504021BE}" name="AC 2028" totalsRowFunction="sum" dataDxfId="2152" totalsRowDxfId="2151"/>
    <tableColumn id="17" xr3:uid="{34D2B0B4-F63A-4B4D-97E9-36632E8E9D0A}" name="TR 2028" totalsRowFunction="sum" dataDxfId="2150" totalsRowDxfId="2149"/>
    <tableColumn id="18" xr3:uid="{344114E7-6FA1-4EF8-88E4-5734D8ED2216}" name="AC 2029" totalsRowFunction="sum" dataDxfId="2148" totalsRowDxfId="2147"/>
    <tableColumn id="19" xr3:uid="{597021F9-D15C-4CAD-84EE-57CF32F6272F}" name="TR 2029" totalsRowFunction="sum" dataDxfId="2146" totalsRowDxfId="2145"/>
    <tableColumn id="20" xr3:uid="{647C031B-3C55-4A78-8D5F-310E578380EB}" name="AC 2030" totalsRowFunction="sum" dataDxfId="2144" totalsRowDxfId="2143"/>
    <tableColumn id="21" xr3:uid="{B23F4201-FB7B-45B4-A13D-5D1A11EC380A}" name="TR 2030" totalsRowFunction="sum" dataDxfId="2142" totalsRowDxfId="2141"/>
    <tableColumn id="22" xr3:uid="{EB4265E0-280E-4ECF-BF2B-9275F583B650}" name="AC 2031" totalsRowFunction="sum" dataDxfId="2140" totalsRowDxfId="2139"/>
    <tableColumn id="23" xr3:uid="{9B1A304B-2CF5-4CEC-B1DE-304D0EB3C647}" name="TR 2031" totalsRowFunction="sum" dataDxfId="2138" totalsRowDxfId="2137"/>
    <tableColumn id="24" xr3:uid="{F1F92BB9-3E5D-407D-B120-F63496EE354B}" name="AC 2032" totalsRowFunction="sum" dataDxfId="2136" totalsRowDxfId="2135"/>
    <tableColumn id="25" xr3:uid="{F02088B8-2840-498E-92AD-56671B4F1234}" name="TR 2032" totalsRowFunction="sum" dataDxfId="2134" totalsRowDxfId="2133"/>
    <tableColumn id="26" xr3:uid="{3B3542A5-44EF-4CBF-B668-AA67DFDD7656}" name="AC 2033" totalsRowFunction="sum" dataDxfId="2132" totalsRowDxfId="2131"/>
    <tableColumn id="27" xr3:uid="{B1B204D0-ADFF-44DB-BB97-748CB9F9743E}" name="TR 2033" totalsRowFunction="sum" dataDxfId="2130" totalsRowDxfId="2129"/>
    <tableColumn id="28" xr3:uid="{69F9B421-D2D3-4E99-9C27-84AA40B9112F}" name="AC 2034" totalsRowFunction="sum" dataDxfId="2128" totalsRowDxfId="2127"/>
    <tableColumn id="29" xr3:uid="{3788C2FD-45BA-4511-8BEB-B8F81A7EE487}" name="TR 2034" totalsRowFunction="sum" dataDxfId="2126" totalsRowDxfId="2125"/>
    <tableColumn id="32" xr3:uid="{6D90F08B-28C5-4C7C-9AB6-D799BA04BA35}" name="Total Projet" totalsRowFunction="sum" dataDxfId="2124" totalsRowDxfId="2123">
      <calculatedColumnFormula>SUM(Portefeuille_MNT_PPS_Access11[[#This Row],[AC ANT]:[TR 2034]])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4718B2-0469-4B79-8A17-4F0C3B4735D2}" name="ProgIni_25_27_2025_04_08" displayName="ProgIni_25_27_2025_04_08" ref="A17:AZ69" totalsRowCount="1" headerRowDxfId="2122">
  <autoFilter ref="A17:AZ68" xr:uid="{9F04E8B0-9684-4F3F-8527-175E5EC6D67D}">
    <filterColumn colId="11">
      <filters>
        <filter val="Z_Plusieurs sites"/>
      </filters>
    </filterColumn>
  </autoFilter>
  <tableColumns count="52">
    <tableColumn id="45" xr3:uid="{A5A45528-D8E7-4F9F-B2A1-4EFAAFD2BECB}" name="DES_COMPL_NATR_COMPB" dataDxfId="2121"/>
    <tableColumn id="44" xr3:uid="{4702BCFC-B4CB-4702-8DC2-461011B82B63}" name="NUM_PRIRT_DG"/>
    <tableColumn id="1" xr3:uid="{B918CC83-5585-493F-875A-6EA28DE3192F}" name="Axe"/>
    <tableColumn id="3" xr3:uid="{D02ADCD2-2850-4002-864D-3A8EBB80D78D}" name="Catégorie Investissement"/>
    <tableColumn id="4" xr3:uid="{35EE3277-A086-45CC-8DE5-6DE9AC856E03}" name="Type Infrastructure"/>
    <tableColumn id="5" xr3:uid="{66CE3E83-2FF1-4273-A55B-F5FEDA346A8B}" name="Gérant projet"/>
    <tableColumn id="35" xr3:uid="{C582AB70-6F03-4F02-B016-1B078900E466}" name="État Composante AC"/>
    <tableColumn id="36" xr3:uid="{904953CF-6503-4AA0-A01F-E0A1486C184A}" name="État Composante TR"/>
    <tableColumn id="2" xr3:uid="{4CB2A142-485E-44EF-A070-5D6E966788A1}" name="Région" dataDxfId="2120"/>
    <tableColumn id="37" xr3:uid="{B990B393-E574-4ABC-9393-60269766A8D3}" name="Numéro projet" totalsRowFunction="count" dataDxfId="2119"/>
    <tableColumn id="57" xr3:uid="{22EE6E05-FA79-4BAA-B24A-DD9AD13246BF}" name="Titre projet" dataDxfId="2118"/>
    <tableColumn id="30" xr3:uid="{B9EFCC9B-8ACA-4F6D-97C7-751DA65443AA}" name="Localisation" dataDxfId="2117"/>
    <tableColumn id="59" xr3:uid="{7DEEF128-AF72-4E3C-9ECE-2F45578FE8E8}" name="Année DÉBUT Travaux prévu" dataDxfId="2116"/>
    <tableColumn id="7" xr3:uid="{3B6C8734-9233-4883-8CC8-A3003EBD79A6}" name="État avancement" dataDxfId="2115"/>
    <tableColumn id="38" xr3:uid="{5A6267D5-5BCB-4B1C-86B2-435187EB4F5C}" name="PC-1" dataDxfId="2114"/>
    <tableColumn id="39" xr3:uid="{52E4ADA0-840B-41E4-8C25-5C844DE4934B}" name="PC-3" dataDxfId="2113"/>
    <tableColumn id="40" xr3:uid="{8E4D4526-21DE-48A1-9276-7C72563BA0B5}" name="PC-5" dataDxfId="2112"/>
    <tableColumn id="78" xr3:uid="{94D52E79-1745-42C1-9E85-973A5E9459A0}" name="AC ANT" totalsRowFunction="sum" dataDxfId="2111" totalsRowDxfId="2110"/>
    <tableColumn id="34" xr3:uid="{CD24E434-9BB1-44AA-BB83-A99F58844D30}" name="TR ANT" totalsRowFunction="sum" dataDxfId="2109" totalsRowDxfId="2108"/>
    <tableColumn id="8" xr3:uid="{96E31B6B-3F40-4BBF-A20E-3E6133F544FE}" name="AC 2024" totalsRowFunction="sum" dataDxfId="2107" totalsRowDxfId="2106"/>
    <tableColumn id="9" xr3:uid="{653E1157-89B4-4C5E-9181-3AB6A64E074B}" name="TR 2024" totalsRowFunction="sum" dataDxfId="2105" totalsRowDxfId="2104"/>
    <tableColumn id="10" xr3:uid="{A2B6AFDE-4621-43A4-B6FE-CB1786261247}" name="AC 2025" totalsRowFunction="sum" dataDxfId="2103" totalsRowDxfId="2102"/>
    <tableColumn id="11" xr3:uid="{B590135C-C5F0-416E-8D80-48446934C9BB}" name="TR 2025" totalsRowFunction="sum" dataDxfId="2101" totalsRowDxfId="2100"/>
    <tableColumn id="52" xr3:uid="{F217919E-9909-4EF5-89DD-C1B040E68630}" name="Écart AC 2025" totalsRowFunction="sum" dataDxfId="2099" totalsRowDxfId="2098">
      <calculatedColumnFormula>ProgIni_25_27_2025_04_08[[#This Row],[AC 2025]]-ProgIni_25_27_2025_04_08[[#This Row],[AC 2025 Trimestre précédent]]</calculatedColumnFormula>
    </tableColumn>
    <tableColumn id="51" xr3:uid="{D32884A4-985A-4B01-966C-721153CAFB36}" name="Écart TR 2025" totalsRowFunction="sum" dataDxfId="2097" totalsRowDxfId="2096">
      <calculatedColumnFormula>ProgIni_25_27_2025_04_08[[#This Row],[TR 2025]]-ProgIni_25_27_2025_04_08[[#This Row],[TR 2025 Trimestre précédent]]</calculatedColumnFormula>
    </tableColumn>
    <tableColumn id="50" xr3:uid="{CAC6ADA4-2B49-48B6-A6F0-03B1BA07DA7B}" name="Écart 2025 Total" totalsRowFunction="sum" dataDxfId="2095" totalsRowDxfId="2094">
      <calculatedColumnFormula>ProgIni_25_27_2025_04_08[[#This Row],[Écart AC 2025]]+ProgIni_25_27_2025_04_08[[#This Row],[Écart TR 2025]]</calculatedColumnFormula>
    </tableColumn>
    <tableColumn id="46" xr3:uid="{4B35A444-EA1E-4F67-BC55-6368C3F08DE8}" name="AC 2025 Trimestre précédent" totalsRowFunction="sum" totalsRowDxfId="2093"/>
    <tableColumn id="47" xr3:uid="{67643C2B-C10D-4920-AD92-5A43D465B8D5}" name="TR 2025 Trimestre précédent" totalsRowFunction="sum" totalsRowDxfId="2092"/>
    <tableColumn id="12" xr3:uid="{BBB116F8-1A63-4EC0-976E-ADCC09582CE3}" name="AC 2026" totalsRowFunction="sum" dataDxfId="2091" totalsRowDxfId="2090"/>
    <tableColumn id="13" xr3:uid="{BB4124D5-CF4A-4CB3-9E8B-91FB0A57E856}" name="TR 2026" totalsRowFunction="sum" dataDxfId="2089" totalsRowDxfId="2088"/>
    <tableColumn id="31" xr3:uid="{65943BFF-87D6-41A7-A996-B4692F68EEAF}" name="Écart AC 2026" totalsRowFunction="sum" dataDxfId="2087" totalsRowDxfId="2086">
      <calculatedColumnFormula>ProgIni_25_27_2025_04_08[[#This Row],[AC 2026]]-ProgIni_25_27_2025_04_08[[#This Row],[AC 2026 Trimestre précédent]]</calculatedColumnFormula>
    </tableColumn>
    <tableColumn id="33" xr3:uid="{1C52EEB2-4A40-4936-8AB8-2AF0363E5D99}" name="Écart TR 2026" totalsRowFunction="sum" dataDxfId="2085" totalsRowDxfId="2084">
      <calculatedColumnFormula>ProgIni_25_27_2025_04_08[[#This Row],[TR 2026]]-ProgIni_25_27_2025_04_08[[#This Row],[TR 2026 Trimestre précédent]]</calculatedColumnFormula>
    </tableColumn>
    <tableColumn id="6" xr3:uid="{115BB928-F96C-4515-873F-B761554DCCB4}" name="Écart 2026 Total" totalsRowFunction="sum" dataDxfId="2083" totalsRowDxfId="2082">
      <calculatedColumnFormula>ProgIni_25_27_2025_04_08[[#This Row],[Écart AC 2026]]+ProgIni_25_27_2025_04_08[[#This Row],[Écart TR 2026]]</calculatedColumnFormula>
    </tableColumn>
    <tableColumn id="48" xr3:uid="{2FA7271E-4A56-41DC-A994-27BEC25B31A0}" name="AC 2026 Trimestre précédent" totalsRowFunction="sum" totalsRowDxfId="2081"/>
    <tableColumn id="49" xr3:uid="{DA4A7B73-5BD3-454A-907E-DCDA6C1247BC}" name="TR 2026 Trimestre précédent" totalsRowFunction="sum" totalsRowDxfId="2080"/>
    <tableColumn id="14" xr3:uid="{6FD83EC8-E19B-4DC4-A5BD-82F7BBC6CD82}" name="AC 2027" totalsRowFunction="sum" dataDxfId="2079" totalsRowDxfId="2078"/>
    <tableColumn id="15" xr3:uid="{0ACBD4DD-420D-4459-AFAC-B02FAC4186FE}" name="TR 2027" totalsRowFunction="sum" dataDxfId="2077" totalsRowDxfId="2076"/>
    <tableColumn id="16" xr3:uid="{4615AACF-ADEB-480D-A91B-D2CE80E4FEA0}" name="AC 2028" totalsRowFunction="sum" dataDxfId="2075" totalsRowDxfId="2074"/>
    <tableColumn id="17" xr3:uid="{B50D03B2-7F85-40D1-9093-D18EF16FD190}" name="TR 2028" totalsRowFunction="sum" dataDxfId="2073" totalsRowDxfId="2072"/>
    <tableColumn id="18" xr3:uid="{1592E738-3CED-4B84-B853-7F699C871767}" name="AC 2029" totalsRowFunction="sum" dataDxfId="2071" totalsRowDxfId="2070"/>
    <tableColumn id="19" xr3:uid="{E44EEB83-730F-49DA-8153-2918C2D4E7E0}" name="TR 2029" totalsRowFunction="sum" dataDxfId="2069" totalsRowDxfId="2068"/>
    <tableColumn id="20" xr3:uid="{BE87D931-B229-4D53-84EB-DF69C0BEA5F6}" name="AC 2030" totalsRowFunction="sum" dataDxfId="2067" totalsRowDxfId="2066"/>
    <tableColumn id="21" xr3:uid="{C2C2EC26-4AAE-405F-BA65-615A84538D38}" name="TR 2030" totalsRowFunction="sum" dataDxfId="2065" totalsRowDxfId="2064"/>
    <tableColumn id="22" xr3:uid="{CE4434C9-6FC9-4EF2-A4A1-E9F19A64F164}" name="AC 2031" totalsRowFunction="sum" dataDxfId="2063" totalsRowDxfId="2062"/>
    <tableColumn id="23" xr3:uid="{62D7875A-3774-4C14-B1D0-7ECE63079659}" name="TR 2031" totalsRowFunction="sum" dataDxfId="2061" totalsRowDxfId="2060"/>
    <tableColumn id="24" xr3:uid="{7C630DBE-C278-4D56-B25B-A1E5A0D6784B}" name="AC 2032" totalsRowFunction="sum" dataDxfId="2059" totalsRowDxfId="2058"/>
    <tableColumn id="25" xr3:uid="{E2E4E3D5-31F5-4C76-9AEF-79B0D7712B42}" name="TR 2032" totalsRowFunction="sum" dataDxfId="2057" totalsRowDxfId="2056"/>
    <tableColumn id="26" xr3:uid="{2A265B9F-AF55-4CD6-86A3-646DD199A238}" name="AC 2033" totalsRowFunction="sum" dataDxfId="2055" totalsRowDxfId="2054"/>
    <tableColumn id="27" xr3:uid="{46953747-F9B9-4D72-BCC7-79E108FB5CD6}" name="TR 2033" totalsRowFunction="sum" dataDxfId="2053" totalsRowDxfId="2052"/>
    <tableColumn id="28" xr3:uid="{BD51526F-A6DC-4F87-812B-7E2B9C39165F}" name="AC 2034" totalsRowFunction="sum" dataDxfId="2051" totalsRowDxfId="2050"/>
    <tableColumn id="29" xr3:uid="{B0A4635B-E88E-49FA-BF00-F868E0EDEADE}" name="TR 2034" totalsRowFunction="sum" dataDxfId="2049" totalsRowDxfId="2048"/>
    <tableColumn id="32" xr3:uid="{9E302720-53F2-4D19-A000-9F850D2022D5}" name="Total Projet" totalsRowFunction="sum" dataDxfId="2047" totalsRowDxfId="2046">
      <calculatedColumnFormula>SUM(ProgIni_25_27_2025_04_08[[#This Row],[AC ANT]:[TR 2025]],ProgIni_25_27_2025_04_08[[#This Row],[AC 2026]:[TR 2026]],ProgIni_25_27_2025_04_08[[#This Row],[AC 2027]:[TR 2034]])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EC33E5-AEA3-40BA-875E-DA389855B6C6}" name="Portefeuille_MNT_PPS_Access15" displayName="Portefeuille_MNT_PPS_Access15" ref="A18:BE150" totalsRowCount="1" headerRowDxfId="2045">
  <autoFilter ref="A18:BE149" xr:uid="{9F04E8B0-9684-4F3F-8527-175E5EC6D67D}"/>
  <tableColumns count="57">
    <tableColumn id="44" xr3:uid="{93E3A8DA-4A37-432F-8BF3-FC4800CF64E2}" name="NUM_PRIRT_DG"/>
    <tableColumn id="1" xr3:uid="{2FA986AB-B516-411E-AA49-D4CF49C08B07}" name="Axe"/>
    <tableColumn id="3" xr3:uid="{A9D401EA-57B7-4781-87E6-CE914C4BAE01}" name="Catégorie Investissement"/>
    <tableColumn id="4" xr3:uid="{4AF981B7-0A46-4604-B0C4-26D935E31D7D}" name="Type Infrastructure"/>
    <tableColumn id="5" xr3:uid="{667AAEA1-14A7-4280-AFFA-F247C68F59A6}" name="Gérant projet"/>
    <tableColumn id="35" xr3:uid="{351F211A-C857-42B1-9EB1-30A630F1EABD}" name="État Composante AC"/>
    <tableColumn id="36" xr3:uid="{C0238F01-E527-4A06-AE04-A808DA8189F1}" name="État Composante TR"/>
    <tableColumn id="2" xr3:uid="{FAF58900-BF6D-4DAC-A2DA-F832017810FE}" name="Région" dataDxfId="2044"/>
    <tableColumn id="37" xr3:uid="{3F2826C4-D98D-4AA0-B9E9-ADFC77FED03B}" name="Numéro projet" totalsRowFunction="count" dataDxfId="2043"/>
    <tableColumn id="57" xr3:uid="{AB862A0C-AB81-4E26-9B00-C8657094C1C4}" name="Titre projet" dataDxfId="2042"/>
    <tableColumn id="30" xr3:uid="{A5A0322A-7161-4E82-919B-778CFB413727}" name="Localisation" dataDxfId="2041"/>
    <tableColumn id="59" xr3:uid="{48BBECD0-7FF2-4219-99A8-1F4DBE55577F}" name="Année DÉBUT Travaux prévu" dataDxfId="2040"/>
    <tableColumn id="7" xr3:uid="{B1C50F20-A520-4DD7-B5E5-2BCE7449C1F0}" name="État avancement" dataDxfId="2039"/>
    <tableColumn id="38" xr3:uid="{8D49887A-79E1-4CFF-9B2A-8EDCAF1FAC9F}" name="PC-1" dataDxfId="2038"/>
    <tableColumn id="46" xr3:uid="{B81D0684-5B16-423A-9B3B-2B1299AA4158}" name="OPC PC-3" dataDxfId="2037">
      <calculatedColumnFormula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calculatedColumnFormula>
    </tableColumn>
    <tableColumn id="51" xr3:uid="{3F65BA7C-5325-491D-A81E-0E34355EC5C1}" name="OPC PC-5" dataDxfId="2036">
      <calculatedColumnFormula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calculatedColumnFormula>
    </tableColumn>
    <tableColumn id="50" xr3:uid="{3D1BF2F9-B98E-4758-A852-39573D4EA0AB}" name="Délais PC1 et PC3" dataDxfId="2035">
      <calculatedColumnFormula xml:space="preserve"> (YEAR(Portefeuille_MNT_PPS_Access15[[#This Row],[PC-3]]) - YEAR(Portefeuille_MNT_PPS_Access15[[#This Row],[PC-1]])) * 12 + MONTH(Portefeuille_MNT_PPS_Access15[[#This Row],[PC-3]]) - MONTH(Portefeuille_MNT_PPS_Access15[[#This Row],[PC-1]])</calculatedColumnFormula>
    </tableColumn>
    <tableColumn id="49" xr3:uid="{AB84D022-1B63-46F2-AAFF-969BA30D0E90}" name="Délais PC3 et PC5" dataDxfId="2034">
      <calculatedColumnFormula xml:space="preserve"> (YEAR(Portefeuille_MNT_PPS_Access15[[#This Row],[PC-5]]) - YEAR(Portefeuille_MNT_PPS_Access15[[#This Row],[PC-3]])) * 12 + MONTH(Portefeuille_MNT_PPS_Access15[[#This Row],[PC-5]]) - MONTH(Portefeuille_MNT_PPS_Access15[[#This Row],[PC-3]])</calculatedColumnFormula>
    </tableColumn>
    <tableColumn id="48" xr3:uid="{7DEC666C-9054-43E3-9EE6-4F675E5D49A8}" name="Délais total PC3 et PC5" dataDxfId="2033">
      <calculatedColumnFormula>Portefeuille_MNT_PPS_Access15[[#This Row],[Délais PC1 et PC3]]+Portefeuille_MNT_PPS_Access15[[#This Row],[Délais PC3 et PC5]]</calculatedColumnFormula>
    </tableColumn>
    <tableColumn id="39" xr3:uid="{EFEDC36B-0BAD-49AC-940C-87A27191227C}" name="PC-3" dataDxfId="2032"/>
    <tableColumn id="40" xr3:uid="{28544E75-7537-4E3A-9095-763BFC063CE4}" name="PC-5" dataDxfId="2031"/>
    <tableColumn id="31" xr3:uid="{6093DC27-02FF-42E9-9C92-DCAA35799138}" name="IND_PROJT_ANNONCE" dataDxfId="2030"/>
    <tableColumn id="43" xr3:uid="{2930D834-AD0D-4EFD-A5EA-918B4A80C018}" name="IND_PC5_TR2025" dataDxfId="2029"/>
    <tableColumn id="42" xr3:uid="{AA706036-794A-42FC-9257-3507AD4EFFF2}" name="IND_PC3_TR2026" dataDxfId="2028"/>
    <tableColumn id="58" xr3:uid="{93488750-D8E0-4F20-B5C3-FFD7D481E10B}" name="Critère PC Atteint" dataDxfId="2027">
      <calculatedColumnFormula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calculatedColumnFormula>
    </tableColumn>
    <tableColumn id="47" xr3:uid="{9AD2C123-9BDB-4875-AA3D-481110A39C76}" name="Site prioritaire" dataDxfId="2026">
      <calculatedColumnFormula>_xlfn.XLOOKUP(Portefeuille_MNT_PPS_Access15[[#This Row],[Numéro projet]],Tableau5[Numéro projet],Tableau5[IND_Site_Prioritaire])</calculatedColumnFormula>
    </tableColumn>
    <tableColumn id="33" xr3:uid="{098868AD-D599-438D-997B-6D0ACE1FC42D}" name="Critère Etat Infrastructure" dataDxfId="2025">
      <calculatedColumnFormula>_xlfn.XLOOKUP(Portefeuille_MNT_PPS_Access15[[#This Row],[Numéro projet]],Tableau5[Numéro projet],Tableau5[Critère Etat Infrastructure])</calculatedColumnFormula>
    </tableColumn>
    <tableColumn id="61" xr3:uid="{04C1BA2E-526D-4B94-89F5-87A1D9C4FD18}" name="Priorité Programmation" dataDxfId="2024">
      <calculatedColumnFormula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calculatedColumnFormula>
    </tableColumn>
    <tableColumn id="41" xr3:uid="{F955CABC-C0E2-4BAE-88F8-A305ECFDFEDE}" name="IND_PC1_AC2025" dataDxfId="2023"/>
    <tableColumn id="45" xr3:uid="{3FC6BADD-D698-45C1-B292-B212E6952774}" name="Colonne1" dataDxfId="2022" totalsRowDxfId="2021"/>
    <tableColumn id="6" xr3:uid="{9963080B-D041-4A8D-B279-04F44299F995}" name="IND_Etat_avancement" dataDxfId="2020"/>
    <tableColumn id="72" xr3:uid="{10E888E4-3BF7-4D4B-BE0F-685D26FE5929}" name="IND_Parachèvement" dataDxfId="2019"/>
    <tableColumn id="78" xr3:uid="{12F0E206-BAB1-429A-ACAC-EB0F90F4CF64}" name="AC ANT" totalsRowFunction="sum" dataDxfId="2018" totalsRowDxfId="2017"/>
    <tableColumn id="34" xr3:uid="{B0A635C8-848A-4951-AF50-E6C53B0F41FC}" name="TR ANT" totalsRowFunction="sum" dataDxfId="2016" totalsRowDxfId="2015"/>
    <tableColumn id="8" xr3:uid="{3A74C4DD-61C4-46CF-BBCB-35A8771B6476}" name="AC 2024" totalsRowFunction="sum" dataDxfId="2014" totalsRowDxfId="2013"/>
    <tableColumn id="9" xr3:uid="{A21D5373-CE15-45BB-BC8D-90A28473D4C9}" name="TR 2024" totalsRowFunction="sum" dataDxfId="2012" totalsRowDxfId="2011"/>
    <tableColumn id="10" xr3:uid="{1589F205-E8BB-4215-BED6-A850C2294F26}" name="AC 2025" totalsRowFunction="sum" dataDxfId="2010" totalsRowDxfId="2009"/>
    <tableColumn id="11" xr3:uid="{AEDF7A52-FBC8-4150-97E1-2BFEDC075ECF}" name="TR 2025" totalsRowFunction="sum" dataDxfId="2008" totalsRowDxfId="2007"/>
    <tableColumn id="12" xr3:uid="{C61DE656-78C7-4074-A381-2304243D54BA}" name="AC 2026" totalsRowFunction="sum" dataDxfId="2006" totalsRowDxfId="2005"/>
    <tableColumn id="13" xr3:uid="{9ADA8DB1-1E6B-45CB-9027-AE45490E71F0}" name="TR 2026" totalsRowFunction="sum" dataDxfId="2004" totalsRowDxfId="2003"/>
    <tableColumn id="14" xr3:uid="{C09A9FCF-F137-4CA4-B9AF-52E23F3A1C44}" name="AC 2027" totalsRowFunction="sum" dataDxfId="2002" totalsRowDxfId="2001"/>
    <tableColumn id="15" xr3:uid="{466D413E-4086-47BE-AD13-687D0479BA56}" name="TR 2027" totalsRowFunction="sum" dataDxfId="2000" totalsRowDxfId="1999"/>
    <tableColumn id="16" xr3:uid="{37A92683-7C64-4D16-83B1-043E5BE18393}" name="AC 2028" totalsRowFunction="sum" dataDxfId="1998" totalsRowDxfId="1997"/>
    <tableColumn id="17" xr3:uid="{18A427D1-64A1-4ACC-8384-F0768EE438F5}" name="TR 2028" totalsRowFunction="sum" dataDxfId="1996" totalsRowDxfId="1995"/>
    <tableColumn id="18" xr3:uid="{3C4CD86A-838E-4467-9F8C-F727E2F1FF31}" name="AC 2029" totalsRowFunction="sum" dataDxfId="1994" totalsRowDxfId="1993"/>
    <tableColumn id="19" xr3:uid="{57E64F4C-662E-4299-874E-8290E91FA38E}" name="TR 2029" totalsRowFunction="sum" dataDxfId="1992" totalsRowDxfId="1991"/>
    <tableColumn id="20" xr3:uid="{50ACDD82-42F7-4FC3-9502-DF43E69A9DBC}" name="AC 2030" totalsRowFunction="sum" dataDxfId="1990" totalsRowDxfId="1989"/>
    <tableColumn id="21" xr3:uid="{F4CBBA80-023E-46A2-BCEA-11A1A553530B}" name="TR 2030" totalsRowFunction="sum" dataDxfId="1988" totalsRowDxfId="1987"/>
    <tableColumn id="22" xr3:uid="{97E8EA2A-D78C-4135-A732-3712D4E4C841}" name="AC 2031" totalsRowFunction="sum" dataDxfId="1986" totalsRowDxfId="1985"/>
    <tableColumn id="23" xr3:uid="{1E477FA2-FD5E-4D59-BCF1-4749E877D25A}" name="TR 2031" totalsRowFunction="sum" dataDxfId="1984" totalsRowDxfId="1983"/>
    <tableColumn id="24" xr3:uid="{580DFFC3-D618-4039-A6FE-5279852DDEC6}" name="AC 2032" totalsRowFunction="sum" dataDxfId="1982" totalsRowDxfId="1981"/>
    <tableColumn id="25" xr3:uid="{B42E00B6-974F-45FA-9AD8-30F12720C674}" name="TR 2032" totalsRowFunction="sum" dataDxfId="1980" totalsRowDxfId="1979"/>
    <tableColumn id="26" xr3:uid="{9E88B1CF-7AE8-4E64-8825-82DDAA36D6BC}" name="AC 2033" totalsRowFunction="sum" dataDxfId="1978" totalsRowDxfId="1977"/>
    <tableColumn id="27" xr3:uid="{08C772C3-8CBE-441D-B43B-32D1E507EDBB}" name="TR 2033" totalsRowFunction="sum" dataDxfId="1976" totalsRowDxfId="1975"/>
    <tableColumn id="28" xr3:uid="{482995F8-1396-4749-A9E3-0291CC8CC800}" name="AC 2034" totalsRowFunction="sum" dataDxfId="1974" totalsRowDxfId="1973"/>
    <tableColumn id="29" xr3:uid="{631BFA10-EDBF-42CE-8BBE-D19B7B82F8C1}" name="TR 2034" totalsRowFunction="sum" dataDxfId="1972" totalsRowDxfId="1971"/>
    <tableColumn id="32" xr3:uid="{8406C791-6CDE-49E1-85CA-1AD376711EA4}" name="Total Projet" totalsRowFunction="sum" dataDxfId="1970" totalsRowDxfId="1969">
      <calculatedColumnFormula>SUM(Portefeuille_MNT_PPS_Access15[[#This Row],[AC ANT]:[TR 2034]])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D895C7-5237-4D8F-91A0-351D3D4A8AC3}" name="Portefeuille_ProgPropose12" displayName="Portefeuille_ProgPropose12" ref="A17:AZ69" totalsRowCount="1" headerRowDxfId="1968">
  <autoFilter ref="A17:AZ68" xr:uid="{9F04E8B0-9684-4F3F-8527-175E5EC6D67D}">
    <filterColumn colId="11">
      <filters>
        <filter val="Saint-Bruno-de-Guigues"/>
      </filters>
    </filterColumn>
  </autoFilter>
  <tableColumns count="52">
    <tableColumn id="45" xr3:uid="{3AE26884-5BA6-44EB-9052-0E4F0BF83248}" name="DES_COMPL_NATR_COMPB" dataDxfId="1967"/>
    <tableColumn id="44" xr3:uid="{00608333-5DBF-4F3F-87F3-F3F690DF60A0}" name="NUM_PRIRT_DG"/>
    <tableColumn id="1" xr3:uid="{252C66A0-0D14-4BAE-9F95-BA57EAF20973}" name="Axe"/>
    <tableColumn id="3" xr3:uid="{733CE61F-1FCE-4EEA-AD44-AEECF6A5C29E}" name="Catégorie Investissement"/>
    <tableColumn id="4" xr3:uid="{7DDB5D30-C03C-4A00-B2FA-46546A9BF009}" name="Type Infrastructure"/>
    <tableColumn id="5" xr3:uid="{D69D4072-F5F6-402A-8AC4-8850B41563B0}" name="Gérant projet"/>
    <tableColumn id="35" xr3:uid="{F65946BB-A58C-4F7F-8630-70AED32AE00A}" name="État Composante AC"/>
    <tableColumn id="36" xr3:uid="{60422BA7-FF3F-482D-A1DE-169354FF336F}" name="État Composante TR"/>
    <tableColumn id="2" xr3:uid="{BE011CCF-8373-42CC-A1AA-8F5764CBBD61}" name="Région" dataDxfId="1966"/>
    <tableColumn id="37" xr3:uid="{D2AA5FD3-0C4B-4886-A3C6-7D3B0EAEAC4F}" name="Numéro projet" totalsRowFunction="count" dataDxfId="1965"/>
    <tableColumn id="57" xr3:uid="{BA58E7AB-D3CD-4548-8496-66B4BC4ADDC8}" name="Titre projet" dataDxfId="1964"/>
    <tableColumn id="30" xr3:uid="{FEA47F1F-5D5F-485F-B7F7-CEE31A1FDE74}" name="Localisation" dataDxfId="1963"/>
    <tableColumn id="59" xr3:uid="{65875904-D50F-4F25-8DEE-6111822D66A5}" name="Année DÉBUT Travaux prévu" dataDxfId="1962"/>
    <tableColumn id="7" xr3:uid="{D4D5E1F2-66A3-4DF0-940A-117B83C67610}" name="État avancement" dataDxfId="1961"/>
    <tableColumn id="38" xr3:uid="{C5BB6E3E-8942-4875-8441-60013D8B46FA}" name="PC-1" dataDxfId="1960"/>
    <tableColumn id="39" xr3:uid="{6AB9E32F-D2A5-46B9-BBBD-065136BC999B}" name="PC-3" dataDxfId="1959"/>
    <tableColumn id="40" xr3:uid="{BB527456-6A9F-4404-893B-CABD5FFC9670}" name="PC-5" dataDxfId="1958"/>
    <tableColumn id="78" xr3:uid="{6579BA54-88B6-4999-AE69-2BBCA1EBC462}" name="AC ANT" totalsRowFunction="sum" dataDxfId="1957" totalsRowDxfId="1956"/>
    <tableColumn id="34" xr3:uid="{B941C1DB-0563-4724-B289-2ED7D0A1592E}" name="TR ANT" totalsRowFunction="sum" dataDxfId="1955" totalsRowDxfId="1954"/>
    <tableColumn id="8" xr3:uid="{3CB05DE7-9820-4DDD-80A9-CE04819299F6}" name="AC 2024" totalsRowFunction="sum" dataDxfId="1953" totalsRowDxfId="1952"/>
    <tableColumn id="9" xr3:uid="{0407B573-6736-4BD7-B4DA-49194556D508}" name="TR 2024" totalsRowFunction="sum" dataDxfId="1951" totalsRowDxfId="1950"/>
    <tableColumn id="10" xr3:uid="{5E2FF8FE-81C4-43D5-A005-B13B0CF0F145}" name="AC 2025" totalsRowFunction="sum" dataDxfId="1949" totalsRowDxfId="1948"/>
    <tableColumn id="11" xr3:uid="{528D3E4E-64C3-4F9F-8B5B-A6A27ED3FC9E}" name="TR 2025" totalsRowFunction="sum" dataDxfId="1947" totalsRowDxfId="1946"/>
    <tableColumn id="46" xr3:uid="{CBD34963-A6F8-4AE5-BE37-41E9FF616F02}" name="AC 2025 Trimestre précédent" totalsRowFunction="sum" totalsRowDxfId="1945"/>
    <tableColumn id="47" xr3:uid="{962E1E95-C038-4F00-ACC0-055A852E29B8}" name="TR 2025 Trimestre précédent" totalsRowFunction="sum" totalsRowDxfId="1944"/>
    <tableColumn id="52" xr3:uid="{95A84FB9-A13E-4562-9CD6-ABA7CAA54D3C}" name="Écart AC 2025" totalsRowFunction="sum" dataDxfId="1943" totalsRowDxfId="1942">
      <calculatedColumnFormula>Portefeuille_ProgPropose12[[#This Row],[AC 2025]]-Portefeuille_ProgPropose12[[#This Row],[AC 2025 Trimestre précédent]]</calculatedColumnFormula>
    </tableColumn>
    <tableColumn id="51" xr3:uid="{118C6AE3-E8F1-453E-83F8-6C18D62B46D9}" name="Écart TR 2025" totalsRowFunction="sum" dataDxfId="1941" totalsRowDxfId="1940">
      <calculatedColumnFormula>Portefeuille_ProgPropose12[[#This Row],[TR 2025]]-Portefeuille_ProgPropose12[[#This Row],[TR 2025 Trimestre précédent]]</calculatedColumnFormula>
    </tableColumn>
    <tableColumn id="50" xr3:uid="{9F63F091-910F-4FA0-A9A4-CD65546E94A5}" name="Écart 2025 Total" totalsRowFunction="sum" dataDxfId="1939" totalsRowDxfId="1938">
      <calculatedColumnFormula>Portefeuille_ProgPropose12[[#This Row],[Écart AC 2025]]+Portefeuille_ProgPropose12[[#This Row],[Écart TR 2025]]</calculatedColumnFormula>
    </tableColumn>
    <tableColumn id="12" xr3:uid="{0845E681-4AFB-4775-B6EA-54D82126019B}" name="AC 2026" totalsRowFunction="sum" dataDxfId="1937" totalsRowDxfId="1936"/>
    <tableColumn id="13" xr3:uid="{992C5F6D-780F-4F1E-A250-11588265B83F}" name="TR 2026" totalsRowFunction="sum" dataDxfId="1935" totalsRowDxfId="1934"/>
    <tableColumn id="48" xr3:uid="{1279242A-7E3D-45B8-B80F-1BA6153361FF}" name="AC 2026 Trimestre précédent" totalsRowFunction="sum" totalsRowDxfId="1933"/>
    <tableColumn id="49" xr3:uid="{1FE59757-88CF-4C8F-836A-BD6DC2A9B8F0}" name="TR 2026 Trimestre précédent" totalsRowFunction="sum" totalsRowDxfId="1932"/>
    <tableColumn id="31" xr3:uid="{3CD73B3A-5D1C-4D40-A93F-D80FBB867647}" name="Écart AC 2026" totalsRowFunction="sum" dataDxfId="1931" totalsRowDxfId="1930">
      <calculatedColumnFormula>Portefeuille_ProgPropose12[[#This Row],[AC 2026]]-Portefeuille_ProgPropose12[[#This Row],[AC 2026 Trimestre précédent]]</calculatedColumnFormula>
    </tableColumn>
    <tableColumn id="33" xr3:uid="{27F0591B-2168-44D4-8260-7E6FDBE272B2}" name="Écart TR 2026" totalsRowFunction="sum" dataDxfId="1929" totalsRowDxfId="1928">
      <calculatedColumnFormula>Portefeuille_ProgPropose12[[#This Row],[TR 2026]]-Portefeuille_ProgPropose12[[#This Row],[TR 2026 Trimestre précédent]]</calculatedColumnFormula>
    </tableColumn>
    <tableColumn id="6" xr3:uid="{B86023FB-1566-4E5A-A448-B27211832779}" name="Écart 2026 Total" totalsRowFunction="sum" dataDxfId="1927" totalsRowDxfId="1926">
      <calculatedColumnFormula>Portefeuille_ProgPropose12[[#This Row],[Écart AC 2026]]+Portefeuille_ProgPropose12[[#This Row],[Écart TR 2026]]</calculatedColumnFormula>
    </tableColumn>
    <tableColumn id="14" xr3:uid="{0C193770-05FF-41C7-A724-770A26DF18A5}" name="AC 2027" totalsRowFunction="sum" dataDxfId="1925" totalsRowDxfId="1924"/>
    <tableColumn id="15" xr3:uid="{2F8915A3-3E20-49C5-8870-4D32562BCB0B}" name="TR 2027" totalsRowFunction="sum" dataDxfId="1923" totalsRowDxfId="1922"/>
    <tableColumn id="16" xr3:uid="{875FD51A-D1DF-4F9A-BD69-6034979EA37C}" name="AC 2028" totalsRowFunction="sum" dataDxfId="1921" totalsRowDxfId="1920"/>
    <tableColumn id="17" xr3:uid="{3767D8CC-14E0-46BB-8DA2-BE21DA1FCF07}" name="TR 2028" totalsRowFunction="sum" dataDxfId="1919" totalsRowDxfId="1918"/>
    <tableColumn id="18" xr3:uid="{1866A887-FB47-486F-BDFA-0D9426D907D0}" name="AC 2029" totalsRowFunction="sum" dataDxfId="1917" totalsRowDxfId="1916"/>
    <tableColumn id="19" xr3:uid="{A3CF781C-7D09-4D48-9FD1-7F5CFE100DE5}" name="TR 2029" totalsRowFunction="sum" dataDxfId="1915" totalsRowDxfId="1914"/>
    <tableColumn id="20" xr3:uid="{4D825FBA-43B4-49B0-AA5E-48A8A6D3F6C3}" name="AC 2030" totalsRowFunction="sum" dataDxfId="1913" totalsRowDxfId="1912"/>
    <tableColumn id="21" xr3:uid="{986D8BBC-B9AA-4B85-9D62-A8C895FE8B1D}" name="TR 2030" totalsRowFunction="sum" dataDxfId="1911" totalsRowDxfId="1910"/>
    <tableColumn id="22" xr3:uid="{6FCB8A03-4998-4A34-B0A3-C09CC826341B}" name="AC 2031" totalsRowFunction="sum" dataDxfId="1909" totalsRowDxfId="1908"/>
    <tableColumn id="23" xr3:uid="{71EFC59D-A340-4597-B7FC-85A6CFE63AD9}" name="TR 2031" totalsRowFunction="sum" dataDxfId="1907" totalsRowDxfId="1906"/>
    <tableColumn id="24" xr3:uid="{76350255-AA96-4BBB-8B5B-BE72F07E26B3}" name="AC 2032" totalsRowFunction="sum" dataDxfId="1905" totalsRowDxfId="1904"/>
    <tableColumn id="25" xr3:uid="{0B85934A-79A5-46C8-A856-D0FE04F08D8B}" name="TR 2032" totalsRowFunction="sum" dataDxfId="1903" totalsRowDxfId="1902"/>
    <tableColumn id="26" xr3:uid="{603AF824-EF19-4ADB-B7F0-A85BD99B9443}" name="AC 2033" totalsRowFunction="sum" dataDxfId="1901" totalsRowDxfId="1900"/>
    <tableColumn id="27" xr3:uid="{04BFA386-3062-475B-B9E2-CF03944B1603}" name="TR 2033" totalsRowFunction="sum" dataDxfId="1899" totalsRowDxfId="1898"/>
    <tableColumn id="28" xr3:uid="{2E171576-0606-4B97-BC27-8D44D5BAF2A5}" name="AC 2034" totalsRowFunction="sum" dataDxfId="1897" totalsRowDxfId="1896"/>
    <tableColumn id="29" xr3:uid="{91DB3566-FDE6-41CF-A16B-C6CAE15DBA89}" name="TR 2034" totalsRowFunction="sum" dataDxfId="1895" totalsRowDxfId="1894"/>
    <tableColumn id="32" xr3:uid="{37D5162E-B5A2-4994-B624-77CE04ADD75B}" name="Total Projet" totalsRowFunction="sum" dataDxfId="1893" totalsRowDxfId="1892">
      <calculatedColumnFormula>SUM(Portefeuille_ProgPropose12[[#This Row],[AC ANT]:[TR 2025]],Portefeuille_ProgPropose12[[#This Row],[AC 2026]:[TR 2026]],Portefeuille_ProgPropose12[[#This Row],[AC 2027]:[TR 2034]])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861991-D8C7-4AA1-AE5E-E4B17BA1BF43}" name="Portefeuille_MNT_PPS_Access13" displayName="Portefeuille_MNT_PPS_Access13" ref="A18:BE150" totalsRowCount="1" headerRowDxfId="1891">
  <autoFilter ref="A18:BE149" xr:uid="{9F04E8B0-9684-4F3F-8527-175E5EC6D67D}">
    <filterColumn colId="10">
      <filters>
        <filter val="Tête-à-la-Baleine"/>
      </filters>
    </filterColumn>
  </autoFilter>
  <tableColumns count="57">
    <tableColumn id="44" xr3:uid="{C921D733-99AF-48E9-A2F3-98341FADBED3}" name="NUM_PRIRT_DG"/>
    <tableColumn id="1" xr3:uid="{A4FFACB4-25C1-4EAC-A597-95C2DD7D23EC}" name="Axe"/>
    <tableColumn id="3" xr3:uid="{9EFC39B3-94E8-48C9-A6F6-698306CC1308}" name="Catégorie Investissement"/>
    <tableColumn id="4" xr3:uid="{FF781042-EDAA-4723-9BB0-D20F79C8A5C4}" name="Type Infrastructure"/>
    <tableColumn id="5" xr3:uid="{639A54F0-CC38-4448-BD7C-50813EC0EBBE}" name="Gérant projet"/>
    <tableColumn id="35" xr3:uid="{C3E3193B-F2E2-41DF-B50B-8BD222700BE1}" name="État Composante AC"/>
    <tableColumn id="36" xr3:uid="{9B932689-938B-4AE9-B8EE-04395D1EDB99}" name="État Composante TR"/>
    <tableColumn id="2" xr3:uid="{4F6FEAE5-9573-4542-88CA-D035972F1376}" name="Région" dataDxfId="1890"/>
    <tableColumn id="37" xr3:uid="{1EE2E65F-AE9F-4ADE-BAED-4F107857CBAB}" name="Numéro projet" totalsRowFunction="count" dataDxfId="1889"/>
    <tableColumn id="57" xr3:uid="{DFFA8C03-159D-4869-8185-C7F418A6E851}" name="Titre projet" dataDxfId="1888"/>
    <tableColumn id="30" xr3:uid="{5156DAB7-A087-40E7-B503-5A673C664513}" name="Localisation" dataDxfId="1887"/>
    <tableColumn id="59" xr3:uid="{BEC6B368-54C0-40AE-9BB4-0E16BB410FE2}" name="Année DÉBUT Travaux prévu" dataDxfId="1886"/>
    <tableColumn id="7" xr3:uid="{BE4E4EAD-D0E9-49E4-AEB8-49C179D4FD11}" name="État avancement" dataDxfId="1885"/>
    <tableColumn id="38" xr3:uid="{CEF86EF4-F68C-4C64-B5A5-0B51AED8CBBE}" name="PC-1" dataDxfId="1884"/>
    <tableColumn id="39" xr3:uid="{E17B9F88-3CD9-4CE7-AF38-5355589F4769}" name="PC-3" dataDxfId="1883"/>
    <tableColumn id="40" xr3:uid="{1C80BCA9-7BD9-4AF4-987D-36DF6ADF2829}" name="PC-5" dataDxfId="1882"/>
    <tableColumn id="46" xr3:uid="{D75743D5-6C78-4E03-B9A3-42CBE24532EE}" name="OPC PC-3" dataDxfId="1881">
      <calculatedColumnFormula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calculatedColumnFormula>
    </tableColumn>
    <tableColumn id="51" xr3:uid="{B1024B5B-1F63-453D-8511-3DE35DACAA3D}" name="OPC PC-5" dataDxfId="1880">
      <calculatedColumnFormula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calculatedColumnFormula>
    </tableColumn>
    <tableColumn id="50" xr3:uid="{5CBC6D21-392B-4D73-BEC6-7ADC8DEFF313}" name="Délais PC1 et PC3" dataDxfId="1879">
      <calculatedColumnFormula xml:space="preserve"> (YEAR(Portefeuille_MNT_PPS_Access13[[#This Row],[PC-3]]) - YEAR(Portefeuille_MNT_PPS_Access13[[#This Row],[PC-1]])) * 12 + MONTH(Portefeuille_MNT_PPS_Access13[[#This Row],[PC-3]]) - MONTH(Portefeuille_MNT_PPS_Access13[[#This Row],[PC-1]])</calculatedColumnFormula>
    </tableColumn>
    <tableColumn id="49" xr3:uid="{0A02FB53-32A4-4DB4-932B-E27460162914}" name="Délais PC3 et PC5" dataDxfId="1878">
      <calculatedColumnFormula xml:space="preserve"> (YEAR(Portefeuille_MNT_PPS_Access13[[#This Row],[PC-5]]) - YEAR(Portefeuille_MNT_PPS_Access13[[#This Row],[PC-3]])) * 12 + MONTH(Portefeuille_MNT_PPS_Access13[[#This Row],[PC-5]]) - MONTH(Portefeuille_MNT_PPS_Access13[[#This Row],[PC-3]])</calculatedColumnFormula>
    </tableColumn>
    <tableColumn id="48" xr3:uid="{305232B2-AF85-4608-A639-A91562C7D5F1}" name="Délais total PC3 et PC5" dataDxfId="1877">
      <calculatedColumnFormula>Portefeuille_MNT_PPS_Access13[[#This Row],[Délais PC1 et PC3]]+Portefeuille_MNT_PPS_Access13[[#This Row],[Délais PC3 et PC5]]</calculatedColumnFormula>
    </tableColumn>
    <tableColumn id="31" xr3:uid="{29ABFFF9-3054-408E-B2B4-D60FC1910DAB}" name="IND_PROJT_ANNONCE" dataDxfId="1876"/>
    <tableColumn id="43" xr3:uid="{1DD4EAE4-A1FF-42C0-8053-72C0FE1499A4}" name="IND_PC5_TR2025" dataDxfId="1875"/>
    <tableColumn id="42" xr3:uid="{6AE6EC33-6C3F-4A15-9FA1-98D7C6AE5D12}" name="IND_PC3_TR2026" dataDxfId="1874"/>
    <tableColumn id="41" xr3:uid="{6CBCC534-9386-4D4C-8E85-B52000243DBA}" name="IND_PC1_AC2025" dataDxfId="1873"/>
    <tableColumn id="6" xr3:uid="{A4AAFBFC-513A-491D-8604-5C6259DA9781}" name="IND_Etat_avancement" dataDxfId="1872"/>
    <tableColumn id="58" xr3:uid="{9A11766A-CF5A-42ED-B0FE-705D6D479357}" name="Critère PC Atteint" dataDxfId="1871">
      <calculatedColumnFormula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calculatedColumnFormula>
    </tableColumn>
    <tableColumn id="47" xr3:uid="{FD090AE4-CD95-4CD0-A7F4-E0047C3D2B61}" name="Site prioritaire" dataDxfId="1870">
      <calculatedColumnFormula>_xlfn.XLOOKUP(Portefeuille_MNT_PPS_Access13[[#This Row],[Numéro projet]],Tableau5[Numéro projet],Tableau5[IND_Site_Prioritaire])</calculatedColumnFormula>
    </tableColumn>
    <tableColumn id="33" xr3:uid="{361A6DB1-77A1-46AE-9E79-9A14F1ED6887}" name="Critère Etat Infrastructure" dataDxfId="1869">
      <calculatedColumnFormula>_xlfn.XLOOKUP(Portefeuille_MNT_PPS_Access13[[#This Row],[Numéro projet]],Tableau5[Numéro projet],Tableau5[Critère Etat Infrastructure])</calculatedColumnFormula>
    </tableColumn>
    <tableColumn id="61" xr3:uid="{06B42DD9-704B-4979-B7E6-56CDE5A4F587}" name="Priorité Programmation" dataDxfId="1868">
      <calculatedColumnFormula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calculatedColumnFormula>
    </tableColumn>
    <tableColumn id="72" xr3:uid="{F0858348-10A4-4E37-A02B-CEF877A21A51}" name="IND_Parachèvement" dataDxfId="1867"/>
    <tableColumn id="45" xr3:uid="{C226B55B-F16E-4016-9346-9DAFCC1899DE}" name="Colonne1" dataDxfId="1866" totalsRowDxfId="1865"/>
    <tableColumn id="78" xr3:uid="{0A2DA02B-ABC3-427C-B867-6097CB0771D4}" name="AC ANT" totalsRowFunction="sum" dataDxfId="1864" totalsRowDxfId="1863"/>
    <tableColumn id="34" xr3:uid="{AE08CBAE-D2DC-4A55-A547-27053D413B7D}" name="TR ANT" totalsRowFunction="sum" dataDxfId="1862" totalsRowDxfId="1861"/>
    <tableColumn id="8" xr3:uid="{AA622E84-0166-4048-80D3-64F093FD765C}" name="AC 2024" totalsRowFunction="sum" dataDxfId="1860" totalsRowDxfId="1859"/>
    <tableColumn id="9" xr3:uid="{E434115A-FBB0-4F4F-83FE-0F44919CFB8F}" name="TR 2024" totalsRowFunction="sum" dataDxfId="1858" totalsRowDxfId="1857"/>
    <tableColumn id="10" xr3:uid="{BE86B879-B8D5-4856-BBDF-F6A0545C43C8}" name="AC 2025" totalsRowFunction="sum" dataDxfId="1856" totalsRowDxfId="1855"/>
    <tableColumn id="11" xr3:uid="{C7236485-ABD0-4952-B1F8-48EFEB4A3B29}" name="TR 2025" totalsRowFunction="sum" dataDxfId="1854" totalsRowDxfId="1853"/>
    <tableColumn id="12" xr3:uid="{A3F7731E-AA29-4A07-A648-12CAD64AAC59}" name="AC 2026" totalsRowFunction="sum" dataDxfId="1852" totalsRowDxfId="1851"/>
    <tableColumn id="13" xr3:uid="{E99F7DB7-8841-4D6C-B75D-42C380FC1E36}" name="TR 2026" totalsRowFunction="sum" dataDxfId="1850" totalsRowDxfId="1849"/>
    <tableColumn id="14" xr3:uid="{0A6EEE4F-3CC1-4592-A9A7-ADC8FA3451BD}" name="AC 2027" totalsRowFunction="sum" dataDxfId="1848" totalsRowDxfId="1847"/>
    <tableColumn id="15" xr3:uid="{64079C71-07AE-4E7E-B5E2-6A1C821FBC3F}" name="TR 2027" totalsRowFunction="sum" dataDxfId="1846" totalsRowDxfId="1845"/>
    <tableColumn id="16" xr3:uid="{B0246077-F888-46E4-9848-94EAFA964100}" name="AC 2028" totalsRowFunction="sum" dataDxfId="1844" totalsRowDxfId="1843"/>
    <tableColumn id="17" xr3:uid="{646178AB-C0AA-4762-A2E2-60AD6A144A85}" name="TR 2028" totalsRowFunction="sum" dataDxfId="1842" totalsRowDxfId="1841"/>
    <tableColumn id="18" xr3:uid="{E2A500EA-1D70-43F1-B945-945943877228}" name="AC 2029" totalsRowFunction="sum" dataDxfId="1840" totalsRowDxfId="1839"/>
    <tableColumn id="19" xr3:uid="{25EC3B88-B3FD-4DFD-99C3-21A3541D27DD}" name="TR 2029" totalsRowFunction="sum" dataDxfId="1838" totalsRowDxfId="1837"/>
    <tableColumn id="20" xr3:uid="{DD0CFAC8-9F7D-47C7-9BB4-DDE3CECB8D41}" name="AC 2030" totalsRowFunction="sum" dataDxfId="1836" totalsRowDxfId="1835"/>
    <tableColumn id="21" xr3:uid="{BA084F9A-2396-4582-A0FF-E27E2EBE3341}" name="TR 2030" totalsRowFunction="sum" dataDxfId="1834" totalsRowDxfId="1833"/>
    <tableColumn id="22" xr3:uid="{AE6F9D47-299F-4CAE-B595-61306B68D04B}" name="AC 2031" totalsRowFunction="sum" dataDxfId="1832" totalsRowDxfId="1831"/>
    <tableColumn id="23" xr3:uid="{BD5CDAF3-972F-47B5-9183-D8AF74180889}" name="TR 2031" totalsRowFunction="sum" dataDxfId="1830" totalsRowDxfId="1829"/>
    <tableColumn id="24" xr3:uid="{4F491AF9-4606-432C-857B-857F57118E0A}" name="AC 2032" totalsRowFunction="sum" dataDxfId="1828" totalsRowDxfId="1827"/>
    <tableColumn id="25" xr3:uid="{F6389AAC-BB0F-4618-B897-18BC7DCD00CF}" name="TR 2032" totalsRowFunction="sum" dataDxfId="1826" totalsRowDxfId="1825"/>
    <tableColumn id="26" xr3:uid="{51EF4AAE-8A17-4188-8ACA-6CE331521E1A}" name="AC 2033" totalsRowFunction="sum" dataDxfId="1824" totalsRowDxfId="1823"/>
    <tableColumn id="27" xr3:uid="{5FCBEEE5-67CA-4D4F-9D12-D75D56F7A296}" name="TR 2033" totalsRowFunction="sum" dataDxfId="1822" totalsRowDxfId="1821"/>
    <tableColumn id="28" xr3:uid="{812BFC16-CA89-4FD2-B3C2-48248CF1589B}" name="AC 2034" totalsRowFunction="sum" dataDxfId="1820" totalsRowDxfId="1819"/>
    <tableColumn id="29" xr3:uid="{D122F23A-EA10-4430-96F8-51F401F28380}" name="TR 2034" totalsRowFunction="sum" dataDxfId="1818" totalsRowDxfId="1817"/>
    <tableColumn id="32" xr3:uid="{8C1E71B9-584A-4835-9539-0B8E43494D97}" name="Total Projet" totalsRowFunction="sum" dataDxfId="1816" totalsRowDxfId="1815">
      <calculatedColumnFormula>SUM(Portefeuille_MNT_PPS_Access13[[#This Row],[AC ANT]:[TR 2034]])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E6B5DD9-653E-47BE-9029-D1F89013B4E0}" name="Travaux_202524" displayName="Travaux_202524" ref="A14:BG35" totalsRowCount="1" headerRowDxfId="1814">
  <autoFilter ref="A14:BG34" xr:uid="{9F04E8B0-9684-4F3F-8527-175E5EC6D67D}"/>
  <sortState xmlns:xlrd2="http://schemas.microsoft.com/office/spreadsheetml/2017/richdata2" ref="A15:BG34">
    <sortCondition ref="N14:N34"/>
  </sortState>
  <tableColumns count="59">
    <tableColumn id="45" xr3:uid="{B2AA6A45-7110-4960-8DF5-F06362A97268}" name="DES_COMPL_NATR_COMPB" dataDxfId="1813"/>
    <tableColumn id="44" xr3:uid="{7B74DABF-FC27-4285-8DD9-492D90C5761B}" name="NUM_PRIRT_DG"/>
    <tableColumn id="1" xr3:uid="{467FE17B-7DC4-472D-895E-83425F5EFB37}" name="Axe"/>
    <tableColumn id="3" xr3:uid="{31EAB048-E42E-46FA-80C0-0D8B92B5A6BC}" name="Catégorie Investissement"/>
    <tableColumn id="4" xr3:uid="{90AEB6CB-D1A1-46F6-AA2D-3D4B423CBD3C}" name="Type Infrastructure"/>
    <tableColumn id="5" xr3:uid="{327EDA62-DFD7-47AB-BE36-0E19AC389821}" name="Gérant projet"/>
    <tableColumn id="35" xr3:uid="{4C5B3FFC-BF13-4C7F-A4FD-F6E94715307A}" name="État Composante AC"/>
    <tableColumn id="36" xr3:uid="{120BCBFE-16C3-4F3E-83DC-7267E67F3D27}" name="État Composante TR"/>
    <tableColumn id="2" xr3:uid="{E106FFEA-D9C7-46D2-A4FC-24EBAA4148DE}" name="Région" dataDxfId="1812"/>
    <tableColumn id="37" xr3:uid="{54F3DB80-1FF4-4833-90FA-D4AB8AE0D406}" name="Numéro projet" totalsRowFunction="count" dataDxfId="1811"/>
    <tableColumn id="57" xr3:uid="{474D2E49-0921-4D6A-80EF-73E214911D61}" name="Titre projet" dataDxfId="1810"/>
    <tableColumn id="30" xr3:uid="{ABC2A394-F0C2-4772-9BA3-6B6C874A1D3C}" name="Localisation" dataDxfId="1809"/>
    <tableColumn id="59" xr3:uid="{D222116A-0AF3-4DFB-810A-704C9E9EE3CE}" name="Année DÉBUT Travaux prévu" dataDxfId="1808"/>
    <tableColumn id="7" xr3:uid="{8CB7AAD2-F424-4292-9029-75EA94237741}" name="État avancement" dataDxfId="1807"/>
    <tableColumn id="58" xr3:uid="{524748E1-ACB5-42FE-9F99-9AB424BDC753}" name="Précisions"/>
    <tableColumn id="38" xr3:uid="{05F0A183-663F-494F-8863-97BE8B3A8641}" name="PC-1" dataDxfId="1806"/>
    <tableColumn id="39" xr3:uid="{20AB7766-CF8A-43D4-9F3D-EEEE19057C58}" name="PC-3" dataDxfId="1805"/>
    <tableColumn id="40" xr3:uid="{73E038A6-BF08-4ECA-918E-B65752580F27}" name="PC-5" dataDxfId="1804"/>
    <tableColumn id="78" xr3:uid="{DFDFF6EC-50CE-4D58-A980-63E84E28833D}" name="AC ANT" totalsRowFunction="sum" dataDxfId="1803" totalsRowDxfId="1802"/>
    <tableColumn id="34" xr3:uid="{92B62CD1-F3BF-4D94-86E3-7FAD4CBFE971}" name="TR ANT" totalsRowFunction="sum" dataDxfId="1801" totalsRowDxfId="1800"/>
    <tableColumn id="8" xr3:uid="{928C5624-D0A3-4B4D-A9BE-67634B61FBF1}" name="AC 2024" totalsRowFunction="sum" dataDxfId="1799" totalsRowDxfId="1798"/>
    <tableColumn id="9" xr3:uid="{77E4C3E4-D7B8-436A-89C3-98FBA8AB1A00}" name="TR 2024" totalsRowFunction="sum" dataDxfId="1797" totalsRowDxfId="1796"/>
    <tableColumn id="10" xr3:uid="{B1A3E6E4-32E6-48C2-AE60-1D5BF818C3C0}" name="AC 2025" totalsRowFunction="sum" dataDxfId="1795" totalsRowDxfId="1794"/>
    <tableColumn id="11" xr3:uid="{1459E6A4-5CAD-4EF3-9241-C63372C0073B}" name="TR 2025" totalsRowFunction="sum" dataDxfId="1793" totalsRowDxfId="1792"/>
    <tableColumn id="6" xr3:uid="{A44A9382-ACAF-4654-9612-5D2087DBEC1A}" name="Actuel 2025" totalsRowFunction="sum" dataDxfId="1791" totalsRowDxfId="1790">
      <calculatedColumnFormula>Travaux_202524[[#This Row],[AC 2025]]+Travaux_202524[[#This Row],[TR 2025]]</calculatedColumnFormula>
    </tableColumn>
    <tableColumn id="41" xr3:uid="{DB021139-0F3B-431B-A757-91FDE0B4071C}" name="AC 2025 Initiale" totalsRowFunction="sum" totalsRowDxfId="1789"/>
    <tableColumn id="42" xr3:uid="{10055609-9B84-4C75-A0CF-6781A3DD0922}" name="TR 2025 Initiale" totalsRowFunction="sum" totalsRowDxfId="1788"/>
    <tableColumn id="31" xr3:uid="{5CE606F5-4911-4595-BFF4-EF0D4920B7C2}" name="Initiale 2025" totalsRowFunction="sum" dataDxfId="1787" totalsRowDxfId="1786">
      <calculatedColumnFormula>Travaux_202524[[#This Row],[AC 2025 Initiale]]+Travaux_202524[[#This Row],[TR 2025 Initiale]]</calculatedColumnFormula>
    </tableColumn>
    <tableColumn id="49" xr3:uid="{0F2149F8-6192-49AF-8A18-A68E4D5D8A1D}" name="Écart AC 2025" totalsRowFunction="sum" dataDxfId="1785" totalsRowDxfId="1784">
      <calculatedColumnFormula>Travaux_202524[[#This Row],[AC 2025]]-Travaux_202524[[#This Row],[AC 2025 Initiale]]</calculatedColumnFormula>
    </tableColumn>
    <tableColumn id="48" xr3:uid="{AA97125F-291A-4004-89E0-DBC3A3ECE54A}" name="Écart TR 2025" totalsRowFunction="sum" dataDxfId="1783" totalsRowDxfId="1782">
      <calculatedColumnFormula>Travaux_202524[[#This Row],[TR 2025]]-Travaux_202524[[#This Row],[TR 2025 Initiale]]</calculatedColumnFormula>
    </tableColumn>
    <tableColumn id="47" xr3:uid="{26BBAF85-34E9-4FB3-9CAE-72CA73DD97EF}" name="Écart 2025 Total" totalsRowFunction="sum" dataDxfId="1781" totalsRowDxfId="1780">
      <calculatedColumnFormula>Travaux_202524[[#This Row],[Écart AC 2025]]+Travaux_202524[[#This Row],[Écart TR 2025]]</calculatedColumnFormula>
    </tableColumn>
    <tableColumn id="12" xr3:uid="{B2BB17C6-1515-43FA-8D1D-F346B7BC4A50}" name="AC 2026" totalsRowFunction="sum" dataDxfId="1779" totalsRowDxfId="1778"/>
    <tableColumn id="13" xr3:uid="{18D6EAB5-8F8C-43A1-A2B7-F755EF867E32}" name="TR 2026" totalsRowFunction="sum" dataDxfId="1777" totalsRowDxfId="1776"/>
    <tableColumn id="53" xr3:uid="{295D1B38-050C-4A27-851F-8A9AA36C33F4}" name="Actuel 2026" totalsRowFunction="sum" dataDxfId="1775" totalsRowDxfId="1774">
      <calculatedColumnFormula>Travaux_202524[[#This Row],[AC 2026]]+Travaux_202524[[#This Row],[TR 2026]]</calculatedColumnFormula>
    </tableColumn>
    <tableColumn id="43" xr3:uid="{B65E2437-8FBB-463E-A79E-C60A4CF9C7BB}" name="AC 2026 Initiale" totalsRowFunction="sum" totalsRowDxfId="1773"/>
    <tableColumn id="46" xr3:uid="{7AAB2FB7-4CF5-4D15-AA99-42475C107BC7}" name="TR 2026 Initiale" totalsRowFunction="sum" totalsRowDxfId="1772"/>
    <tableColumn id="54" xr3:uid="{CE3B8644-629D-4E1B-9BE6-5D18EB3A42D9}" name="Initiale 2026" totalsRowFunction="sum" dataDxfId="1771" totalsRowDxfId="1770">
      <calculatedColumnFormula>Travaux_202524[[#This Row],[AC 2026 Initiale]]+Travaux_202524[[#This Row],[TR 2026 Initiale]]</calculatedColumnFormula>
    </tableColumn>
    <tableColumn id="52" xr3:uid="{B08BA28E-8D3C-447A-9BC5-CF08F01250E6}" name="Écart AC 2026" totalsRowFunction="sum" dataDxfId="1769" totalsRowDxfId="1768">
      <calculatedColumnFormula>Travaux_202524[[#This Row],[AC 2026]]-Travaux_202524[[#This Row],[AC 2026 Initiale]]</calculatedColumnFormula>
    </tableColumn>
    <tableColumn id="51" xr3:uid="{11AFB02B-294B-46EB-836A-B538E2AAD578}" name="Écart TR 2026" totalsRowFunction="sum" dataDxfId="1767" totalsRowDxfId="1766">
      <calculatedColumnFormula>Travaux_202524[[#This Row],[TR 2026]]-Travaux_202524[[#This Row],[TR 2026 Initiale]]</calculatedColumnFormula>
    </tableColumn>
    <tableColumn id="50" xr3:uid="{6BE88E77-1AD3-492C-B54B-DABDC51BBB19}" name="Écart 2026 Total" totalsRowFunction="sum" dataDxfId="1765" totalsRowDxfId="1764">
      <calculatedColumnFormula>Travaux_202524[[#This Row],[Écart AC 2026]]+Travaux_202524[[#This Row],[Écart TR 2026]]</calculatedColumnFormula>
    </tableColumn>
    <tableColumn id="14" xr3:uid="{2AEF7E7C-5160-4E61-A3D4-C6B727539A89}" name="AC 2027" totalsRowFunction="sum" dataDxfId="1763" totalsRowDxfId="1762"/>
    <tableColumn id="15" xr3:uid="{A510920C-6368-4F58-87FD-FE0BDA249166}" name="TR 2027" totalsRowFunction="sum" dataDxfId="1761" totalsRowDxfId="1760"/>
    <tableColumn id="16" xr3:uid="{2847673C-20CC-4163-A869-AF546FE01543}" name="AC 2028" totalsRowFunction="sum" dataDxfId="1759" totalsRowDxfId="1758"/>
    <tableColumn id="17" xr3:uid="{95B86E50-A0F9-404C-A393-14E46EF6E2E6}" name="TR 2028" totalsRowFunction="sum" dataDxfId="1757" totalsRowDxfId="1756"/>
    <tableColumn id="18" xr3:uid="{FD723E4E-1D97-4D6F-B61B-E78938499FA9}" name="AC 2029" totalsRowFunction="sum" dataDxfId="1755" totalsRowDxfId="1754"/>
    <tableColumn id="19" xr3:uid="{D53D7997-89C0-4333-94DB-B2F266A83EF9}" name="TR 2029" totalsRowFunction="sum" dataDxfId="1753" totalsRowDxfId="1752"/>
    <tableColumn id="20" xr3:uid="{C7094CC9-EE21-4424-80D5-080067328AE2}" name="AC 2030" totalsRowFunction="sum" dataDxfId="1751" totalsRowDxfId="1750"/>
    <tableColumn id="21" xr3:uid="{3CAB1EE2-8555-43B3-A68A-6E9F651C199C}" name="TR 2030" totalsRowFunction="sum" dataDxfId="1749" totalsRowDxfId="1748"/>
    <tableColumn id="22" xr3:uid="{C23E1F76-4CA5-4C2A-B43D-DF3F61828C29}" name="AC 2031" totalsRowFunction="sum" dataDxfId="1747" totalsRowDxfId="1746"/>
    <tableColumn id="23" xr3:uid="{849A97E6-17EB-4DBD-B9DD-5237973E5EAE}" name="TR 2031" totalsRowFunction="sum" dataDxfId="1745" totalsRowDxfId="1744"/>
    <tableColumn id="24" xr3:uid="{93B53C1B-010D-4EBD-BAAC-2210DB73235F}" name="AC 2032" totalsRowFunction="sum" dataDxfId="1743" totalsRowDxfId="1742"/>
    <tableColumn id="25" xr3:uid="{A22F732C-E436-45EF-A6DC-1915CBA3B948}" name="TR 2032" totalsRowFunction="sum" dataDxfId="1741" totalsRowDxfId="1740"/>
    <tableColumn id="26" xr3:uid="{54B372EE-FCE1-4CBC-8B55-EFB2BC49AC1A}" name="AC 2033" totalsRowFunction="sum" dataDxfId="1739" totalsRowDxfId="1738"/>
    <tableColumn id="27" xr3:uid="{89C2B04C-482F-430E-8F40-73BCAEEF4331}" name="TR 2033" totalsRowFunction="sum" dataDxfId="1737" totalsRowDxfId="1736"/>
    <tableColumn id="28" xr3:uid="{0DCB502A-3BD2-48E2-9044-9C49B1F51FD7}" name="AC 2034" totalsRowFunction="sum" dataDxfId="1735" totalsRowDxfId="1734"/>
    <tableColumn id="29" xr3:uid="{954CE90C-4EF7-4013-AE0D-1AB13B255A43}" name="TR 2034" totalsRowFunction="sum" dataDxfId="1733" totalsRowDxfId="1732"/>
    <tableColumn id="33" xr3:uid="{B37447CE-8CC1-45FE-9042-6FBA4F6DE538}" name="AC 2035"/>
    <tableColumn id="55" xr3:uid="{F5CF3C4D-7622-4B18-AA18-6D061594AA99}" name="TR 2035"/>
    <tableColumn id="32" xr3:uid="{8BB38024-1174-40DC-8C27-E0E120EBF269}" name="Total Projet" totalsRowFunction="sum" dataDxfId="1731" totalsRowDxfId="1730">
      <calculatedColumnFormula>SUM(Travaux_202524[[#This Row],[AC ANT]:[TR 2025]],Travaux_202524[[#This Row],[AC 2026]:[TR 2026]],Travaux_202524[[#This Row],[AC 2027]:[TR 2034]])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E146B67-6CA5-4E2E-B171-126980B600C6}" name="Travaux_202625" displayName="Travaux_202625" ref="A14:BG25" totalsRowCount="1" headerRowDxfId="1729">
  <autoFilter ref="A14:BG24" xr:uid="{9F04E8B0-9684-4F3F-8527-175E5EC6D67D}"/>
  <sortState xmlns:xlrd2="http://schemas.microsoft.com/office/spreadsheetml/2017/richdata2" ref="A15:BG24">
    <sortCondition descending="1" ref="N14:N24"/>
  </sortState>
  <tableColumns count="59">
    <tableColumn id="45" xr3:uid="{41372410-8649-4CB7-8CE1-FFE7AA20C887}" name="DES_COMPL_NATR_COMPB" dataDxfId="1728"/>
    <tableColumn id="44" xr3:uid="{42D859F6-480E-4E11-8EE0-97B4A854116F}" name="NUM_PRIRT_DG"/>
    <tableColumn id="1" xr3:uid="{6697B95F-3088-4E60-B7CE-CE19B88E71B3}" name="Axe"/>
    <tableColumn id="3" xr3:uid="{7162E1D1-E998-488F-AE61-3322234D6F83}" name="Catégorie Investissement"/>
    <tableColumn id="4" xr3:uid="{C036A517-D35E-4164-BD9E-77EF7A01A279}" name="Type Infrastructure"/>
    <tableColumn id="5" xr3:uid="{7644ECD2-7258-488F-A667-D332CD3E5ED5}" name="Gérant projet"/>
    <tableColumn id="35" xr3:uid="{223A64E0-4402-41A0-868F-3EC8B8411B21}" name="État Composante AC"/>
    <tableColumn id="36" xr3:uid="{3609B5E7-D084-4358-A0C7-F1A0809E47E1}" name="État Composante TR"/>
    <tableColumn id="2" xr3:uid="{734BEA52-11DB-4C07-B315-EA44EB2CB8C0}" name="Région" dataDxfId="1727"/>
    <tableColumn id="37" xr3:uid="{8EDD342E-065D-4296-8D09-997460137AD6}" name="Numéro projet" totalsRowFunction="count" dataDxfId="1726"/>
    <tableColumn id="57" xr3:uid="{E2824B83-11D9-469C-8067-7BE4C55E3B59}" name="Titre projet" dataDxfId="1725"/>
    <tableColumn id="30" xr3:uid="{F978D6BE-2B24-4ACB-9B3C-DFD871206D02}" name="Localisation" dataDxfId="1724"/>
    <tableColumn id="59" xr3:uid="{96C3BBD2-D544-404B-BB36-4C59EF7A8B7C}" name="Année DÉBUT Travaux prévu" dataDxfId="1723"/>
    <tableColumn id="7" xr3:uid="{85F14B72-9770-4C80-AB60-74B180596B57}" name="État avancement" dataDxfId="1722"/>
    <tableColumn id="56" xr3:uid="{3D39F806-3227-4192-945E-537349A72352}" name="Précision"/>
    <tableColumn id="38" xr3:uid="{CCC911BB-F091-4FED-BDA0-6A1214B93C44}" name="PC-1" dataDxfId="1721"/>
    <tableColumn id="39" xr3:uid="{307330FB-52A3-43B7-800D-C62CE54C4C2B}" name="PC-3" dataDxfId="1720"/>
    <tableColumn id="40" xr3:uid="{27DA72CF-3FCE-444A-AD46-42828455FCA6}" name="PC-5" dataDxfId="1719"/>
    <tableColumn id="78" xr3:uid="{27139D65-9433-460E-AF46-AD5530ED2B0D}" name="AC ANT" totalsRowFunction="sum" dataDxfId="1718" totalsRowDxfId="1717"/>
    <tableColumn id="34" xr3:uid="{CC6F093D-B42F-450F-BF02-FCD5DD7A3880}" name="TR ANT" totalsRowFunction="sum" dataDxfId="1716" totalsRowDxfId="1715"/>
    <tableColumn id="8" xr3:uid="{B5AA6A90-CA06-4CDD-A967-7C6E3FD224E3}" name="AC 2024" totalsRowFunction="sum" dataDxfId="1714" totalsRowDxfId="1713"/>
    <tableColumn id="9" xr3:uid="{FFD7D7CF-30BD-4F80-9E23-45F5FE280641}" name="TR 2024" totalsRowFunction="sum" dataDxfId="1712" totalsRowDxfId="1711"/>
    <tableColumn id="10" xr3:uid="{B54F891A-C78A-43AC-B299-672D1D7EF7DF}" name="AC 2025" totalsRowFunction="sum" dataDxfId="1710" totalsRowDxfId="1709"/>
    <tableColumn id="11" xr3:uid="{2DCCA1FE-1AEC-489C-A183-F55A03478EAE}" name="TR 2025" totalsRowFunction="sum" dataDxfId="1708" totalsRowDxfId="1707"/>
    <tableColumn id="6" xr3:uid="{0F275A3D-1951-4D41-A09B-5EB4F9A7E1B9}" name="Actuel 2025" totalsRowFunction="sum" dataDxfId="1706" totalsRowDxfId="1705">
      <calculatedColumnFormula>Travaux_202625[[#This Row],[AC 2025]]+Travaux_202625[[#This Row],[TR 2025]]</calculatedColumnFormula>
    </tableColumn>
    <tableColumn id="41" xr3:uid="{0A7FF01B-F65C-4798-BD08-3F75E24CF2CA}" name="AC 2025 Initiale" totalsRowFunction="sum" totalsRowDxfId="1704"/>
    <tableColumn id="42" xr3:uid="{D6EC4A47-92A6-4BEF-9D83-8B9608A3759C}" name="TR 2025 Initiale" totalsRowFunction="sum" totalsRowDxfId="1703"/>
    <tableColumn id="31" xr3:uid="{FB541352-9C49-45CD-A326-1F6C2E02CBBF}" name="Initiale 2025" totalsRowFunction="sum" dataDxfId="1702" totalsRowDxfId="1701">
      <calculatedColumnFormula>Travaux_202625[[#This Row],[AC 2025 Initiale]]+Travaux_202625[[#This Row],[TR 2025 Initiale]]</calculatedColumnFormula>
    </tableColumn>
    <tableColumn id="49" xr3:uid="{0EF085C1-B6C2-419F-85C2-C2DA72D87882}" name="Écart AC 2025" totalsRowFunction="sum" dataDxfId="1700" totalsRowDxfId="1699">
      <calculatedColumnFormula>Travaux_202625[[#This Row],[AC 2025]]-Travaux_202625[[#This Row],[AC 2025 Initiale]]</calculatedColumnFormula>
    </tableColumn>
    <tableColumn id="48" xr3:uid="{ECB019EA-104F-4F69-B14E-4A3C01AD2BA7}" name="Écart TR 2025" totalsRowFunction="sum" dataDxfId="1698" totalsRowDxfId="1697">
      <calculatedColumnFormula>Travaux_202625[[#This Row],[TR 2025]]-Travaux_202625[[#This Row],[TR 2025 Initiale]]</calculatedColumnFormula>
    </tableColumn>
    <tableColumn id="47" xr3:uid="{B48B1174-C26F-42E7-919D-590E9127C779}" name="Écart 2025 Total" totalsRowFunction="sum" dataDxfId="1696" totalsRowDxfId="1695">
      <calculatedColumnFormula>Travaux_202625[[#This Row],[Écart AC 2025]]+Travaux_202625[[#This Row],[Écart TR 2025]]</calculatedColumnFormula>
    </tableColumn>
    <tableColumn id="12" xr3:uid="{D9811810-56BC-4EE1-8778-B5E64E6743F7}" name="AC 2026" totalsRowFunction="sum" dataDxfId="1694" totalsRowDxfId="1693"/>
    <tableColumn id="13" xr3:uid="{170F8638-D015-4D4A-A6E9-A353D72893B2}" name="TR 2026" totalsRowFunction="sum" dataDxfId="1692" totalsRowDxfId="1691"/>
    <tableColumn id="53" xr3:uid="{51667912-BF19-42DA-BA57-5E6F4B1DA63C}" name="Actuel 2026" totalsRowFunction="sum" dataDxfId="1690" totalsRowDxfId="1689">
      <calculatedColumnFormula>Travaux_202625[[#This Row],[AC 2026]]+Travaux_202625[[#This Row],[TR 2026]]</calculatedColumnFormula>
    </tableColumn>
    <tableColumn id="43" xr3:uid="{705C1BFB-1D9F-4717-AD54-E907659E2EC8}" name="AC 2026 Initiale" totalsRowFunction="sum" totalsRowDxfId="1688"/>
    <tableColumn id="46" xr3:uid="{7AE870B3-FAFB-479E-B08D-7371B8EF4A27}" name="TR 2026 Initiale" totalsRowFunction="sum" totalsRowDxfId="1687"/>
    <tableColumn id="54" xr3:uid="{0BEDA474-39E9-471B-9188-F0071F94E81A}" name="Initiale 2026" totalsRowFunction="sum" dataDxfId="1686" totalsRowDxfId="1685">
      <calculatedColumnFormula>Travaux_202625[[#This Row],[AC 2026 Initiale]]+Travaux_202625[[#This Row],[TR 2026 Initiale]]</calculatedColumnFormula>
    </tableColumn>
    <tableColumn id="52" xr3:uid="{1AFD0059-EAFB-43E3-97A6-AF6F84A6ACE3}" name="Écart AC 2026" totalsRowFunction="sum" dataDxfId="1684" totalsRowDxfId="1683">
      <calculatedColumnFormula>Travaux_202625[[#This Row],[AC 2026]]-Travaux_202625[[#This Row],[AC 2026 Initiale]]</calculatedColumnFormula>
    </tableColumn>
    <tableColumn id="51" xr3:uid="{88175C21-FFE4-476A-960E-A04D146B244F}" name="Écart TR 2026" totalsRowFunction="sum" dataDxfId="1682" totalsRowDxfId="1681">
      <calculatedColumnFormula>Travaux_202625[[#This Row],[TR 2026]]-Travaux_202625[[#This Row],[TR 2026 Initiale]]</calculatedColumnFormula>
    </tableColumn>
    <tableColumn id="50" xr3:uid="{3650E1E4-BC51-4A18-BDB9-E428D3F5AB44}" name="Écart 2026 Total" totalsRowFunction="sum" dataDxfId="1680" totalsRowDxfId="1679">
      <calculatedColumnFormula>Travaux_202625[[#This Row],[Écart AC 2026]]+Travaux_202625[[#This Row],[Écart TR 2026]]</calculatedColumnFormula>
    </tableColumn>
    <tableColumn id="14" xr3:uid="{99A9A752-8451-49E7-B21E-785B03D8D2AF}" name="AC 2027" totalsRowFunction="sum" dataDxfId="1678" totalsRowDxfId="1677"/>
    <tableColumn id="15" xr3:uid="{42F5D214-DE51-4C16-91E1-F0908F852B1E}" name="TR 2027" totalsRowFunction="sum" dataDxfId="1676" totalsRowDxfId="1675"/>
    <tableColumn id="16" xr3:uid="{73A1C7CC-8A26-46F4-9EA0-9AB7C1415717}" name="AC 2028" totalsRowFunction="sum" dataDxfId="1674" totalsRowDxfId="1673"/>
    <tableColumn id="17" xr3:uid="{7F96F83E-2CE7-49F3-8ECC-751DB2AEDB1B}" name="TR 2028" totalsRowFunction="sum" dataDxfId="1672" totalsRowDxfId="1671"/>
    <tableColumn id="18" xr3:uid="{1BA57A19-D2FF-47FD-A930-31F1C224CA96}" name="AC 2029" totalsRowFunction="sum" dataDxfId="1670" totalsRowDxfId="1669"/>
    <tableColumn id="19" xr3:uid="{A82917A4-0EA8-4FF3-A7E2-AD2E16A03C51}" name="TR 2029" totalsRowFunction="sum" dataDxfId="1668" totalsRowDxfId="1667"/>
    <tableColumn id="20" xr3:uid="{27089B11-FF00-42E9-A947-9C5391CA2546}" name="AC 2030" totalsRowFunction="sum" dataDxfId="1666" totalsRowDxfId="1665"/>
    <tableColumn id="21" xr3:uid="{82AEE9F6-647D-4AA9-B92B-3B1ECAFCFF39}" name="TR 2030" totalsRowFunction="sum" dataDxfId="1664" totalsRowDxfId="1663"/>
    <tableColumn id="22" xr3:uid="{A857207E-4767-4E68-87C7-80364F9A7DB8}" name="AC 2031" totalsRowFunction="sum" dataDxfId="1662" totalsRowDxfId="1661"/>
    <tableColumn id="23" xr3:uid="{1396E351-F2EE-422A-84D6-49CC3D2C563E}" name="TR 2031" totalsRowFunction="sum" dataDxfId="1660" totalsRowDxfId="1659"/>
    <tableColumn id="24" xr3:uid="{8B8440CB-6E60-42AA-969A-47C3695C1468}" name="AC 2032" totalsRowFunction="sum" dataDxfId="1658" totalsRowDxfId="1657"/>
    <tableColumn id="25" xr3:uid="{F2902F9C-BFCE-49D2-829E-1012A3B8F397}" name="TR 2032" totalsRowFunction="sum" dataDxfId="1656" totalsRowDxfId="1655"/>
    <tableColumn id="26" xr3:uid="{332C66C0-29FF-42F0-9729-DAB8436C577B}" name="AC 2033" totalsRowFunction="sum" dataDxfId="1654" totalsRowDxfId="1653"/>
    <tableColumn id="27" xr3:uid="{8BB0BB68-5B0E-4CA3-BA28-4047B9268576}" name="TR 2033" totalsRowFunction="sum" dataDxfId="1652" totalsRowDxfId="1651"/>
    <tableColumn id="28" xr3:uid="{233AD193-B7E5-40EB-B74E-6B9CB0465A38}" name="AC 2034" totalsRowFunction="sum" dataDxfId="1650" totalsRowDxfId="1649"/>
    <tableColumn id="29" xr3:uid="{7540374E-B673-4E7A-BD3C-BF66B685D042}" name="TR 2034" totalsRowFunction="sum" dataDxfId="1648" totalsRowDxfId="1647"/>
    <tableColumn id="33" xr3:uid="{985E4FDD-27C4-4D99-9968-466268FA986B}" name="AC 2035"/>
    <tableColumn id="55" xr3:uid="{2C10B90E-D1B0-45DB-BEE5-BD64CD3FF4F7}" name="TR 2035"/>
    <tableColumn id="32" xr3:uid="{482171FC-FB37-441F-A892-A1C6AF825DF6}" name="Total Projet" totalsRowFunction="sum" dataDxfId="1646" totalsRowDxfId="1645">
      <calculatedColumnFormula>SUM(Travaux_202625[[#This Row],[AC ANT]:[TR 2025]],Travaux_202625[[#This Row],[AC 2026]:[TR 2026]],Travaux_202625[[#This Row],[AC 2027]:[TR 2034]])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1510F6-C469-4796-ACA1-E532FB7677E2}" name="Travaux_202521" displayName="Travaux_202521" ref="A14:BE28" totalsRowCount="1" headerRowDxfId="1644">
  <autoFilter ref="A14:BE27" xr:uid="{9F04E8B0-9684-4F3F-8527-175E5EC6D67D}"/>
  <sortState xmlns:xlrd2="http://schemas.microsoft.com/office/spreadsheetml/2017/richdata2" ref="A15:BE27">
    <sortCondition ref="M15:M27"/>
    <sortCondition ref="I15:I27"/>
    <sortCondition ref="N15:N27"/>
  </sortState>
  <tableColumns count="57">
    <tableColumn id="45" xr3:uid="{45AA4EE2-9D21-41E5-BEA9-883C8292921A}" name="DES_COMPL_NATR_COMPB" dataDxfId="1643"/>
    <tableColumn id="44" xr3:uid="{502DAA2D-6854-4A09-A114-CAACFEE4B017}" name="NUM_PRIRT_DG"/>
    <tableColumn id="1" xr3:uid="{1EFA818D-3D71-4F3B-BF66-0355B621B7EE}" name="Axe"/>
    <tableColumn id="3" xr3:uid="{B7CADFAA-FE85-4141-962A-18570D3A4F5E}" name="Catégorie Investissement"/>
    <tableColumn id="4" xr3:uid="{918FE4C5-92E0-4ED1-B959-C441B77F4BBD}" name="Type Infrastructure"/>
    <tableColumn id="5" xr3:uid="{421C4DB5-DB7E-44AE-9D48-7914DD1F2464}" name="Gérant projet"/>
    <tableColumn id="35" xr3:uid="{F992E1A1-EA99-4D66-83F3-5C64F179C3DD}" name="État Composante AC"/>
    <tableColumn id="36" xr3:uid="{9D38CCEB-8556-4756-9398-5B5A128B8B56}" name="État Composante TR"/>
    <tableColumn id="2" xr3:uid="{C9B3204D-DF3A-4F5D-BCFE-25536057C883}" name="Région" dataDxfId="1642"/>
    <tableColumn id="37" xr3:uid="{53E0DF07-FB05-40D8-81E4-01368965997B}" name="Numéro projet" totalsRowFunction="count" dataDxfId="1641"/>
    <tableColumn id="57" xr3:uid="{2DC4748C-0550-4A91-AC5B-F74394BB0116}" name="Titre projet" dataDxfId="1640"/>
    <tableColumn id="30" xr3:uid="{14FC120B-D381-44DA-BF97-A4114586AAD5}" name="Localisation" dataDxfId="1639"/>
    <tableColumn id="59" xr3:uid="{A1983B6E-1E71-43B3-A212-7D130EA0BD21}" name="Année DÉBUT Travaux prévu" dataDxfId="1638"/>
    <tableColumn id="7" xr3:uid="{88F8482A-D957-4EA7-9CCF-65D8D0D076C7}" name="État avancement" dataDxfId="1637"/>
    <tableColumn id="55" xr3:uid="{90D990B9-3688-4587-B1C9-78C288995C6C}" name="Précisions" dataDxfId="1636"/>
    <tableColumn id="38" xr3:uid="{BBB5594E-0CB8-4BFC-AE03-882305FF5FF3}" name="PC-1" dataDxfId="1635"/>
    <tableColumn id="39" xr3:uid="{C2D0DB2A-F257-441A-8D99-C6C568D436C6}" name="PC-3" dataDxfId="1634"/>
    <tableColumn id="40" xr3:uid="{B4B8C88A-070F-472E-B89B-B4DBE01DFC4E}" name="PC-5" dataDxfId="1633"/>
    <tableColumn id="78" xr3:uid="{E2355F57-EAE1-4A77-BF68-86D7BEC8C0F3}" name="AC ANT" totalsRowFunction="sum" dataDxfId="1632" totalsRowDxfId="1631"/>
    <tableColumn id="34" xr3:uid="{6AFABF7C-10BA-4437-9B67-712C4FA4DACE}" name="TR ANT" totalsRowFunction="sum" dataDxfId="1630" totalsRowDxfId="1629"/>
    <tableColumn id="8" xr3:uid="{260DB8EF-90E8-4DBB-B4E3-6FA3E642D94C}" name="AC 2024" totalsRowFunction="sum" dataDxfId="1628" totalsRowDxfId="1627"/>
    <tableColumn id="9" xr3:uid="{39E8EB9F-0D11-44FE-BD54-E4A83E890C04}" name="TR 2024" totalsRowFunction="sum" dataDxfId="1626" totalsRowDxfId="1625"/>
    <tableColumn id="10" xr3:uid="{0EF5A875-C1D3-4B8E-8020-6088B6FAAB44}" name="AC 2025" totalsRowFunction="sum" dataDxfId="1624" totalsRowDxfId="1623"/>
    <tableColumn id="11" xr3:uid="{CE6B8DF2-39F4-4535-9990-07CB438FE85F}" name="TR 2025" totalsRowFunction="sum" dataDxfId="1622" totalsRowDxfId="1621"/>
    <tableColumn id="6" xr3:uid="{83303EF0-CDB4-418E-9678-F78EE8A76EED}" name="Actuel 2025" totalsRowFunction="sum" dataDxfId="1620" totalsRowDxfId="1619">
      <calculatedColumnFormula>Travaux_202521[[#This Row],[AC 2025]]+Travaux_202521[[#This Row],[TR 2025]]</calculatedColumnFormula>
    </tableColumn>
    <tableColumn id="41" xr3:uid="{6E7D2F6F-93B8-487A-A9DD-F19517DFA54D}" name="AC 2025 Initiale" totalsRowFunction="sum" totalsRowDxfId="1618"/>
    <tableColumn id="42" xr3:uid="{BB3F8E6F-F45F-43B5-8F79-0539E46EE59E}" name="TR 2025 Initiale" totalsRowFunction="sum" totalsRowDxfId="1617"/>
    <tableColumn id="31" xr3:uid="{05A1BB9F-E51B-40AE-B28E-6525CCCD9C07}" name="Initiale 2025" totalsRowFunction="sum" dataDxfId="1616" totalsRowDxfId="1615">
      <calculatedColumnFormula>Travaux_202521[[#This Row],[AC 2025 Initiale]]+Travaux_202521[[#This Row],[TR 2025 Initiale]]</calculatedColumnFormula>
    </tableColumn>
    <tableColumn id="49" xr3:uid="{1CF302A3-9E27-4AF2-8160-F1BFB9E9ABF2}" name="Écart AC 2025" totalsRowFunction="sum" dataDxfId="1614" totalsRowDxfId="1613">
      <calculatedColumnFormula>Travaux_202521[[#This Row],[AC 2025]]-Travaux_202521[[#This Row],[AC 2025 Initiale]]</calculatedColumnFormula>
    </tableColumn>
    <tableColumn id="48" xr3:uid="{ECB97A14-3258-4A13-B10C-35B988D36B0F}" name="Écart TR 2025" totalsRowFunction="sum" dataDxfId="1612" totalsRowDxfId="1611">
      <calculatedColumnFormula>Travaux_202521[[#This Row],[TR 2025]]-Travaux_202521[[#This Row],[TR 2025 Initiale]]</calculatedColumnFormula>
    </tableColumn>
    <tableColumn id="47" xr3:uid="{84A72C49-00EA-4C1C-9EDE-7930342E17F6}" name="Écart 2025 Total" totalsRowFunction="sum" dataDxfId="1610" totalsRowDxfId="1609">
      <calculatedColumnFormula>Travaux_202521[[#This Row],[Écart AC 2025]]+Travaux_202521[[#This Row],[Écart TR 2025]]</calculatedColumnFormula>
    </tableColumn>
    <tableColumn id="12" xr3:uid="{DBDFA2BB-B547-4699-8A36-9EA4A88F0B9C}" name="AC 2026" totalsRowFunction="sum" dataDxfId="1608" totalsRowDxfId="1607"/>
    <tableColumn id="13" xr3:uid="{00AF67F0-0368-4780-BD83-0496F9084C58}" name="TR 2026" totalsRowFunction="sum" dataDxfId="1606" totalsRowDxfId="1605"/>
    <tableColumn id="53" xr3:uid="{316172A3-0713-4F56-A93D-E03AF2F0AE4C}" name="Actuel 2026" totalsRowFunction="sum" dataDxfId="1604" totalsRowDxfId="1603">
      <calculatedColumnFormula>Travaux_202521[[#This Row],[AC 2026]]+Travaux_202521[[#This Row],[TR 2026]]</calculatedColumnFormula>
    </tableColumn>
    <tableColumn id="43" xr3:uid="{017FCD8B-62DD-48EC-85C3-446FECFA8833}" name="AC 2026 Initiale" totalsRowFunction="sum" totalsRowDxfId="1602"/>
    <tableColumn id="46" xr3:uid="{AD13D847-C532-484C-A69C-C2FA79EA84D6}" name="TR 2026 Initiale" totalsRowFunction="sum" totalsRowDxfId="1601"/>
    <tableColumn id="54" xr3:uid="{7374FE57-9E85-4CEA-A329-BBDE08F1786B}" name="Initiale 2026" totalsRowFunction="sum" dataDxfId="1600" totalsRowDxfId="1599">
      <calculatedColumnFormula>Travaux_202521[[#This Row],[AC 2026 Initiale]]+Travaux_202521[[#This Row],[TR 2026 Initiale]]</calculatedColumnFormula>
    </tableColumn>
    <tableColumn id="52" xr3:uid="{034500AA-8A49-4727-B186-619A8B4C8B2B}" name="Écart AC 2026" totalsRowFunction="sum" dataDxfId="1598" totalsRowDxfId="1597">
      <calculatedColumnFormula>Travaux_202521[[#This Row],[AC 2026]]-Travaux_202521[[#This Row],[AC 2026 Initiale]]</calculatedColumnFormula>
    </tableColumn>
    <tableColumn id="51" xr3:uid="{42AE4677-2270-48EB-8333-6A7A0D633ADA}" name="Écart TR 2026" totalsRowFunction="sum" dataDxfId="1596" totalsRowDxfId="1595">
      <calculatedColumnFormula>Travaux_202521[[#This Row],[TR 2026]]-Travaux_202521[[#This Row],[TR 2026 Initiale]]</calculatedColumnFormula>
    </tableColumn>
    <tableColumn id="50" xr3:uid="{2805DB03-0666-4D37-91B7-419234EC8A44}" name="Écart 2026 Total" totalsRowFunction="sum" dataDxfId="1594" totalsRowDxfId="1593">
      <calculatedColumnFormula>Travaux_202521[[#This Row],[Écart AC 2026]]+Travaux_202521[[#This Row],[Écart TR 2026]]</calculatedColumnFormula>
    </tableColumn>
    <tableColumn id="14" xr3:uid="{69B7BB0D-F8F9-4E16-870C-17306C9423A3}" name="AC 2027" totalsRowFunction="sum" dataDxfId="1592" totalsRowDxfId="1591"/>
    <tableColumn id="15" xr3:uid="{D64C0D4F-FD90-43B4-BC8E-681605F5E702}" name="TR 2027" totalsRowFunction="sum" dataDxfId="1590" totalsRowDxfId="1589"/>
    <tableColumn id="16" xr3:uid="{3F62C878-7D5E-46B8-8789-BD1773E1D511}" name="AC 2028" totalsRowFunction="sum" dataDxfId="1588" totalsRowDxfId="1587"/>
    <tableColumn id="17" xr3:uid="{3634D197-A391-472B-BED7-20ADBBE3A8C9}" name="TR 2028" totalsRowFunction="sum" dataDxfId="1586" totalsRowDxfId="1585"/>
    <tableColumn id="18" xr3:uid="{50FA0BEE-2F58-4F53-B4AB-381E58BDE985}" name="AC 2029" totalsRowFunction="sum" dataDxfId="1584" totalsRowDxfId="1583"/>
    <tableColumn id="19" xr3:uid="{81339B1A-0547-4FAB-982A-66509140ECC9}" name="TR 2029" totalsRowFunction="sum" dataDxfId="1582" totalsRowDxfId="1581"/>
    <tableColumn id="20" xr3:uid="{F90B70ED-ACCF-4811-99DA-546CAE6849C3}" name="AC 2030" totalsRowFunction="sum" dataDxfId="1580" totalsRowDxfId="1579"/>
    <tableColumn id="21" xr3:uid="{A1DD4EAB-3563-457B-B151-2E312E132482}" name="TR 2030" totalsRowFunction="sum" dataDxfId="1578" totalsRowDxfId="1577"/>
    <tableColumn id="22" xr3:uid="{EDFFC042-3381-4FCC-B2BB-95BC8ACE3F32}" name="AC 2031" totalsRowFunction="sum" dataDxfId="1576" totalsRowDxfId="1575"/>
    <tableColumn id="23" xr3:uid="{D0F0820A-5FD8-4287-B721-1ED67A85F78D}" name="TR 2031" totalsRowFunction="sum" dataDxfId="1574" totalsRowDxfId="1573"/>
    <tableColumn id="24" xr3:uid="{2203A7C0-35D5-438A-A29B-B6FEDBAD99DC}" name="AC 2032" totalsRowFunction="sum" dataDxfId="1572" totalsRowDxfId="1571"/>
    <tableColumn id="25" xr3:uid="{53F987B2-A50C-44E3-BD64-DD8B72A84213}" name="TR 2032" totalsRowFunction="sum" dataDxfId="1570" totalsRowDxfId="1569"/>
    <tableColumn id="26" xr3:uid="{DA14AFEE-5396-4D60-8F59-14B8B8B6E558}" name="AC 2033" totalsRowFunction="sum" dataDxfId="1568" totalsRowDxfId="1567"/>
    <tableColumn id="27" xr3:uid="{D9A93C6B-C5BE-4460-909A-4DE2A5A595CF}" name="TR 2033" totalsRowFunction="sum" dataDxfId="1566" totalsRowDxfId="1565"/>
    <tableColumn id="28" xr3:uid="{6F405CD8-FA2D-49E7-B196-DB93180BDE04}" name="AC 2034" totalsRowFunction="sum" dataDxfId="1564" totalsRowDxfId="1563"/>
    <tableColumn id="29" xr3:uid="{B61EF1D0-C63E-43DC-AE98-950A4CB5A09F}" name="TR 2034" totalsRowFunction="sum" dataDxfId="1562" totalsRowDxfId="1561"/>
    <tableColumn id="32" xr3:uid="{603CE14A-947A-4B84-BEAA-DA4272C7D95D}" name="Total Projet" totalsRowFunction="sum" dataDxfId="1560" totalsRowDxfId="1559">
      <calculatedColumnFormula>SUM(Travaux_202521[[#This Row],[AC ANT]:[TR 2025]],Travaux_202521[[#This Row],[AC 2026]:[TR 2026]],Travaux_202521[[#This Row],[AC 2027]:[TR 2034]])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6B7F58-3F56-49CE-AA5E-2A390578EF77}" name="Travaux_202619" displayName="Travaux_202619" ref="A14:BE25" totalsRowCount="1" headerRowDxfId="1558">
  <autoFilter ref="A14:BE24" xr:uid="{9F04E8B0-9684-4F3F-8527-175E5EC6D67D}"/>
  <sortState xmlns:xlrd2="http://schemas.microsoft.com/office/spreadsheetml/2017/richdata2" ref="A15:BE24">
    <sortCondition ref="J14:J24"/>
  </sortState>
  <tableColumns count="57">
    <tableColumn id="45" xr3:uid="{F8E47EDC-8465-4A2E-A384-3F196030B712}" name="DES_COMPL_NATR_COMPB" dataDxfId="1557"/>
    <tableColumn id="44" xr3:uid="{822A1833-0C4A-4A0D-A55E-71B581C34597}" name="NUM_PRIRT_DG"/>
    <tableColumn id="1" xr3:uid="{DBC7052B-B2FA-486B-8430-58299BA21DF0}" name="Axe"/>
    <tableColumn id="3" xr3:uid="{1528B4BF-85C7-4049-8A97-E6D4FEDA0747}" name="Catégorie Investissement"/>
    <tableColumn id="4" xr3:uid="{2011C694-A630-4754-B2C6-43498E04CC1F}" name="Type Infrastructure"/>
    <tableColumn id="5" xr3:uid="{E5BFF177-BDE0-4AEA-A51F-EF47584387AD}" name="Gérant projet"/>
    <tableColumn id="35" xr3:uid="{FAAC8F4B-D6FB-4084-80B7-9F6CDA8DFB90}" name="État Composante AC"/>
    <tableColumn id="36" xr3:uid="{2E801427-B5C6-4ACE-9786-9B0B730A2374}" name="État Composante TR"/>
    <tableColumn id="2" xr3:uid="{6A833E78-2737-4F58-8468-551C46A4233F}" name="Région" dataDxfId="1556"/>
    <tableColumn id="37" xr3:uid="{78224558-8447-4E38-AAF5-260D8408A0D5}" name="Numéro projet" totalsRowFunction="count" dataDxfId="1555"/>
    <tableColumn id="57" xr3:uid="{50100E8F-F8FF-4302-A65B-DFF5581B3865}" name="Titre projet" dataDxfId="1554"/>
    <tableColumn id="30" xr3:uid="{3BA59878-F0BD-4ABB-84DC-AA48B22450DA}" name="Localisation" dataDxfId="1553"/>
    <tableColumn id="59" xr3:uid="{A3B2E6AB-A49C-491A-8E4A-9BF912E08FB2}" name="Année DÉBUT Travaux prévu" dataDxfId="1552"/>
    <tableColumn id="7" xr3:uid="{44983F52-E5A9-4CEE-AFD6-19D64A7C5216}" name="État avancement" dataDxfId="1551"/>
    <tableColumn id="33" xr3:uid="{418EF861-8D8E-43AE-ABCE-BA3CA5FB1551}" name="Précisions"/>
    <tableColumn id="38" xr3:uid="{13802353-EA83-4E4E-B114-CB0706402392}" name="PC-1" dataDxfId="1550"/>
    <tableColumn id="39" xr3:uid="{DA7095B8-8FBA-4995-9FC3-420DA250EBEE}" name="PC-3" dataDxfId="1549"/>
    <tableColumn id="40" xr3:uid="{923E9C91-23F9-4C31-80F0-60FA69B1B76F}" name="PC-5" dataDxfId="1548"/>
    <tableColumn id="78" xr3:uid="{686EA70A-4A4F-4BD3-B32F-1B192C54CCA2}" name="AC ANT" totalsRowFunction="sum" dataDxfId="1547" totalsRowDxfId="1546"/>
    <tableColumn id="34" xr3:uid="{77A6F753-DBE4-4B17-9879-BB91BAC7133F}" name="TR ANT" totalsRowFunction="sum" dataDxfId="1545" totalsRowDxfId="1544"/>
    <tableColumn id="8" xr3:uid="{ADFFD343-C89E-45C8-8080-6349BD0B6EF2}" name="AC 2024" totalsRowFunction="sum" dataDxfId="1543" totalsRowDxfId="1542"/>
    <tableColumn id="9" xr3:uid="{C30A6C65-C231-409B-BF24-04E012711CE6}" name="TR 2024" totalsRowFunction="sum" dataDxfId="1541" totalsRowDxfId="1540"/>
    <tableColumn id="10" xr3:uid="{762F8BAF-178B-4012-81D5-5B05DE3ABA66}" name="AC 2025" totalsRowFunction="sum" dataDxfId="1539" totalsRowDxfId="1538"/>
    <tableColumn id="11" xr3:uid="{F536227F-1649-4C37-BF59-025DBB42E591}" name="TR 2025" totalsRowFunction="sum" dataDxfId="1537" totalsRowDxfId="1536"/>
    <tableColumn id="6" xr3:uid="{39C08CE7-DC1D-4A58-8A06-709F42D0E237}" name="Actuel 2025" totalsRowFunction="sum" dataDxfId="1535" totalsRowDxfId="1534">
      <calculatedColumnFormula>Travaux_202619[[#This Row],[AC 2025]]+Travaux_202619[[#This Row],[TR 2025]]</calculatedColumnFormula>
    </tableColumn>
    <tableColumn id="41" xr3:uid="{9101F27C-9901-4273-90F5-BA39EE055F53}" name="AC 2025 Initiale" totalsRowFunction="sum" totalsRowDxfId="1533"/>
    <tableColumn id="42" xr3:uid="{6E61382E-81E0-4B79-88AE-0F2551122667}" name="TR 2025 Initiale" totalsRowFunction="sum" totalsRowDxfId="1532"/>
    <tableColumn id="31" xr3:uid="{3967CD47-EE52-409C-8F65-83D0583914A0}" name="Initiale 2025" totalsRowFunction="sum" dataDxfId="1531" totalsRowDxfId="1530">
      <calculatedColumnFormula>Travaux_202619[[#This Row],[AC 2025 Initiale]]+Travaux_202619[[#This Row],[TR 2025 Initiale]]</calculatedColumnFormula>
    </tableColumn>
    <tableColumn id="49" xr3:uid="{406C6FCD-288B-4C09-B47C-17791EA05F62}" name="Écart AC 2025" totalsRowFunction="sum" dataDxfId="1529" totalsRowDxfId="1528">
      <calculatedColumnFormula>Travaux_202619[[#This Row],[AC 2025]]-Travaux_202619[[#This Row],[AC 2025 Initiale]]</calculatedColumnFormula>
    </tableColumn>
    <tableColumn id="48" xr3:uid="{ED28D628-0D6C-4D1C-B033-009E9E8CDC2E}" name="Écart TR 2025" totalsRowFunction="sum" dataDxfId="1527" totalsRowDxfId="1526">
      <calculatedColumnFormula>Travaux_202619[[#This Row],[TR 2025]]-Travaux_202619[[#This Row],[TR 2025 Initiale]]</calculatedColumnFormula>
    </tableColumn>
    <tableColumn id="47" xr3:uid="{B721C872-9721-4EA3-910B-CD4FBDB6DF28}" name="Écart 2025 Total" totalsRowFunction="sum" dataDxfId="1525" totalsRowDxfId="1524">
      <calculatedColumnFormula>Travaux_202619[[#This Row],[Écart AC 2025]]+Travaux_202619[[#This Row],[Écart TR 2025]]</calculatedColumnFormula>
    </tableColumn>
    <tableColumn id="12" xr3:uid="{937A90F3-3C0D-4393-9896-32F9EA3C999B}" name="AC 2026" totalsRowFunction="sum" dataDxfId="1523" totalsRowDxfId="1522"/>
    <tableColumn id="13" xr3:uid="{290CE0E1-C456-4BDA-8AE4-2B500BAE98CF}" name="TR 2026" totalsRowFunction="sum" dataDxfId="1521" totalsRowDxfId="1520"/>
    <tableColumn id="53" xr3:uid="{31D1FA27-4956-4AD2-AF8E-E22996DAECF3}" name="Actuel 2026" totalsRowFunction="sum" dataDxfId="1519" totalsRowDxfId="1518">
      <calculatedColumnFormula>Travaux_202619[[#This Row],[AC 2026]]+Travaux_202619[[#This Row],[TR 2026]]</calculatedColumnFormula>
    </tableColumn>
    <tableColumn id="43" xr3:uid="{B21EE6F6-C27A-46ED-ADDE-2C191B653A0C}" name="AC 2026 Initiale" totalsRowFunction="sum" totalsRowDxfId="1517"/>
    <tableColumn id="46" xr3:uid="{DAF6A186-2A4D-47E6-8FAA-A57BF0AC93BD}" name="TR 2026 Initiale" totalsRowFunction="sum" totalsRowDxfId="1516"/>
    <tableColumn id="54" xr3:uid="{86BA188A-B59B-4D95-B3F2-4EC365ADED86}" name="Initiale 2026" totalsRowFunction="sum" dataDxfId="1515" totalsRowDxfId="1514">
      <calculatedColumnFormula>Travaux_202619[[#This Row],[AC 2026 Initiale]]+Travaux_202619[[#This Row],[TR 2026 Initiale]]</calculatedColumnFormula>
    </tableColumn>
    <tableColumn id="52" xr3:uid="{D8000C24-4AE7-4065-ABD4-786DC72E7FE3}" name="Écart AC 2026" totalsRowFunction="sum" dataDxfId="1513" totalsRowDxfId="1512">
      <calculatedColumnFormula>Travaux_202619[[#This Row],[AC 2026]]-Travaux_202619[[#This Row],[AC 2026 Initiale]]</calculatedColumnFormula>
    </tableColumn>
    <tableColumn id="51" xr3:uid="{C2067EA2-F8E9-4119-BEA5-227E4910A4F1}" name="Écart TR 2026" totalsRowFunction="sum" dataDxfId="1511" totalsRowDxfId="1510">
      <calculatedColumnFormula>Travaux_202619[[#This Row],[TR 2026]]-Travaux_202619[[#This Row],[TR 2026 Initiale]]</calculatedColumnFormula>
    </tableColumn>
    <tableColumn id="50" xr3:uid="{55BCE42D-6CCF-4CC6-9BF9-20676D8B5F8B}" name="Écart 2026 Total" totalsRowFunction="sum" dataDxfId="1509" totalsRowDxfId="1508">
      <calculatedColumnFormula>Travaux_202619[[#This Row],[Écart AC 2026]]+Travaux_202619[[#This Row],[Écart TR 2026]]</calculatedColumnFormula>
    </tableColumn>
    <tableColumn id="14" xr3:uid="{735C1141-A50C-42C4-9305-8F7EC8F555C5}" name="AC 2027" totalsRowFunction="sum" dataDxfId="1507" totalsRowDxfId="1506"/>
    <tableColumn id="15" xr3:uid="{D7733C02-1BBE-4FAF-BE73-3D16BCA3724A}" name="TR 2027" totalsRowFunction="sum" dataDxfId="1505" totalsRowDxfId="1504"/>
    <tableColumn id="16" xr3:uid="{5410FA5E-0C0C-42DA-9D92-3E8754FB73D3}" name="AC 2028" totalsRowFunction="sum" dataDxfId="1503" totalsRowDxfId="1502"/>
    <tableColumn id="17" xr3:uid="{39D7F48E-C30B-4DC4-A64F-3B0E3B150CD4}" name="TR 2028" totalsRowFunction="sum" dataDxfId="1501" totalsRowDxfId="1500"/>
    <tableColumn id="18" xr3:uid="{2E5DC9DD-85CE-4D20-8C96-B640460DF408}" name="AC 2029" totalsRowFunction="sum" dataDxfId="1499" totalsRowDxfId="1498"/>
    <tableColumn id="19" xr3:uid="{5F5D7ABF-6114-4C62-86F0-8C84380577BC}" name="TR 2029" totalsRowFunction="sum" dataDxfId="1497" totalsRowDxfId="1496"/>
    <tableColumn id="20" xr3:uid="{18216EEE-BB7C-4A70-B4B0-0E44707FF505}" name="AC 2030" totalsRowFunction="sum" dataDxfId="1495" totalsRowDxfId="1494"/>
    <tableColumn id="21" xr3:uid="{E03A7F4E-77FE-4387-8953-0670F04CB4B1}" name="TR 2030" totalsRowFunction="sum" dataDxfId="1493" totalsRowDxfId="1492"/>
    <tableColumn id="22" xr3:uid="{E35B36D4-C9D9-4A53-9B6B-29D4455A2493}" name="AC 2031" totalsRowFunction="sum" dataDxfId="1491" totalsRowDxfId="1490"/>
    <tableColumn id="23" xr3:uid="{807FB076-91F0-4449-92E1-2431F26BD875}" name="TR 2031" totalsRowFunction="sum" dataDxfId="1489" totalsRowDxfId="1488"/>
    <tableColumn id="24" xr3:uid="{A6E1DEC6-0108-457D-9A82-E676E0216FE0}" name="AC 2032" totalsRowFunction="sum" dataDxfId="1487" totalsRowDxfId="1486"/>
    <tableColumn id="25" xr3:uid="{972DAB75-C0A0-44E2-B54B-BA8356BC6D5B}" name="TR 2032" totalsRowFunction="sum" dataDxfId="1485" totalsRowDxfId="1484"/>
    <tableColumn id="26" xr3:uid="{8AC1731F-0FE5-4FE2-A208-074D1027E9A7}" name="AC 2033" totalsRowFunction="sum" dataDxfId="1483" totalsRowDxfId="1482"/>
    <tableColumn id="27" xr3:uid="{7A986C37-C9FE-4973-84AA-8C3796E3E52E}" name="TR 2033" totalsRowFunction="sum" dataDxfId="1481" totalsRowDxfId="1480"/>
    <tableColumn id="28" xr3:uid="{ACA83026-C4B1-4762-BAF0-F6C0300081C9}" name="AC 2034" totalsRowFunction="sum" dataDxfId="1479" totalsRowDxfId="1478"/>
    <tableColumn id="29" xr3:uid="{2F5AAF5C-E428-4375-996E-DB75C4D58ACF}" name="TR 2034" totalsRowFunction="sum" dataDxfId="1477" totalsRowDxfId="1476"/>
    <tableColumn id="32" xr3:uid="{72CACCDB-1D90-4F74-B760-17F184ED893E}" name="Total Projet" totalsRowFunction="sum" dataDxfId="1475" totalsRowDxfId="1474">
      <calculatedColumnFormula>SUM(Travaux_202619[[#This Row],[AC ANT]:[TR 2025]],Travaux_202619[[#This Row],[AC 2026]:[TR 2026]],Travaux_202619[[#This Row],[AC 2027]:[TR 2034]])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769EDBC-DE4C-4E2D-BEEF-643DA090650A}" name="Portefeuille_MNT_PPS_Access22" displayName="Portefeuille_MNT_PPS_Access22" ref="A18:BI154" totalsRowCount="1" headerRowDxfId="1473">
  <autoFilter ref="A18:BI153" xr:uid="{9F04E8B0-9684-4F3F-8527-175E5EC6D67D}">
    <filterColumn colId="12">
      <filters>
        <filter val="2025"/>
      </filters>
    </filterColumn>
  </autoFilter>
  <tableColumns count="61">
    <tableColumn id="49" xr3:uid="{DE74FFAB-C034-42D1-9B7F-4E7C0EDDF7BD}" name="DES_COMPL_NATR_COMPB" dataDxfId="1472"/>
    <tableColumn id="44" xr3:uid="{AFF973A1-BB0A-42ED-AE45-B97E2BB365BD}" name="NUM_PRIRT_DG"/>
    <tableColumn id="1" xr3:uid="{6BA2718B-D18D-471F-A9BE-E55DDAEB778E}" name="Axe"/>
    <tableColumn id="3" xr3:uid="{295C9777-3969-4F9E-86D7-44542A8EB2B4}" name="Catégorie Investissement"/>
    <tableColumn id="4" xr3:uid="{7B101B05-ED1A-416D-969A-F1CA5EA2319D}" name="Type Infrastructure"/>
    <tableColumn id="5" xr3:uid="{BDE9673C-9C8E-48C8-9C68-F05BB515BAED}" name="Gérant projet"/>
    <tableColumn id="35" xr3:uid="{5A99B2C3-49E5-420E-8370-4F47F3EA300A}" name="État Composante AC"/>
    <tableColumn id="36" xr3:uid="{C92D6EA0-BB42-485A-B82A-4D9C705C7839}" name="État Composante TR"/>
    <tableColumn id="2" xr3:uid="{E068A777-FE08-4D6C-B538-7155B5B410C9}" name="Région" dataDxfId="1471"/>
    <tableColumn id="37" xr3:uid="{B071B8A9-8D1F-40C8-B0BE-041B82D159DD}" name="Numéro projet" totalsRowFunction="count" dataDxfId="1470"/>
    <tableColumn id="57" xr3:uid="{5DCB4010-9042-4CA9-B18A-1726CBF7C77A}" name="Titre projet" dataDxfId="1469"/>
    <tableColumn id="30" xr3:uid="{C0CC4987-7097-4D68-BA49-E9F08A923353}" name="Localisation" dataDxfId="1468"/>
    <tableColumn id="59" xr3:uid="{C8A43C1E-B41C-4246-A5D3-9E3A349A4905}" name="Année DÉBUT Travaux prévu" dataDxfId="1467"/>
    <tableColumn id="7" xr3:uid="{2FBA5ACE-A6C2-413B-BBC9-29DE0BBC0734}" name="État avancement" dataDxfId="1466"/>
    <tableColumn id="38" xr3:uid="{14B6F69F-6EA6-4129-BC5F-2FA84B847078}" name="PC-1" dataDxfId="1465"/>
    <tableColumn id="39" xr3:uid="{E1FF5CEC-F44C-4408-A9F1-EE5A51672074}" name="PC-3" dataDxfId="1464"/>
    <tableColumn id="40" xr3:uid="{657F3720-A723-4353-A0F9-6E1E91D7B2B4}" name="PC-5" dataDxfId="1463"/>
    <tableColumn id="66" xr3:uid="{B48F2882-E53E-4583-9E5B-AD713AFC4ECE}" name="OPC-1" dataDxfId="1462">
      <calculatedColumnFormula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calculatedColumnFormula>
    </tableColumn>
    <tableColumn id="65" xr3:uid="{8C89FC2F-9F6A-462D-AEAD-3F838F0AF409}" name="OPC PC-3" dataDxfId="1461">
      <calculatedColumnFormula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calculatedColumnFormula>
    </tableColumn>
    <tableColumn id="64" xr3:uid="{7AB79D1F-2DF0-4C0D-A259-B6EC187685A6}" name="OPC PC-5" dataDxfId="1460">
      <calculatedColumnFormula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calculatedColumnFormula>
    </tableColumn>
    <tableColumn id="63" xr3:uid="{095D1963-EB18-4FF2-B477-EC50FADBC399}" name="Délais PC1 et PC3" dataDxfId="1459">
      <calculatedColumnFormula xml:space="preserve"> (YEAR(Portefeuille_MNT_PPS_Access22[[#This Row],[PC-3]]) - YEAR(Portefeuille_MNT_PPS_Access22[[#This Row],[PC-1]])) * 12 + MONTH(Portefeuille_MNT_PPS_Access22[[#This Row],[PC-3]]) - MONTH(Portefeuille_MNT_PPS_Access22[[#This Row],[PC-1]])</calculatedColumnFormula>
    </tableColumn>
    <tableColumn id="62" xr3:uid="{7175B3A8-4057-4037-9B49-E99FA9F3714E}" name="Délais PC3 et PC5" dataDxfId="1458">
      <calculatedColumnFormula xml:space="preserve"> (YEAR(Portefeuille_MNT_PPS_Access22[[#This Row],[PC-5]]) - YEAR(Portefeuille_MNT_PPS_Access22[[#This Row],[PC-3]])) * 12 + MONTH(Portefeuille_MNT_PPS_Access22[[#This Row],[PC-5]]) - MONTH(Portefeuille_MNT_PPS_Access22[[#This Row],[PC-3]])</calculatedColumnFormula>
    </tableColumn>
    <tableColumn id="51" xr3:uid="{1930C9BB-DC24-40C5-8775-7F70CD9A4495}" name="Délais total PC3 et PC5" dataDxfId="1457">
      <calculatedColumnFormula>Portefeuille_MNT_PPS_Access22[[#This Row],[Délais PC1 et PC3]]+Portefeuille_MNT_PPS_Access22[[#This Row],[Délais PC3 et PC5]]</calculatedColumnFormula>
    </tableColumn>
    <tableColumn id="31" xr3:uid="{2B61F105-E47E-4118-967F-39C6419A6C87}" name="IND_PROJT_ANNONCE" dataDxfId="1456"/>
    <tableColumn id="43" xr3:uid="{2D628118-F7A8-4F87-BEDE-FE87DA950950}" name="IND_PC5_TR2025" dataDxfId="1455"/>
    <tableColumn id="58" xr3:uid="{1976F8C0-2B56-481B-B42B-0BBF9A65D900}" name="Critère PC Atteint" dataDxfId="1454">
      <calculatedColumnFormula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calculatedColumnFormula>
    </tableColumn>
    <tableColumn id="47" xr3:uid="{050E984F-E1EE-4FE6-924C-D7A5AF44D747}" name="Site prioritaire" dataDxfId="1453">
      <calculatedColumnFormula>_xlfn.XLOOKUP(Portefeuille_MNT_PPS_Access22[[#This Row],[Numéro projet]],Tableau5[Numéro projet],Tableau5[IND_Site_Prioritaire])</calculatedColumnFormula>
    </tableColumn>
    <tableColumn id="33" xr3:uid="{05F46126-C1E5-4215-9187-339CDFB46148}" name="Critère Etat Infrastructure" dataDxfId="1452">
      <calculatedColumnFormula>_xlfn.XLOOKUP(Portefeuille_MNT_PPS_Access22[[#This Row],[Numéro projet]],Tableau5[Numéro projet],Tableau5[Critère Etat Infrastructure])</calculatedColumnFormula>
    </tableColumn>
    <tableColumn id="61" xr3:uid="{92AB4DE9-8AA1-469B-8731-D7B798AA9716}" name="Priorité Programmation" dataDxfId="1451">
      <calculatedColumnFormula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calculatedColumnFormula>
    </tableColumn>
    <tableColumn id="42" xr3:uid="{3A524197-E2CF-49AF-A809-F7DAC0DB7189}" name="IND_PC3_TR2026" dataDxfId="1450"/>
    <tableColumn id="41" xr3:uid="{1E714C25-5E51-48E2-91BE-1053E6D2477D}" name="IND_PC1_AC2025" dataDxfId="1449"/>
    <tableColumn id="6" xr3:uid="{8DD4A788-5FF6-4E2C-ACD4-1BDF0EEDC15B}" name="IND_Etat_avancement" dataDxfId="1448"/>
    <tableColumn id="72" xr3:uid="{4DD0FABE-CBE6-4CB9-BB47-5BC0E26E4C59}" name="IND_Parachèvement" dataDxfId="1447"/>
    <tableColumn id="73" xr3:uid="{7E97E898-A360-4E9C-A390-C979962CC4CB}" name="Colonne1" dataDxfId="1446" totalsRowDxfId="1445"/>
    <tableColumn id="78" xr3:uid="{B1A1DA8B-3671-4A1F-9485-8DB3A5B69F3A}" name="AC ANT" totalsRowFunction="sum" dataDxfId="1444" totalsRowDxfId="1443"/>
    <tableColumn id="34" xr3:uid="{1E18DE04-16F0-4046-A40E-A9AD26228A6C}" name="TR ANT" totalsRowFunction="sum" dataDxfId="1442" totalsRowDxfId="1441"/>
    <tableColumn id="8" xr3:uid="{8F0FCEF6-C528-4CCD-831E-C17CFAAAA8DA}" name="AC 2024" totalsRowFunction="sum" dataDxfId="1440" totalsRowDxfId="1439"/>
    <tableColumn id="9" xr3:uid="{03E20725-0A15-4B38-9E60-6ECC95D79D63}" name="TR 2024" totalsRowFunction="sum" dataDxfId="1438" totalsRowDxfId="1437"/>
    <tableColumn id="10" xr3:uid="{8211A0DA-2E2C-40B9-BC16-6DC740DB46F6}" name="AC 2025" totalsRowFunction="sum" dataDxfId="1436" totalsRowDxfId="1435"/>
    <tableColumn id="11" xr3:uid="{303366CA-0D74-43B7-B9CA-DE11A6EA50B7}" name="TR 2025" totalsRowFunction="sum" dataDxfId="1434" totalsRowDxfId="1433"/>
    <tableColumn id="12" xr3:uid="{A7012688-E6CF-4F82-92C0-17AA32649D6A}" name="AC 2026" totalsRowFunction="sum" dataDxfId="1432" totalsRowDxfId="1431"/>
    <tableColumn id="13" xr3:uid="{AA00BE4B-66FB-4CA7-9A37-3F130753946F}" name="TR 2026" totalsRowFunction="sum" dataDxfId="1430" totalsRowDxfId="1429"/>
    <tableColumn id="14" xr3:uid="{D7F156ED-49ED-4377-AF89-4A6E3749B82C}" name="AC 2027" totalsRowFunction="sum" dataDxfId="1428" totalsRowDxfId="1427"/>
    <tableColumn id="15" xr3:uid="{BC29C59C-7C35-46C9-A240-6BC824636BDA}" name="TR 2027" totalsRowFunction="sum" dataDxfId="1426" totalsRowDxfId="1425"/>
    <tableColumn id="16" xr3:uid="{72787DE5-6F7F-4E09-BD36-6DF9E1F3284B}" name="AC 2028" totalsRowFunction="sum" dataDxfId="1424" totalsRowDxfId="1423"/>
    <tableColumn id="17" xr3:uid="{CD47FB54-F69C-41B0-9258-3B2945454C64}" name="TR 2028" totalsRowFunction="sum" dataDxfId="1422" totalsRowDxfId="1421"/>
    <tableColumn id="18" xr3:uid="{439D1829-6638-4ABC-B5C6-1ABB63F777E6}" name="AC 2029" totalsRowFunction="sum" dataDxfId="1420" totalsRowDxfId="1419"/>
    <tableColumn id="19" xr3:uid="{71B06CF9-C5D3-4748-9A46-B6AF1E02D6D5}" name="TR 2029" totalsRowFunction="sum" dataDxfId="1418" totalsRowDxfId="1417"/>
    <tableColumn id="20" xr3:uid="{2B1518B1-7EDE-4A9F-B61A-C2A545B16F09}" name="AC 2030" totalsRowFunction="sum" dataDxfId="1416" totalsRowDxfId="1415"/>
    <tableColumn id="21" xr3:uid="{50637EF3-2FC0-4774-9789-93EA7CE4D991}" name="TR 2030" totalsRowFunction="sum" dataDxfId="1414" totalsRowDxfId="1413"/>
    <tableColumn id="22" xr3:uid="{3F5E6D5D-7327-4B29-9BD9-8367ED5D699D}" name="AC 2031" totalsRowFunction="sum" dataDxfId="1412" totalsRowDxfId="1411"/>
    <tableColumn id="23" xr3:uid="{0B7A3EF0-AB18-482B-A5CC-D0D8618DA5D0}" name="TR 2031" totalsRowFunction="sum" dataDxfId="1410" totalsRowDxfId="1409"/>
    <tableColumn id="24" xr3:uid="{C8F58B7D-9242-4F03-BF07-4B7A6B6EB2FA}" name="AC 2032" totalsRowFunction="sum" dataDxfId="1408" totalsRowDxfId="1407"/>
    <tableColumn id="25" xr3:uid="{6CB2443D-838E-47F7-B04B-E56ACFBA20EC}" name="TR 2032" totalsRowFunction="sum" dataDxfId="1406" totalsRowDxfId="1405"/>
    <tableColumn id="26" xr3:uid="{FC74CAFC-FAA8-47E3-8F2A-5A8A2AD3247E}" name="AC 2033" totalsRowFunction="sum" dataDxfId="1404" totalsRowDxfId="1403"/>
    <tableColumn id="27" xr3:uid="{738BC6CD-9A74-47DE-9054-61176F3EDA30}" name="TR 2033" totalsRowFunction="sum" dataDxfId="1402" totalsRowDxfId="1401"/>
    <tableColumn id="28" xr3:uid="{EB2DE273-39A8-438B-A507-3BF9BB222F01}" name="AC 2034" totalsRowFunction="sum" dataDxfId="1400" totalsRowDxfId="1399"/>
    <tableColumn id="29" xr3:uid="{A89D218D-AE09-4D6D-A6F6-8C89DCE3DDC3}" name="TR 2034" totalsRowFunction="sum" dataDxfId="1398" totalsRowDxfId="1397"/>
    <tableColumn id="46" xr3:uid="{C637DF09-17EF-48F3-91A6-4C9D4E81B0DB}" name="AC 2035" totalsRowFunction="sum" dataDxfId="1396" totalsRowDxfId="1395"/>
    <tableColumn id="48" xr3:uid="{D7C7A8A0-7EDB-45F2-A377-883FA7BB562B}" name="TR 2035" totalsRowFunction="sum" dataDxfId="1394" totalsRowDxfId="1393"/>
    <tableColumn id="32" xr3:uid="{673E0ADC-F7F4-4080-8D20-3AA4EDC709DD}" name="Total Projet" totalsRowFunction="sum" dataDxfId="1392" totalsRowDxfId="1391">
      <calculatedColumnFormula>SUM(Portefeuille_MNT_PPS_Access22[[#This Row],[AC ANT]:[TR 2035]])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95FAE9C-79AB-476E-8BB0-378CFB796BE2}" name="Portefeuille_MNT_PPS_Access20" displayName="Portefeuille_MNT_PPS_Access20" ref="A18:BM154" totalsRowCount="1" headerRowDxfId="1390">
  <autoFilter ref="A18:BM153" xr:uid="{9F04E8B0-9684-4F3F-8527-175E5EC6D67D}"/>
  <sortState xmlns:xlrd2="http://schemas.microsoft.com/office/spreadsheetml/2017/richdata2" ref="A19:BM153">
    <sortCondition descending="1" ref="AT18:AT153"/>
  </sortState>
  <tableColumns count="65">
    <tableColumn id="49" xr3:uid="{2DE5CD2C-4657-4208-8275-060C1C855A86}" name="DES_COMPL_NATR_COMPB" dataDxfId="1389"/>
    <tableColumn id="44" xr3:uid="{50E5D22C-56C6-4697-A4B8-84F4A7B9FD31}" name="NUM_PRIRT_DG"/>
    <tableColumn id="1" xr3:uid="{AE7CDA87-5B9A-4C8C-96C0-11BE59C29116}" name="Axe"/>
    <tableColumn id="3" xr3:uid="{11B3F105-C06D-45CF-B91E-76CF29551FFF}" name="Catégorie Investissement"/>
    <tableColumn id="4" xr3:uid="{16BDD5EB-057E-411A-9E0A-25CE578C5464}" name="Type Infrastructure"/>
    <tableColumn id="5" xr3:uid="{88D914CF-768B-4D20-9417-AC8340826299}" name="Gérant projet"/>
    <tableColumn id="35" xr3:uid="{01137837-95F2-4A72-B472-CD738E3B08EE}" name="État Composante AC"/>
    <tableColumn id="36" xr3:uid="{62B610C3-01DA-4FD8-A8A1-ABB67C500448}" name="État Composante TR"/>
    <tableColumn id="2" xr3:uid="{981656B3-208E-4A9E-A727-6E88B8B8D9CC}" name="Région" dataDxfId="1388"/>
    <tableColumn id="37" xr3:uid="{6ABDBD50-9415-4273-A313-3EFCF1E928C4}" name="Numéro projet" totalsRowFunction="count" dataDxfId="1387"/>
    <tableColumn id="57" xr3:uid="{A68DBFF8-3562-41B0-9AC1-C380BBE6BC51}" name="Titre projet" dataDxfId="1386"/>
    <tableColumn id="30" xr3:uid="{D52F6846-333D-4150-AD75-5CBBF7CAD4C3}" name="Localisation" dataDxfId="1385"/>
    <tableColumn id="59" xr3:uid="{099F93D0-7C86-4878-BAE9-5823202F008E}" name="Année DÉBUT Travaux prévu" dataDxfId="1384"/>
    <tableColumn id="45" xr3:uid="{7618F053-2714-46E9-BE33-430A0E59B020}" name="Année Proposée"/>
    <tableColumn id="7" xr3:uid="{54158B90-2DD4-4240-B62D-9FB094440E33}" name="État avancement" dataDxfId="1383"/>
    <tableColumn id="38" xr3:uid="{BBCA16DF-A800-4B32-AD9B-598608432D87}" name="PC-1" dataDxfId="1382"/>
    <tableColumn id="39" xr3:uid="{1A461871-07BF-4BD4-B7A0-759196C53161}" name="PC-3" dataDxfId="1381"/>
    <tableColumn id="40" xr3:uid="{B01621E6-1DFA-4CB1-AE6B-7C92C82A864B}" name="PC-5" dataDxfId="1380"/>
    <tableColumn id="66" xr3:uid="{820A2B0A-B747-432C-B128-F32DDB516C06}" name="OPC-1" dataDxfId="1379">
      <calculatedColumnFormula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calculatedColumnFormula>
    </tableColumn>
    <tableColumn id="65" xr3:uid="{A0BBB48A-36DF-4E54-AE77-585044B7D162}" name="OPC PC-3" dataDxfId="1378">
      <calculatedColumnFormula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calculatedColumnFormula>
    </tableColumn>
    <tableColumn id="64" xr3:uid="{EE4E26A0-0D2D-44CF-851A-A08EF15DFACC}" name="OPC PC-5" dataDxfId="1377">
      <calculatedColumnFormula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calculatedColumnFormula>
    </tableColumn>
    <tableColumn id="63" xr3:uid="{CF40828F-EE6F-460F-90EE-83850A0E6E23}" name="Délais PC1 et PC3" totalsRowFunction="average" dataDxfId="1376" totalsRowDxfId="1375">
      <calculatedColumnFormula xml:space="preserve"> (YEAR(Portefeuille_MNT_PPS_Access20[[#This Row],[PC-3]]) - YEAR(Portefeuille_MNT_PPS_Access20[[#This Row],[PC-1]])) * 12 + MONTH(Portefeuille_MNT_PPS_Access20[[#This Row],[PC-3]]) - MONTH(Portefeuille_MNT_PPS_Access20[[#This Row],[PC-1]])</calculatedColumnFormula>
    </tableColumn>
    <tableColumn id="62" xr3:uid="{BF317119-29A4-4794-891C-E2CBCABC8779}" name="Délais PC3 et PC5" totalsRowFunction="average" dataDxfId="1374" totalsRowDxfId="1373">
      <calculatedColumnFormula xml:space="preserve"> (YEAR(Portefeuille_MNT_PPS_Access20[[#This Row],[PC-5]]) - YEAR(Portefeuille_MNT_PPS_Access20[[#This Row],[PC-3]])) * 12 + MONTH(Portefeuille_MNT_PPS_Access20[[#This Row],[PC-5]]) - MONTH(Portefeuille_MNT_PPS_Access20[[#This Row],[PC-3]])</calculatedColumnFormula>
    </tableColumn>
    <tableColumn id="51" xr3:uid="{96460053-7F45-4FD5-ADDB-46D1DE61A06E}" name="Délais total PC3 et PC5" totalsRowFunction="average" dataDxfId="1372" totalsRowDxfId="1371">
      <calculatedColumnFormula>Portefeuille_MNT_PPS_Access20[[#This Row],[Délais PC1 et PC3]]+Portefeuille_MNT_PPS_Access20[[#This Row],[Délais PC3 et PC5]]</calculatedColumnFormula>
    </tableColumn>
    <tableColumn id="53" xr3:uid="{6545091E-AA8B-47DA-AC6C-59CE3B6E21AF}" name="Cible PC-1" dataDxfId="1370" totalsRowDxfId="1369">
      <calculatedColumnFormula xml:space="preserve"> DATE(Portefeuille_MNT_PPS_Access20[[#This Row],[Année DÉBUT Travaux prévu]]- 3, 12, 15)</calculatedColumnFormula>
    </tableColumn>
    <tableColumn id="52" xr3:uid="{A17E9996-F38C-48B4-93E1-2FDE4250B939}" name="Cible PC-3" dataDxfId="1368" totalsRowDxfId="1367">
      <calculatedColumnFormula xml:space="preserve"> DATE(Portefeuille_MNT_PPS_Access20[[#This Row],[Année DÉBUT Travaux prévu]]- 2, 12, 15)</calculatedColumnFormula>
    </tableColumn>
    <tableColumn id="50" xr3:uid="{C4D3696E-060F-4A13-8257-28FDBA79B542}" name="Cible PC-5" dataDxfId="1366" totalsRowDxfId="1365">
      <calculatedColumnFormula xml:space="preserve"> DATE(Portefeuille_MNT_PPS_Access20[[#This Row],[Année DÉBUT Travaux prévu]]- 1, 12, 15)</calculatedColumnFormula>
    </tableColumn>
    <tableColumn id="31" xr3:uid="{5A656C44-BD9F-49BD-9C6A-B2D087E49208}" name="IND_PROJT_ANNONCE" dataDxfId="1364"/>
    <tableColumn id="43" xr3:uid="{94E11C13-3A23-42EB-901C-A7E891B5163E}" name="IND_PC5_TR2025" dataDxfId="1363"/>
    <tableColumn id="58" xr3:uid="{1A13EFEA-8CB2-4449-A392-97CAAED94117}" name="Critère PC Atteint" dataDxfId="1362">
      <calculatedColumnFormula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calculatedColumnFormula>
    </tableColumn>
    <tableColumn id="47" xr3:uid="{2861336E-9132-4563-8C9D-455230D34278}" name="Site prioritaire" dataDxfId="1361">
      <calculatedColumnFormula>_xlfn.XLOOKUP(Portefeuille_MNT_PPS_Access20[[#This Row],[Numéro projet]],Tableau5[Numéro projet],Tableau5[IND_Site_Prioritaire])</calculatedColumnFormula>
    </tableColumn>
    <tableColumn id="33" xr3:uid="{0187F1DB-7749-4434-A99D-3759CC4E7073}" name="Critère Etat Infrastructure" dataDxfId="1360">
      <calculatedColumnFormula>_xlfn.XLOOKUP(Portefeuille_MNT_PPS_Access20[[#This Row],[Numéro projet]],Tableau5[Numéro projet],Tableau5[Critère Etat Infrastructure])</calculatedColumnFormula>
    </tableColumn>
    <tableColumn id="61" xr3:uid="{76D26B80-FC0A-4C90-B7AD-12EB1778567E}" name="Priorité Programmation" dataDxfId="1359">
      <calculatedColumnFormula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calculatedColumnFormula>
    </tableColumn>
    <tableColumn id="42" xr3:uid="{673DBAA8-939C-4111-9E70-3F22DAEE4DEC}" name="IND_PC3_TR2026" dataDxfId="1358"/>
    <tableColumn id="41" xr3:uid="{3E02B7FD-2135-40CC-93E8-50CF1B66FE9A}" name="IND_PC1_AC2025" dataDxfId="1357"/>
    <tableColumn id="6" xr3:uid="{4CDD3723-19CE-4D9A-9EB0-E21505F10D03}" name="IND_Etat_avancement" dataDxfId="1356"/>
    <tableColumn id="72" xr3:uid="{6F045852-6E62-4180-818D-657FF871440B}" name="IND_Parachèvement" dataDxfId="1355"/>
    <tableColumn id="73" xr3:uid="{EA82100B-E50A-4DBE-BA25-83B71BCCE985}" name="Colonne1" dataDxfId="1354" totalsRowDxfId="1353"/>
    <tableColumn id="78" xr3:uid="{E961DF4B-7B1F-4CE0-A50B-C44C34B95984}" name="AC ANT" totalsRowFunction="sum" dataDxfId="1352" totalsRowDxfId="1351"/>
    <tableColumn id="34" xr3:uid="{E680E336-CA55-450C-BD98-2675D908D236}" name="TR ANT" totalsRowFunction="sum" dataDxfId="1350" totalsRowDxfId="1349"/>
    <tableColumn id="8" xr3:uid="{4BDBD520-4230-4972-8F5F-B3883A6DD6E4}" name="AC 2024" totalsRowFunction="sum" dataDxfId="1348" totalsRowDxfId="1347"/>
    <tableColumn id="9" xr3:uid="{B5E39867-2E21-4711-AF5B-E7564A53BFDD}" name="TR 2024" totalsRowFunction="sum" dataDxfId="1346" totalsRowDxfId="1345"/>
    <tableColumn id="10" xr3:uid="{5570BB3F-940B-4D97-A148-4D30E9D8408D}" name="AC 2025" totalsRowFunction="sum" dataDxfId="1344" totalsRowDxfId="1343"/>
    <tableColumn id="11" xr3:uid="{55E3557A-3FA9-46DB-A36F-53E1CEE57974}" name="TR 2025" totalsRowFunction="sum" dataDxfId="1342" totalsRowDxfId="1341"/>
    <tableColumn id="12" xr3:uid="{5180FF81-A3B3-4ACF-9766-65C52F5C881B}" name="AC 2026" totalsRowFunction="sum" dataDxfId="1340" totalsRowDxfId="1339"/>
    <tableColumn id="13" xr3:uid="{9DD9033C-9957-48A8-91A3-63DBAD91BD5C}" name="TR 2026" totalsRowFunction="sum" dataDxfId="1338" totalsRowDxfId="1337"/>
    <tableColumn id="14" xr3:uid="{A8644D59-C81B-4350-91B3-3DD718B6957B}" name="AC 2027" totalsRowFunction="sum" dataDxfId="1336" totalsRowDxfId="1335"/>
    <tableColumn id="15" xr3:uid="{F2FAAF88-97BB-4801-A8BE-5D1FFE53BE42}" name="TR 2027" totalsRowFunction="sum" dataDxfId="1334" totalsRowDxfId="1333"/>
    <tableColumn id="16" xr3:uid="{1D3EDB22-81EB-4CC6-ACD1-CC091B7911B3}" name="AC 2028" totalsRowFunction="sum" dataDxfId="1332" totalsRowDxfId="1331"/>
    <tableColumn id="17" xr3:uid="{1B1BCC03-FF75-48AC-87D7-B86D84F00D10}" name="TR 2028" totalsRowFunction="sum" dataDxfId="1330" totalsRowDxfId="1329"/>
    <tableColumn id="18" xr3:uid="{6E869492-4A9B-4AF7-B1E3-9F551A111FA6}" name="AC 2029" totalsRowFunction="sum" dataDxfId="1328" totalsRowDxfId="1327"/>
    <tableColumn id="19" xr3:uid="{E325325F-18AF-4B3C-AD79-FC39A3D9C122}" name="TR 2029" totalsRowFunction="sum" dataDxfId="1326" totalsRowDxfId="1325"/>
    <tableColumn id="20" xr3:uid="{5F481FBA-05FF-4C9F-B068-F4D46149AD1C}" name="AC 2030" totalsRowFunction="sum" dataDxfId="1324" totalsRowDxfId="1323"/>
    <tableColumn id="21" xr3:uid="{181E0CD8-FFEB-428A-A735-48894C4D27F7}" name="TR 2030" totalsRowFunction="sum" dataDxfId="1322" totalsRowDxfId="1321"/>
    <tableColumn id="22" xr3:uid="{93C8A21F-2C55-4A94-A32D-82AE956AF0A5}" name="AC 2031" totalsRowFunction="sum" dataDxfId="1320" totalsRowDxfId="1319"/>
    <tableColumn id="23" xr3:uid="{0198BBAE-32CB-410E-929C-911CCD32C549}" name="TR 2031" totalsRowFunction="sum" dataDxfId="1318" totalsRowDxfId="1317"/>
    <tableColumn id="24" xr3:uid="{9B2E7658-889A-41F6-9703-6EDB40B82224}" name="AC 2032" totalsRowFunction="sum" dataDxfId="1316" totalsRowDxfId="1315"/>
    <tableColumn id="25" xr3:uid="{C8FFDB85-5230-404B-BFB2-7821CE86E361}" name="TR 2032" totalsRowFunction="sum" dataDxfId="1314" totalsRowDxfId="1313"/>
    <tableColumn id="26" xr3:uid="{8E303D17-133E-490C-82F1-D2FBC0AFE829}" name="AC 2033" totalsRowFunction="sum" dataDxfId="1312" totalsRowDxfId="1311"/>
    <tableColumn id="27" xr3:uid="{EBC72E2F-73A6-4086-95CA-D03524626739}" name="TR 2033" totalsRowFunction="sum" dataDxfId="1310" totalsRowDxfId="1309"/>
    <tableColumn id="28" xr3:uid="{A2F32890-42E2-4D65-B29E-7CD39F7902E7}" name="AC 2034" totalsRowFunction="sum" dataDxfId="1308" totalsRowDxfId="1307"/>
    <tableColumn id="29" xr3:uid="{0764217F-52F1-4263-ABBC-839E9EE257EC}" name="TR 2034" totalsRowFunction="sum" dataDxfId="1306" totalsRowDxfId="1305"/>
    <tableColumn id="46" xr3:uid="{057C42C4-029D-4ED6-974F-DD4BA75DD1F6}" name="AC 2035" totalsRowFunction="sum" totalsRowDxfId="1304"/>
    <tableColumn id="48" xr3:uid="{445D9233-B4BD-4D41-AA15-20C865230EFE}" name="TR 2035" totalsRowFunction="sum" totalsRowDxfId="1303"/>
    <tableColumn id="32" xr3:uid="{10D1BAE7-7D9C-46B9-AC1E-F166D8B50AE0}" name="Total Projet" totalsRowFunction="sum" dataDxfId="1302" totalsRowDxfId="1301">
      <calculatedColumnFormula>SUM(Portefeuille_MNT_PPS_Access20[[#This Row],[AC ANT]:[TR 2035]])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7B558D-9961-4568-AF12-F72B23FA3796}" name="Préparation_2025" displayName="Préparation_2025" ref="A17:BB85" totalsRowCount="1" headerRowDxfId="1300">
  <autoFilter ref="A17:BB84" xr:uid="{9F04E8B0-9684-4F3F-8527-175E5EC6D67D}"/>
  <tableColumns count="54">
    <tableColumn id="47" xr3:uid="{D12E10B0-2AE6-4A4B-9CC3-D7E65BC49F60}" name="TYPE_INVEST_SCT" dataDxfId="1299"/>
    <tableColumn id="45" xr3:uid="{EAA066DF-AA42-47F1-BDED-0431D47560F9}" name="DES_COMPL_NATR_COMPB" dataDxfId="1298"/>
    <tableColumn id="44" xr3:uid="{0CCCF6FF-28C0-49CB-A5E1-6B70CCCA725B}" name="NUM_PRIRT_DG"/>
    <tableColumn id="1" xr3:uid="{0346F354-5E48-4A2B-B891-8DB1400D34ED}" name="Axe"/>
    <tableColumn id="3" xr3:uid="{FD7355B8-F22A-4A67-BF93-839D4DC4650C}" name="Catégorie Investissement"/>
    <tableColumn id="4" xr3:uid="{93BA7820-E791-417A-8624-3744933899A2}" name="Type Infrastructure"/>
    <tableColumn id="5" xr3:uid="{65A18AB2-92C8-4FB9-BBC3-A0464CFACE05}" name="Gérant projet"/>
    <tableColumn id="35" xr3:uid="{343D50F0-8069-4DBB-9C1E-086B9D31AD26}" name="État Composante AC"/>
    <tableColumn id="36" xr3:uid="{40BE21A3-5BA9-4D48-8AE5-20F5365E1CCA}" name="État Composante TR"/>
    <tableColumn id="2" xr3:uid="{FE778DDF-14A8-4BDD-A3CC-E4F119459DD2}" name="Région" dataDxfId="1297"/>
    <tableColumn id="37" xr3:uid="{719051E9-8DE9-4C94-BA5C-3175E0F7710D}" name="Numéro projet" totalsRowFunction="count" dataDxfId="1296"/>
    <tableColumn id="57" xr3:uid="{D10301F5-96B5-4339-9A22-485E44784CF5}" name="Titre projet" dataDxfId="1295"/>
    <tableColumn id="6" xr3:uid="{582464C3-9D6E-4C57-AD45-DCF4FD9052A8}" name="AC 2035"/>
    <tableColumn id="30" xr3:uid="{A61CABC3-CD04-4D6E-9322-97103D099E5C}" name="Localisation" dataDxfId="1294"/>
    <tableColumn id="59" xr3:uid="{39084DC9-6B5E-471C-8BC3-87F01DCB0B5C}" name="Année DÉBUT Travaux prévu" dataDxfId="1293"/>
    <tableColumn id="7" xr3:uid="{3624BEFD-C0FC-4718-8F0D-B7870EE366C5}" name="État avancement" dataDxfId="1292"/>
    <tableColumn id="38" xr3:uid="{0F708F13-A2E0-46D2-BD96-9A82AD48754D}" name="PC-1" dataDxfId="1291"/>
    <tableColumn id="39" xr3:uid="{B515A91C-1D36-46DF-85BA-C848DBD71AB3}" name="PC-3" dataDxfId="1290"/>
    <tableColumn id="40" xr3:uid="{3F0E4CB6-9E99-405A-A248-351506C9E1C9}" name="PC-5" dataDxfId="1289"/>
    <tableColumn id="78" xr3:uid="{F619FF72-6F47-45BC-BF93-D019A09972F5}" name="AC ANT" totalsRowFunction="sum" dataDxfId="1288" totalsRowDxfId="1287"/>
    <tableColumn id="34" xr3:uid="{F7A8A76F-017C-4930-89C3-A736F8F97D89}" name="TR ANT" totalsRowFunction="sum" dataDxfId="1286" totalsRowDxfId="1285"/>
    <tableColumn id="8" xr3:uid="{F1BBF16D-E673-42A1-8A22-0A6F57A7069F}" name="AC 2024" totalsRowFunction="sum" dataDxfId="1284" totalsRowDxfId="1283"/>
    <tableColumn id="9" xr3:uid="{41CC55A0-0624-42FE-AB69-D33A00666EC7}" name="TR 2024" totalsRowFunction="sum" dataDxfId="1282" totalsRowDxfId="1281"/>
    <tableColumn id="10" xr3:uid="{EAFA11F8-0324-4E0D-832E-75C34385E6EE}" name="AC 2025" totalsRowFunction="sum" dataDxfId="1280" totalsRowDxfId="1279"/>
    <tableColumn id="11" xr3:uid="{B2F3D062-4750-43F9-BF3D-C37809E4CCA2}" name="TR 2025" totalsRowFunction="sum" dataDxfId="1278" totalsRowDxfId="1277"/>
    <tableColumn id="41" xr3:uid="{25433F1B-B3A8-46E2-9D08-6BCE3F199DC8}" name="AC 2025 Initiale" totalsRowFunction="sum" totalsRowDxfId="1276"/>
    <tableColumn id="53" xr3:uid="{F2B4E8F1-24F5-498D-9A20-28430CB10DA8}" name="Écart AC 2025" totalsRowFunction="sum" dataDxfId="1275" totalsRowDxfId="1274">
      <calculatedColumnFormula>Préparation_2025[[#This Row],[AC 2025]]-Préparation_2025[[#This Row],[AC 2025 Initiale]]</calculatedColumnFormula>
    </tableColumn>
    <tableColumn id="33" xr3:uid="{B08E2880-8E4F-4013-A1DF-BAFB6F61C38D}" name="Écart TR 2025" totalsRowFunction="sum" dataDxfId="1273" totalsRowDxfId="1272">
      <calculatedColumnFormula>Préparation_2025[[#This Row],[TR 2025]]-Préparation_2025[[#This Row],[TR 2025 Initiale]]</calculatedColumnFormula>
    </tableColumn>
    <tableColumn id="31" xr3:uid="{220CC047-498D-42EC-949C-2299186A87A6}" name="Écart 2025 Total" totalsRowFunction="sum" dataDxfId="1271" totalsRowDxfId="1270">
      <calculatedColumnFormula>Préparation_2025[[#This Row],[Écart AC 2025]]+Préparation_2025[[#This Row],[Écart TR 2025]]</calculatedColumnFormula>
    </tableColumn>
    <tableColumn id="42" xr3:uid="{18D3E3CE-97EC-445D-B776-7C4F009469AA}" name="TR 2025 Initiale" totalsRowFunction="sum" totalsRowDxfId="1269"/>
    <tableColumn id="12" xr3:uid="{367ACC70-2D22-4C63-9459-F76A05E571EB}" name="AC 2026" totalsRowFunction="sum" dataDxfId="1268" totalsRowDxfId="1267"/>
    <tableColumn id="13" xr3:uid="{84D8A169-D057-4410-A76A-7ECD3B10BC81}" name="TR 2026" totalsRowFunction="sum" dataDxfId="1266" totalsRowDxfId="1265"/>
    <tableColumn id="43" xr3:uid="{05D1D1BB-C0E5-4E59-BDDF-1F72D0B83FE3}" name="AC 2026 Initiale" totalsRowFunction="sum" totalsRowDxfId="1264"/>
    <tableColumn id="58" xr3:uid="{B96E1992-D833-41E7-82E5-1BD74C8A3162}" name="Écart AC 2026" totalsRowFunction="sum" totalsRowDxfId="1263">
      <calculatedColumnFormula>Préparation_2025[[#This Row],[AC 2026]]-Préparation_2025[[#This Row],[AC 2026 Initiale]]</calculatedColumnFormula>
    </tableColumn>
    <tableColumn id="56" xr3:uid="{117FAB7F-2304-4BB3-BC5F-9E89BCD35A7B}" name="Écart TR 2026" totalsRowFunction="sum" totalsRowDxfId="1262">
      <calculatedColumnFormula>Préparation_2025[[#This Row],[TR 2026]]-Préparation_2025[[#This Row],[TR 2026 Initiale]]</calculatedColumnFormula>
    </tableColumn>
    <tableColumn id="55" xr3:uid="{100A8579-31B6-4271-8AE0-A981E87526BE}" name="Écart 2026 Total" totalsRowFunction="sum" dataDxfId="1261" totalsRowDxfId="1260">
      <calculatedColumnFormula>Préparation_2025[[#This Row],[Écart AC 2026]]+Préparation_2025[[#This Row],[Écart TR 2026]]</calculatedColumnFormula>
    </tableColumn>
    <tableColumn id="46" xr3:uid="{18E07929-B49E-4E09-BAC2-E16548727088}" name="TR 2026 Initiale" totalsRowFunction="sum" totalsRowDxfId="1259"/>
    <tableColumn id="14" xr3:uid="{4D8C28E1-927E-4961-AB8C-FFAFA8A478E5}" name="AC 2027" totalsRowFunction="sum" dataDxfId="1258" totalsRowDxfId="1257"/>
    <tableColumn id="15" xr3:uid="{18F8B739-D301-4D87-8C5F-1A673B27EF75}" name="TR 2027" totalsRowFunction="sum" dataDxfId="1256" totalsRowDxfId="1255"/>
    <tableColumn id="16" xr3:uid="{38D20455-F06F-47A1-B6D4-6B354BA154B7}" name="AC 2028" totalsRowFunction="sum" dataDxfId="1254" totalsRowDxfId="1253"/>
    <tableColumn id="17" xr3:uid="{82523FF7-2E12-4F9D-9808-1BAB314E9F6C}" name="TR 2028" totalsRowFunction="sum" dataDxfId="1252" totalsRowDxfId="1251"/>
    <tableColumn id="18" xr3:uid="{4CFF251E-318B-4E68-9844-5DF507E92597}" name="AC 2029" totalsRowFunction="sum" dataDxfId="1250" totalsRowDxfId="1249"/>
    <tableColumn id="19" xr3:uid="{14D4001B-8A06-4A85-BC83-024F7C65902C}" name="TR 2029" totalsRowFunction="sum" dataDxfId="1248" totalsRowDxfId="1247"/>
    <tableColumn id="20" xr3:uid="{85428057-A641-4ADD-B25F-132B5EA62446}" name="AC 2030" totalsRowFunction="sum" dataDxfId="1246" totalsRowDxfId="1245"/>
    <tableColumn id="21" xr3:uid="{D8D979CB-C74F-4FDC-B39A-CFA535C1E3EB}" name="TR 2030" totalsRowFunction="sum" dataDxfId="1244" totalsRowDxfId="1243"/>
    <tableColumn id="22" xr3:uid="{CFE999B7-2C8D-4435-8C73-B3BBFA207D81}" name="AC 2031" totalsRowFunction="sum" dataDxfId="1242" totalsRowDxfId="1241"/>
    <tableColumn id="23" xr3:uid="{F13FBFA7-51EF-4505-966D-8AEE41F1F5CE}" name="TR 2031" totalsRowFunction="sum" dataDxfId="1240" totalsRowDxfId="1239"/>
    <tableColumn id="24" xr3:uid="{2D124553-1321-4331-9D3C-D68493C90B4B}" name="AC 2032" totalsRowFunction="sum" dataDxfId="1238" totalsRowDxfId="1237"/>
    <tableColumn id="25" xr3:uid="{C2902F2B-25E4-4BDE-B427-3A3FB59E64A6}" name="TR 2032" totalsRowFunction="sum" dataDxfId="1236" totalsRowDxfId="1235"/>
    <tableColumn id="26" xr3:uid="{34959067-4D76-4E3B-BC61-DD8E2AA98A9D}" name="AC 2033" totalsRowFunction="sum" dataDxfId="1234" totalsRowDxfId="1233"/>
    <tableColumn id="27" xr3:uid="{A578EE7C-17F6-4A83-92F4-0F87D1A0DBE5}" name="TR 2033" totalsRowFunction="sum" dataDxfId="1232" totalsRowDxfId="1231"/>
    <tableColumn id="28" xr3:uid="{89805887-B828-4A43-9486-725E5F5B4800}" name="AC 2034" totalsRowFunction="sum" dataDxfId="1230" totalsRowDxfId="1229"/>
    <tableColumn id="29" xr3:uid="{78CD52FC-AA45-4223-A403-A9110167AE5F}" name="TR 2034" totalsRowFunction="sum" dataDxfId="1228" totalsRowDxfId="1227"/>
    <tableColumn id="32" xr3:uid="{7158C7FE-FF47-4B98-B22B-33ED06FE479E}" name="Total Projet" totalsRowFunction="sum" dataDxfId="1226" totalsRowDxfId="1225">
      <calculatedColumnFormula>SUM(Préparation_2025[[#This Row],[AC ANT]:[TR 2025]],Préparation_2025[[#This Row],[AC 2026]:[TR 2026]],Préparation_2025[[#This Row],[AC 2027]:[TR 2034]])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4EC6E2-7E3D-426B-9D89-12F6F2947BC6}" name="Travaux_202517" displayName="Travaux_202517" ref="A14:BD28" totalsRowCount="1" headerRowDxfId="1224">
  <autoFilter ref="A14:BD27" xr:uid="{9F04E8B0-9684-4F3F-8527-175E5EC6D67D}"/>
  <sortState xmlns:xlrd2="http://schemas.microsoft.com/office/spreadsheetml/2017/richdata2" ref="A15:BD27">
    <sortCondition ref="M14:M27"/>
  </sortState>
  <tableColumns count="56">
    <tableColumn id="45" xr3:uid="{F20909BC-4ACA-4DA4-AC8E-15B74EFC50D6}" name="DES_COMPL_NATR_COMPB" dataDxfId="1223"/>
    <tableColumn id="44" xr3:uid="{60978BA3-EF4B-4D60-B40E-E40313CF8612}" name="NUM_PRIRT_DG"/>
    <tableColumn id="1" xr3:uid="{1D1B2724-D043-4EA6-8C25-BF51378F1C7C}" name="Axe"/>
    <tableColumn id="3" xr3:uid="{C87576C1-0633-41FC-890B-D03983BD7CC2}" name="Catégorie Investissement"/>
    <tableColumn id="4" xr3:uid="{18BEE97B-94A9-4BD8-A5B1-3D92D6ECE6FE}" name="Type Infrastructure"/>
    <tableColumn id="5" xr3:uid="{ED4888D8-BDD4-4575-A38F-B4CCE8A168BC}" name="Gérant projet"/>
    <tableColumn id="35" xr3:uid="{03F9DA22-367A-4AC1-AB80-51EDECF7F592}" name="État Composante AC"/>
    <tableColumn id="36" xr3:uid="{376DD640-3CCE-4B4A-A5EB-EB13B3D0A3D7}" name="État Composante TR"/>
    <tableColumn id="2" xr3:uid="{E1BCFC0C-6AF1-4B1C-B80D-7B05D94BA040}" name="Région" dataDxfId="1222"/>
    <tableColumn id="37" xr3:uid="{2119DCD4-A324-4F18-8083-895C3A8AA195}" name="Numéro projet" totalsRowFunction="count" dataDxfId="1221"/>
    <tableColumn id="57" xr3:uid="{2E2C400F-A4F1-4B14-A89C-C72F9B374AD3}" name="Titre projet" dataDxfId="1220"/>
    <tableColumn id="30" xr3:uid="{F8E162E8-C444-414E-AE67-87C4BE425570}" name="Localisation" dataDxfId="1219"/>
    <tableColumn id="59" xr3:uid="{F09BED3D-D5BB-4526-BA0C-9F2BA6342CC9}" name="Année DÉBUT Travaux prévu" dataDxfId="1218"/>
    <tableColumn id="7" xr3:uid="{F9489442-2EC5-4B23-B8B1-00B57728815F}" name="État avancement" dataDxfId="1217"/>
    <tableColumn id="38" xr3:uid="{CFCBBB1C-628D-4176-9905-5D0A27A77D46}" name="PC-1" dataDxfId="1216"/>
    <tableColumn id="39" xr3:uid="{C712FB70-E605-4913-857B-0E0011C79323}" name="PC-3" dataDxfId="1215"/>
    <tableColumn id="40" xr3:uid="{DFB71A2D-24B7-4AEA-AE77-5BB841F7095F}" name="PC-5" dataDxfId="1214"/>
    <tableColumn id="78" xr3:uid="{25BEB856-C9B6-4904-8D16-C27C1888E6F6}" name="AC ANT" totalsRowFunction="sum" dataDxfId="1213" totalsRowDxfId="1212"/>
    <tableColumn id="34" xr3:uid="{897E21D6-C148-40DE-8495-ABFA63DD183B}" name="TR ANT" totalsRowFunction="sum" dataDxfId="1211" totalsRowDxfId="1210"/>
    <tableColumn id="8" xr3:uid="{6DD4804D-9186-44FE-920D-15F9DA242803}" name="AC 2024" totalsRowFunction="sum" dataDxfId="1209" totalsRowDxfId="1208"/>
    <tableColumn id="9" xr3:uid="{51392DB8-C96C-4D9B-891C-2341CD86A21D}" name="TR 2024" totalsRowFunction="sum" dataDxfId="1207" totalsRowDxfId="1206"/>
    <tableColumn id="10" xr3:uid="{D4838B98-03F0-413D-802E-217292B2782B}" name="AC 2025" totalsRowFunction="sum" dataDxfId="1205" totalsRowDxfId="1204"/>
    <tableColumn id="11" xr3:uid="{A67B0391-5454-4332-91C9-7F4EC53EF789}" name="TR 2025" totalsRowFunction="sum" dataDxfId="1203" totalsRowDxfId="1202"/>
    <tableColumn id="6" xr3:uid="{DD00AAE2-4165-408E-9291-55474DF0D34B}" name="Actuel 2025" totalsRowFunction="sum" dataDxfId="1201" totalsRowDxfId="1200">
      <calculatedColumnFormula>Travaux_202517[[#This Row],[AC 2025]]+Travaux_202517[[#This Row],[TR 2025]]</calculatedColumnFormula>
    </tableColumn>
    <tableColumn id="41" xr3:uid="{59E257EB-5CF1-4C56-BB7B-3F8CE2DD4ADF}" name="AC 2025 Initiale" totalsRowFunction="sum" totalsRowDxfId="1199"/>
    <tableColumn id="42" xr3:uid="{472E73F3-948C-4693-9CA2-B25B5BBCC487}" name="TR 2025 Initiale" totalsRowFunction="sum" totalsRowDxfId="1198"/>
    <tableColumn id="31" xr3:uid="{4D61C070-6141-49CA-9CA5-D1600E2733A4}" name="Initiale 2025" totalsRowFunction="sum" dataDxfId="1197" totalsRowDxfId="1196">
      <calculatedColumnFormula>Travaux_202517[[#This Row],[AC 2025 Initiale]]+Travaux_202517[[#This Row],[TR 2025 Initiale]]</calculatedColumnFormula>
    </tableColumn>
    <tableColumn id="49" xr3:uid="{B3F093EF-D773-44A0-8F36-7D6DBF950C31}" name="Écart AC 2025" totalsRowFunction="sum" dataDxfId="1195" totalsRowDxfId="1194">
      <calculatedColumnFormula>Travaux_202517[[#This Row],[AC 2025]]-Travaux_202517[[#This Row],[AC 2025 Initiale]]</calculatedColumnFormula>
    </tableColumn>
    <tableColumn id="48" xr3:uid="{BEF5C7ED-E506-4F2E-A4B8-D52426634EA4}" name="Écart TR 2025" totalsRowFunction="sum" dataDxfId="1193" totalsRowDxfId="1192">
      <calculatedColumnFormula>Travaux_202517[[#This Row],[TR 2025]]-Travaux_202517[[#This Row],[TR 2025 Initiale]]</calculatedColumnFormula>
    </tableColumn>
    <tableColumn id="47" xr3:uid="{478F8423-36AA-4979-AB74-7C74C39CC68C}" name="Écart 2025 Total" totalsRowFunction="sum" dataDxfId="1191" totalsRowDxfId="1190">
      <calculatedColumnFormula>Travaux_202517[[#This Row],[Écart AC 2025]]+Travaux_202517[[#This Row],[Écart TR 2025]]</calculatedColumnFormula>
    </tableColumn>
    <tableColumn id="12" xr3:uid="{9FF463D4-63C4-43DF-8D5E-01787202C52F}" name="AC 2026" totalsRowFunction="sum" dataDxfId="1189" totalsRowDxfId="1188"/>
    <tableColumn id="13" xr3:uid="{1F8CB52F-6275-4BEA-B2F8-54635ABBD633}" name="TR 2026" totalsRowFunction="sum" dataDxfId="1187" totalsRowDxfId="1186"/>
    <tableColumn id="53" xr3:uid="{2E9C0B06-C94E-4B3B-A1BD-9AE13E6EA040}" name="Actuel 2026" totalsRowFunction="sum" dataDxfId="1185" totalsRowDxfId="1184">
      <calculatedColumnFormula>Travaux_202517[[#This Row],[AC 2026]]+Travaux_202517[[#This Row],[TR 2026]]</calculatedColumnFormula>
    </tableColumn>
    <tableColumn id="43" xr3:uid="{89B43DF3-6783-4570-939B-731DD2B73DB5}" name="AC 2026 Initiale" totalsRowFunction="sum" totalsRowDxfId="1183"/>
    <tableColumn id="46" xr3:uid="{5AD5A78B-9117-49E7-B1FC-AFAFDF606C5A}" name="TR 2026 Initiale" totalsRowFunction="sum" totalsRowDxfId="1182"/>
    <tableColumn id="54" xr3:uid="{B71B0757-54DA-4980-8A31-03B6BCDD3B75}" name="Initiale 2026" totalsRowFunction="sum" dataDxfId="1181" totalsRowDxfId="1180">
      <calculatedColumnFormula>Travaux_202517[[#This Row],[AC 2026 Initiale]]+Travaux_202517[[#This Row],[TR 2026 Initiale]]</calculatedColumnFormula>
    </tableColumn>
    <tableColumn id="52" xr3:uid="{F63C6D5E-44D2-4DF1-A042-8FDC1868D574}" name="Écart AC 2026" totalsRowFunction="sum" dataDxfId="1179" totalsRowDxfId="1178">
      <calculatedColumnFormula>Travaux_202517[[#This Row],[AC 2026]]-Travaux_202517[[#This Row],[AC 2026 Initiale]]</calculatedColumnFormula>
    </tableColumn>
    <tableColumn id="51" xr3:uid="{C6A568C2-356D-453C-B090-7959D89D37AB}" name="Écart TR 2026" totalsRowFunction="sum" dataDxfId="1177" totalsRowDxfId="1176">
      <calculatedColumnFormula>Travaux_202517[[#This Row],[TR 2026]]-Travaux_202517[[#This Row],[TR 2026 Initiale]]</calculatedColumnFormula>
    </tableColumn>
    <tableColumn id="50" xr3:uid="{0FC0399C-01C3-4786-AEF2-831BBE85E74B}" name="Écart 2026 Total" totalsRowFunction="sum" dataDxfId="1175" totalsRowDxfId="1174">
      <calculatedColumnFormula>Travaux_202517[[#This Row],[Écart AC 2026]]+Travaux_202517[[#This Row],[Écart TR 2026]]</calculatedColumnFormula>
    </tableColumn>
    <tableColumn id="14" xr3:uid="{FD87D763-63DD-4BD1-AA89-5FADB86406AB}" name="AC 2027" totalsRowFunction="sum" dataDxfId="1173" totalsRowDxfId="1172"/>
    <tableColumn id="15" xr3:uid="{F5A8559E-4F59-481B-A09B-387A6ADE8895}" name="TR 2027" totalsRowFunction="sum" dataDxfId="1171" totalsRowDxfId="1170"/>
    <tableColumn id="16" xr3:uid="{56A36AD3-42A3-4CD6-8EE5-A0F5F1A9851B}" name="AC 2028" totalsRowFunction="sum" dataDxfId="1169" totalsRowDxfId="1168"/>
    <tableColumn id="17" xr3:uid="{3938195D-128D-44EA-809F-C102DD56E0F6}" name="TR 2028" totalsRowFunction="sum" dataDxfId="1167" totalsRowDxfId="1166"/>
    <tableColumn id="18" xr3:uid="{D40D911B-AAC5-4FDA-9583-F98073AE7A8E}" name="AC 2029" totalsRowFunction="sum" dataDxfId="1165" totalsRowDxfId="1164"/>
    <tableColumn id="19" xr3:uid="{81443BE1-6D01-4791-BFEA-4FA3E1CF5DE2}" name="TR 2029" totalsRowFunction="sum" dataDxfId="1163" totalsRowDxfId="1162"/>
    <tableColumn id="20" xr3:uid="{731B34C8-BAC7-4377-B652-B9511349C044}" name="AC 2030" totalsRowFunction="sum" dataDxfId="1161" totalsRowDxfId="1160"/>
    <tableColumn id="21" xr3:uid="{FFCB125D-6067-4B4E-8543-6D925DA86728}" name="TR 2030" totalsRowFunction="sum" dataDxfId="1159" totalsRowDxfId="1158"/>
    <tableColumn id="22" xr3:uid="{01A7E4C5-4420-4EC8-8EF8-982276F88106}" name="AC 2031" totalsRowFunction="sum" dataDxfId="1157" totalsRowDxfId="1156"/>
    <tableColumn id="23" xr3:uid="{91F38173-A1A9-4E9C-8E67-18228B362EE6}" name="TR 2031" totalsRowFunction="sum" dataDxfId="1155" totalsRowDxfId="1154"/>
    <tableColumn id="24" xr3:uid="{D7A542E9-FB07-42E9-8351-D145AD980820}" name="AC 2032" totalsRowFunction="sum" dataDxfId="1153" totalsRowDxfId="1152"/>
    <tableColumn id="25" xr3:uid="{023DABEF-58A5-4B5A-BE56-9576FA6D2291}" name="TR 2032" totalsRowFunction="sum" dataDxfId="1151" totalsRowDxfId="1150"/>
    <tableColumn id="26" xr3:uid="{1F6866D7-D0CE-4AD5-8ED1-1AF5A226495A}" name="AC 2033" totalsRowFunction="sum" dataDxfId="1149" totalsRowDxfId="1148"/>
    <tableColumn id="27" xr3:uid="{4859EDE0-185F-426B-B70F-51416D667583}" name="TR 2033" totalsRowFunction="sum" dataDxfId="1147" totalsRowDxfId="1146"/>
    <tableColumn id="28" xr3:uid="{9B2B7900-46D8-44C2-AEA0-B016E1504FB2}" name="AC 2034" totalsRowFunction="sum" dataDxfId="1145" totalsRowDxfId="1144"/>
    <tableColumn id="29" xr3:uid="{1079DFC7-6BDB-415C-95C3-13079BB39F31}" name="TR 2034" totalsRowFunction="sum" dataDxfId="1143" totalsRowDxfId="1142"/>
    <tableColumn id="32" xr3:uid="{E8087DF2-E0D4-46BE-ACD2-7FF252F48364}" name="Total Projet" totalsRowFunction="sum" dataDxfId="1141" totalsRowDxfId="1140">
      <calculatedColumnFormula>SUM(Travaux_202517[[#This Row],[AC ANT]:[TR 2025]],Travaux_202517[[#This Row],[AC 2026]:[TR 2026]],Travaux_202517[[#This Row],[AC 2027]:[TR 2034]])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999F0-8F49-4CB2-9A87-A0882BB906F0}" name="Travaux_2025" displayName="Travaux_2025" ref="A14:BD37" totalsRowCount="1" headerRowDxfId="1139">
  <autoFilter ref="A14:BD36" xr:uid="{9F04E8B0-9684-4F3F-8527-175E5EC6D67D}">
    <filterColumn colId="27">
      <filters>
        <filter val="100"/>
        <filter val="14"/>
        <filter val="16"/>
        <filter val="162"/>
        <filter val="197"/>
        <filter val="2"/>
        <filter val="21"/>
        <filter val="212"/>
        <filter val="329"/>
        <filter val="3494"/>
        <filter val="35"/>
        <filter val="464"/>
        <filter val="465"/>
        <filter val="483"/>
        <filter val="5"/>
        <filter val="525"/>
      </filters>
    </filterColumn>
    <filterColumn colId="28">
      <filters blank="1"/>
    </filterColumn>
  </autoFilter>
  <sortState xmlns:xlrd2="http://schemas.microsoft.com/office/spreadsheetml/2017/richdata2" ref="A15:BD36">
    <sortCondition descending="1" ref="AC14:AC36"/>
  </sortState>
  <tableColumns count="56">
    <tableColumn id="56" xr3:uid="{9378605D-30BF-4831-8734-344467918C9D}" name="TYPE_INVEST_SCT" dataDxfId="1138"/>
    <tableColumn id="45" xr3:uid="{4323C4FD-E324-46D3-9D47-F999414CBD86}" name="DES_COMPL_NATR_COMPB" dataDxfId="1137"/>
    <tableColumn id="44" xr3:uid="{7945B101-A9A1-4DA1-B2AC-A635A00B4C9D}" name="NUM_PRIRT_DG"/>
    <tableColumn id="1" xr3:uid="{9E6E3920-8049-4F91-B5B2-C29518470C25}" name="Axe"/>
    <tableColumn id="3" xr3:uid="{C0CAAFE4-5D12-4649-A690-D8DD38CC919B}" name="Catégorie Investissement"/>
    <tableColumn id="4" xr3:uid="{A6B12776-BB7C-4934-A1C3-D2F28704C3CD}" name="Type Infrastructure"/>
    <tableColumn id="5" xr3:uid="{76A69A89-21E3-4B69-8976-4771266BE2E1}" name="Gérant projet"/>
    <tableColumn id="35" xr3:uid="{A2D008F7-4AB5-4A5E-AD48-FD696EBCA597}" name="État Composante AC"/>
    <tableColumn id="36" xr3:uid="{6E3054C6-295F-4295-8155-060B8D4DC48A}" name="État Composante TR"/>
    <tableColumn id="2" xr3:uid="{71CCED02-D41D-4C3B-AADA-CCD3EFDA53A2}" name="Région" dataDxfId="1136"/>
    <tableColumn id="37" xr3:uid="{F7164A98-722A-42B2-9918-8F542D1D08B0}" name="Numéro projet" totalsRowFunction="count" dataDxfId="1135"/>
    <tableColumn id="57" xr3:uid="{EB8EE17F-57A2-4045-B0DE-6EA72D17ABB2}" name="Titre projet" dataDxfId="1134"/>
    <tableColumn id="30" xr3:uid="{38E3A9A3-3799-4DF6-B941-9102441F3DD3}" name="Localisation" dataDxfId="1133"/>
    <tableColumn id="59" xr3:uid="{B1DF079F-FD6B-4048-9E81-BDB37C479357}" name="Année DÉBUT Travaux prévu" dataDxfId="1132"/>
    <tableColumn id="7" xr3:uid="{FCE515D7-1760-4916-9316-8CD2E3584EF1}" name="État avancement" dataDxfId="1131"/>
    <tableColumn id="38" xr3:uid="{0AC039BD-63EA-42FC-81CE-DD6CF79CCD2D}" name="PC-1" dataDxfId="1130"/>
    <tableColumn id="39" xr3:uid="{B61BBCEB-5683-4B64-8D5C-0243A0AFEBC6}" name="PC-3" dataDxfId="1129"/>
    <tableColumn id="40" xr3:uid="{C027036C-E372-4298-BB0E-2B11AE33C0E0}" name="PC-5" dataDxfId="1128"/>
    <tableColumn id="78" xr3:uid="{AC711A92-A8DC-4FAF-922B-04E15255F820}" name="AC ANT" totalsRowFunction="sum" dataDxfId="1127" totalsRowDxfId="1126"/>
    <tableColumn id="34" xr3:uid="{CB2C39C2-449B-4508-B46F-5E5BF8D90D58}" name="TR ANT" totalsRowFunction="sum" dataDxfId="1125" totalsRowDxfId="1124"/>
    <tableColumn id="8" xr3:uid="{FF799C30-A6DF-4AEA-9B9C-10E285B2715B}" name="AC 2024" totalsRowFunction="sum" dataDxfId="1123" totalsRowDxfId="1122"/>
    <tableColumn id="9" xr3:uid="{2490EC3E-F0EF-4397-A932-BDB01B341574}" name="TR 2024" totalsRowFunction="sum" dataDxfId="1121" totalsRowDxfId="1120"/>
    <tableColumn id="10" xr3:uid="{4E6CB3E2-5174-4AE9-AD91-DEE27D2DFC7C}" name="AC 2025" totalsRowFunction="sum" dataDxfId="1119" totalsRowDxfId="1118"/>
    <tableColumn id="11" xr3:uid="{0CC14D28-DB88-4425-AF2D-9DCB2795EAFD}" name="TR 2025" totalsRowFunction="sum" dataDxfId="1117" totalsRowDxfId="1116"/>
    <tableColumn id="41" xr3:uid="{90AA635C-5880-4833-B505-B88D81313700}" name="AC 2025 Initiale" totalsRowFunction="sum" totalsRowDxfId="1115"/>
    <tableColumn id="49" xr3:uid="{0BAD3ADD-F6DD-4CB1-8D48-BEF0F443D4E3}" name="Écart AC 2025" totalsRowFunction="sum" dataDxfId="1114" totalsRowDxfId="1113">
      <calculatedColumnFormula>Travaux_2025[[#This Row],[AC 2025]]-Travaux_2025[[#This Row],[AC 2025 Initiale]]</calculatedColumnFormula>
    </tableColumn>
    <tableColumn id="48" xr3:uid="{AF458001-F62D-420F-946C-2D0294E2DB79}" name="Écart TR 2025" totalsRowFunction="sum" dataDxfId="1112" totalsRowDxfId="1111">
      <calculatedColumnFormula>Travaux_2025[[#This Row],[TR 2025]]-Travaux_2025[[#This Row],[TR 2025 Initiale]]</calculatedColumnFormula>
    </tableColumn>
    <tableColumn id="47" xr3:uid="{A7F52D12-B6A9-45B5-90AB-DD3016265FD2}" name="Écart 2025 Total" totalsRowFunction="sum" dataDxfId="1110" totalsRowDxfId="1109">
      <calculatedColumnFormula>Travaux_2025[[#This Row],[Écart AC 2025]]+Travaux_2025[[#This Row],[Écart TR 2025]]</calculatedColumnFormula>
    </tableColumn>
    <tableColumn id="42" xr3:uid="{B295914B-3E4A-45B7-8659-DE44D4AA4705}" name="TR 2025 Initiale" totalsRowFunction="sum" totalsRowDxfId="1108"/>
    <tableColumn id="12" xr3:uid="{7B034815-E5BF-4E43-B7E7-B8FFD9AB6A7D}" name="AC 2026" totalsRowFunction="sum" dataDxfId="1107" totalsRowDxfId="1106"/>
    <tableColumn id="13" xr3:uid="{3ABC120A-7F73-42BB-A0FF-5AC714D9408D}" name="TR 2026" totalsRowFunction="sum" dataDxfId="1105" totalsRowDxfId="1104"/>
    <tableColumn id="43" xr3:uid="{B15E63F9-2575-4794-89FC-9D9173C7D9A2}" name="AC 2026 Initiale" totalsRowFunction="sum" totalsRowDxfId="1103"/>
    <tableColumn id="54" xr3:uid="{C5E5C439-74CB-4135-8FB9-DEC7B941ACDC}" name="Initiale 2026" totalsRowFunction="sum" dataDxfId="1102" totalsRowDxfId="1101">
      <calculatedColumnFormula>Travaux_2025[[#This Row],[AC 2026 Initiale]]+Travaux_2025[[#This Row],[TR 2026 Initiale]]</calculatedColumnFormula>
    </tableColumn>
    <tableColumn id="52" xr3:uid="{E979FC02-9741-429D-B022-AB91DC2FFBC9}" name="Écart AC 2026" totalsRowFunction="sum" dataDxfId="1100" totalsRowDxfId="1099">
      <calculatedColumnFormula>Travaux_2025[[#This Row],[AC 2026]]-Travaux_2025[[#This Row],[AC 2026 Initiale]]</calculatedColumnFormula>
    </tableColumn>
    <tableColumn id="51" xr3:uid="{A935EBA8-09F4-44E0-877B-526D85D7591B}" name="Écart TR 2026" totalsRowFunction="sum" dataDxfId="1098" totalsRowDxfId="1097">
      <calculatedColumnFormula>Travaux_2025[[#This Row],[TR 2026]]-Travaux_2025[[#This Row],[TR 2026 Initiale]]</calculatedColumnFormula>
    </tableColumn>
    <tableColumn id="50" xr3:uid="{8189AA67-B4AD-41C5-8D2D-E0F5B319D26D}" name="Écart 2026 Total" totalsRowFunction="sum" dataDxfId="1096" totalsRowDxfId="1095">
      <calculatedColumnFormula>Travaux_2025[[#This Row],[Écart AC 2026]]+Travaux_2025[[#This Row],[Écart TR 2026]]</calculatedColumnFormula>
    </tableColumn>
    <tableColumn id="46" xr3:uid="{C3C7677F-F558-41A3-82D3-1A1388DEDDF9}" name="TR 2026 Initiale" totalsRowFunction="sum" totalsRowDxfId="1094"/>
    <tableColumn id="14" xr3:uid="{371A6AA7-67D5-4D15-B1C8-30A09A7D0784}" name="AC 2027" totalsRowFunction="sum" dataDxfId="1093" totalsRowDxfId="1092"/>
    <tableColumn id="15" xr3:uid="{41C31487-6BE9-499B-9325-B1BDDBF37A73}" name="TR 2027" totalsRowFunction="sum" dataDxfId="1091" totalsRowDxfId="1090"/>
    <tableColumn id="16" xr3:uid="{9C0166D2-3B30-4327-8560-9FC227858390}" name="AC 2028" totalsRowFunction="sum" dataDxfId="1089" totalsRowDxfId="1088"/>
    <tableColumn id="17" xr3:uid="{9DBF6278-E8AC-47D1-9DA1-A06E0696C62F}" name="TR 2028" totalsRowFunction="sum" dataDxfId="1087" totalsRowDxfId="1086"/>
    <tableColumn id="18" xr3:uid="{FD623C18-BBFA-4DAE-8C09-20508E6419DF}" name="AC 2029" totalsRowFunction="sum" dataDxfId="1085" totalsRowDxfId="1084"/>
    <tableColumn id="19" xr3:uid="{61F88D07-163F-4987-93F8-4AC73052C00D}" name="TR 2029" totalsRowFunction="sum" dataDxfId="1083" totalsRowDxfId="1082"/>
    <tableColumn id="20" xr3:uid="{2E5635DC-82E7-4936-85BE-F3CD0A2501FD}" name="AC 2030" totalsRowFunction="sum" dataDxfId="1081" totalsRowDxfId="1080"/>
    <tableColumn id="21" xr3:uid="{4D1110C4-6EA7-49C0-A01B-7F5B24CF88B2}" name="TR 2030" totalsRowFunction="sum" dataDxfId="1079" totalsRowDxfId="1078"/>
    <tableColumn id="22" xr3:uid="{AEBBFD19-0512-42A6-B480-B968CA9C0206}" name="AC 2031" totalsRowFunction="sum" dataDxfId="1077" totalsRowDxfId="1076"/>
    <tableColumn id="23" xr3:uid="{08AD7E2B-B049-45E0-9883-9E2D7B287C5B}" name="TR 2031" totalsRowFunction="sum" dataDxfId="1075" totalsRowDxfId="1074"/>
    <tableColumn id="24" xr3:uid="{6A1927D7-7313-41A7-8EED-6E44831A4B43}" name="AC 2032" totalsRowFunction="sum" dataDxfId="1073" totalsRowDxfId="1072"/>
    <tableColumn id="25" xr3:uid="{7D365E11-6E2C-4BF0-A823-2014C74068B1}" name="TR 2032" totalsRowFunction="sum" dataDxfId="1071" totalsRowDxfId="1070"/>
    <tableColumn id="26" xr3:uid="{666EC63E-D44F-4073-9AB7-CF369C693A82}" name="AC 2033" totalsRowFunction="sum" dataDxfId="1069" totalsRowDxfId="1068"/>
    <tableColumn id="27" xr3:uid="{B62E6CD1-CB9F-4539-877F-88D77FC1E970}" name="TR 2033" totalsRowFunction="sum" dataDxfId="1067" totalsRowDxfId="1066"/>
    <tableColumn id="28" xr3:uid="{366B6CA3-6E37-4885-BA32-692784AA6793}" name="AC 2034" totalsRowFunction="sum" dataDxfId="1065" totalsRowDxfId="1064"/>
    <tableColumn id="29" xr3:uid="{5C776D1B-3FF7-4322-B4B9-11D47A4DF367}" name="TR 2034" totalsRowFunction="sum" dataDxfId="1063" totalsRowDxfId="1062"/>
    <tableColumn id="33" xr3:uid="{95D2BFA3-E237-4562-8F3E-3D3DD59CEE07}" name="AC 2035"/>
    <tableColumn id="55" xr3:uid="{6133C91B-8799-4279-99F1-118A262A442E}" name="TR 2035"/>
    <tableColumn id="32" xr3:uid="{95D16236-918F-4C2C-9E3C-316868D3E36F}" name="Total Projet" totalsRowFunction="sum" dataDxfId="1061" totalsRowDxfId="1060">
      <calculatedColumnFormula>SUM(Travaux_2025[[#This Row],[AC ANT]:[TR 2025]],Travaux_2025[[#This Row],[AC 2026]:[TR 2026]],Travaux_2025[[#This Row],[AC 2027]:[TR 2034]])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34511B5-7FBA-4845-B20D-361D1412D980}" name="Travaux_2026" displayName="Travaux_2026" ref="A14:BG27" totalsRowCount="1" headerRowDxfId="1059">
  <autoFilter ref="A14:BG26" xr:uid="{9F04E8B0-9684-4F3F-8527-175E5EC6D67D}"/>
  <tableColumns count="59">
    <tableColumn id="56" xr3:uid="{00505A36-9111-4915-B7E0-DAA4F9E482A9}" name="TYPE_INVEST_SCT" dataDxfId="1058"/>
    <tableColumn id="45" xr3:uid="{6E5A5177-841F-42E7-B3AB-0A748D777468}" name="DES_COMPL_NATR_COMPB" dataDxfId="1057"/>
    <tableColumn id="44" xr3:uid="{236126DF-0A38-4E0F-ACAB-066AB79E52B4}" name="NUM_PRIRT_DG"/>
    <tableColumn id="1" xr3:uid="{A19C89E9-C7A0-4C6B-AF0A-03C6441D1ED0}" name="Axe"/>
    <tableColumn id="3" xr3:uid="{B2D12DBE-B155-48A2-B1D0-E9E9556D223D}" name="Catégorie Investissement"/>
    <tableColumn id="4" xr3:uid="{F04B5155-7CB4-4BD7-A30E-5674F5724946}" name="Type Infrastructure"/>
    <tableColumn id="5" xr3:uid="{241FB3F6-DC1D-4497-A8E9-1AE32A7FDD97}" name="Gérant projet"/>
    <tableColumn id="35" xr3:uid="{292267FB-F54A-4A59-A0EA-B4C0D219EC44}" name="État Composante AC"/>
    <tableColumn id="36" xr3:uid="{DEDB31F3-77AA-4A2F-8877-AEA3C95A31F9}" name="État Composante TR"/>
    <tableColumn id="2" xr3:uid="{6976E4B7-AF33-43C3-B3EB-630E2E2AC574}" name="Région" dataDxfId="1056"/>
    <tableColumn id="37" xr3:uid="{DD542EB2-40ED-41DC-BE8B-115B84E86203}" name="Numéro projet" totalsRowFunction="count" dataDxfId="1055"/>
    <tableColumn id="57" xr3:uid="{4A6DCB9A-DC8C-4403-BF2D-4A5A05BFC2C0}" name="Titre projet" dataDxfId="1054"/>
    <tableColumn id="30" xr3:uid="{8D5CE765-8E96-4101-9BC9-D412231BAC2F}" name="Localisation" dataDxfId="1053"/>
    <tableColumn id="59" xr3:uid="{B7A07BDA-5F9B-400D-8FA5-6DEA1A337C12}" name="Année DÉBUT Travaux prévu" dataDxfId="1052"/>
    <tableColumn id="7" xr3:uid="{E54C70C7-F6F0-4D7F-B1B6-B23FC36B7781}" name="État avancement" dataDxfId="1051"/>
    <tableColumn id="38" xr3:uid="{ACDADDF4-FE38-447F-AD97-2071F0F8E5D5}" name="PC-1" dataDxfId="1050"/>
    <tableColumn id="39" xr3:uid="{79926F11-5683-44B1-BA62-FBFA850DD03D}" name="PC-3" dataDxfId="1049"/>
    <tableColumn id="40" xr3:uid="{2D02AE16-3C4D-41C2-8621-9ED8C2B29CE4}" name="PC-5" dataDxfId="1048"/>
    <tableColumn id="78" xr3:uid="{DC3D331E-62D8-4AFA-81D4-295B2C2BEAD4}" name="AC ANT" totalsRowFunction="sum" dataDxfId="1047" totalsRowDxfId="1046"/>
    <tableColumn id="34" xr3:uid="{AA464B44-44FC-4B3C-81F9-966113B053E9}" name="TR ANT" totalsRowFunction="sum" dataDxfId="1045" totalsRowDxfId="1044"/>
    <tableColumn id="8" xr3:uid="{E8FE1806-F38A-4781-BD65-CD67875E1FF8}" name="AC 2024" totalsRowFunction="sum" dataDxfId="1043" totalsRowDxfId="1042"/>
    <tableColumn id="9" xr3:uid="{FB1437D3-AA98-4C61-86DD-DF1D7E3F4B43}" name="TR 2024" totalsRowFunction="sum" dataDxfId="1041" totalsRowDxfId="1040"/>
    <tableColumn id="10" xr3:uid="{D5C9025C-9322-44F3-B05A-E458670DA4D0}" name="AC 2025" totalsRowFunction="sum" dataDxfId="1039" totalsRowDxfId="1038"/>
    <tableColumn id="6" xr3:uid="{06BDBB24-611A-473C-93FC-760EC07E87A7}" name="Actuel 2025" totalsRowFunction="sum" dataDxfId="1037" totalsRowDxfId="1036">
      <calculatedColumnFormula>Travaux_2026[[#This Row],[AC 2025]]+Travaux_2026[[#This Row],[TR 2025]]</calculatedColumnFormula>
    </tableColumn>
    <tableColumn id="11" xr3:uid="{B1E260BF-6EC9-4C11-9490-49EB7FE1C759}" name="TR 2025" totalsRowFunction="sum" dataDxfId="1035" totalsRowDxfId="1034"/>
    <tableColumn id="41" xr3:uid="{D1FC47FC-8DF2-4120-ACAD-BFF294EC7AB9}" name="AC 2025 Initiale" totalsRowFunction="sum" totalsRowDxfId="1033"/>
    <tableColumn id="31" xr3:uid="{7C4AEF69-C9CE-475B-BF4A-EAF53EB01D3C}" name="Initiale 2025" totalsRowFunction="sum" dataDxfId="1032" totalsRowDxfId="1031">
      <calculatedColumnFormula>Travaux_2026[[#This Row],[AC 2025 Initiale]]+Travaux_2026[[#This Row],[TR 2025 Initiale]]</calculatedColumnFormula>
    </tableColumn>
    <tableColumn id="49" xr3:uid="{474A34A6-B58B-452F-BA8A-0935E31064DA}" name="Écart AC 2025" totalsRowFunction="sum" dataDxfId="1030" totalsRowDxfId="1029">
      <calculatedColumnFormula>Travaux_2026[[#This Row],[AC 2025]]-Travaux_2026[[#This Row],[AC 2025 Initiale]]</calculatedColumnFormula>
    </tableColumn>
    <tableColumn id="48" xr3:uid="{49221149-096A-40C3-8C65-E33FC3C7EBB6}" name="Écart TR 2025" totalsRowFunction="sum" dataDxfId="1028" totalsRowDxfId="1027">
      <calculatedColumnFormula>Travaux_2026[[#This Row],[TR 2025]]-Travaux_2026[[#This Row],[TR 2025 Initiale]]</calculatedColumnFormula>
    </tableColumn>
    <tableColumn id="47" xr3:uid="{084BB16E-A4D9-4FEF-A31E-6239D0AFF95E}" name="Écart 2025 Total" totalsRowFunction="sum" dataDxfId="1026" totalsRowDxfId="1025">
      <calculatedColumnFormula>Travaux_2026[[#This Row],[Écart AC 2025]]+Travaux_2026[[#This Row],[Écart TR 2025]]</calculatedColumnFormula>
    </tableColumn>
    <tableColumn id="42" xr3:uid="{D75F0120-1844-4C8C-A1D8-9C4741CE0667}" name="TR 2025 Initiale" totalsRowFunction="sum" totalsRowDxfId="1024"/>
    <tableColumn id="12" xr3:uid="{F6D2C856-6969-49E2-BF33-B1BD4FE2513E}" name="AC 2026" totalsRowFunction="sum" dataDxfId="1023" totalsRowDxfId="1022"/>
    <tableColumn id="53" xr3:uid="{A5F256AE-D73E-4978-AAC6-2AA40BAED018}" name="Actuel 2026" totalsRowFunction="sum" dataDxfId="1021" totalsRowDxfId="1020">
      <calculatedColumnFormula>Travaux_2026[[#This Row],[AC 2026]]+Travaux_2026[[#This Row],[TR 2026]]</calculatedColumnFormula>
    </tableColumn>
    <tableColumn id="13" xr3:uid="{98003518-DE9F-4401-BD6D-21EED737ABF9}" name="TR 2026" totalsRowFunction="sum" dataDxfId="1019" totalsRowDxfId="1018"/>
    <tableColumn id="43" xr3:uid="{366478CD-1839-4362-BA35-DAFD1D220C74}" name="AC 2026 Initiale" totalsRowFunction="sum" totalsRowDxfId="1017"/>
    <tableColumn id="54" xr3:uid="{2E5DDD17-6B01-4B5D-9116-ECA60984D87B}" name="Initiale 2026" totalsRowFunction="sum" dataDxfId="1016" totalsRowDxfId="1015">
      <calculatedColumnFormula>Travaux_2026[[#This Row],[AC 2026 Initiale]]+Travaux_2026[[#This Row],[TR 2026 Initiale]]</calculatedColumnFormula>
    </tableColumn>
    <tableColumn id="52" xr3:uid="{0186AD92-8DAF-4E2F-AE39-2E531B761385}" name="Écart AC 2026" totalsRowFunction="sum" dataDxfId="1014" totalsRowDxfId="1013">
      <calculatedColumnFormula>Travaux_2026[[#This Row],[AC 2026]]-Travaux_2026[[#This Row],[AC 2026 Initiale]]</calculatedColumnFormula>
    </tableColumn>
    <tableColumn id="51" xr3:uid="{54809217-012D-4272-A602-A212046E246A}" name="Écart TR 2026" totalsRowFunction="sum" dataDxfId="1012" totalsRowDxfId="1011">
      <calculatedColumnFormula>Travaux_2026[[#This Row],[TR 2026]]-Travaux_2026[[#This Row],[TR 2026 Initiale]]</calculatedColumnFormula>
    </tableColumn>
    <tableColumn id="50" xr3:uid="{C9160F8F-EB02-4B2B-B03B-DFF874F56EE3}" name="Écart 2026 Total" totalsRowFunction="sum" dataDxfId="1010" totalsRowDxfId="1009">
      <calculatedColumnFormula>Travaux_2026[[#This Row],[Écart AC 2026]]+Travaux_2026[[#This Row],[Écart TR 2026]]</calculatedColumnFormula>
    </tableColumn>
    <tableColumn id="46" xr3:uid="{B212004C-DE72-4EAD-AD5F-9536C8B52A47}" name="TR 2026 Initiale" totalsRowFunction="sum" totalsRowDxfId="1008"/>
    <tableColumn id="14" xr3:uid="{5978D5C4-632C-41CB-A3A3-FE0D0183E31C}" name="AC 2027" totalsRowFunction="sum" dataDxfId="1007" totalsRowDxfId="1006"/>
    <tableColumn id="15" xr3:uid="{BB20A5FA-190A-4640-BF7A-654462450DFB}" name="TR 2027" totalsRowFunction="sum" dataDxfId="1005" totalsRowDxfId="1004"/>
    <tableColumn id="16" xr3:uid="{695F7B73-11E4-44FB-9683-BB249A9A5731}" name="AC 2028" totalsRowFunction="sum" dataDxfId="1003" totalsRowDxfId="1002"/>
    <tableColumn id="17" xr3:uid="{5761F041-D0C9-47E6-8F10-DF064C58E838}" name="TR 2028" totalsRowFunction="sum" dataDxfId="1001" totalsRowDxfId="1000"/>
    <tableColumn id="18" xr3:uid="{2CB6336C-69FC-473E-92C6-008C80FB1F31}" name="AC 2029" totalsRowFunction="sum" dataDxfId="999" totalsRowDxfId="998"/>
    <tableColumn id="19" xr3:uid="{A5644954-7C88-4C19-9B9C-336C834B0190}" name="TR 2029" totalsRowFunction="sum" dataDxfId="997" totalsRowDxfId="996"/>
    <tableColumn id="20" xr3:uid="{D49F126D-556E-4312-8FDB-454DD8E8A14E}" name="AC 2030" totalsRowFunction="sum" dataDxfId="995" totalsRowDxfId="994"/>
    <tableColumn id="21" xr3:uid="{6C96143C-C12F-4AE7-B38E-E15B4B618A87}" name="TR 2030" totalsRowFunction="sum" dataDxfId="993" totalsRowDxfId="992"/>
    <tableColumn id="22" xr3:uid="{07CC3C14-E4FC-4512-AEBC-733F89C3F41B}" name="AC 2031" totalsRowFunction="sum" dataDxfId="991" totalsRowDxfId="990"/>
    <tableColumn id="23" xr3:uid="{36373395-FB26-4619-84CB-FF4B7560FAAA}" name="TR 2031" totalsRowFunction="sum" dataDxfId="989" totalsRowDxfId="988"/>
    <tableColumn id="24" xr3:uid="{69265B66-7E7E-45AB-AAE1-BBBF7BABE8D5}" name="AC 2032" totalsRowFunction="sum" dataDxfId="987" totalsRowDxfId="986"/>
    <tableColumn id="25" xr3:uid="{554FEF84-6FA5-49DA-85DB-6727E55A9915}" name="TR 2032" totalsRowFunction="sum" dataDxfId="985" totalsRowDxfId="984"/>
    <tableColumn id="26" xr3:uid="{CB18EDB2-388B-4C87-AED1-FA3B84D21784}" name="AC 2033" totalsRowFunction="sum" dataDxfId="983" totalsRowDxfId="982"/>
    <tableColumn id="27" xr3:uid="{9B4894AA-1205-4599-9B4E-C7CAD468604F}" name="TR 2033" totalsRowFunction="sum" dataDxfId="981" totalsRowDxfId="980"/>
    <tableColumn id="28" xr3:uid="{780B96A3-E35F-4047-8A84-EE0FDB156B64}" name="AC 2034" totalsRowFunction="sum" dataDxfId="979" totalsRowDxfId="978"/>
    <tableColumn id="29" xr3:uid="{2C88290C-A85C-42AA-80CF-699D25F54FFB}" name="TR 2034" totalsRowFunction="sum" dataDxfId="977" totalsRowDxfId="976"/>
    <tableColumn id="33" xr3:uid="{AD98791E-12D4-469B-8F44-CE780B1FDB87}" name="AC 2035"/>
    <tableColumn id="55" xr3:uid="{81BB12C5-8F93-4E26-8353-3BD50BBE478A}" name="TR 2035"/>
    <tableColumn id="32" xr3:uid="{AB899254-AF85-441B-AF60-8D21B32ED4A9}" name="Total Projet" totalsRowFunction="sum" dataDxfId="975" totalsRowDxfId="974">
      <calculatedColumnFormula>SUM(Travaux_2026[[#This Row],[AC ANT]:[TR 2025]],Travaux_2026[[#This Row],[AC 2026]:[TR 2026]],Travaux_2026[[#This Row],[AC 2027]:[TR 2034]])</calculatedColumn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7AE09E-7922-44C3-A332-21BC2ED9644E}" name="Portefeuille_MNT_PPS_Access26" displayName="Portefeuille_MNT_PPS_Access26" ref="A18:BK157" totalsRowCount="1" headerRowDxfId="973">
  <autoFilter ref="A18:BK156" xr:uid="{9F04E8B0-9684-4F3F-8527-175E5EC6D67D}"/>
  <tableColumns count="63">
    <tableColumn id="49" xr3:uid="{DD7F815E-918E-4972-936D-1F07CC4B2A1A}" name="DES_COMPL_NATR_COMPB" dataDxfId="972"/>
    <tableColumn id="44" xr3:uid="{64E83555-801F-46D6-B22A-560794836546}" name="NUM_PRIRT_DG"/>
    <tableColumn id="1" xr3:uid="{16936B0C-1036-4FA4-B9E1-C03C211AEC01}" name="Axe"/>
    <tableColumn id="3" xr3:uid="{E664A2B0-CE16-40C7-8355-D8D6B18CE8C9}" name="Catégorie Investissement"/>
    <tableColumn id="4" xr3:uid="{8356B489-A784-4909-98D7-09D887A8CCFA}" name="Type Infrastructure"/>
    <tableColumn id="5" xr3:uid="{09DEEFFB-DAB6-40A9-8D26-765C05B4D06C}" name="Gérant projet"/>
    <tableColumn id="35" xr3:uid="{11C6A63A-837E-41A4-9464-C7805A4C762A}" name="État Composante AC"/>
    <tableColumn id="36" xr3:uid="{9E0C64B3-DD28-46CF-9B46-22A914CFBCF6}" name="État Composante TR"/>
    <tableColumn id="2" xr3:uid="{DFE92006-2A9E-4242-BBA1-9C9A3B8309B5}" name="Région" dataDxfId="971"/>
    <tableColumn id="37" xr3:uid="{BEF12F55-A98B-4477-B4FA-63BFEB5893AB}" name="Numéro projet" totalsRowFunction="count" dataDxfId="970"/>
    <tableColumn id="57" xr3:uid="{6A2A3783-564C-4DCD-842C-3254ADF4F99B}" name="Titre projet" dataDxfId="969"/>
    <tableColumn id="30" xr3:uid="{9D03C275-95BD-420E-B162-DE6A1E82386E}" name="Localisation" dataDxfId="968"/>
    <tableColumn id="45" xr3:uid="{1111066F-9196-4076-9212-F5F3907E6C3C}" name="Année DÉBUT Travaux prévu" dataDxfId="967">
      <calculatedColumnFormula>_xlfn.XLOOKUP(Portefeuille_MNT_PPS_Access26[[#This Row],[Numéro projet]], Portefeuille_MNT_PPS_Access20[Numéro projet], Portefeuille_MNT_PPS_Access20[Année DÉBUT Travaux prévu], "")</calculatedColumnFormula>
    </tableColumn>
    <tableColumn id="59" xr3:uid="{3ECA23B3-5279-4104-A4F1-6ECE9365F97B}" name="Année DÉBUT Travaux proposée" dataDxfId="966"/>
    <tableColumn id="50" xr3:uid="{F185BB14-9D8B-4EFE-948F-698C18CCB8DD}" name="Diff année" dataDxfId="965">
      <calculatedColumnFormula>Portefeuille_MNT_PPS_Access26[[#This Row],[Année DÉBUT Travaux proposée]]-Portefeuille_MNT_PPS_Access26[[#This Row],[Année DÉBUT Travaux prévu]]</calculatedColumnFormula>
    </tableColumn>
    <tableColumn id="7" xr3:uid="{62C63B90-12EE-4073-BDC6-4051FB0ECEB8}" name="État avancement" dataDxfId="964"/>
    <tableColumn id="38" xr3:uid="{97558958-54E8-4F57-A376-673421B6DC6A}" name="PC-1" dataDxfId="963"/>
    <tableColumn id="39" xr3:uid="{398A1909-4E46-40C2-8ECC-9D090CC6C5FF}" name="PC-3" dataDxfId="962"/>
    <tableColumn id="40" xr3:uid="{2212D335-F440-4997-A213-331E9FF2770B}" name="PC-5" dataDxfId="961"/>
    <tableColumn id="66" xr3:uid="{F4181394-C843-4137-896A-6D9324349F7E}" name="OPC-1" dataDxfId="960">
      <calculatedColumnFormula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calculatedColumnFormula>
    </tableColumn>
    <tableColumn id="65" xr3:uid="{7D371DE5-41E3-4770-A816-4A3DDEBEC6E2}" name="OPC PC-3" dataDxfId="959">
      <calculatedColumnFormula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calculatedColumnFormula>
    </tableColumn>
    <tableColumn id="64" xr3:uid="{ACEAC89E-D348-4AB1-A63D-5DEC43A8036F}" name="OPC PC-5" dataDxfId="958">
      <calculatedColumnFormula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calculatedColumnFormula>
    </tableColumn>
    <tableColumn id="63" xr3:uid="{439CADD0-ED5E-43B2-8E9D-8F8D89AADFED}" name="Délais PC1 et PC3" dataDxfId="957">
      <calculatedColumnFormula xml:space="preserve"> (YEAR(Portefeuille_MNT_PPS_Access26[[#This Row],[PC-3]]) - YEAR(Portefeuille_MNT_PPS_Access26[[#This Row],[PC-1]])) * 12 + MONTH(Portefeuille_MNT_PPS_Access26[[#This Row],[PC-3]]) - MONTH(Portefeuille_MNT_PPS_Access26[[#This Row],[PC-1]])</calculatedColumnFormula>
    </tableColumn>
    <tableColumn id="62" xr3:uid="{E8AF432E-F091-42DF-BE8F-1614358282E6}" name="Délais PC3 et PC5" dataDxfId="956">
      <calculatedColumnFormula xml:space="preserve"> (YEAR(Portefeuille_MNT_PPS_Access26[[#This Row],[PC-5]]) - YEAR(Portefeuille_MNT_PPS_Access26[[#This Row],[PC-3]])) * 12 + MONTH(Portefeuille_MNT_PPS_Access26[[#This Row],[PC-5]]) - MONTH(Portefeuille_MNT_PPS_Access26[[#This Row],[PC-3]])</calculatedColumnFormula>
    </tableColumn>
    <tableColumn id="51" xr3:uid="{EB334C46-EF99-4DB1-BD22-15F6BA0A3D6C}" name="Délais total PC3 et PC5" dataDxfId="955">
      <calculatedColumnFormula>Portefeuille_MNT_PPS_Access26[[#This Row],[Délais PC1 et PC3]]+Portefeuille_MNT_PPS_Access26[[#This Row],[Délais PC3 et PC5]]</calculatedColumnFormula>
    </tableColumn>
    <tableColumn id="31" xr3:uid="{1B3BEEB9-2053-4848-B8DD-89A614D224EA}" name="IND_PROJT_ANNONCE" dataDxfId="954"/>
    <tableColumn id="43" xr3:uid="{090D052D-7729-4C9B-9E89-3E644B1FA341}" name="IND_PC5_TR2025" dataDxfId="953"/>
    <tableColumn id="58" xr3:uid="{8FB966FF-A870-4AD9-95F9-313829C0A9FC}" name="Critère PC Atteint" dataDxfId="952">
      <calculatedColumnFormula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calculatedColumnFormula>
    </tableColumn>
    <tableColumn id="47" xr3:uid="{24F020F0-4870-4FC5-A24C-937F08B71E71}" name="Site prioritaire" dataDxfId="951">
      <calculatedColumnFormula>_xlfn.XLOOKUP(Portefeuille_MNT_PPS_Access26[[#This Row],[Numéro projet]],Tableau5[Numéro projet],Tableau5[IND_Site_Prioritaire])</calculatedColumnFormula>
    </tableColumn>
    <tableColumn id="33" xr3:uid="{4EB88C83-D643-40BF-B8A3-DA5FD9B8AC62}" name="Critère Etat Infrastructure" dataDxfId="950">
      <calculatedColumnFormula>_xlfn.XLOOKUP(Portefeuille_MNT_PPS_Access26[[#This Row],[Numéro projet]],Tableau5[Numéro projet],Tableau5[Critère Etat Infrastructure])</calculatedColumnFormula>
    </tableColumn>
    <tableColumn id="61" xr3:uid="{857EF218-D2EF-4949-AEB8-A8D5427396CC}" name="Priorité Programmation" dataDxfId="949">
      <calculatedColumnFormula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calculatedColumnFormula>
    </tableColumn>
    <tableColumn id="42" xr3:uid="{7AFAB332-3D0B-47B0-8B3E-535353EED0F6}" name="IND_PC3_TR2026" dataDxfId="948"/>
    <tableColumn id="41" xr3:uid="{9FE58898-CBA2-48EB-8EBF-96BA536D4506}" name="IND_PC1_AC2025" dataDxfId="947"/>
    <tableColumn id="6" xr3:uid="{D278829C-CA5B-466F-A005-7E6D3E7D36A3}" name="IND_Etat_avancement" dataDxfId="946"/>
    <tableColumn id="72" xr3:uid="{1AD01417-0A44-4248-9DBF-973EB43A1472}" name="IND_Parachèvement" dataDxfId="945"/>
    <tableColumn id="73" xr3:uid="{BD84BA20-8A19-44A4-83DF-2A5EEE730AF4}" name="Colonne1" dataDxfId="944" totalsRowDxfId="943"/>
    <tableColumn id="78" xr3:uid="{B6564E38-10F0-4368-9F87-2582A4E2D8C8}" name="AC ANT" totalsRowFunction="sum" dataDxfId="942" totalsRowDxfId="941"/>
    <tableColumn id="34" xr3:uid="{B32148C8-39AA-46CB-9695-60A1F0304C96}" name="TR ANT" totalsRowFunction="sum" dataDxfId="940" totalsRowDxfId="939"/>
    <tableColumn id="8" xr3:uid="{0EFB722F-073A-40C2-897D-25ECF49E8876}" name="AC 2024" totalsRowFunction="sum" dataDxfId="938" totalsRowDxfId="937"/>
    <tableColumn id="9" xr3:uid="{E153B62E-76DC-439D-BBC4-B1AFCDD53B55}" name="TR 2024" totalsRowFunction="sum" dataDxfId="936" totalsRowDxfId="935"/>
    <tableColumn id="10" xr3:uid="{B4F739DA-CA0A-4B7E-B91C-06829C474F7A}" name="AC 2025" totalsRowFunction="sum" dataDxfId="934" totalsRowDxfId="933"/>
    <tableColumn id="11" xr3:uid="{D2FB1437-90D3-449A-9A9D-7C3D0AD73754}" name="TR 2025" totalsRowFunction="sum" dataDxfId="932" totalsRowDxfId="931"/>
    <tableColumn id="12" xr3:uid="{4B9FC437-4F2B-4009-9E09-EC6D9E4CA087}" name="AC 2026" totalsRowFunction="sum" dataDxfId="930" totalsRowDxfId="929"/>
    <tableColumn id="13" xr3:uid="{37CB80B5-DF5F-4C00-AFA1-F11F5248587A}" name="TR 2026" totalsRowFunction="sum" dataDxfId="928" totalsRowDxfId="927"/>
    <tableColumn id="14" xr3:uid="{BB94B310-4277-486E-B72C-A42065275B2F}" name="AC 2027" totalsRowFunction="sum" dataDxfId="926" totalsRowDxfId="925"/>
    <tableColumn id="15" xr3:uid="{934946A7-A4CB-4996-AFA3-1D7771FD6512}" name="TR 2027" totalsRowFunction="sum" dataDxfId="924" totalsRowDxfId="923"/>
    <tableColumn id="16" xr3:uid="{0F71337A-07EE-4EA2-AE49-0445C621457A}" name="AC 2028" totalsRowFunction="sum" dataDxfId="922" totalsRowDxfId="921"/>
    <tableColumn id="17" xr3:uid="{A8466960-A42A-4B9F-B21F-A2E361E90A88}" name="TR 2028" totalsRowFunction="sum" dataDxfId="920" totalsRowDxfId="919"/>
    <tableColumn id="18" xr3:uid="{9D280B16-C84B-4F05-8FDB-C4C8E74218BA}" name="AC 2029" totalsRowFunction="sum" dataDxfId="918" totalsRowDxfId="917"/>
    <tableColumn id="19" xr3:uid="{7DC92C95-3589-4B18-A1F1-623066684CAE}" name="TR 2029" totalsRowFunction="sum" dataDxfId="916" totalsRowDxfId="915"/>
    <tableColumn id="20" xr3:uid="{B48BBDDE-A0EF-4F08-99C3-1E3650E0916A}" name="AC 2030" totalsRowFunction="sum" dataDxfId="914" totalsRowDxfId="913"/>
    <tableColumn id="21" xr3:uid="{61829DFE-C6AB-47C8-9EDD-A817F1225CC6}" name="TR 2030" totalsRowFunction="sum" dataDxfId="912" totalsRowDxfId="911"/>
    <tableColumn id="22" xr3:uid="{40E638D9-5FEA-4D55-BA5D-30AE7256A94C}" name="AC 2031" totalsRowFunction="sum" dataDxfId="910" totalsRowDxfId="909"/>
    <tableColumn id="23" xr3:uid="{FB702533-D395-42D5-8400-7D82F67C27AA}" name="TR 2031" totalsRowFunction="sum" dataDxfId="908" totalsRowDxfId="907"/>
    <tableColumn id="24" xr3:uid="{0DEFA873-E21F-4FB3-80D3-98DF8CEF9DB3}" name="AC 2032" totalsRowFunction="sum" dataDxfId="906" totalsRowDxfId="905"/>
    <tableColumn id="25" xr3:uid="{F7816AF5-293E-4152-9386-CBE65374D4BE}" name="TR 2032" totalsRowFunction="sum" dataDxfId="904" totalsRowDxfId="903"/>
    <tableColumn id="26" xr3:uid="{CE7A9B38-8A27-40E6-875E-F0B2B30C3EA6}" name="AC 2033" totalsRowFunction="sum" dataDxfId="902" totalsRowDxfId="901"/>
    <tableColumn id="27" xr3:uid="{E6EBDD23-E418-4663-9055-C0E1E37C3F94}" name="TR 2033" totalsRowFunction="sum" dataDxfId="900" totalsRowDxfId="899"/>
    <tableColumn id="28" xr3:uid="{A2FF85E7-B549-49D3-8FE9-A3D31CE66995}" name="AC 2034" totalsRowFunction="sum" dataDxfId="898" totalsRowDxfId="897"/>
    <tableColumn id="29" xr3:uid="{A44FED6C-4B0E-49A1-B7D5-1051AEC7FE87}" name="TR 2034" totalsRowFunction="sum" dataDxfId="896" totalsRowDxfId="895"/>
    <tableColumn id="46" xr3:uid="{938B3F9D-70EF-4AA2-B916-9E93C2A8E175}" name="AC 2035" totalsRowFunction="sum" dataDxfId="894" totalsRowDxfId="893"/>
    <tableColumn id="48" xr3:uid="{67B85007-06E5-4129-8EB1-DF69389AA7FE}" name="TR 2035" totalsRowFunction="sum" dataDxfId="892" totalsRowDxfId="891"/>
    <tableColumn id="32" xr3:uid="{B63C82A0-7463-4EF3-8DFA-721CCB79FBBF}" name="Total Projet" totalsRowFunction="sum" dataDxfId="890" totalsRowDxfId="889">
      <calculatedColumnFormula>SUM(Portefeuille_MNT_PPS_Access26[[#This Row],[AC ANT]:[TR 2035]])</calculatedColumnFormula>
    </tableColumn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A56404-24EF-451B-A34E-FF482C590A55}" name="Portefeuille_MNT_PPS_Access28" displayName="Portefeuille_MNT_PPS_Access28" ref="A18:BI157" totalsRowCount="1" headerRowDxfId="888">
  <autoFilter ref="A18:BI156" xr:uid="{9F04E8B0-9684-4F3F-8527-175E5EC6D67D}"/>
  <tableColumns count="61">
    <tableColumn id="49" xr3:uid="{151EEE51-74C9-46BA-934B-3B79DC0AF391}" name="DES_COMPL_NATR_COMPB" dataDxfId="887"/>
    <tableColumn id="58" xr3:uid="{44771E77-4A28-44A6-AC44-8F516C1BA47F}" name="TYPE_INVEST_SCT" dataDxfId="886"/>
    <tableColumn id="44" xr3:uid="{F21D1533-9F64-4B94-B9B4-B50D41AB166C}" name="NUM_PRIRT_DG"/>
    <tableColumn id="1" xr3:uid="{BB573A31-8ABC-4BFD-BA0A-1F147A919830}" name="Axe"/>
    <tableColumn id="3" xr3:uid="{7DC25105-1798-4B85-B43B-86317C3D7D55}" name="Catégorie Investissement"/>
    <tableColumn id="4" xr3:uid="{EDA90E5D-F14B-4DCE-AE08-02B213937D24}" name="Type Infrastructure"/>
    <tableColumn id="5" xr3:uid="{54F60669-F034-449C-A85E-53A7482F3CD1}" name="Gérant projet"/>
    <tableColumn id="35" xr3:uid="{6E9924C7-69A4-4222-8881-A98BDCDF22CA}" name="État Composante AC"/>
    <tableColumn id="36" xr3:uid="{1DCF2CEA-862F-422F-B40A-428BB8AA1B21}" name="État Composante TR"/>
    <tableColumn id="2" xr3:uid="{8A81F381-8AC8-4F28-A375-6BF3426A433F}" name="Région" dataDxfId="885"/>
    <tableColumn id="37" xr3:uid="{BCCF3308-60E8-4A01-8229-97AAA53CC504}" name="Numéro projet" totalsRowFunction="count" dataDxfId="884"/>
    <tableColumn id="57" xr3:uid="{D1A60671-53B0-46B0-AC22-6D0183A6DA88}" name="Titre projet" dataDxfId="883"/>
    <tableColumn id="30" xr3:uid="{FF196533-1E52-4F89-86DD-95173AE3A08C}" name="Localisation" dataDxfId="882"/>
    <tableColumn id="33" xr3:uid="{E5BBE338-0CAF-4D9F-A580-9DFC25E5B63F}" name="Année DÉBUT Travaux Prog actuel" dataDxfId="881">
      <calculatedColumnFormula>_xlfn.XLOOKUP(Portefeuille_MNT_PPS_Access28[[#This Row],[Numéro projet]], Portefeuille_MNT_PPS_Access20[Numéro projet], Portefeuille_MNT_PPS_Access20[Année DÉBUT Travaux prévu], "")</calculatedColumnFormula>
    </tableColumn>
    <tableColumn id="59" xr3:uid="{FBF001EB-BC42-4DA7-ABC2-6400EACA5DA5}" name="Année DÉBUT Travaux proposé" dataDxfId="880"/>
    <tableColumn id="41" xr3:uid="{AD54968F-5367-4C7A-8DFF-C637034D1450}" name="Diff Année" dataDxfId="879">
      <calculatedColumnFormula>Portefeuille_MNT_PPS_Access28[[#This Row],[Année DÉBUT Travaux proposé]]-Portefeuille_MNT_PPS_Access28[[#This Row],[Année DÉBUT Travaux Prog actuel]]</calculatedColumnFormula>
    </tableColumn>
    <tableColumn id="7" xr3:uid="{DDE0C4AA-0C5E-4D0A-8F69-1BB8A0F01A9A}" name="État avancement" dataDxfId="878"/>
    <tableColumn id="38" xr3:uid="{618314D5-02E3-4461-967C-B52D13C17113}" name="PC-1" dataDxfId="877"/>
    <tableColumn id="39" xr3:uid="{A6E3B2B3-DDDD-404B-AFC4-3649427F3BB2}" name="PC-3" dataDxfId="876"/>
    <tableColumn id="40" xr3:uid="{1DC1FA13-7AC8-4719-A00A-39FF9D5D2B5F}" name="PC-5" dataDxfId="875"/>
    <tableColumn id="73" xr3:uid="{DB45F8B2-9A82-432F-95FC-62F101A35989}" name="OPC-1" dataDxfId="874">
      <calculatedColumnFormula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calculatedColumnFormula>
    </tableColumn>
    <tableColumn id="72" xr3:uid="{9A1646ED-F6D5-4DF0-A6DF-262AD170E40B}" name="OPC PC-3" dataDxfId="873">
      <calculatedColumnFormula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calculatedColumnFormula>
    </tableColumn>
    <tableColumn id="71" xr3:uid="{1130C2D9-7781-4E26-ACB6-78FB800B6201}" name="OPC PC-5" dataDxfId="872">
      <calculatedColumnFormula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calculatedColumnFormula>
    </tableColumn>
    <tableColumn id="70" xr3:uid="{D0D88611-9CC3-4E02-9A8A-A1DB5BE1C77F}" name="Délais PC1 et PC3" dataDxfId="871">
      <calculatedColumnFormula xml:space="preserve"> (YEAR(Portefeuille_MNT_PPS_Access28[[#This Row],[PC-3]]) - YEAR(Portefeuille_MNT_PPS_Access28[[#This Row],[PC-1]])) * 12 + MONTH(Portefeuille_MNT_PPS_Access28[[#This Row],[PC-3]]) - MONTH(Portefeuille_MNT_PPS_Access28[[#This Row],[PC-1]])</calculatedColumnFormula>
    </tableColumn>
    <tableColumn id="69" xr3:uid="{AECACF6F-E88F-4A3C-83F5-6F406536AD61}" name="Délais PC3 et PC5" dataDxfId="870">
      <calculatedColumnFormula xml:space="preserve"> (YEAR(Portefeuille_MNT_PPS_Access28[[#This Row],[PC-5]]) - YEAR(Portefeuille_MNT_PPS_Access28[[#This Row],[PC-3]])) * 12 + MONTH(Portefeuille_MNT_PPS_Access28[[#This Row],[PC-5]]) - MONTH(Portefeuille_MNT_PPS_Access28[[#This Row],[PC-3]])</calculatedColumnFormula>
    </tableColumn>
    <tableColumn id="68" xr3:uid="{542A8FB4-3B3E-46DB-BA2B-C2C883EEFBD2}" name="Délais total PC3 et PC5" dataDxfId="869">
      <calculatedColumnFormula>Portefeuille_MNT_PPS_Access28[[#This Row],[Délais PC1 et PC3]]+Portefeuille_MNT_PPS_Access28[[#This Row],[Délais PC3 et PC5]]</calculatedColumnFormula>
    </tableColumn>
    <tableColumn id="45" xr3:uid="{365A0E0E-1DFA-4E43-9EEA-D7CEFE52E14F}" name="IND_PARA_25-26"/>
    <tableColumn id="50" xr3:uid="{C501891A-9C15-4233-B6AC-959ABC796220}" name="IND_PROJT_ANNONCE_25-27"/>
    <tableColumn id="31" xr3:uid="{5754868C-361A-4FE3-9AED-34A2ACAAE63B}" name="INDICE OPC"/>
    <tableColumn id="6" xr3:uid="{377E35F4-7DED-4C14-B792-AFBE9A84CA7E}" name="IND_Etat_avancement" dataDxfId="868"/>
    <tableColumn id="52" xr3:uid="{DA673482-9E13-4DAA-BC1F-361ACE349A77}" name="IND_SITE_PRIO_2024"/>
    <tableColumn id="76" xr3:uid="{0D1D5932-D14D-4952-B885-F9073FB957BB}" name="Critère Etat Infrastructure" dataDxfId="867">
      <calculatedColumnFormula>_xlfn.XLOOKUP(Portefeuille_MNT_PPS_Access28[[#This Row],[Numéro projet]],Portefeuille_MNT_PPS_Access27[Numéro projet],Portefeuille_MNT_PPS_Access27[Critère Etat Infrastructure])</calculatedColumnFormula>
    </tableColumn>
    <tableColumn id="75" xr3:uid="{A4EC0460-37C5-47E3-A45C-01EE2498F16F}" name="Priorité Programmation" dataDxfId="866">
      <calculatedColumnFormula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calculatedColumnFormula>
    </tableColumn>
    <tableColumn id="74" xr3:uid="{8E77EC8D-5DC1-485A-911C-20D685F370F5}" name="Colonne1" dataDxfId="865" totalsRowDxfId="864"/>
    <tableColumn id="78" xr3:uid="{2535697D-5B5C-4429-82C3-55171F9DC1D5}" name="AC ANT" totalsRowFunction="sum" dataDxfId="863" totalsRowDxfId="862"/>
    <tableColumn id="34" xr3:uid="{AE5A7DF9-41D2-4A3A-AB57-06EA26872004}" name="TR ANT" totalsRowFunction="sum" dataDxfId="861" totalsRowDxfId="860"/>
    <tableColumn id="8" xr3:uid="{11FBA69B-B5A6-4767-821E-FCC54517662E}" name="AC 2024" totalsRowFunction="sum" dataDxfId="859" totalsRowDxfId="858"/>
    <tableColumn id="9" xr3:uid="{12EFB063-0575-4994-9D81-E710AE65805E}" name="TR 2024" totalsRowFunction="sum" dataDxfId="857" totalsRowDxfId="856"/>
    <tableColumn id="10" xr3:uid="{8748C3D5-FD0B-42C1-AA7A-7736F060BDC0}" name="AC 2025" totalsRowFunction="sum" dataDxfId="855" totalsRowDxfId="854"/>
    <tableColumn id="11" xr3:uid="{3116EF92-9F6B-43B3-BFE6-364C8C040418}" name="TR 2025" totalsRowFunction="sum" dataDxfId="853" totalsRowDxfId="852"/>
    <tableColumn id="12" xr3:uid="{8FFFBB1B-99CC-4FFF-9C4C-5CE2DDA0D27B}" name="AC 2026" totalsRowFunction="sum" dataDxfId="851" totalsRowDxfId="850"/>
    <tableColumn id="13" xr3:uid="{9FD80D63-1845-491B-B5EF-6DBAA4C022C2}" name="TR 2026" totalsRowFunction="sum" dataDxfId="849" totalsRowDxfId="848"/>
    <tableColumn id="14" xr3:uid="{A4892EF9-D4CF-41F3-B41D-65E9DDBB12AB}" name="AC 2027" totalsRowFunction="sum" dataDxfId="847" totalsRowDxfId="846"/>
    <tableColumn id="15" xr3:uid="{483FE031-192E-4995-BAAA-90AE7B38BAAC}" name="TR 2027" totalsRowFunction="sum" dataDxfId="845" totalsRowDxfId="844"/>
    <tableColumn id="16" xr3:uid="{44F31F4C-449F-4C1F-8E84-2FBED9D8156B}" name="AC 2028" totalsRowFunction="sum" dataDxfId="843" totalsRowDxfId="842"/>
    <tableColumn id="17" xr3:uid="{7E186372-0DCF-43C4-97DB-ACC3144B48C5}" name="TR 2028" totalsRowFunction="sum" dataDxfId="841" totalsRowDxfId="840"/>
    <tableColumn id="18" xr3:uid="{53B421DC-9D8F-4B03-9784-F52EC0CE310B}" name="AC 2029" totalsRowFunction="sum" dataDxfId="839" totalsRowDxfId="838"/>
    <tableColumn id="19" xr3:uid="{85C7A588-D106-4B21-9E98-DE057AC59B9E}" name="TR 2029" totalsRowFunction="sum" dataDxfId="837" totalsRowDxfId="836"/>
    <tableColumn id="20" xr3:uid="{29FC3D6F-D5DD-4954-8994-E569925A5765}" name="AC 2030" totalsRowFunction="sum" dataDxfId="835" totalsRowDxfId="834"/>
    <tableColumn id="21" xr3:uid="{4A90F488-044E-460A-A878-AFA9F9872D0F}" name="TR 2030" totalsRowFunction="sum" dataDxfId="833" totalsRowDxfId="832"/>
    <tableColumn id="22" xr3:uid="{497D5BBA-5DB6-427D-AB22-1D558E9872C3}" name="AC 2031" totalsRowFunction="sum" dataDxfId="831" totalsRowDxfId="830"/>
    <tableColumn id="23" xr3:uid="{A81179C6-CEF4-4CC3-8E34-E0B14B839206}" name="TR 2031" totalsRowFunction="sum" dataDxfId="829" totalsRowDxfId="828"/>
    <tableColumn id="24" xr3:uid="{34305840-44AD-4ACC-8693-2615DC69E80C}" name="AC 2032" totalsRowFunction="sum" dataDxfId="827" totalsRowDxfId="826"/>
    <tableColumn id="25" xr3:uid="{E1F8593C-66BC-4093-B955-E2BBCAA27191}" name="TR 2032" totalsRowFunction="sum" dataDxfId="825" totalsRowDxfId="824"/>
    <tableColumn id="26" xr3:uid="{F5FE668F-AE55-40A8-AC1D-4A3124D52621}" name="AC 2033" totalsRowFunction="sum" dataDxfId="823" totalsRowDxfId="822"/>
    <tableColumn id="27" xr3:uid="{C48BF844-8AB5-46B3-8555-FC2AF2DB4C27}" name="TR 2033" totalsRowFunction="sum" dataDxfId="821" totalsRowDxfId="820"/>
    <tableColumn id="28" xr3:uid="{76E56A50-4A40-49C3-8BEF-6EE58C471DCC}" name="AC 2034" totalsRowFunction="sum" dataDxfId="819" totalsRowDxfId="818"/>
    <tableColumn id="29" xr3:uid="{1C977C8F-53D9-4D32-88E1-479F4994E96B}" name="TR 2034" totalsRowFunction="sum" dataDxfId="817" totalsRowDxfId="816"/>
    <tableColumn id="46" xr3:uid="{291839BA-9DED-4160-AC37-60336066D36E}" name="AC 2035" totalsRowFunction="sum" dataDxfId="815" totalsRowDxfId="814"/>
    <tableColumn id="48" xr3:uid="{21CF7B81-D5D7-42DC-BCB3-34D196DCE908}" name="TR 2035" totalsRowFunction="sum" dataDxfId="813" totalsRowDxfId="812"/>
    <tableColumn id="32" xr3:uid="{79C54F4A-D1E3-4D54-8FB2-CEB1C44C69A3}" name="Total Projet" totalsRowFunction="sum" dataDxfId="811" totalsRowDxfId="810">
      <calculatedColumnFormula>SUM(Portefeuille_MNT_PPS_Access28[[#This Row],[AC ANT]:[TR 2035]])</calculatedColumnFormula>
    </tableColumn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013D7CC-5696-49CC-94F5-DCD73D23D27F}" name="Portefeuille_MNT_PPS_Access29" displayName="Portefeuille_MNT_PPS_Access29" ref="A18:BI157" totalsRowCount="1" headerRowDxfId="809">
  <autoFilter ref="A18:BI156" xr:uid="{9F04E8B0-9684-4F3F-8527-175E5EC6D67D}">
    <filterColumn colId="12">
      <filters>
        <filter val="La Romaine"/>
      </filters>
    </filterColumn>
  </autoFilter>
  <sortState xmlns:xlrd2="http://schemas.microsoft.com/office/spreadsheetml/2017/richdata2" ref="A21:BI150">
    <sortCondition ref="O18:O156"/>
  </sortState>
  <tableColumns count="61">
    <tableColumn id="49" xr3:uid="{1D39E8C4-A5D7-4550-9301-ED6D004CAB2A}" name="DES_COMPL_NATR_COMPB" dataDxfId="808"/>
    <tableColumn id="58" xr3:uid="{55E4C787-37FF-405D-B842-995A3E915AB0}" name="TYPE_INVEST_SCT" dataDxfId="807"/>
    <tableColumn id="44" xr3:uid="{FCF8ED9F-D24A-4F43-8A3F-8C0994BF6DD1}" name="NUM_PRIRT_DG"/>
    <tableColumn id="1" xr3:uid="{9B16D3D0-6D36-4BE5-81B5-8EEA35A7608D}" name="Axe"/>
    <tableColumn id="3" xr3:uid="{7EEC13E0-3332-4547-829C-5927BBD9CF7B}" name="Catégorie Investissement"/>
    <tableColumn id="4" xr3:uid="{7B62B9CA-9123-429B-9B94-935131FC4B8F}" name="Type Infrastructure"/>
    <tableColumn id="5" xr3:uid="{BA010780-1A40-4D63-ACFA-98F5CCA245E7}" name="Gérant projet"/>
    <tableColumn id="35" xr3:uid="{ADC264F7-8026-45F2-BA89-349165DA340B}" name="État Composante AC"/>
    <tableColumn id="36" xr3:uid="{D337FC93-8216-4C37-AB63-DBA1A30AFE4E}" name="État Composante TR"/>
    <tableColumn id="2" xr3:uid="{1F43CCD9-15EB-4AF3-B9EB-858CCE0F6C4C}" name="Région" dataDxfId="806"/>
    <tableColumn id="37" xr3:uid="{107040DA-8152-4C09-B962-742A0FB80D66}" name="Numéro projet" totalsRowFunction="count" dataDxfId="805" totalsRowDxfId="804"/>
    <tableColumn id="57" xr3:uid="{93EE5839-FCAA-485C-B94F-4A921F715F8F}" name="Titre projet" totalsRowFunction="count" dataDxfId="803"/>
    <tableColumn id="30" xr3:uid="{C62113CD-852F-4194-BF57-769B994595A2}" name="Localisation" dataDxfId="802"/>
    <tableColumn id="33" xr3:uid="{C8AEFC18-808A-48DA-9B27-2749E99813E4}" name="Année DÉBUT Travaux prog actuelle" dataDxfId="801" totalsRowDxfId="800">
      <calculatedColumnFormula>_xlfn.XLOOKUP(Portefeuille_MNT_PPS_Access29[[#This Row],[Numéro projet]], Portefeuille_MNT_PPS_Access20[Numéro projet], Portefeuille_MNT_PPS_Access20[Année DÉBUT Travaux prévu], "")</calculatedColumnFormula>
    </tableColumn>
    <tableColumn id="59" xr3:uid="{494563FF-287A-447F-BA5C-578A0552DFC3}" name="Année DÉBUT Travaux proposé" dataDxfId="799"/>
    <tableColumn id="41" xr3:uid="{7BF21DC9-2072-4BDE-9F03-C8A7D24D0A2B}" name="Diff" dataDxfId="798">
      <calculatedColumnFormula>Portefeuille_MNT_PPS_Access29[[#This Row],[Année DÉBUT Travaux proposé]]-Portefeuille_MNT_PPS_Access29[[#This Row],[Année DÉBUT Travaux prog actuelle]]</calculatedColumnFormula>
    </tableColumn>
    <tableColumn id="7" xr3:uid="{44C6E337-F8CD-4931-8697-D96410DB802D}" name="État avancement" dataDxfId="797"/>
    <tableColumn id="38" xr3:uid="{9CFAE433-3F45-45C2-BF7F-27369C455813}" name="PC-1" dataDxfId="796"/>
    <tableColumn id="39" xr3:uid="{3206F1AB-5035-4898-8FA2-0AEC6B4F1396}" name="PC-3" dataDxfId="795"/>
    <tableColumn id="40" xr3:uid="{BE985420-E48A-4B8F-B501-6108F9A267D9}" name="PC-5" dataDxfId="794"/>
    <tableColumn id="73" xr3:uid="{F170B120-C8A1-4398-A14F-0F318B50ECD6}" name="OPC-1" dataDxfId="793">
      <calculatedColumnFormula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calculatedColumnFormula>
    </tableColumn>
    <tableColumn id="72" xr3:uid="{8A757822-3AC8-4734-B5E9-091C8196F075}" name="OPC PC-3" dataDxfId="792">
      <calculatedColumnFormula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calculatedColumnFormula>
    </tableColumn>
    <tableColumn id="71" xr3:uid="{D620744B-EB53-4D0D-B6A1-201789CED069}" name="OPC PC-5" dataDxfId="791">
      <calculatedColumnFormula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calculatedColumnFormula>
    </tableColumn>
    <tableColumn id="70" xr3:uid="{1EB49C45-5800-4E28-8782-96E870FC68FC}" name="Délais PC1 et PC3" dataDxfId="790">
      <calculatedColumnFormula xml:space="preserve"> (YEAR(Portefeuille_MNT_PPS_Access29[[#This Row],[PC-3]]) - YEAR(Portefeuille_MNT_PPS_Access29[[#This Row],[PC-1]])) * 12 + MONTH(Portefeuille_MNT_PPS_Access29[[#This Row],[PC-3]]) - MONTH(Portefeuille_MNT_PPS_Access29[[#This Row],[PC-1]])</calculatedColumnFormula>
    </tableColumn>
    <tableColumn id="69" xr3:uid="{27C89DCB-A3B7-43D5-8D05-3DD60E246274}" name="Délais PC3 et PC5" dataDxfId="789">
      <calculatedColumnFormula xml:space="preserve"> (YEAR(Portefeuille_MNT_PPS_Access29[[#This Row],[PC-5]]) - YEAR(Portefeuille_MNT_PPS_Access29[[#This Row],[PC-3]])) * 12 + MONTH(Portefeuille_MNT_PPS_Access29[[#This Row],[PC-5]]) - MONTH(Portefeuille_MNT_PPS_Access29[[#This Row],[PC-3]])</calculatedColumnFormula>
    </tableColumn>
    <tableColumn id="68" xr3:uid="{808777E4-8CA3-4790-BA3B-34E36B976359}" name="Délais total PC3 et PC5" dataDxfId="788">
      <calculatedColumnFormula>Portefeuille_MNT_PPS_Access29[[#This Row],[Délais PC1 et PC3]]+Portefeuille_MNT_PPS_Access29[[#This Row],[Délais PC3 et PC5]]</calculatedColumnFormula>
    </tableColumn>
    <tableColumn id="45" xr3:uid="{400832F2-8C9D-4E36-A829-F013787A80F3}" name="IND_PARA_25-26"/>
    <tableColumn id="50" xr3:uid="{86B9D281-C387-4D94-B046-4F2BF5CBA98D}" name="IND_PROJT_ANNONCE_25-27"/>
    <tableColumn id="31" xr3:uid="{11D03007-43AF-4C6B-8AD3-6DBB15318727}" name="INDICE OPC"/>
    <tableColumn id="6" xr3:uid="{A7C57570-E9BC-4A29-A412-F60E3764EC8E}" name="IND_Etat_avancement" dataDxfId="787"/>
    <tableColumn id="52" xr3:uid="{635C650F-04B7-466E-9063-B0AA0B5E8E16}" name="IND_SITE_PRIO_2024"/>
    <tableColumn id="76" xr3:uid="{18A2D3BD-61A1-40BF-A12D-9D28B74B8480}" name="Critère Etat Infrastructure" dataDxfId="786">
      <calculatedColumnFormula>_xlfn.XLOOKUP(Portefeuille_MNT_PPS_Access29[[#This Row],[Numéro projet]],Portefeuille_MNT_PPS_Access27[Numéro projet],Portefeuille_MNT_PPS_Access27[Critère Etat Infrastructure])</calculatedColumnFormula>
    </tableColumn>
    <tableColumn id="75" xr3:uid="{5578B3B4-615B-4980-9595-C594FA7CF7A3}" name="Priorité Programmation" dataDxfId="785">
      <calculatedColumnFormula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calculatedColumnFormula>
    </tableColumn>
    <tableColumn id="74" xr3:uid="{238927C6-74E0-42F6-96DF-568AD9E5C6AB}" name="Colonne1" dataDxfId="784" totalsRowDxfId="783"/>
    <tableColumn id="78" xr3:uid="{BC585E5D-879B-4C4E-9200-32DAF072B312}" name="AC ANT" totalsRowFunction="sum" dataDxfId="782" totalsRowDxfId="781"/>
    <tableColumn id="34" xr3:uid="{516FF12B-70F3-4BAB-8E6B-1ECA24A8CD68}" name="TR ANT" totalsRowFunction="sum" dataDxfId="780" totalsRowDxfId="779"/>
    <tableColumn id="8" xr3:uid="{4AB14909-5F77-4191-9E2C-4D94286A8A12}" name="AC 2024" totalsRowFunction="sum" dataDxfId="778" totalsRowDxfId="777"/>
    <tableColumn id="9" xr3:uid="{BFDF1631-E902-474C-B77E-947E5E6CCACB}" name="TR 2024" totalsRowFunction="sum" dataDxfId="776" totalsRowDxfId="775"/>
    <tableColumn id="10" xr3:uid="{F65F388F-141B-46E5-A20C-A00BFC6FD1C7}" name="AC 2025" totalsRowFunction="sum" dataDxfId="774" totalsRowDxfId="773"/>
    <tableColumn id="11" xr3:uid="{EA5DE2F9-222D-4A8F-9B41-EBC25BE0FE11}" name="TR 2025" totalsRowFunction="sum" dataDxfId="772" totalsRowDxfId="771"/>
    <tableColumn id="12" xr3:uid="{B558AA57-4D5E-43DE-9BEC-8B04803E9BD4}" name="AC 2026" totalsRowFunction="sum" dataDxfId="770" totalsRowDxfId="769"/>
    <tableColumn id="13" xr3:uid="{CAB17328-6EAC-48D6-8A94-89392FB60A1A}" name="TR 2026" totalsRowFunction="sum" dataDxfId="768" totalsRowDxfId="767"/>
    <tableColumn id="14" xr3:uid="{57F81CB3-016C-479F-B1BE-2116C0B667AA}" name="AC 2027" totalsRowFunction="sum" dataDxfId="766" totalsRowDxfId="765"/>
    <tableColumn id="15" xr3:uid="{5AD4259B-3BD7-4162-8E03-43F3024A461A}" name="TR 2027" totalsRowFunction="sum" dataDxfId="764" totalsRowDxfId="763"/>
    <tableColumn id="16" xr3:uid="{9D444552-81E0-4316-9684-DD0A7BEF6BC5}" name="AC 2028" totalsRowFunction="sum" dataDxfId="762" totalsRowDxfId="761"/>
    <tableColumn id="17" xr3:uid="{D30B856B-4C9C-497F-A738-A343FB60D43F}" name="TR 2028" totalsRowFunction="sum" dataDxfId="760" totalsRowDxfId="759"/>
    <tableColumn id="18" xr3:uid="{85E5651A-AFF6-4D73-BF2D-CD5714D3BB3E}" name="AC 2029" totalsRowFunction="sum" dataDxfId="758" totalsRowDxfId="757"/>
    <tableColumn id="19" xr3:uid="{4BB3DCE6-519E-45D3-8B7A-AE3636AC250D}" name="TR 2029" totalsRowFunction="sum" dataDxfId="756" totalsRowDxfId="755"/>
    <tableColumn id="20" xr3:uid="{9B656879-B34B-4EFF-BEDF-7E179FFAD139}" name="AC 2030" totalsRowFunction="sum" dataDxfId="754" totalsRowDxfId="753"/>
    <tableColumn id="21" xr3:uid="{803AE54D-9F1F-4072-A6A5-AC1F6804B707}" name="TR 2030" totalsRowFunction="sum" dataDxfId="752" totalsRowDxfId="751"/>
    <tableColumn id="22" xr3:uid="{62434BDB-86FE-4D47-92AE-F160B81A9D04}" name="AC 2031" totalsRowFunction="sum" dataDxfId="750" totalsRowDxfId="749"/>
    <tableColumn id="23" xr3:uid="{8F878F41-F36E-42A9-967A-F1B435A21BAD}" name="TR 2031" totalsRowFunction="sum" dataDxfId="748" totalsRowDxfId="747"/>
    <tableColumn id="24" xr3:uid="{BF20A334-B8C7-47AC-A686-DFB5C4D8B5F7}" name="AC 2032" totalsRowFunction="sum" dataDxfId="746" totalsRowDxfId="745"/>
    <tableColumn id="25" xr3:uid="{F697EAB0-B8BF-481A-ACE0-DE02437FE856}" name="TR 2032" totalsRowFunction="sum" dataDxfId="744" totalsRowDxfId="743"/>
    <tableColumn id="26" xr3:uid="{0E38054B-8E80-4A9C-BE03-D87FC19F2470}" name="AC 2033" totalsRowFunction="sum" dataDxfId="742" totalsRowDxfId="741"/>
    <tableColumn id="27" xr3:uid="{607A0067-875E-414C-8674-6B67DDA1A8E3}" name="TR 2033" totalsRowFunction="sum" dataDxfId="740" totalsRowDxfId="739"/>
    <tableColumn id="28" xr3:uid="{39094ECC-242B-4585-B4B5-3BE257FE7DA8}" name="AC 2034" totalsRowFunction="sum" dataDxfId="738" totalsRowDxfId="737"/>
    <tableColumn id="29" xr3:uid="{5B966889-D635-4231-A5C8-39701149E574}" name="TR 2034" totalsRowFunction="sum" dataDxfId="736" totalsRowDxfId="735"/>
    <tableColumn id="46" xr3:uid="{51D5C028-3BCA-46F4-A8F2-AA26229A0B59}" name="AC 2035" totalsRowFunction="sum" dataDxfId="734" totalsRowDxfId="733"/>
    <tableColumn id="48" xr3:uid="{BEB06096-5571-4603-A0B2-B7565AD0BCC6}" name="TR 2035" totalsRowFunction="sum" dataDxfId="732" totalsRowDxfId="731"/>
    <tableColumn id="32" xr3:uid="{E88ABFF1-417B-4A64-9E69-920EC28BAC02}" name="Total Projet" totalsRowFunction="sum" dataDxfId="730" totalsRowDxfId="729">
      <calculatedColumnFormula>SUM(Portefeuille_MNT_PPS_Access29[[#This Row],[AC ANT]:[TR 2035]])</calculatedColumnFormula>
    </tableColumn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8346C29-A928-46B4-B56B-9DC544CBD6A5}" name="Portefeuille_MNT_PPS_Access30" displayName="Portefeuille_MNT_PPS_Access30" ref="A18:BK158" totalsRowCount="1" headerRowDxfId="728">
  <autoFilter ref="A18:BK157" xr:uid="{9F04E8B0-9684-4F3F-8527-175E5EC6D67D}">
    <filterColumn colId="11">
      <filters>
        <filter val="Acquisition et installation de systèmes d'extraction des gaz d'échappements dans divers aéroports du Nunavik"/>
        <filter val="Construction d'une nouvelle aérogare à Matagami"/>
        <filter val="Rechargement de piste, remplacement du balisage et divers travaux à Kuujjuarapik"/>
        <filter val="Réfection de clôtures à l'aéroport de La Romaine"/>
        <filter val="Réfection des voies A, D, E, des aires de trafics nord et sud, et travaux divers à l'aérport de Chicoutimi/St-Honoré"/>
        <filter val="Réparation du système de traitement des eaux à Chibougamau"/>
      </filters>
    </filterColumn>
    <filterColumn colId="43">
      <customFilters>
        <customFilter operator="notEqual" val=" "/>
      </customFilters>
    </filterColumn>
    <filterColumn colId="45">
      <filters>
        <filter val="3991"/>
        <filter val="7263"/>
        <filter val="8254"/>
      </filters>
    </filterColumn>
  </autoFilter>
  <tableColumns count="63">
    <tableColumn id="49" xr3:uid="{FD57CE02-6762-4CC4-9C30-EB511B3D9138}" name="DES_COMPL_NATR_COMPB" dataDxfId="727"/>
    <tableColumn id="58" xr3:uid="{58DB14F5-0E8B-4D33-A73C-1761B8185FAD}" name="TYPE_INVEST_SCT" dataDxfId="726"/>
    <tableColumn id="44" xr3:uid="{852E7035-7A98-4940-8993-B8C4950624D0}" name="NUM_PRIRT_DG"/>
    <tableColumn id="1" xr3:uid="{26737659-8E3D-4214-B73F-0BA085C58704}" name="Axe"/>
    <tableColumn id="3" xr3:uid="{5E2083CF-36E1-4BE4-917C-EDD8E08FA055}" name="Catégorie Investissement"/>
    <tableColumn id="4" xr3:uid="{4FBCDE6B-8BC5-4DAC-A5E4-EEFAF73EC0C8}" name="Type Infrastructure"/>
    <tableColumn id="5" xr3:uid="{E4A47A3E-033F-4ED2-8352-E304F5D24AC7}" name="Gérant projet"/>
    <tableColumn id="35" xr3:uid="{6903FA8F-174E-4A8F-8CB6-9AAA027097A8}" name="État Composante AC"/>
    <tableColumn id="36" xr3:uid="{ADAAA0E1-EC07-428E-8251-645AC96842A6}" name="État Composante TR"/>
    <tableColumn id="2" xr3:uid="{4D36E787-712E-4ADB-AF71-0E7022B5B62B}" name="Région" dataDxfId="725"/>
    <tableColumn id="37" xr3:uid="{D379EDCE-D124-46EF-9C8F-6D229CCBDBBD}" name="Numéro projet" totalsRowFunction="count" dataDxfId="724"/>
    <tableColumn id="57" xr3:uid="{2CC06666-D833-4891-A2B9-1822738BD787}" name="Titre projet" dataDxfId="723"/>
    <tableColumn id="30" xr3:uid="{674B1939-8DC1-43A4-9F64-2661B3FC8594}" name="Localisation" dataDxfId="722"/>
    <tableColumn id="41" xr3:uid="{0BCFEE49-7AC0-44AB-8BEE-2CD99CDD8E3A}" name="Année DÉBUT Travaux prog actuelle" dataDxfId="721">
      <calculatedColumnFormula>_xlfn.XLOOKUP(Portefeuille_MNT_PPS_Access30[[#This Row],[Numéro projet]], Portefeuille_MNT_PPS_Access20[Numéro projet], Portefeuille_MNT_PPS_Access20[Année DÉBUT Travaux prévu], "")</calculatedColumnFormula>
    </tableColumn>
    <tableColumn id="59" xr3:uid="{CA74BD10-B845-46A3-A2C6-F7B0E1EB7E3C}" name="Année DÉBUT Travaux proposé" dataDxfId="720"/>
    <tableColumn id="42" xr3:uid="{DC939503-877A-4FC4-A445-F388DBF6DF02}" name="Diff" dataDxfId="719">
      <calculatedColumnFormula>Portefeuille_MNT_PPS_Access30[[#This Row],[Année DÉBUT Travaux proposé]]-Portefeuille_MNT_PPS_Access30[[#This Row],[Année DÉBUT Travaux prog actuelle]]</calculatedColumnFormula>
    </tableColumn>
    <tableColumn id="33" xr3:uid="{AC85584A-8DD4-4CFC-84CE-8677E051667E}" name="Année prog actuelle à jour" dataDxfId="718">
      <calculatedColumnFormula>_xlfn.XLOOKUP(Portefeuille_MNT_PPS_Access30[[#This Row],[Numéro projet]],#REF!,#REF!, "")</calculatedColumnFormula>
    </tableColumn>
    <tableColumn id="43" xr3:uid="{898DDA74-E750-4D59-92BA-204D88E48B3D}" name="Diff 2" dataDxfId="717">
      <calculatedColumnFormula>Portefeuille_MNT_PPS_Access30[[#This Row],[Année prog actuelle à jour]]-Portefeuille_MNT_PPS_Access30[[#This Row],[Année DÉBUT Travaux proposé]]</calculatedColumnFormula>
    </tableColumn>
    <tableColumn id="7" xr3:uid="{37E63A93-D663-4FF7-9ADB-720B92575F34}" name="État avancement" dataDxfId="716"/>
    <tableColumn id="38" xr3:uid="{84DFE8DF-D56A-44A1-9715-D2BBCD14C456}" name="PC-1" dataDxfId="715"/>
    <tableColumn id="39" xr3:uid="{1137E3D1-2231-465E-9625-DDC404224825}" name="PC-3" dataDxfId="714"/>
    <tableColumn id="40" xr3:uid="{5EB5F578-DC2E-4119-9BFD-F95EEE58A906}" name="PC-5" dataDxfId="713"/>
    <tableColumn id="73" xr3:uid="{6B4A4371-7935-48B2-A07D-FD3FC804FAF2}" name="OPC-1" dataDxfId="712">
      <calculatedColumnFormula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calculatedColumnFormula>
    </tableColumn>
    <tableColumn id="72" xr3:uid="{7ACAA081-AC94-461A-A6F5-80338CB9EEC0}" name="OPC PC-3" dataDxfId="711">
      <calculatedColumnFormula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calculatedColumnFormula>
    </tableColumn>
    <tableColumn id="71" xr3:uid="{1BF085D6-CCF4-4EE0-89DA-15DF39414646}" name="OPC PC-5" dataDxfId="710">
      <calculatedColumnFormula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calculatedColumnFormula>
    </tableColumn>
    <tableColumn id="70" xr3:uid="{655DA698-C216-4997-91BB-DED5DF2884FD}" name="Délais PC1 et PC3" dataDxfId="709">
      <calculatedColumnFormula xml:space="preserve"> (YEAR(Portefeuille_MNT_PPS_Access30[[#This Row],[PC-3]]) - YEAR(Portefeuille_MNT_PPS_Access30[[#This Row],[PC-1]])) * 12 + MONTH(Portefeuille_MNT_PPS_Access30[[#This Row],[PC-3]]) - MONTH(Portefeuille_MNT_PPS_Access30[[#This Row],[PC-1]])</calculatedColumnFormula>
    </tableColumn>
    <tableColumn id="69" xr3:uid="{7A7B1C62-D093-48D4-86D1-04ABDB814460}" name="Délais PC3 et PC5" dataDxfId="708">
      <calculatedColumnFormula xml:space="preserve"> (YEAR(Portefeuille_MNT_PPS_Access30[[#This Row],[PC-5]]) - YEAR(Portefeuille_MNT_PPS_Access30[[#This Row],[PC-3]])) * 12 + MONTH(Portefeuille_MNT_PPS_Access30[[#This Row],[PC-5]]) - MONTH(Portefeuille_MNT_PPS_Access30[[#This Row],[PC-3]])</calculatedColumnFormula>
    </tableColumn>
    <tableColumn id="68" xr3:uid="{2154C952-4889-463B-9AF2-4316A2D2BE85}" name="Délais total PC3 et PC5" dataDxfId="707">
      <calculatedColumnFormula>Portefeuille_MNT_PPS_Access30[[#This Row],[Délais PC1 et PC3]]+Portefeuille_MNT_PPS_Access30[[#This Row],[Délais PC3 et PC5]]</calculatedColumnFormula>
    </tableColumn>
    <tableColumn id="45" xr3:uid="{A11BF9D8-4921-4906-A088-D6BE198A08F3}" name="IND_PARA_25-26"/>
    <tableColumn id="50" xr3:uid="{61F7513C-5DB7-4AEF-921A-CBC70FEF94A5}" name="IND_PROJT_ANNONCE_25-27"/>
    <tableColumn id="31" xr3:uid="{D7866696-BDF3-43FC-A9FF-D96FFF9FC51D}" name="INDICE OPC"/>
    <tableColumn id="6" xr3:uid="{87E8FDCA-AB38-4DBF-8571-F18BAB4DD3B8}" name="IND_Etat_avancement" dataDxfId="706"/>
    <tableColumn id="52" xr3:uid="{0A31D6FE-E55A-415A-97C0-9BFB48FB57A6}" name="IND_SITE_PRIO_2024"/>
    <tableColumn id="76" xr3:uid="{F929EC77-E8B8-4D42-9399-59D3AB6488B8}" name="Critère Etat Infrastructure" dataDxfId="705">
      <calculatedColumnFormula>_xlfn.XLOOKUP(Portefeuille_MNT_PPS_Access30[[#This Row],[Numéro projet]],Portefeuille_MNT_PPS_Access27[Numéro projet],Portefeuille_MNT_PPS_Access27[Critère Etat Infrastructure])</calculatedColumnFormula>
    </tableColumn>
    <tableColumn id="75" xr3:uid="{7631C2B6-A2EB-4E11-BB93-66A835EF1521}" name="Priorité Programmation" dataDxfId="704">
      <calculatedColumnFormula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calculatedColumnFormula>
    </tableColumn>
    <tableColumn id="74" xr3:uid="{CE49233E-D8A2-4052-85D3-9E7DD695C479}" name="Colonne1" dataDxfId="703" totalsRowDxfId="702"/>
    <tableColumn id="78" xr3:uid="{0D89FDE1-33A7-4AD1-9661-EE9EA771F1A0}" name="AC ANT" totalsRowFunction="sum" dataDxfId="701" totalsRowDxfId="700"/>
    <tableColumn id="34" xr3:uid="{57B92E90-1631-4D43-987E-4130F9206952}" name="TR ANT" totalsRowFunction="sum" dataDxfId="699" totalsRowDxfId="698"/>
    <tableColumn id="8" xr3:uid="{3E17DBFC-23DD-4817-A9EA-4C71B7A9C037}" name="AC 2024" totalsRowFunction="sum" dataDxfId="697" totalsRowDxfId="696"/>
    <tableColumn id="9" xr3:uid="{FEDBAADD-0496-4F7B-A92F-8064CF14CDB9}" name="TR 2024" totalsRowFunction="sum" dataDxfId="695" totalsRowDxfId="694"/>
    <tableColumn id="10" xr3:uid="{FF1D0846-1351-41D8-B74C-807996C4B0DD}" name="AC 2025" totalsRowFunction="sum" dataDxfId="693" totalsRowDxfId="692"/>
    <tableColumn id="11" xr3:uid="{B735B3AF-215F-41C0-B07C-91B26B32B40F}" name="TR 2025" totalsRowFunction="sum" dataDxfId="691" totalsRowDxfId="690"/>
    <tableColumn id="12" xr3:uid="{7ABC7779-F0AB-4CF5-8A2D-ADFBF4C5128D}" name="AC 2026" totalsRowFunction="sum" dataDxfId="689" totalsRowDxfId="688"/>
    <tableColumn id="13" xr3:uid="{4A55816D-F84D-4EB7-AEDB-3086CA1B1C85}" name="TR 2026" totalsRowFunction="sum" dataDxfId="687" totalsRowDxfId="686"/>
    <tableColumn id="14" xr3:uid="{1C422224-79AD-4BD8-84C2-E3B91D7CFF1B}" name="AC 2027" totalsRowFunction="sum" dataDxfId="685" totalsRowDxfId="684"/>
    <tableColumn id="15" xr3:uid="{8CDC4D13-0D52-4613-AC8D-C172B78DA760}" name="TR 2027" totalsRowFunction="sum" dataDxfId="683" totalsRowDxfId="682"/>
    <tableColumn id="16" xr3:uid="{8AA388F5-2000-46B5-B869-C0E09A3111F8}" name="AC 2028" totalsRowFunction="sum" dataDxfId="681" totalsRowDxfId="680"/>
    <tableColumn id="17" xr3:uid="{5EC393C7-0EC9-49F6-BA55-439D332FD76E}" name="TR 2028" totalsRowFunction="sum" dataDxfId="679" totalsRowDxfId="678"/>
    <tableColumn id="18" xr3:uid="{F98FB633-0BA3-4AE1-9F5D-AA6CFF32C50E}" name="AC 2029" totalsRowFunction="sum" dataDxfId="677" totalsRowDxfId="676"/>
    <tableColumn id="19" xr3:uid="{86060D57-37C0-4FA4-BDA0-EFB22B18F6A3}" name="TR 2029" totalsRowFunction="sum" dataDxfId="675" totalsRowDxfId="674"/>
    <tableColumn id="20" xr3:uid="{15E0117F-33C2-4895-9889-808FB9AD1A7F}" name="AC 2030" totalsRowFunction="sum" dataDxfId="673" totalsRowDxfId="672"/>
    <tableColumn id="21" xr3:uid="{2C4C3898-964B-4896-98CF-D24A0C43A13A}" name="TR 2030" totalsRowFunction="sum" dataDxfId="671" totalsRowDxfId="670"/>
    <tableColumn id="22" xr3:uid="{1EE5D4B5-499C-41B2-BE7B-B46360710534}" name="AC 2031" totalsRowFunction="sum" dataDxfId="669" totalsRowDxfId="668"/>
    <tableColumn id="23" xr3:uid="{AAF71416-3301-4243-9EE9-9EEC81DB0D3F}" name="TR 2031" totalsRowFunction="sum" dataDxfId="667" totalsRowDxfId="666"/>
    <tableColumn id="24" xr3:uid="{598F7BC8-0442-4C07-9758-FC65D56BF225}" name="AC 2032" totalsRowFunction="sum" dataDxfId="665" totalsRowDxfId="664"/>
    <tableColumn id="25" xr3:uid="{AF0C226B-10C3-4EC4-A959-EB86A33BE2D1}" name="TR 2032" totalsRowFunction="sum" dataDxfId="663" totalsRowDxfId="662"/>
    <tableColumn id="26" xr3:uid="{00A23F3A-2DF2-43AF-B8B2-D71F745D86C1}" name="AC 2033" totalsRowFunction="sum" dataDxfId="661" totalsRowDxfId="660"/>
    <tableColumn id="27" xr3:uid="{6ED28449-D4EF-4518-8C7B-7B35538A2795}" name="TR 2033" totalsRowFunction="sum" dataDxfId="659" totalsRowDxfId="658"/>
    <tableColumn id="28" xr3:uid="{38E9DBE5-4993-4B43-BEBB-FE66B799B909}" name="AC 2034" totalsRowFunction="sum" dataDxfId="657" totalsRowDxfId="656"/>
    <tableColumn id="29" xr3:uid="{9A2AFC83-2C3C-4EA1-89A3-7980CE910E5D}" name="TR 2034" totalsRowFunction="sum" dataDxfId="655" totalsRowDxfId="654"/>
    <tableColumn id="46" xr3:uid="{6066BFC3-9EF3-4562-9EE6-F90366F21D43}" name="AC 2035" totalsRowFunction="sum" dataDxfId="653" totalsRowDxfId="652"/>
    <tableColumn id="48" xr3:uid="{C9F9BA3E-F5C0-4CAA-AD2C-5E6300045DCE}" name="TR 2035" totalsRowFunction="sum" dataDxfId="651" totalsRowDxfId="650"/>
    <tableColumn id="32" xr3:uid="{EA76B746-FEB9-4148-A4BD-DC2688D967E5}" name="Total Projet" totalsRowFunction="sum" dataDxfId="649" totalsRowDxfId="648">
      <calculatedColumnFormula>SUM(Portefeuille_MNT_PPS_Access30[[#This Row],[AC ANT]:[TR 2035]])</calculatedColumnFormula>
    </tableColumn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7B97AB-2BBB-4545-8949-5CC5BBB45581}" name="Portefeuille_ProgPropose" displayName="Portefeuille_ProgPropose" ref="A17:BC85" totalsRowCount="1" headerRowDxfId="647">
  <autoFilter ref="A17:BC84" xr:uid="{9F04E8B0-9684-4F3F-8527-175E5EC6D67D}"/>
  <tableColumns count="55">
    <tableColumn id="33" xr3:uid="{9D6A9BFC-8711-4C8D-A5AE-A8A6BBA175E0}" name="TYPE_INVEST_SCT" dataDxfId="646"/>
    <tableColumn id="45" xr3:uid="{8B50B063-FB6D-47F2-9E37-20D94417A4E7}" name="DES_COMPL_NATR_COMPB" dataDxfId="645"/>
    <tableColumn id="44" xr3:uid="{740CA408-F535-440A-AE4C-98A761BA5208}" name="NUM_PRIRT_DG"/>
    <tableColumn id="1" xr3:uid="{867F5FED-1DAA-4538-A1F5-98B053F45EB8}" name="Axe"/>
    <tableColumn id="3" xr3:uid="{7C5CA149-9858-46B3-BB19-20E96EA8CEC0}" name="Catégorie Investissement"/>
    <tableColumn id="4" xr3:uid="{354AD651-7361-44FD-A7BA-5866499851A1}" name="Type Infrastructure"/>
    <tableColumn id="5" xr3:uid="{9C3FBD77-DE87-4D88-B89B-591697F2F1AE}" name="Gérant projet"/>
    <tableColumn id="35" xr3:uid="{B6B12AA5-3BF4-4F7E-9E46-3927CC103038}" name="État Composante AC"/>
    <tableColumn id="36" xr3:uid="{FC1FF00C-8377-46B6-A86F-69B1DD6B1106}" name="État Composante TR"/>
    <tableColumn id="2" xr3:uid="{4B1F8446-C724-4493-8AC7-D1F3B1000533}" name="Région" dataDxfId="644"/>
    <tableColumn id="37" xr3:uid="{37EFB0B1-00F7-4E06-853B-A735DB47F954}" name="Numéro projet" totalsRowFunction="count" dataDxfId="643"/>
    <tableColumn id="57" xr3:uid="{E846EC71-D8C3-4EB3-8F0F-23AA4FEFDB2D}" name="Titre projet" dataDxfId="642"/>
    <tableColumn id="30" xr3:uid="{A8C2C960-0209-4172-BB4C-E7EC58CBEC61}" name="Localisation" dataDxfId="641"/>
    <tableColumn id="59" xr3:uid="{3B558CA7-6617-4102-BDCF-3095BDD9C0A5}" name="Année DÉBUT Travaux prévu" dataDxfId="640"/>
    <tableColumn id="7" xr3:uid="{73B508D1-CA51-477A-9BDA-57FE5F4EDE96}" name="État avancement" dataDxfId="639"/>
    <tableColumn id="38" xr3:uid="{0C344776-070F-44FA-9872-CF8D04CC0605}" name="PC-1" dataDxfId="638"/>
    <tableColumn id="39" xr3:uid="{329F4B34-DE22-40E1-B341-42C356F07B3D}" name="PC-3" dataDxfId="637"/>
    <tableColumn id="40" xr3:uid="{7FF2D40F-E92E-43CA-AE65-93E9F76F46F0}" name="PC-5" dataDxfId="636"/>
    <tableColumn id="78" xr3:uid="{FF42C4B2-3E27-428B-BC1A-D64389C9D41F}" name="AC ANT" totalsRowFunction="sum" dataDxfId="635" totalsRowDxfId="634"/>
    <tableColumn id="34" xr3:uid="{B45D3F62-6063-4C39-B3CC-E544FEA40FBC}" name="TR ANT" totalsRowFunction="sum" dataDxfId="633" totalsRowDxfId="632"/>
    <tableColumn id="8" xr3:uid="{2900992A-E18D-4E56-9DAA-234093DE3358}" name="AC 2024" totalsRowFunction="sum" dataDxfId="631" totalsRowDxfId="630"/>
    <tableColumn id="9" xr3:uid="{F06FCB7B-07FF-4C50-8A73-A6346A9F1D85}" name="TR 2024" totalsRowFunction="sum" dataDxfId="629" totalsRowDxfId="628"/>
    <tableColumn id="10" xr3:uid="{C9B8C426-89B2-4A28-917D-9DE67CF1F9D1}" name="AC 2025" totalsRowFunction="sum" dataDxfId="627" totalsRowDxfId="626"/>
    <tableColumn id="11" xr3:uid="{4A2BCFAB-749E-4FF8-AEE5-458CDB780A06}" name="TR 2025" totalsRowFunction="sum" dataDxfId="625" totalsRowDxfId="624"/>
    <tableColumn id="41" xr3:uid="{AAAD028A-FD3A-4B66-A2BB-BF4C8BC8C802}" name="AC 2025 Initiale" totalsRowFunction="sum" totalsRowDxfId="623"/>
    <tableColumn id="49" xr3:uid="{6190270C-AD9B-4739-B5CA-4D023B67A3EE}" name="Écart AC 2025" totalsRowFunction="sum" dataDxfId="622" totalsRowDxfId="621">
      <calculatedColumnFormula>Portefeuille_ProgPropose[[#This Row],[AC 2025]]-Portefeuille_ProgPropose[[#This Row],[AC 2025 Initiale]]</calculatedColumnFormula>
    </tableColumn>
    <tableColumn id="48" xr3:uid="{E9A829DE-2A6D-4DAF-8AC1-BDBDF5129081}" name="Écart TR 2025" totalsRowFunction="sum" dataDxfId="620" totalsRowDxfId="619">
      <calculatedColumnFormula>Portefeuille_ProgPropose[[#This Row],[TR 2025]]-Portefeuille_ProgPropose[[#This Row],[TR 2025 Initiale]]</calculatedColumnFormula>
    </tableColumn>
    <tableColumn id="47" xr3:uid="{65CCFE5F-1C22-40C2-BF6D-655F83A7E00D}" name="Écart 2025 Total" totalsRowFunction="sum" dataDxfId="618" totalsRowDxfId="617">
      <calculatedColumnFormula>Portefeuille_ProgPropose[[#This Row],[Écart AC 2025]]+Portefeuille_ProgPropose[[#This Row],[Écart TR 2025]]</calculatedColumnFormula>
    </tableColumn>
    <tableColumn id="42" xr3:uid="{A701C140-5C61-45BC-9513-3E11FC911ADA}" name="TR 2025 Initiale" totalsRowFunction="sum" totalsRowDxfId="616"/>
    <tableColumn id="12" xr3:uid="{F6A16DE7-8D06-4F1A-8D5A-310D81141C81}" name="AC 2026" totalsRowFunction="sum" dataDxfId="615" totalsRowDxfId="614"/>
    <tableColumn id="13" xr3:uid="{BE89AEDA-E965-432B-A77F-728DA1187A1C}" name="TR 2026" totalsRowFunction="sum" dataDxfId="613" totalsRowDxfId="612"/>
    <tableColumn id="43" xr3:uid="{BBD4E49A-4A52-40EE-82A7-8390A2BD4C66}" name="AC 2026 Initiale" totalsRowFunction="sum" totalsRowDxfId="611"/>
    <tableColumn id="52" xr3:uid="{6E6CB994-77D6-4BD1-A531-3E07B913A4EF}" name="Écart AC 2026" totalsRowFunction="sum" dataDxfId="610" totalsRowDxfId="609">
      <calculatedColumnFormula>Portefeuille_ProgPropose[[#This Row],[AC 2026]]-Portefeuille_ProgPropose[[#This Row],[AC 2026 Initiale]]</calculatedColumnFormula>
    </tableColumn>
    <tableColumn id="51" xr3:uid="{CDA5DC8D-7217-459B-9FB0-C9B570AE3E01}" name="Écart TR 2026" totalsRowFunction="sum" dataDxfId="608" totalsRowDxfId="607">
      <calculatedColumnFormula>Portefeuille_ProgPropose[[#This Row],[TR 2026]]-Portefeuille_ProgPropose[[#This Row],[TR 2026 Initiale]]</calculatedColumnFormula>
    </tableColumn>
    <tableColumn id="50" xr3:uid="{ED35C0B9-B639-461E-95FF-34ED79F2CC2F}" name="Écart 2026 Total" totalsRowFunction="sum" dataDxfId="606" totalsRowDxfId="605">
      <calculatedColumnFormula>Portefeuille_ProgPropose[[#This Row],[Écart AC 2026]]+Portefeuille_ProgPropose[[#This Row],[Écart TR 2026]]</calculatedColumnFormula>
    </tableColumn>
    <tableColumn id="46" xr3:uid="{891092C6-D06D-4CE6-9012-200183117955}" name="TR 2026 Initiale" totalsRowFunction="sum" totalsRowDxfId="604"/>
    <tableColumn id="14" xr3:uid="{EDF14D50-4FF5-4180-B20D-83EA9E3F43AB}" name="AC 2027" totalsRowFunction="sum" dataDxfId="603" totalsRowDxfId="602"/>
    <tableColumn id="15" xr3:uid="{E1FF5F18-A038-404D-9E30-22C5F97E40D6}" name="TR 2027" totalsRowFunction="sum" dataDxfId="601" totalsRowDxfId="600"/>
    <tableColumn id="16" xr3:uid="{97A04215-B9E3-4301-B201-A6A5069E4C5B}" name="AC 2028" totalsRowFunction="sum" dataDxfId="599" totalsRowDxfId="598"/>
    <tableColumn id="17" xr3:uid="{E269B3FC-7DFA-46A8-9BBA-4C273E06042D}" name="TR 2028" totalsRowFunction="sum" dataDxfId="597" totalsRowDxfId="596"/>
    <tableColumn id="18" xr3:uid="{B9852B49-0EF2-47AA-89FD-CC1CDD368621}" name="AC 2029" totalsRowFunction="sum" dataDxfId="595" totalsRowDxfId="594"/>
    <tableColumn id="19" xr3:uid="{C246C557-81CD-40B4-9CBF-7EE81F2B0CFB}" name="TR 2029" totalsRowFunction="sum" dataDxfId="593" totalsRowDxfId="592"/>
    <tableColumn id="20" xr3:uid="{8053B357-484C-494E-A5A7-D75639905B06}" name="AC 2030" totalsRowFunction="sum" dataDxfId="591" totalsRowDxfId="590"/>
    <tableColumn id="21" xr3:uid="{B3898410-51EC-4443-BA30-3093E9B844D5}" name="TR 2030" totalsRowFunction="sum" dataDxfId="589" totalsRowDxfId="588"/>
    <tableColumn id="22" xr3:uid="{998AEE71-519D-403D-8D7F-0C59E1619629}" name="AC 2031" totalsRowFunction="sum" dataDxfId="587" totalsRowDxfId="586"/>
    <tableColumn id="23" xr3:uid="{347C39CF-0ED2-49AE-A136-27F887200DE7}" name="TR 2031" totalsRowFunction="sum" dataDxfId="585" totalsRowDxfId="584"/>
    <tableColumn id="24" xr3:uid="{A5BC3D25-4417-4447-946A-E6EC9CF63E2D}" name="AC 2032" totalsRowFunction="sum" dataDxfId="583" totalsRowDxfId="582"/>
    <tableColumn id="25" xr3:uid="{E96E65C5-B9E4-4324-A51C-E86A7BC20C89}" name="TR 2032" totalsRowFunction="sum" dataDxfId="581" totalsRowDxfId="580"/>
    <tableColumn id="26" xr3:uid="{6DEE3DC7-F17F-4B84-9C50-AD8D4369A1F6}" name="AC 2033" totalsRowFunction="sum" dataDxfId="579" totalsRowDxfId="578"/>
    <tableColumn id="27" xr3:uid="{E8A733F2-B441-42C5-8EA1-FABD6282922D}" name="TR 2033" totalsRowFunction="sum" dataDxfId="577" totalsRowDxfId="576"/>
    <tableColumn id="28" xr3:uid="{65C3F82B-47CB-412A-B8A3-708EEF9225C4}" name="AC 2034" totalsRowFunction="sum" dataDxfId="575" totalsRowDxfId="574"/>
    <tableColumn id="29" xr3:uid="{64441F85-8BB1-4254-B9AB-A12FBB44A6BD}" name="TR 2034" totalsRowFunction="sum" dataDxfId="573" totalsRowDxfId="572"/>
    <tableColumn id="6" xr3:uid="{B5B6468A-3D8C-47C1-9011-6E7CB76EDC17}" name="AC 2035"/>
    <tableColumn id="31" xr3:uid="{AFEA3FA1-F459-43C1-9DE4-95029F7FD71B}" name="TR 2035"/>
    <tableColumn id="32" xr3:uid="{B399FC53-16FC-45C8-B550-3469E1EB4C25}" name="Total Projet" totalsRowFunction="sum" dataDxfId="571" totalsRowDxfId="570">
      <calculatedColumnFormula>SUM(Portefeuille_ProgPropose[[#This Row],[AC ANT]:[TR 2025]],Portefeuille_ProgPropose[[#This Row],[AC 2026]:[TR 2026]],Portefeuille_ProgPropose[[#This Row],[AC 2027]:[TR 2034]])</calculatedColumnFormula>
    </tableColumn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336901E-37A5-494F-B116-36B16EE632A1}" name="Portefeuille_MNT_PPS_Access31" displayName="Portefeuille_MNT_PPS_Access31" ref="A18:BG163" totalsRowCount="1" headerRowDxfId="569">
  <autoFilter ref="A18:BG162" xr:uid="{9F04E8B0-9684-4F3F-8527-175E5EC6D67D}">
    <filterColumn colId="6">
      <filters>
        <filter val="DAA"/>
      </filters>
    </filterColumn>
    <filterColumn colId="11">
      <filters>
        <filter val="Fourniture et installation d'une remise pour l'échantillonnage des produits pétroliers à l'aéroport de Matagami"/>
        <filter val="Installation de clôtures (Festival dans l'vent) à l'aéroport de Chicoutimi/Saint-Honoré"/>
        <filter val="Installation d'une clôture à l'aéroport de Chibougamau"/>
        <filter val="Remplacement du réservoir de la génératrice à l'aéroport de Matagami"/>
      </filters>
    </filterColumn>
    <filterColumn colId="13">
      <filters>
        <filter val="2025"/>
      </filters>
    </filterColumn>
  </autoFilter>
  <tableColumns count="59">
    <tableColumn id="49" xr3:uid="{63ACC9FF-DA80-4ACB-BFCC-8F8C91955705}" name="DES_COMPL_NATR_COMPB" dataDxfId="568"/>
    <tableColumn id="58" xr3:uid="{D1624960-E252-4062-AB1D-9C1EECDC0997}" name="TYPE_INVEST_SCT" dataDxfId="567"/>
    <tableColumn id="44" xr3:uid="{7868B44E-7DF1-4D22-B9C8-DBBC4AB4A6CB}" name="NUM_PRIRT_DG"/>
    <tableColumn id="1" xr3:uid="{4C7FAD91-581E-44E1-96EB-0B88D9802AC6}" name="Axe"/>
    <tableColumn id="3" xr3:uid="{289D4B0C-90AF-4D5E-A5F2-C7F9CFF09F54}" name="Catégorie Investissement"/>
    <tableColumn id="4" xr3:uid="{CFE5EC57-9DF5-4F9E-8CDD-B6F3B1E8C17B}" name="Type Infrastructure"/>
    <tableColumn id="5" xr3:uid="{9C5CCED7-A1CD-4503-B0A8-F4B1BAA9A2B9}" name="Gérant projet"/>
    <tableColumn id="35" xr3:uid="{2B5F433E-D28D-40E5-A03C-F18B540D068B}" name="État Composante AC"/>
    <tableColumn id="36" xr3:uid="{FCAF7888-E882-4D5E-85EC-1C611117F813}" name="État Composante TR"/>
    <tableColumn id="2" xr3:uid="{3B9ADBED-8850-4F0B-85FF-AFD4EBBDB03C}" name="Région" dataDxfId="566"/>
    <tableColumn id="37" xr3:uid="{EA87B3B6-BC38-465E-91D1-E3D4DF71BEF7}" name="Numéro projet" totalsRowFunction="count" dataDxfId="565"/>
    <tableColumn id="57" xr3:uid="{27FC40DC-CEB4-4CF9-B3BA-1586DF66C692}" name="Titre projet" dataDxfId="564"/>
    <tableColumn id="30" xr3:uid="{ACEE6A6E-02F4-4C24-A8A2-4700B148BA71}" name="Localisation" dataDxfId="563"/>
    <tableColumn id="59" xr3:uid="{7908F0CA-AB90-4249-A8C7-5DBD2D33103A}" name="Année DÉBUT Travaux prévu" dataDxfId="562"/>
    <tableColumn id="7" xr3:uid="{29E989FF-D189-4425-AE11-6F55AA16B607}" name="État avancement" dataDxfId="561"/>
    <tableColumn id="38" xr3:uid="{FE10141B-EF08-4984-838A-6D92A61A488C}" name="PC-1" dataDxfId="560"/>
    <tableColumn id="39" xr3:uid="{446D7A18-7E3E-43DC-A012-B3AFA58DF7FD}" name="PC-3" dataDxfId="559"/>
    <tableColumn id="40" xr3:uid="{ACD5C8B9-B331-44B8-AD9F-52E7DE464A62}" name="PC-5" dataDxfId="558"/>
    <tableColumn id="73" xr3:uid="{7B3C4D32-39B0-428A-B2C1-8E3EA74EE22D}" name="OPC-1" dataDxfId="557">
      <calculatedColumnFormula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calculatedColumnFormula>
    </tableColumn>
    <tableColumn id="72" xr3:uid="{72B9770A-936E-44E4-B8AF-F23AF6C6ADE1}" name="OPC PC-3" dataDxfId="556">
      <calculatedColumnFormula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calculatedColumnFormula>
    </tableColumn>
    <tableColumn id="71" xr3:uid="{0FAEF3F9-4313-4DDA-99F0-B382BEE92B2C}" name="OPC PC-5" dataDxfId="555">
      <calculatedColumnFormula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calculatedColumnFormula>
    </tableColumn>
    <tableColumn id="70" xr3:uid="{C8393D11-7DDE-4535-8EAD-679B4B409B31}" name="Délais PC1 et PC3" dataDxfId="554">
      <calculatedColumnFormula xml:space="preserve"> (YEAR(Portefeuille_MNT_PPS_Access31[[#This Row],[PC-3]]) - YEAR(Portefeuille_MNT_PPS_Access31[[#This Row],[PC-1]])) * 12 + MONTH(Portefeuille_MNT_PPS_Access31[[#This Row],[PC-3]]) - MONTH(Portefeuille_MNT_PPS_Access31[[#This Row],[PC-1]])</calculatedColumnFormula>
    </tableColumn>
    <tableColumn id="69" xr3:uid="{4DC857B8-EA59-43EF-B82E-CE0A65F1FA4E}" name="Délais PC3 et PC5" dataDxfId="553">
      <calculatedColumnFormula xml:space="preserve"> (YEAR(Portefeuille_MNT_PPS_Access31[[#This Row],[PC-5]]) - YEAR(Portefeuille_MNT_PPS_Access31[[#This Row],[PC-3]])) * 12 + MONTH(Portefeuille_MNT_PPS_Access31[[#This Row],[PC-5]]) - MONTH(Portefeuille_MNT_PPS_Access31[[#This Row],[PC-3]])</calculatedColumnFormula>
    </tableColumn>
    <tableColumn id="68" xr3:uid="{0133CE79-E827-4C6B-BDA5-F9A319715E82}" name="Délais total PC3 et PC5" dataDxfId="552">
      <calculatedColumnFormula>Portefeuille_MNT_PPS_Access31[[#This Row],[Délais PC1 et PC3]]+Portefeuille_MNT_PPS_Access31[[#This Row],[Délais PC3 et PC5]]</calculatedColumnFormula>
    </tableColumn>
    <tableColumn id="45" xr3:uid="{7B12F64B-5206-417D-923C-573C057BA4A7}" name="IND_PARA_25-26"/>
    <tableColumn id="50" xr3:uid="{711268AF-3D1C-499E-90DD-BD54727D8A10}" name="IND_PROJT_ANNONCE_25-27"/>
    <tableColumn id="31" xr3:uid="{F35A3126-3566-400F-8CC6-0E09377E7841}" name="INDICE OPC"/>
    <tableColumn id="6" xr3:uid="{720D0275-9519-472F-997A-2C7BEC6B3604}" name="IND_Etat_avancement" dataDxfId="551"/>
    <tableColumn id="52" xr3:uid="{F291148A-4170-4077-BFC0-277A06CB382C}" name="IND_SITE_PRIO_2024"/>
    <tableColumn id="76" xr3:uid="{013B459F-0351-4DF5-833B-42F407C88753}" name="Critère Etat Infrastructure" dataDxfId="550">
      <calculatedColumnFormula>_xlfn.XLOOKUP(Portefeuille_MNT_PPS_Access31[[#This Row],[Numéro projet]],Portefeuille_MNT_PPS_Access27[Numéro projet],Portefeuille_MNT_PPS_Access27[Critère Etat Infrastructure])</calculatedColumnFormula>
    </tableColumn>
    <tableColumn id="75" xr3:uid="{0048F17C-574F-4B01-AF2B-959213886E95}" name="Priorité Programmation" dataDxfId="549">
      <calculatedColumnFormula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calculatedColumnFormula>
    </tableColumn>
    <tableColumn id="74" xr3:uid="{2745A657-569E-4DE2-AA9E-CF14C0707E25}" name="Colonne1" dataDxfId="548" totalsRowDxfId="547"/>
    <tableColumn id="78" xr3:uid="{7C569986-9C87-49B6-82E6-BF8B5797671B}" name="AC ANT" totalsRowFunction="sum" dataDxfId="546" totalsRowDxfId="545"/>
    <tableColumn id="34" xr3:uid="{B1CF7591-8D7E-431D-8242-039C2F4C2D33}" name="TR ANT" totalsRowFunction="sum" dataDxfId="544" totalsRowDxfId="543"/>
    <tableColumn id="8" xr3:uid="{ED1088DF-B82A-45EE-8578-1B6A36FA1CBE}" name="AC 2024" totalsRowFunction="sum" dataDxfId="542" totalsRowDxfId="541"/>
    <tableColumn id="9" xr3:uid="{0D231E09-D81F-4DB9-BA81-9D86EBC3AE67}" name="TR 2024" totalsRowFunction="sum" dataDxfId="540" totalsRowDxfId="539"/>
    <tableColumn id="10" xr3:uid="{B815A3DB-F128-4918-A5CF-D0C5FF414EE9}" name="AC 2025" totalsRowFunction="sum" dataDxfId="538" totalsRowDxfId="537"/>
    <tableColumn id="11" xr3:uid="{3FB846A0-8356-4ABB-9BB5-79AEB9B802FC}" name="TR 2025" totalsRowFunction="sum" dataDxfId="536" totalsRowDxfId="535"/>
    <tableColumn id="12" xr3:uid="{58F0025D-9889-470E-B193-96B50A551806}" name="AC 2026" totalsRowFunction="sum" dataDxfId="534" totalsRowDxfId="533"/>
    <tableColumn id="13" xr3:uid="{6087ECC5-76D1-4FAD-B88F-DB1049333073}" name="TR 2026" totalsRowFunction="sum" dataDxfId="532" totalsRowDxfId="531"/>
    <tableColumn id="14" xr3:uid="{0327F162-83C5-4E4D-B1ED-D796016D171A}" name="AC 2027" totalsRowFunction="sum" dataDxfId="530" totalsRowDxfId="529"/>
    <tableColumn id="15" xr3:uid="{3BB7D975-533B-47B0-B0CD-A343F0B14F48}" name="TR 2027" totalsRowFunction="sum" dataDxfId="528" totalsRowDxfId="527"/>
    <tableColumn id="16" xr3:uid="{7A76BFA9-397C-45F3-BB73-7EB0EECE7066}" name="AC 2028" totalsRowFunction="sum" dataDxfId="526" totalsRowDxfId="525"/>
    <tableColumn id="17" xr3:uid="{B9BDE9A1-2C87-4DE8-95C6-69AA609DF138}" name="TR 2028" totalsRowFunction="sum" dataDxfId="524" totalsRowDxfId="523"/>
    <tableColumn id="18" xr3:uid="{A3F1DF80-D89C-4802-BD73-3C582611B652}" name="AC 2029" totalsRowFunction="sum" dataDxfId="522" totalsRowDxfId="521"/>
    <tableColumn id="19" xr3:uid="{10A08A7D-0B70-47C2-A42C-BFB6F5945421}" name="TR 2029" totalsRowFunction="sum" dataDxfId="520" totalsRowDxfId="519"/>
    <tableColumn id="20" xr3:uid="{88C00450-4520-44D3-B9C5-47C53FAE7D07}" name="AC 2030" totalsRowFunction="sum" dataDxfId="518" totalsRowDxfId="517"/>
    <tableColumn id="21" xr3:uid="{392180B6-C266-4CAB-BD1A-3E56CE0A4410}" name="TR 2030" totalsRowFunction="sum" dataDxfId="516" totalsRowDxfId="515"/>
    <tableColumn id="22" xr3:uid="{8A0C2891-715A-4458-B218-E0AFC36C1675}" name="AC 2031" totalsRowFunction="sum" dataDxfId="514" totalsRowDxfId="513"/>
    <tableColumn id="23" xr3:uid="{43E5DF1B-B519-48C9-8780-28E54462887E}" name="TR 2031" totalsRowFunction="sum" dataDxfId="512" totalsRowDxfId="511"/>
    <tableColumn id="24" xr3:uid="{EF99618E-BA94-4FB0-B4A1-2505BDAC233F}" name="AC 2032" totalsRowFunction="sum" dataDxfId="510" totalsRowDxfId="509"/>
    <tableColumn id="25" xr3:uid="{946F2003-1ED8-434D-80EE-A17059767886}" name="TR 2032" totalsRowFunction="sum" dataDxfId="508" totalsRowDxfId="507"/>
    <tableColumn id="26" xr3:uid="{8F879D98-E456-427C-A5F7-5C540108187C}" name="AC 2033" totalsRowFunction="sum" dataDxfId="506" totalsRowDxfId="505"/>
    <tableColumn id="27" xr3:uid="{7065F1A9-07DC-4D8E-AB88-FC73653725BB}" name="TR 2033" totalsRowFunction="sum" dataDxfId="504" totalsRowDxfId="503"/>
    <tableColumn id="28" xr3:uid="{89F29C45-6A14-469E-B433-8BA63C14D4BF}" name="AC 2034" totalsRowFunction="sum" dataDxfId="502" totalsRowDxfId="501"/>
    <tableColumn id="29" xr3:uid="{034C246C-83B1-48B0-B39D-3FCDBF9FD152}" name="TR 2034" totalsRowFunction="sum" dataDxfId="500" totalsRowDxfId="499"/>
    <tableColumn id="46" xr3:uid="{84F30085-A777-447C-9518-A2F657986EDD}" name="AC 2035" totalsRowFunction="sum" dataDxfId="498" totalsRowDxfId="497"/>
    <tableColumn id="48" xr3:uid="{D3E3B81D-97EB-4868-990F-5C21A887F0CA}" name="TR 2035" totalsRowFunction="sum" dataDxfId="496" totalsRowDxfId="495"/>
    <tableColumn id="32" xr3:uid="{0DDC9781-158A-40BB-918C-BE02B54C47FC}" name="Total Projet" totalsRowFunction="sum" dataDxfId="494" totalsRowDxfId="493">
      <calculatedColumnFormula>SUM(Portefeuille_MNT_PPS_Access31[[#This Row],[AC ANT]:[TR 2035]])</calculatedColumnFormula>
    </tableColumn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FD01F71-22B1-4F05-A37A-73BA3C11FC1B}" name="Portefeuille_MNT_PPS_Access_26_2834" displayName="Portefeuille_MNT_PPS_Access_26_2834" ref="A18:BG70" totalsRowCount="1" headerRowDxfId="492">
  <autoFilter ref="A18:BG69" xr:uid="{9F04E8B0-9684-4F3F-8527-175E5EC6D67D}">
    <filterColumn colId="14">
      <filters>
        <filter val="1. Études d'opportunité"/>
      </filters>
    </filterColumn>
  </autoFilter>
  <tableColumns count="59">
    <tableColumn id="49" xr3:uid="{285E6E22-CE77-4EE2-AA84-450E2C0C5E43}" name="DES_COMPL_NATR_COMPB" dataDxfId="491"/>
    <tableColumn id="58" xr3:uid="{870C2518-9654-4771-86D4-D86D2EBDA91B}" name="TYPE_INVEST_SCT" dataDxfId="490"/>
    <tableColumn id="44" xr3:uid="{F1C60782-F1F2-4811-9C58-368F0927D845}" name="NUM_PRIRT_DG"/>
    <tableColumn id="1" xr3:uid="{64A64529-DBB8-424A-8BBF-CB703096DAE6}" name="Axe"/>
    <tableColumn id="3" xr3:uid="{F8C3AB4A-68DA-4AE3-B08E-C7D5EA6AE6F3}" name="Catégorie Investissement"/>
    <tableColumn id="4" xr3:uid="{1080C44F-534C-4FA0-9A8D-AC5B6009B294}" name="Type Infrastructure"/>
    <tableColumn id="5" xr3:uid="{3165AB82-8055-4057-ADFD-1E2CE4A668D3}" name="Gérant projet"/>
    <tableColumn id="35" xr3:uid="{BBBCFCC9-7E8A-4E82-9140-B55571907826}" name="État Composante AC"/>
    <tableColumn id="36" xr3:uid="{5B2DFB6A-ED85-4F2B-8A73-1547E4216A08}" name="État Composante TR"/>
    <tableColumn id="2" xr3:uid="{C4C23F83-9593-4823-B5AD-3D54CCDA4A67}" name="Région" dataDxfId="489"/>
    <tableColumn id="37" xr3:uid="{72302ADE-B7CB-4DC8-A3A7-2A7ED0DAB8AA}" name="Numéro projet" totalsRowFunction="count" dataDxfId="488"/>
    <tableColumn id="57" xr3:uid="{0FC2DACF-AF3A-4AF9-B016-8861C43A64AB}" name="Titre projet" dataDxfId="487"/>
    <tableColumn id="30" xr3:uid="{2CCB5D18-3E44-4BBE-8822-EF1150719BC6}" name="Localisation" dataDxfId="486"/>
    <tableColumn id="59" xr3:uid="{86184C06-90A9-4EE0-970B-7FE76418B1C6}" name="Année DÉBUT Travaux prévu" dataDxfId="485"/>
    <tableColumn id="7" xr3:uid="{68516A18-6B8E-4A64-B616-05CFD53C6B06}" name="État avancement" dataDxfId="484"/>
    <tableColumn id="38" xr3:uid="{B67A95D1-F608-4620-ABE0-6F4DA908FAA4}" name="PC-1" dataDxfId="483"/>
    <tableColumn id="39" xr3:uid="{F1F63682-2ECA-4B72-885C-9B8E068706D6}" name="PC-3" dataDxfId="482"/>
    <tableColumn id="40" xr3:uid="{F6B90685-70EE-4D24-B0CC-4660AF4C91FC}" name="PC-5" dataDxfId="481"/>
    <tableColumn id="73" xr3:uid="{B791B4F4-01F0-48A9-9BD8-A197C72B81A3}" name="OPC-1" dataDxfId="480">
      <calculatedColumnFormula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calculatedColumnFormula>
    </tableColumn>
    <tableColumn id="72" xr3:uid="{B211C35C-5D66-465E-B7F9-ABEF0094F775}" name="OPC PC-3" dataDxfId="479">
      <calculatedColumnFormula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calculatedColumnFormula>
    </tableColumn>
    <tableColumn id="71" xr3:uid="{750034A4-9966-43AF-9425-4CE105AD17B1}" name="OPC PC-5" dataDxfId="478">
      <calculatedColumnFormula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calculatedColumnFormula>
    </tableColumn>
    <tableColumn id="70" xr3:uid="{06DC6DD9-8F91-4184-BDC0-56BDF8C0AACE}" name="Délais PC1 et PC3" dataDxfId="477">
      <calculatedColumnFormula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calculatedColumnFormula>
    </tableColumn>
    <tableColumn id="69" xr3:uid="{FD4A529D-A2EA-4EBA-84D9-359ED108959D}" name="Délais PC3 et PC5" dataDxfId="476">
      <calculatedColumnFormula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calculatedColumnFormula>
    </tableColumn>
    <tableColumn id="68" xr3:uid="{301F0FB3-68FF-497C-9C0F-2E26A269BB27}" name="Délais total PC3 et PC5" dataDxfId="475">
      <calculatedColumnFormula>Portefeuille_MNT_PPS_Access_26_2834[[#This Row],[Délais PC1 et PC3]]+Portefeuille_MNT_PPS_Access_26_2834[[#This Row],[Délais PC3 et PC5]]</calculatedColumnFormula>
    </tableColumn>
    <tableColumn id="45" xr3:uid="{8D4AAFF4-48DE-49ED-BA93-7A3171755869}" name="IND_PARA_25-26"/>
    <tableColumn id="50" xr3:uid="{DD189D26-02C0-4F1F-AC48-89132D5B82A2}" name="IND_PROJT_ANNONCE_25-27"/>
    <tableColumn id="31" xr3:uid="{C250CF4B-A0A7-4F83-A1A1-445F2FE53857}" name="INDICE OPC"/>
    <tableColumn id="6" xr3:uid="{E7E4A43C-6D2B-4803-99E8-0E64FDDB0DB6}" name="IND_Etat_avancement" dataDxfId="474"/>
    <tableColumn id="52" xr3:uid="{F199FA02-3531-4C2C-A92C-4F1A6A325146}" name="IND_SITE_PRIO_2024"/>
    <tableColumn id="76" xr3:uid="{A0A71EBD-32A0-4913-A286-B091E0D68601}" name="Critère Etat Infrastructure" dataDxfId="473">
      <calculatedColumnFormula>_xlfn.XLOOKUP(Portefeuille_MNT_PPS_Access_26_2834[[#This Row],[Numéro projet]],Portefeuille_MNT_PPS_Access27[Numéro projet],Portefeuille_MNT_PPS_Access27[Critère Etat Infrastructure])</calculatedColumnFormula>
    </tableColumn>
    <tableColumn id="75" xr3:uid="{97658379-B682-4C8D-8F7B-C80D0D5F8F94}" name="Priorité Programmation" dataDxfId="472">
      <calculatedColumnFormula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calculatedColumnFormula>
    </tableColumn>
    <tableColumn id="74" xr3:uid="{8B7200C8-85B9-4BB7-8EE0-DD172669B1CC}" name="Colonne1" dataDxfId="471" totalsRowDxfId="470"/>
    <tableColumn id="78" xr3:uid="{ECF4017D-ADD1-406F-B452-649550A8B32B}" name="AC ANT" totalsRowFunction="sum" dataDxfId="469" totalsRowDxfId="468"/>
    <tableColumn id="34" xr3:uid="{7C1554B3-C0AD-42B5-9CD4-284813EC0704}" name="TR ANT" totalsRowFunction="sum" dataDxfId="467" totalsRowDxfId="466"/>
    <tableColumn id="8" xr3:uid="{5F0BC930-96DC-467F-A809-B4E0681AEB22}" name="AC 2024" totalsRowFunction="sum" dataDxfId="465" totalsRowDxfId="464"/>
    <tableColumn id="9" xr3:uid="{F14F48BF-96BC-42EB-A434-F297EFC1C9FB}" name="TR 2024" totalsRowFunction="sum" dataDxfId="463" totalsRowDxfId="462"/>
    <tableColumn id="10" xr3:uid="{C6152A70-2CD5-4107-A890-7471CF67E35A}" name="AC 2025" totalsRowFunction="sum" dataDxfId="461" totalsRowDxfId="460"/>
    <tableColumn id="11" xr3:uid="{9E2C2BC2-5954-47A6-A8C1-C555E29250BA}" name="TR 2025" totalsRowFunction="sum" dataDxfId="459" totalsRowDxfId="458"/>
    <tableColumn id="12" xr3:uid="{8B178662-96C3-49A1-A54C-6D0F6D5F770D}" name="AC 2026" totalsRowFunction="sum" dataDxfId="457" totalsRowDxfId="456"/>
    <tableColumn id="13" xr3:uid="{E9DE29EC-0D7E-410E-B9AB-E4F4CE9E550B}" name="TR 2026" totalsRowFunction="sum" dataDxfId="455" totalsRowDxfId="454"/>
    <tableColumn id="14" xr3:uid="{91B6A42B-8F36-41B5-A2B4-47DC2DFA656E}" name="AC 2027" totalsRowFunction="sum" dataDxfId="453" totalsRowDxfId="452"/>
    <tableColumn id="15" xr3:uid="{4B14AE54-80B4-4CF3-97EB-6A55452F84B5}" name="TR 2027" totalsRowFunction="sum" dataDxfId="451" totalsRowDxfId="450"/>
    <tableColumn id="16" xr3:uid="{B936F4DF-0157-49A3-8ED2-EA4CF8A76040}" name="AC 2028" totalsRowFunction="sum" dataDxfId="449" totalsRowDxfId="448"/>
    <tableColumn id="17" xr3:uid="{10D337B9-1963-4D13-9B54-F5DB3C046F26}" name="TR 2028" totalsRowFunction="sum" dataDxfId="447" totalsRowDxfId="446"/>
    <tableColumn id="18" xr3:uid="{D0C58893-DB82-48EF-9135-CD99EFB4F063}" name="AC 2029" totalsRowFunction="sum" dataDxfId="445" totalsRowDxfId="444"/>
    <tableColumn id="19" xr3:uid="{592F2F30-1FB9-4C2E-93EF-5198E2141D75}" name="TR 2029" totalsRowFunction="sum" dataDxfId="443" totalsRowDxfId="442"/>
    <tableColumn id="20" xr3:uid="{46A35CB5-F901-4FEA-AD6B-DD18100582AD}" name="AC 2030" totalsRowFunction="sum" dataDxfId="441" totalsRowDxfId="440"/>
    <tableColumn id="21" xr3:uid="{8E16DF52-6BBB-4C37-A831-EB2B2897B029}" name="TR 2030" totalsRowFunction="sum" dataDxfId="439" totalsRowDxfId="438"/>
    <tableColumn id="22" xr3:uid="{7F860950-DAA7-43BB-9919-1F5E042ADD37}" name="AC 2031" totalsRowFunction="sum" dataDxfId="437" totalsRowDxfId="436"/>
    <tableColumn id="23" xr3:uid="{A4820A78-97DD-47E8-892B-E114AA1CC1BA}" name="TR 2031" totalsRowFunction="sum" dataDxfId="435" totalsRowDxfId="434"/>
    <tableColumn id="24" xr3:uid="{3EE74402-B610-492C-A835-C1989873E287}" name="AC 2032" totalsRowFunction="sum" dataDxfId="433" totalsRowDxfId="432"/>
    <tableColumn id="25" xr3:uid="{38172A9A-1DAC-4B69-A6D3-D422C96C245A}" name="TR 2032" totalsRowFunction="sum" dataDxfId="431" totalsRowDxfId="430"/>
    <tableColumn id="26" xr3:uid="{07F5F1CA-81DC-416C-836E-5847DD4E50FC}" name="AC 2033" totalsRowFunction="sum" dataDxfId="429" totalsRowDxfId="428"/>
    <tableColumn id="27" xr3:uid="{A1D07B23-6801-46C3-9364-F8F385506E80}" name="TR 2033" totalsRowFunction="sum" dataDxfId="427" totalsRowDxfId="426"/>
    <tableColumn id="28" xr3:uid="{0DC1FDF7-111D-4CE5-A9CA-DD54B9FB1F50}" name="AC 2034" totalsRowFunction="sum" dataDxfId="425" totalsRowDxfId="424"/>
    <tableColumn id="29" xr3:uid="{E4427156-550E-4616-9D1F-340490ACE462}" name="TR 2034" totalsRowFunction="sum" dataDxfId="423" totalsRowDxfId="422"/>
    <tableColumn id="46" xr3:uid="{8C4130FE-DB23-4AB3-BE74-801787B09F08}" name="AC 2035" totalsRowFunction="sum" dataDxfId="421" totalsRowDxfId="420"/>
    <tableColumn id="48" xr3:uid="{EC1F1870-BC68-41EB-B9B3-43E452834ABC}" name="TR 2035" totalsRowFunction="sum" dataDxfId="419" totalsRowDxfId="418"/>
    <tableColumn id="32" xr3:uid="{A37C3E73-BA02-4736-AB83-E8DC05F54AC5}" name="Total Projet" totalsRowFunction="sum" dataDxfId="417" totalsRowDxfId="416">
      <calculatedColumnFormula>SUM(Portefeuille_MNT_PPS_Access_26_2834[[#This Row],[AC ANT]:[TR 2035]])</calculatedColumnFormula>
    </tableColumn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17490BA-9315-4027-ABA0-723A97BBD490}" name="Portefeuille_MNT_PPS_Access32" displayName="Portefeuille_MNT_PPS_Access32" ref="A18:BI163" totalsRowCount="1" headerRowDxfId="415">
  <autoFilter ref="A18:BI162" xr:uid="{9F04E8B0-9684-4F3F-8527-175E5EC6D67D}">
    <filterColumn colId="13">
      <customFilters>
        <customFilter operator="notEqual" val=" "/>
      </customFilters>
    </filterColumn>
  </autoFilter>
  <sortState xmlns:xlrd2="http://schemas.microsoft.com/office/spreadsheetml/2017/richdata2" ref="A19:BI161">
    <sortCondition ref="M18:M162"/>
  </sortState>
  <tableColumns count="61">
    <tableColumn id="49" xr3:uid="{F57C0F97-256D-4381-AA7D-CF4DEFA4329C}" name="DES_COMPL_NATR_COMPB" dataDxfId="414"/>
    <tableColumn id="58" xr3:uid="{447361D7-61A0-4D91-A79D-7E07AB7C68AA}" name="TYPE_INVEST_SCT" dataDxfId="413"/>
    <tableColumn id="44" xr3:uid="{3273ABDE-A313-4499-8EB6-C84975C3E633}" name="NUM_PRIRT_DG"/>
    <tableColumn id="1" xr3:uid="{E2276E12-D159-4A67-80DC-C68C4F8CF4AD}" name="Axe"/>
    <tableColumn id="3" xr3:uid="{6C590935-B769-4E21-A635-1251995A5374}" name="Catégorie Investissement"/>
    <tableColumn id="4" xr3:uid="{2233969A-22FA-40D8-AE7D-4EA64E2E1F30}" name="Type Infrastructure"/>
    <tableColumn id="5" xr3:uid="{8BC6B91E-833A-48FD-B5FE-99444FBBEC56}" name="Gérant projet"/>
    <tableColumn id="35" xr3:uid="{62D813C5-C89D-4609-AAC7-F61D022AC50B}" name="État Composante AC"/>
    <tableColumn id="36" xr3:uid="{93D56F17-CCF1-4053-921F-47EB7FD5E933}" name="État Composante TR"/>
    <tableColumn id="2" xr3:uid="{E99C91CE-B502-4D5C-9B1C-3303E398F812}" name="Région" dataDxfId="412"/>
    <tableColumn id="37" xr3:uid="{E9E1FB19-9C0A-429E-B66B-CF675C1B9BD5}" name="Numéro projet" totalsRowFunction="count" dataDxfId="411"/>
    <tableColumn id="57" xr3:uid="{219C4812-F125-496C-8475-77AB594FCD9A}" name="Titre projet" dataDxfId="410"/>
    <tableColumn id="30" xr3:uid="{5E0D7426-ADEE-4B8A-ACA9-349243AA5103}" name="Localisation" dataDxfId="409"/>
    <tableColumn id="59" xr3:uid="{519063C9-BC2B-49B3-8A0C-2CAA102BA7C5}" name="Année DÉBUT Travaux prévu" dataDxfId="408"/>
    <tableColumn id="7" xr3:uid="{BCE97C7C-8C41-4289-94B9-C31A45B01C92}" name="État avancement" dataDxfId="407"/>
    <tableColumn id="38" xr3:uid="{C3569A99-FB6B-4B63-B993-9FA730ABDA86}" name="PC-1" dataDxfId="406"/>
    <tableColumn id="39" xr3:uid="{7E71D04B-9672-43FF-AC7B-46F4A049A325}" name="PC-3" dataDxfId="405"/>
    <tableColumn id="40" xr3:uid="{730EFEDE-0AD8-4AC5-98B3-E6C3C2F62D41}" name="PC-5" dataDxfId="404"/>
    <tableColumn id="73" xr3:uid="{D5CC451E-F4A5-4EE6-8DB6-6D634F14974F}" name="OPC-1" dataDxfId="403">
      <calculatedColumnFormula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calculatedColumnFormula>
    </tableColumn>
    <tableColumn id="72" xr3:uid="{745614A8-0517-4887-83EA-D64571B69AF8}" name="OPC PC-3" dataDxfId="402">
      <calculatedColumnFormula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calculatedColumnFormula>
    </tableColumn>
    <tableColumn id="71" xr3:uid="{8A261909-C83E-4EE6-9FD6-2D073E1405CC}" name="OPC PC-5" dataDxfId="401">
      <calculatedColumnFormula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calculatedColumnFormula>
    </tableColumn>
    <tableColumn id="70" xr3:uid="{E4385D6A-B2F1-4AFF-A083-7E6F7F542DB1}" name="Délais PC1 et PC3" dataDxfId="400">
      <calculatedColumnFormula xml:space="preserve"> (YEAR(Portefeuille_MNT_PPS_Access32[[#This Row],[PC-3]]) - YEAR(Portefeuille_MNT_PPS_Access32[[#This Row],[PC-1]])) * 12 + MONTH(Portefeuille_MNT_PPS_Access32[[#This Row],[PC-3]]) - MONTH(Portefeuille_MNT_PPS_Access32[[#This Row],[PC-1]])</calculatedColumnFormula>
    </tableColumn>
    <tableColumn id="69" xr3:uid="{462CD013-B907-47FC-9C4B-EB4236EDAA2E}" name="Délais PC3 et PC5" dataDxfId="399">
      <calculatedColumnFormula xml:space="preserve"> (YEAR(Portefeuille_MNT_PPS_Access32[[#This Row],[PC-5]]) - YEAR(Portefeuille_MNT_PPS_Access32[[#This Row],[PC-3]])) * 12 + MONTH(Portefeuille_MNT_PPS_Access32[[#This Row],[PC-5]]) - MONTH(Portefeuille_MNT_PPS_Access32[[#This Row],[PC-3]])</calculatedColumnFormula>
    </tableColumn>
    <tableColumn id="68" xr3:uid="{E857B54B-683B-4519-8A84-0C8F32499FAD}" name="Délais total PC3 et PC5" dataDxfId="398">
      <calculatedColumnFormula>Portefeuille_MNT_PPS_Access32[[#This Row],[Délais PC1 et PC3]]+Portefeuille_MNT_PPS_Access32[[#This Row],[Délais PC3 et PC5]]</calculatedColumnFormula>
    </tableColumn>
    <tableColumn id="45" xr3:uid="{EFBEC7BC-163F-4927-BC38-BA47CD0A7066}" name="IND_PARA_25-26"/>
    <tableColumn id="50" xr3:uid="{B6FCFCC8-18CC-4A8E-A461-8216B24B8647}" name="IND_PROJT_ANNONCE_25-27"/>
    <tableColumn id="31" xr3:uid="{9B4A8728-EAFD-48E9-AD5D-51ABB4E9FB46}" name="INDICE OPC"/>
    <tableColumn id="6" xr3:uid="{7554047B-A667-46A8-98DC-74393F890836}" name="IND_Etat_avancement" dataDxfId="397"/>
    <tableColumn id="52" xr3:uid="{FDACAA5A-AA1B-4208-90E1-0A523A3F04E6}" name="IND_SITE_PRIO_2024"/>
    <tableColumn id="76" xr3:uid="{C1178E25-DAC0-4DE7-80BF-1EB4F601A446}" name="Critère Etat Infrastructure" dataDxfId="396">
      <calculatedColumnFormula>_xlfn.XLOOKUP(Portefeuille_MNT_PPS_Access32[[#This Row],[Numéro projet]],Portefeuille_MNT_PPS_Access27[Numéro projet],Portefeuille_MNT_PPS_Access27[Critère Etat Infrastructure])</calculatedColumnFormula>
    </tableColumn>
    <tableColumn id="75" xr3:uid="{06253520-C06E-4CBE-A025-51BA6C238B83}" name="Priorité Programmation" dataDxfId="395">
      <calculatedColumnFormula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calculatedColumnFormula>
    </tableColumn>
    <tableColumn id="74" xr3:uid="{0AE80D44-4427-4FB6-995A-F219629DAC79}" name="Colonne1" dataDxfId="394" totalsRowDxfId="393"/>
    <tableColumn id="78" xr3:uid="{2884EC40-B380-467C-938B-DEFEF5CC4C8A}" name="AC ANT" totalsRowFunction="sum" dataDxfId="392" totalsRowDxfId="391"/>
    <tableColumn id="34" xr3:uid="{37A82636-C3CD-4964-B8BC-046C32EFD46A}" name="TR ANT" totalsRowFunction="sum" dataDxfId="390" totalsRowDxfId="389"/>
    <tableColumn id="8" xr3:uid="{ACD1EA96-4B99-4B33-8077-2CDD75697F6D}" name="AC 2024" totalsRowFunction="sum" dataDxfId="388" totalsRowDxfId="387"/>
    <tableColumn id="9" xr3:uid="{E47B7A54-B4E3-4604-8767-B9C2D2A19A1D}" name="TR 2024" totalsRowFunction="sum" dataDxfId="386" totalsRowDxfId="385"/>
    <tableColumn id="10" xr3:uid="{1F2EA37D-7083-4652-9DD2-4471D53E1097}" name="AC 2025" totalsRowFunction="sum" dataDxfId="384" totalsRowDxfId="383"/>
    <tableColumn id="11" xr3:uid="{B7C2990D-F3C6-45E4-999E-254854275CE9}" name="TR 2025" totalsRowFunction="sum" dataDxfId="382" totalsRowDxfId="381"/>
    <tableColumn id="12" xr3:uid="{94AEE9F6-D252-4EFA-9110-BBB50C7D9BC2}" name="AC 2026" totalsRowFunction="sum" dataDxfId="380" totalsRowDxfId="379"/>
    <tableColumn id="13" xr3:uid="{F01425F7-6D46-42D7-AD03-1E908C297BF3}" name="TR 2026" totalsRowFunction="count" dataDxfId="378"/>
    <tableColumn id="14" xr3:uid="{0BB17656-6896-4FEB-B605-2D9380DC2465}" name="AC 2027" dataDxfId="377"/>
    <tableColumn id="15" xr3:uid="{11216095-3C03-4135-B43D-DDFADF2EC9EF}" name="TR 2027" totalsRowFunction="count" dataDxfId="376"/>
    <tableColumn id="16" xr3:uid="{9F44DD2A-0BAD-4FF8-9EDB-11BBBD264FA1}" name="AC 2028" dataDxfId="375"/>
    <tableColumn id="17" xr3:uid="{F3F6AB1C-FA56-41D6-8BBD-802BD9A1D24C}" name="TR 2028" totalsRowFunction="count" dataDxfId="374"/>
    <tableColumn id="18" xr3:uid="{D851C418-05E6-4B38-8B7D-C3957CC31B2C}" name="AC 2029" dataDxfId="373"/>
    <tableColumn id="19" xr3:uid="{046C7735-0453-49CE-ADA5-0FCA22A644A5}" name="TR 2029" totalsRowFunction="count" dataDxfId="372"/>
    <tableColumn id="20" xr3:uid="{01D90C57-39AB-4EE9-A808-A03E1A69A487}" name="AC 2030" dataDxfId="371"/>
    <tableColumn id="21" xr3:uid="{B06230CC-2607-476B-A2D3-8C02D2F7819D}" name="TR 2030" totalsRowFunction="count" dataDxfId="370"/>
    <tableColumn id="22" xr3:uid="{91D97723-6C95-4830-BD2B-3E95ED8A9C9D}" name="AC 2031" dataDxfId="369" totalsRowDxfId="368"/>
    <tableColumn id="23" xr3:uid="{F6B3AED0-7180-4E8A-BD04-22195300AC43}" name="TR 2031" totalsRowFunction="sum" dataDxfId="367" totalsRowDxfId="366"/>
    <tableColumn id="24" xr3:uid="{361A7BB1-F911-451A-87D7-7CAF0781E6FA}" name="AC 2032" totalsRowFunction="sum" dataDxfId="365" totalsRowDxfId="364"/>
    <tableColumn id="25" xr3:uid="{AE1356AE-610C-4BC6-92A7-71E3740D1F24}" name="TR 2032" totalsRowFunction="sum" dataDxfId="363" totalsRowDxfId="362"/>
    <tableColumn id="26" xr3:uid="{1D7AC109-FAD4-42B0-81C0-7BB17A75D7D9}" name="AC 2033" totalsRowFunction="sum" dataDxfId="361" totalsRowDxfId="360"/>
    <tableColumn id="27" xr3:uid="{32EF6131-6870-48B2-9919-C6CA09C1F3B8}" name="TR 2033" totalsRowFunction="sum" dataDxfId="359" totalsRowDxfId="358"/>
    <tableColumn id="28" xr3:uid="{1DF237D5-9811-4A55-9D5A-B6A4D8BA7AD0}" name="AC 2034" totalsRowFunction="sum" dataDxfId="357" totalsRowDxfId="356"/>
    <tableColumn id="29" xr3:uid="{4451B1DD-7507-4837-95B7-122A83429E18}" name="TR 2034" totalsRowFunction="sum" dataDxfId="355" totalsRowDxfId="354"/>
    <tableColumn id="46" xr3:uid="{827EA0B4-F8A3-4469-ABB5-5D7F0F491E4E}" name="AC 2035" totalsRowFunction="sum" dataDxfId="353" totalsRowDxfId="352"/>
    <tableColumn id="48" xr3:uid="{95143286-A498-4C04-9FE3-193ADF9F52E5}" name="TR 2035" totalsRowFunction="sum" dataDxfId="351" totalsRowDxfId="350"/>
    <tableColumn id="32" xr3:uid="{17BB8738-1A86-4803-8A16-1C19F16C243B}" name="Total Projet" totalsRowFunction="sum" dataDxfId="349" totalsRowDxfId="348">
      <calculatedColumnFormula>SUM(Portefeuille_MNT_PPS_Access32[[#This Row],[AC ANT]:[TR 2035]])</calculatedColumnFormula>
    </tableColumn>
    <tableColumn id="33" xr3:uid="{E88A2FB1-1BE9-4E11-9182-6EC4A69C42D6}" name="Total Projet 2026-2031" totalsRowFunction="sum" dataDxfId="347" totalsRowDxfId="346">
      <calculatedColumnFormula>SUM(Portefeuille_MNT_PPS_Access32[[#This Row],[AC 2026]:[TR 2030]])</calculatedColumnFormula>
    </tableColumn>
    <tableColumn id="41" xr3:uid="{DCC9079D-FC1D-4A52-BF57-C3A4E1AEBEAE}" name="Total Projet 2026-2036" totalsRowFunction="sum" dataDxfId="345" totalsRowDxfId="344">
      <calculatedColumnFormula>SUM(Portefeuille_MNT_PPS_Access32[[#This Row],[AC 2026]:[TR 2035]])</calculatedColumnFormula>
    </tableColumn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6F8AF1C-22C8-4851-BC46-C17912CE8380}" name="Portefeuille_MNT_PPS_Access_26_28" displayName="Portefeuille_MNT_PPS_Access_26_28" ref="A18:BG56" totalsRowCount="1" headerRowDxfId="343">
  <autoFilter ref="A18:BG55" xr:uid="{9F04E8B0-9684-4F3F-8527-175E5EC6D67D}"/>
  <sortState xmlns:xlrd2="http://schemas.microsoft.com/office/spreadsheetml/2017/richdata2" ref="A19:BG55">
    <sortCondition ref="L18:L55"/>
  </sortState>
  <tableColumns count="59">
    <tableColumn id="49" xr3:uid="{3365883F-AA7B-466D-9B20-E478D386CB62}" name="DES_COMPL_NATR_COMPB" dataDxfId="342"/>
    <tableColumn id="58" xr3:uid="{7B6BAD89-BB36-49CB-A3D3-CEA855B63019}" name="TYPE_INVEST_SCT" dataDxfId="341"/>
    <tableColumn id="44" xr3:uid="{B53B52AE-9FCB-4106-B8C3-E3401D955B57}" name="NUM_PRIRT_DG"/>
    <tableColumn id="1" xr3:uid="{447AC604-A4E3-4DC6-BAB2-B881580E52E7}" name="Axe"/>
    <tableColumn id="3" xr3:uid="{01F1DA54-B57B-40BE-803E-FED77EE4C170}" name="Catégorie Investissement"/>
    <tableColumn id="4" xr3:uid="{CB613589-F0B4-427D-812B-72AA0C785AAE}" name="Type Infrastructure"/>
    <tableColumn id="5" xr3:uid="{763CC514-D687-4E40-A12E-6A9769EFD87F}" name="Gérant projet"/>
    <tableColumn id="35" xr3:uid="{4D6A8085-9360-4D5F-B3DA-F5DFF0B57945}" name="État Composante AC"/>
    <tableColumn id="36" xr3:uid="{6D756D7C-37CB-45E6-A30B-A6A2CB4E5CD6}" name="État Composante TR"/>
    <tableColumn id="2" xr3:uid="{32DE9C97-4426-4AB1-8F3A-2549245769B2}" name="Région" dataDxfId="340"/>
    <tableColumn id="37" xr3:uid="{5DE11B8B-81B4-4D18-B318-541FDD63690B}" name="Numéro projet" totalsRowFunction="count" dataDxfId="339"/>
    <tableColumn id="57" xr3:uid="{14FA19CE-3560-4187-9F4A-03FF67925D4C}" name="Titre projet" dataDxfId="338"/>
    <tableColumn id="30" xr3:uid="{76D93D78-C7D2-46A2-996D-7BC072BBDB39}" name="Localisation" dataDxfId="337"/>
    <tableColumn id="59" xr3:uid="{5A5AE83E-79BB-4139-A2A5-0E8CFF10895B}" name="Année DÉBUT Travaux prévu" dataDxfId="336"/>
    <tableColumn id="7" xr3:uid="{3A007E30-EA6E-4568-AC83-686FA2C418BA}" name="État avancement" dataDxfId="335"/>
    <tableColumn id="38" xr3:uid="{D1CE495E-7986-4D4E-BF44-88D7B38E9844}" name="PC-1" dataDxfId="334"/>
    <tableColumn id="39" xr3:uid="{E11A96B9-E4A9-41ED-8933-2AD5946650FC}" name="PC-3" dataDxfId="333"/>
    <tableColumn id="40" xr3:uid="{CC928374-0B5D-48D9-9B40-D05F4CA40A9F}" name="PC-5" dataDxfId="332"/>
    <tableColumn id="73" xr3:uid="{D2E384FD-2335-453C-AA98-807E87789F81}" name="OPC-1" dataDxfId="331">
      <calculatedColumnFormula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calculatedColumnFormula>
    </tableColumn>
    <tableColumn id="72" xr3:uid="{8683C484-5C2E-4B47-9726-D77357111963}" name="OPC PC-3" dataDxfId="330">
      <calculatedColumnFormula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calculatedColumnFormula>
    </tableColumn>
    <tableColumn id="71" xr3:uid="{E9C8E045-67FB-41C1-9F56-51BCC75957D5}" name="OPC PC-5" dataDxfId="329">
      <calculatedColumnFormula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calculatedColumnFormula>
    </tableColumn>
    <tableColumn id="70" xr3:uid="{CE1E6491-22C0-4957-BC1F-1350F458E432}" name="Délais PC1 et PC3" dataDxfId="328">
      <calculatedColumnFormula xml:space="preserve"> (YEAR(Portefeuille_MNT_PPS_Access_26_28[[#This Row],[PC-3]]) - YEAR(Portefeuille_MNT_PPS_Access_26_28[[#This Row],[PC-1]])) * 12 + MONTH(Portefeuille_MNT_PPS_Access_26_28[[#This Row],[PC-3]]) - MONTH(Portefeuille_MNT_PPS_Access_26_28[[#This Row],[PC-1]])</calculatedColumnFormula>
    </tableColumn>
    <tableColumn id="69" xr3:uid="{8440AA0F-1F0D-4BA3-8033-BF75467D8564}" name="Délais PC3 et PC5" dataDxfId="327">
      <calculatedColumnFormula xml:space="preserve"> (YEAR(Portefeuille_MNT_PPS_Access_26_28[[#This Row],[PC-5]]) - YEAR(Portefeuille_MNT_PPS_Access_26_28[[#This Row],[PC-3]])) * 12 + MONTH(Portefeuille_MNT_PPS_Access_26_28[[#This Row],[PC-5]]) - MONTH(Portefeuille_MNT_PPS_Access_26_28[[#This Row],[PC-3]])</calculatedColumnFormula>
    </tableColumn>
    <tableColumn id="68" xr3:uid="{CD47C374-7F0C-466A-9460-B347BFBAD740}" name="Délais total PC3 et PC5" dataDxfId="326">
      <calculatedColumnFormula>Portefeuille_MNT_PPS_Access_26_28[[#This Row],[Délais PC1 et PC3]]+Portefeuille_MNT_PPS_Access_26_28[[#This Row],[Délais PC3 et PC5]]</calculatedColumnFormula>
    </tableColumn>
    <tableColumn id="45" xr3:uid="{35A93556-2C2D-4B02-81D8-7B05917EBA4A}" name="IND_PARA_25-26"/>
    <tableColumn id="50" xr3:uid="{74649249-CF01-430F-85FA-C50000778969}" name="IND_PROJT_ANNONCE_25-27"/>
    <tableColumn id="31" xr3:uid="{A3553B32-C626-4A31-B8C3-DFB9098FFF88}" name="INDICE OPC"/>
    <tableColumn id="6" xr3:uid="{1C4BE2E4-0C4F-4D7D-9623-89B62D838C9E}" name="IND_Etat_avancement" dataDxfId="325"/>
    <tableColumn id="52" xr3:uid="{E3D39D4F-A7B7-474A-AEBA-0C3480BA9EB2}" name="IND_SITE_PRIO_2024"/>
    <tableColumn id="76" xr3:uid="{BD405428-C45A-4CF2-8176-40529A34E069}" name="Critère Etat Infrastructure" dataDxfId="324">
      <calculatedColumnFormula>_xlfn.XLOOKUP(Portefeuille_MNT_PPS_Access_26_28[[#This Row],[Numéro projet]],Portefeuille_MNT_PPS_Access27[Numéro projet],Portefeuille_MNT_PPS_Access27[Critère Etat Infrastructure])</calculatedColumnFormula>
    </tableColumn>
    <tableColumn id="75" xr3:uid="{272ACE49-D0FE-46D8-A84E-493649D657F0}" name="Priorité Programmation" dataDxfId="323">
      <calculatedColumnFormula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calculatedColumnFormula>
    </tableColumn>
    <tableColumn id="74" xr3:uid="{AE51C580-A283-49BA-9227-5FF11ADBE705}" name="Colonne1" dataDxfId="322" totalsRowDxfId="321"/>
    <tableColumn id="78" xr3:uid="{5BAA8240-C856-4F18-B1C8-D10A9264E771}" name="AC ANT" totalsRowFunction="sum" dataDxfId="320" totalsRowDxfId="319"/>
    <tableColumn id="34" xr3:uid="{B071EEF1-81EA-4F92-A0C4-ECF5D3D10B58}" name="TR ANT" totalsRowFunction="sum" dataDxfId="318" totalsRowDxfId="317"/>
    <tableColumn id="8" xr3:uid="{00EA9BC5-14F0-4E87-BB19-0B78FB39186C}" name="AC 2024" totalsRowFunction="sum" dataDxfId="316" totalsRowDxfId="315"/>
    <tableColumn id="9" xr3:uid="{84AAAF9D-20D1-41C9-B9C8-874A61444D9F}" name="TR 2024" totalsRowFunction="sum" dataDxfId="314" totalsRowDxfId="313"/>
    <tableColumn id="10" xr3:uid="{C6254F12-EA88-4223-9CD7-B05CDACB1C16}" name="AC 2025" totalsRowFunction="sum" dataDxfId="312" totalsRowDxfId="311"/>
    <tableColumn id="11" xr3:uid="{7CCF1F04-0E26-4828-B7B2-9C96DF841879}" name="TR 2025" totalsRowFunction="sum" dataDxfId="310" totalsRowDxfId="309"/>
    <tableColumn id="12" xr3:uid="{4CD8B955-4F79-4A73-9CED-D356278FF91C}" name="AC 2026" totalsRowFunction="sum" dataDxfId="308" totalsRowDxfId="307"/>
    <tableColumn id="13" xr3:uid="{D9623D58-33C6-497B-94FA-E79ED1CA6C57}" name="TR 2026" totalsRowFunction="sum" dataDxfId="306" totalsRowDxfId="305"/>
    <tableColumn id="14" xr3:uid="{772D00A4-B1E8-47ED-A113-FAB1603969EA}" name="AC 2027" totalsRowFunction="sum" dataDxfId="304" totalsRowDxfId="303"/>
    <tableColumn id="15" xr3:uid="{43C22709-AA65-4B5C-9236-5D3B3A770A11}" name="TR 2027" totalsRowFunction="sum" dataDxfId="302" totalsRowDxfId="301"/>
    <tableColumn id="16" xr3:uid="{A90DE596-BEC9-4FC3-ABD3-4A1701DC85C0}" name="AC 2028" totalsRowFunction="sum" dataDxfId="300" totalsRowDxfId="299"/>
    <tableColumn id="17" xr3:uid="{F18749AD-2E3E-489F-942C-218EBB7AEC68}" name="TR 2028" totalsRowFunction="sum" dataDxfId="298" totalsRowDxfId="297"/>
    <tableColumn id="18" xr3:uid="{5F5D79CD-310D-4356-80C0-A256F314AF17}" name="AC 2029" totalsRowFunction="sum" dataDxfId="296" totalsRowDxfId="295"/>
    <tableColumn id="19" xr3:uid="{F17E26DA-D93E-40C8-B9D0-238F71EB2952}" name="TR 2029" totalsRowFunction="sum" dataDxfId="294" totalsRowDxfId="293"/>
    <tableColumn id="20" xr3:uid="{5F7E19BC-A36B-4C6B-9D5E-8D699AD64493}" name="AC 2030" totalsRowFunction="sum" dataDxfId="292" totalsRowDxfId="291"/>
    <tableColumn id="21" xr3:uid="{D4C16F17-0875-4C46-961A-0160356D7740}" name="TR 2030" totalsRowFunction="sum" dataDxfId="290" totalsRowDxfId="289"/>
    <tableColumn id="22" xr3:uid="{1665ADF5-EF5F-4ED8-8E07-00B410EE597C}" name="AC 2031" totalsRowFunction="sum" dataDxfId="288" totalsRowDxfId="287"/>
    <tableColumn id="23" xr3:uid="{554D64FA-1522-46CA-A8D2-BFF79BEE3F73}" name="TR 2031" totalsRowFunction="sum" dataDxfId="286" totalsRowDxfId="285"/>
    <tableColumn id="24" xr3:uid="{5EEE1D5B-AD5F-41E9-A812-165BB1337DB7}" name="AC 2032" totalsRowFunction="sum" dataDxfId="284" totalsRowDxfId="283"/>
    <tableColumn id="25" xr3:uid="{5589EEFB-9EF0-4D74-A787-D63D46A0810F}" name="TR 2032" totalsRowFunction="sum" dataDxfId="282" totalsRowDxfId="281"/>
    <tableColumn id="26" xr3:uid="{B46A7D3F-E2E2-4379-96C7-29F03A567293}" name="AC 2033" totalsRowFunction="sum" dataDxfId="280" totalsRowDxfId="279"/>
    <tableColumn id="27" xr3:uid="{A5A140C3-0E8A-43A0-8208-95E5D49DA634}" name="TR 2033" totalsRowFunction="sum" dataDxfId="278" totalsRowDxfId="277"/>
    <tableColumn id="28" xr3:uid="{35E11A20-0C0F-498D-BB78-FB7D1F577F1C}" name="AC 2034" totalsRowFunction="sum" dataDxfId="276" totalsRowDxfId="275"/>
    <tableColumn id="29" xr3:uid="{9DB0AB1A-9043-45AF-8AFA-1938E524A7E5}" name="TR 2034" totalsRowFunction="sum" dataDxfId="274" totalsRowDxfId="273"/>
    <tableColumn id="46" xr3:uid="{A23D598E-8B97-4982-9BEC-C9AA591626CD}" name="AC 2035" totalsRowFunction="sum" dataDxfId="272" totalsRowDxfId="271"/>
    <tableColumn id="48" xr3:uid="{8A7CA1EC-CB6B-4558-9C28-E9FED0724FA6}" name="TR 2035" totalsRowFunction="sum" dataDxfId="270" totalsRowDxfId="269"/>
    <tableColumn id="32" xr3:uid="{38E1C65B-740D-4438-A7C7-D6AD81E3E4C0}" name="Total Projet" totalsRowFunction="sum" dataDxfId="268" totalsRowDxfId="267">
      <calculatedColumnFormula>SUM(Portefeuille_MNT_PPS_Access_26_28[[#This Row],[AC ANT]:[TR 2035]])</calculatedColumnFormula>
    </tableColumn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1787C91-1754-4715-BDBA-26CF56F7A8B2}" name="Tableau34" displayName="Tableau34" ref="A2:B3" totalsRowShown="0" headerRowDxfId="266">
  <autoFilter ref="A2:B3" xr:uid="{41787C91-1754-4715-BDBA-26CF56F7A8B2}"/>
  <tableColumns count="2">
    <tableColumn id="1" xr3:uid="{91AA4ECF-6E25-4916-A2CD-6B33903BFA07}" name="Début"/>
    <tableColumn id="2" xr3:uid="{66004A0F-AA66-4ED5-BE73-17ED0F77838A}" name="Fin">
      <calculatedColumnFormula>Tableau34[[#This Row],[Début]]+10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6651EE3-8C49-4F15-8020-AD3BADCCF2F0}" name="PROGRAMMATION" displayName="PROGRAMMATION" ref="A18:BJ120" tableType="queryTable" totalsRowCount="1" headerRowDxfId="265">
  <autoFilter ref="A18:BJ119" xr:uid="{9F04E8B0-9684-4F3F-8527-175E5EC6D67D}">
    <filterColumn colId="10">
      <filters>
        <filter val="154190687"/>
      </filters>
    </filterColumn>
  </autoFilter>
  <tableColumns count="62">
    <tableColumn id="49" xr3:uid="{9C69BACF-A577-4953-9A94-21BCA966D55C}" uniqueName="49" name="DES_COMPL_NATR_COMPB" queryTableFieldId="241" dataDxfId="264"/>
    <tableColumn id="8" xr3:uid="{9F461207-FE7B-4E9A-BE8B-6AFB7C2A695B}" uniqueName="8" name="TYPE_INVEST_SCT" queryTableFieldId="365" dataDxfId="263"/>
    <tableColumn id="44" xr3:uid="{C302E2DB-75BE-4C07-A140-248448F1AA4C}" uniqueName="44" name="NUM_PRIRT_DG" queryTableFieldId="203" dataDxfId="262"/>
    <tableColumn id="1" xr3:uid="{BFAFDC39-5D44-4D46-85E4-87D1E0213E83}" uniqueName="1" name="Axe" queryTableFieldId="375" dataDxfId="261"/>
    <tableColumn id="2" xr3:uid="{6F737F25-CEAA-4C4B-80F5-FB10600FC15B}" uniqueName="2" name="Catégorie Investissement" queryTableFieldId="376" dataDxfId="260"/>
    <tableColumn id="3" xr3:uid="{2999ACE7-93D4-486B-8B71-2DC0563C930C}" uniqueName="3" name="Type Infrastructure" queryTableFieldId="377" dataDxfId="259"/>
    <tableColumn id="4" xr3:uid="{79D6353F-E7D1-4084-B8A5-59FD562C45C4}" uniqueName="4" name="Gérant projet" queryTableFieldId="378" dataDxfId="258"/>
    <tableColumn id="5" xr3:uid="{8C8255F6-67EF-43B3-A020-A18BACDB3B8F}" uniqueName="5" name="État Composante AC" queryTableFieldId="379" dataDxfId="257"/>
    <tableColumn id="6" xr3:uid="{E81F3CF4-76E6-4969-8222-95837DF9E151}" uniqueName="6" name="État Composante TR" queryTableFieldId="380" dataDxfId="256"/>
    <tableColumn id="7" xr3:uid="{F8A80731-6A10-4D16-86AB-619C15C51F55}" uniqueName="7" name="Région" queryTableFieldId="381" dataDxfId="255"/>
    <tableColumn id="30" xr3:uid="{4146D937-FC72-40EB-B585-DEE1774CE376}" uniqueName="30" name="Numéro projet" totalsRowFunction="count" queryTableFieldId="382" dataDxfId="254"/>
    <tableColumn id="37" xr3:uid="{A23EF616-80D4-43E3-8A95-A7F2FCD542A0}" uniqueName="37" name="Titre projet" queryTableFieldId="383" dataDxfId="253"/>
    <tableColumn id="38" xr3:uid="{64FEA969-F62D-4FB1-8FB6-2A2824DD2948}" uniqueName="38" name="Localisation" queryTableFieldId="384" dataDxfId="252"/>
    <tableColumn id="9" xr3:uid="{7B34675C-CDB4-4D1D-924F-7F27ECC60F14}" uniqueName="9" name="Année DÉBUT Travaux prévu" queryTableFieldId="366" dataDxfId="251"/>
    <tableColumn id="39" xr3:uid="{5B200D5F-D441-4E76-A104-D54D6A2DCC49}" uniqueName="39" name="État avancement" queryTableFieldId="385" dataDxfId="250"/>
    <tableColumn id="40" xr3:uid="{BEA3F113-DA67-49D3-9FCD-DEA320460295}" uniqueName="40" name="PC-0" queryTableFieldId="386" dataDxfId="47"/>
    <tableColumn id="42" xr3:uid="{027ACB18-59E8-4F3D-A1B7-159C1CF2644C}" uniqueName="42" name="PC-1" queryTableFieldId="387" dataDxfId="46"/>
    <tableColumn id="43" xr3:uid="{21E8F95B-C25D-4E0F-9D99-0F6CA9F5A28F}" uniqueName="43" name="PC-3" queryTableFieldId="388" dataDxfId="45"/>
    <tableColumn id="45" xr3:uid="{8E40A758-8CEF-47AD-A2E2-89F4E8970DC3}" uniqueName="45" name="PC-5" queryTableFieldId="389" dataDxfId="44"/>
    <tableColumn id="65" xr3:uid="{6BBF8105-F9F2-416B-B655-1F425F5617E5}" uniqueName="65" name="OPC-1" queryTableFieldId="238" dataDxfId="43">
      <calculatedColumnFormula xml:space="preserve"> IF(#REF! = "", "X",IF(#REF! &lt;= DATE(#REF!- 3, 12, 15),"5.Respect OPC",IF(#REF! &lt;= DATE(#REF!-2, 4, 1),"3.À risque","1.Très à risque")))</calculatedColumnFormula>
    </tableColumn>
    <tableColumn id="64" xr3:uid="{D38010B4-E9D0-43FC-8D8B-EC8E53690C66}" uniqueName="64" name="OPC PC-3" queryTableFieldId="218" dataDxfId="42">
      <calculatedColumnFormula xml:space="preserve"> IF(#REF! = "", "X",IF(#REF! &lt;= DATE(#REF!- 2, 12, 15),"5.Respect OPC",IF(#REF! &lt;= DATE(#REF!-1, 4, 1),"3.À risque","1.Très à risque")))</calculatedColumnFormula>
    </tableColumn>
    <tableColumn id="63" xr3:uid="{2F4E59B6-7823-4002-B6F8-8ECBE2412A4B}" uniqueName="63" name="OPC PC-5" queryTableFieldId="217" dataDxfId="41">
      <calculatedColumnFormula xml:space="preserve"> IF(#REF! = "", "X",IF(#REF! &lt;= DATE(#REF!- 1, 12, 15),"5.Respect OPC",IF(#REF! &lt;= DATE(#REF!, 4, 1),"3.À risque","1.Très à risque")))</calculatedColumnFormula>
    </tableColumn>
    <tableColumn id="62" xr3:uid="{688700C5-0D1B-403C-AC9A-DC1CBAFB8193}" uniqueName="62" name="Délais PC1 et PC3" queryTableFieldId="216" dataDxfId="40">
      <calculatedColumnFormula xml:space="preserve"> (YEAR(#REF!) - YEAR(#REF!)) * 12 + MONTH(#REF!) - MONTH(#REF!)</calculatedColumnFormula>
    </tableColumn>
    <tableColumn id="61" xr3:uid="{29AADC80-4425-4041-9EA9-5694E8C39DCC}" uniqueName="61" name="Délais PC3 et PC5" queryTableFieldId="215" dataDxfId="39">
      <calculatedColumnFormula xml:space="preserve"> (YEAR(#REF!) - YEAR(#REF!)) * 12 + MONTH(#REF!) - MONTH(#REF!)</calculatedColumnFormula>
    </tableColumn>
    <tableColumn id="60" xr3:uid="{505778EB-E8DF-4810-BA87-D012F336D717}" uniqueName="60" name="Délais total PC3 et PC5" queryTableFieldId="214" dataDxfId="38">
      <calculatedColumnFormula>#REF!+#REF!</calculatedColumnFormula>
    </tableColumn>
    <tableColumn id="35" xr3:uid="{0CFD531B-AE7F-497D-B5A4-2F5568508022}" uniqueName="35" name="IND_PARA" queryTableFieldId="372"/>
    <tableColumn id="36" xr3:uid="{B3D91476-6629-4451-BE73-EF368D3BCBF0}" uniqueName="36" name="IND_PROJT_ANNONCE" queryTableFieldId="373"/>
    <tableColumn id="31" xr3:uid="{3ACC6825-17CD-41AD-97C6-D774E351D3AF}" uniqueName="31" name="INDICE OPC" queryTableFieldId="368"/>
    <tableColumn id="47" xr3:uid="{0AE8571F-658A-447B-8837-0A0BF9E36C6C}" uniqueName="47" name="IND_Etat_avancement" queryTableFieldId="390" dataDxfId="249"/>
    <tableColumn id="50" xr3:uid="{5C1DDCC7-1E69-4763-8C0F-3E9E63F5CC14}" uniqueName="50" name="IND_SITE_PRIO_2024" queryTableFieldId="391"/>
    <tableColumn id="59" xr3:uid="{8E475667-80A7-4378-BA7D-113AB881297C}" uniqueName="59" name="Critère Etat Infrastructure" queryTableFieldId="185" dataDxfId="37">
      <calculatedColumnFormula>_xlfn.XLOOKUP(#REF!,Portefeuille_MNT_PPS_Access27[Numéro projet],Portefeuille_MNT_PPS_Access27[Critère Etat Infrastructure])</calculatedColumnFormula>
    </tableColumn>
    <tableColumn id="58" xr3:uid="{AAE356C1-6DB5-41B3-A319-D0959A2F7621}" uniqueName="58" name="Priorité Programmation" queryTableFieldId="201" dataDxfId="36">
      <calculatedColumnFormula>IF(#REF!=5,100, SUM(IF(#REF!="",#REF!*$AE$8/5,#REF!*$AE$8/5),#REF!* $AE$10/5,#REF!* $AE$9/5,#REF!* $AE$7/5)*100)</calculatedColumnFormula>
    </tableColumn>
    <tableColumn id="51" xr3:uid="{1DB6650C-4DBB-4DBF-9E6A-B5AAD75F2412}" uniqueName="51" name="Colonne1" queryTableFieldId="282" dataDxfId="35" totalsRowDxfId="48"/>
    <tableColumn id="78" xr3:uid="{7ACCF952-6A5A-4666-B50B-6C7E47200432}" uniqueName="78" name="AC ANT" totalsRowFunction="sum" queryTableFieldId="187" dataDxfId="248" totalsRowDxfId="49"/>
    <tableColumn id="34" xr3:uid="{9E27BE11-9A99-4757-A884-BBB8B0109C71}" uniqueName="34" name="TR ANT" totalsRowFunction="sum" queryTableFieldId="34" dataDxfId="247" totalsRowDxfId="50"/>
    <tableColumn id="12" xr3:uid="{4D3B3A8B-62D6-4988-BC94-CD09AECBE70D}" uniqueName="12" name="AC 2026" totalsRowFunction="sum" queryTableFieldId="12" dataDxfId="246" totalsRowDxfId="51"/>
    <tableColumn id="13" xr3:uid="{3903CA04-ECA2-48F6-BE7A-AE36B24BE003}" uniqueName="13" name="TR 2026" totalsRowFunction="sum" queryTableFieldId="13" dataDxfId="245" totalsRowDxfId="52"/>
    <tableColumn id="14" xr3:uid="{BDB2D976-181F-41A5-8F3F-861BD5212D26}" uniqueName="14" name="AC 2027" totalsRowFunction="sum" queryTableFieldId="14" dataDxfId="244" totalsRowDxfId="53"/>
    <tableColumn id="15" xr3:uid="{ACE66099-B754-484E-BB22-A2E636C65515}" uniqueName="15" name="TR 2027" totalsRowFunction="sum" queryTableFieldId="15" dataDxfId="243" totalsRowDxfId="54"/>
    <tableColumn id="16" xr3:uid="{8CD0818B-4A4B-468C-B9E0-F9774A6386BA}" uniqueName="16" name="AC 2028" totalsRowFunction="sum" queryTableFieldId="16" dataDxfId="242" totalsRowDxfId="55"/>
    <tableColumn id="17" xr3:uid="{90A214D9-F8C0-4A6A-AA05-CCEFF5732EF5}" uniqueName="17" name="TR 2028" totalsRowFunction="sum" queryTableFieldId="17" dataDxfId="241" totalsRowDxfId="56"/>
    <tableColumn id="18" xr3:uid="{E7E666D7-3D8D-4208-B4BF-2A62F9F61858}" uniqueName="18" name="AC 2029" totalsRowFunction="sum" queryTableFieldId="18" dataDxfId="240" totalsRowDxfId="57"/>
    <tableColumn id="19" xr3:uid="{884A8BF0-75EA-4E07-A001-88C56B00E9DD}" uniqueName="19" name="TR 2029" totalsRowFunction="sum" queryTableFieldId="19" dataDxfId="239" totalsRowDxfId="58"/>
    <tableColumn id="20" xr3:uid="{6A0E6237-B1D5-4277-942F-6B3B26CCAE83}" uniqueName="20" name="AC 2030" totalsRowFunction="sum" queryTableFieldId="20" dataDxfId="238" totalsRowDxfId="59"/>
    <tableColumn id="21" xr3:uid="{CD5FC5FE-093E-4414-833B-509B4828E2BA}" uniqueName="21" name="TR 2030" totalsRowFunction="sum" queryTableFieldId="21" dataDxfId="237" totalsRowDxfId="60"/>
    <tableColumn id="22" xr3:uid="{AE867E7A-A960-428F-B224-448D3109DCA7}" uniqueName="22" name="AC 2031" totalsRowFunction="sum" queryTableFieldId="22" dataDxfId="236" totalsRowDxfId="61"/>
    <tableColumn id="23" xr3:uid="{048B4BB3-1D2B-4E3D-A7D5-3BC121F32335}" uniqueName="23" name="TR 2031" totalsRowFunction="sum" queryTableFieldId="23" dataDxfId="235" totalsRowDxfId="62"/>
    <tableColumn id="24" xr3:uid="{424C6B64-E808-4470-B008-EFBC13407AC8}" uniqueName="24" name="AC 2032" totalsRowFunction="sum" queryTableFieldId="24" dataDxfId="234" totalsRowDxfId="63"/>
    <tableColumn id="25" xr3:uid="{6C5B8A79-5E48-4D0F-8353-7B784DF6895E}" uniqueName="25" name="TR 2032" totalsRowFunction="sum" queryTableFieldId="25" dataDxfId="233" totalsRowDxfId="64"/>
    <tableColumn id="10" xr3:uid="{BBC90C4A-D848-48ED-9EA5-269C7344BB84}" uniqueName="10" name="AC 2033" queryTableFieldId="509"/>
    <tableColumn id="11" xr3:uid="{21796C1C-FAD2-4C05-8821-2B898D549C42}" uniqueName="11" name="TR 2033" queryTableFieldId="510"/>
    <tableColumn id="26" xr3:uid="{BBE2E2A9-5F61-4300-A1C4-AF5D6B418924}" uniqueName="26" name="AC 2034" queryTableFieldId="511"/>
    <tableColumn id="27" xr3:uid="{44707DF4-24B5-4709-8C00-76FB3559AF36}" uniqueName="27" name="TR 2034" queryTableFieldId="512"/>
    <tableColumn id="28" xr3:uid="{1C654DA5-C5D8-4BAC-AB74-02F03E8E8D28}" uniqueName="28" name="AC 2035" queryTableFieldId="513"/>
    <tableColumn id="29" xr3:uid="{D9074FD4-CE96-402D-9460-EB7F9806B434}" uniqueName="29" name="TR 2035" queryTableFieldId="514"/>
    <tableColumn id="48" xr3:uid="{297CBD20-FCB0-40D5-81BB-2C56DD267CCC}" uniqueName="48" name="AC 2036" queryTableFieldId="515"/>
    <tableColumn id="52" xr3:uid="{110F5FF9-6D37-4BD4-9E53-C1820EFB8777}" uniqueName="52" name="TR 2036" queryTableFieldId="516"/>
    <tableColumn id="41" xr3:uid="{5A537B20-1532-4524-9321-862792BC49E9}" uniqueName="41" name="AC ULT" queryTableFieldId="477"/>
    <tableColumn id="46" xr3:uid="{8AE7B235-C2AC-469B-9F46-D8624D21D9EF}" uniqueName="46" name="TR ULT" queryTableFieldId="478"/>
    <tableColumn id="68" xr3:uid="{B6BBB668-BB7E-43C2-8233-D3E57F362FE4}" uniqueName="68" name="Total Projet" totalsRowFunction="sum" queryTableFieldId="442" totalsRowDxfId="65"/>
    <tableColumn id="32" xr3:uid="{17C6853B-22C3-4DA1-8083-A495A801D230}" uniqueName="32" name="Total Quinquennale" queryTableFieldId="445"/>
    <tableColumn id="33" xr3:uid="{2E15A2CA-BDA3-45D6-B2A9-4DB87A3E5E41}" uniqueName="33" name="Total Décennale" queryTableFieldId="446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CD91BB-A086-4A66-B518-75851B577A19}" name="PLANIFICATION" displayName="PLANIFICATION" ref="A18:BJ120" tableType="queryTable" totalsRowCount="1" headerRowDxfId="232">
  <autoFilter ref="A18:BJ119" xr:uid="{9F04E8B0-9684-4F3F-8527-175E5EC6D67D}">
    <filterColumn colId="10">
      <filters>
        <filter val="154151060"/>
      </filters>
    </filterColumn>
  </autoFilter>
  <tableColumns count="62">
    <tableColumn id="49" xr3:uid="{ED76349C-D72F-46A0-BB21-9CB809A8F5A6}" uniqueName="49" name="DES_COMPL_NATR_COMPB" queryTableFieldId="241" dataDxfId="231"/>
    <tableColumn id="8" xr3:uid="{CD870BBF-5055-4949-A8E8-3695CB66E13A}" uniqueName="8" name="TYPE_INVEST_SCT" queryTableFieldId="365" dataDxfId="230"/>
    <tableColumn id="44" xr3:uid="{B46905E2-8AC0-4432-8B1A-72B395AFEBD1}" uniqueName="44" name="NUM_PRIRT_DG" queryTableFieldId="203" dataDxfId="229"/>
    <tableColumn id="1" xr3:uid="{2A78A1AA-4988-4368-864A-9B2EFBA369BD}" uniqueName="1" name="Axe" queryTableFieldId="375" dataDxfId="228"/>
    <tableColumn id="2" xr3:uid="{C3770110-6805-4086-ABB5-19FF47BC407C}" uniqueName="2" name="Catégorie Investissement" queryTableFieldId="376" dataDxfId="227"/>
    <tableColumn id="3" xr3:uid="{E9CEFFE2-1204-4158-A248-96E377D4AC7F}" uniqueName="3" name="Type Infrastructure" queryTableFieldId="377" dataDxfId="226"/>
    <tableColumn id="4" xr3:uid="{872A0916-EE7F-4B62-A657-57AB14B4545D}" uniqueName="4" name="Gérant projet" queryTableFieldId="378" dataDxfId="225"/>
    <tableColumn id="5" xr3:uid="{C2D1FB93-29AC-4DEC-9778-F50B3C44E942}" uniqueName="5" name="État Composante AC" queryTableFieldId="379" dataDxfId="224"/>
    <tableColumn id="6" xr3:uid="{E66BCCCF-FBE6-49A1-A12C-8E046B17DF37}" uniqueName="6" name="État Composante TR" queryTableFieldId="380" dataDxfId="223"/>
    <tableColumn id="7" xr3:uid="{87CE28A6-39AD-4238-BA28-7CB086C8B58E}" uniqueName="7" name="Région" queryTableFieldId="381" dataDxfId="222"/>
    <tableColumn id="30" xr3:uid="{FA0D65DA-EC6B-4F04-B380-5D584592045E}" uniqueName="30" name="Numéro projet" totalsRowFunction="count" queryTableFieldId="382" dataDxfId="221"/>
    <tableColumn id="37" xr3:uid="{722C7CFA-A585-402D-9642-4779EF9593B9}" uniqueName="37" name="Titre projet" queryTableFieldId="383" dataDxfId="220"/>
    <tableColumn id="38" xr3:uid="{1277194F-B37B-4DD5-9BD9-3624A84C6E55}" uniqueName="38" name="Localisation" queryTableFieldId="384" dataDxfId="219"/>
    <tableColumn id="9" xr3:uid="{D066CE32-BF0C-4950-9A5C-1F3086AAA939}" uniqueName="9" name="Année DÉBUT Travaux prévu" queryTableFieldId="366" dataDxfId="218"/>
    <tableColumn id="39" xr3:uid="{A55B4A2D-0605-47B0-BC68-9E118B3ACBCD}" uniqueName="39" name="État avancement" queryTableFieldId="385" dataDxfId="217"/>
    <tableColumn id="40" xr3:uid="{651D52D9-B7F1-41B3-84F4-A0F4BCC8D009}" uniqueName="40" name="PC-0" queryTableFieldId="386" dataDxfId="16"/>
    <tableColumn id="42" xr3:uid="{75914CA7-BF02-4BBC-844F-1780BE7C80B6}" uniqueName="42" name="PC-1" queryTableFieldId="387" dataDxfId="15"/>
    <tableColumn id="65" xr3:uid="{D6FA0BC2-1C5E-4D3E-9E2E-1E86EB620767}" uniqueName="65" name="OPC-1" queryTableFieldId="238" dataDxfId="14">
      <calculatedColumnFormula xml:space="preserve"> IF(#REF! = "", "X",IF(#REF! &lt;= DATE(#REF!- 3, 12, 15),"5.Respect OPC",IF(#REF! &lt;= DATE(#REF!-2, 4, 1),"3.À risque","1.Très à risque")))</calculatedColumnFormula>
    </tableColumn>
    <tableColumn id="64" xr3:uid="{1EED8A5E-8047-47C1-BD9F-09B48F63BE44}" uniqueName="64" name="OPC PC-3" queryTableFieldId="218" dataDxfId="13">
      <calculatedColumnFormula xml:space="preserve"> IF(#REF! = "", "X",IF(#REF! &lt;= DATE(#REF!- 2, 12, 15),"5.Respect OPC",IF(#REF! &lt;= DATE(#REF!-1, 4, 1),"3.À risque","1.Très à risque")))</calculatedColumnFormula>
    </tableColumn>
    <tableColumn id="63" xr3:uid="{9ACDB650-95AD-49A8-9893-79AFBCD15836}" uniqueName="63" name="OPC PC-5" queryTableFieldId="217" dataDxfId="12">
      <calculatedColumnFormula xml:space="preserve"> IF(#REF! = "", "X",IF(#REF! &lt;= DATE(#REF!- 1, 12, 15),"5.Respect OPC",IF(#REF! &lt;= DATE(#REF!, 4, 1),"3.À risque","1.Très à risque")))</calculatedColumnFormula>
    </tableColumn>
    <tableColumn id="62" xr3:uid="{A0DFCB29-F3D7-4E9C-847E-CB53C65D24A9}" uniqueName="62" name="Délais PC1 et PC3" queryTableFieldId="216" dataDxfId="11">
      <calculatedColumnFormula xml:space="preserve"> (YEAR(#REF!) - YEAR(#REF!)) * 12 + MONTH(#REF!) - MONTH(#REF!)</calculatedColumnFormula>
    </tableColumn>
    <tableColumn id="61" xr3:uid="{756F53F9-0672-4982-85EE-8520D468F298}" uniqueName="61" name="Délais PC3 et PC5" queryTableFieldId="215" dataDxfId="10">
      <calculatedColumnFormula xml:space="preserve"> (YEAR(#REF!) - YEAR(#REF!)) * 12 + MONTH(#REF!) - MONTH(#REF!)</calculatedColumnFormula>
    </tableColumn>
    <tableColumn id="60" xr3:uid="{AACBFCDF-9F43-4B25-893A-5FE7C707B79E}" uniqueName="60" name="Délais total PC3 et PC5" queryTableFieldId="214" dataDxfId="9">
      <calculatedColumnFormula>#REF!+#REF!</calculatedColumnFormula>
    </tableColumn>
    <tableColumn id="43" xr3:uid="{6B1BA043-3899-4CCB-BA21-157F7DB93FE3}" uniqueName="43" name="PC-3" queryTableFieldId="388" dataDxfId="8"/>
    <tableColumn id="45" xr3:uid="{1B0ED31D-09CF-42B6-8D2E-695035545063}" uniqueName="45" name="PC-5" queryTableFieldId="389" dataDxfId="7"/>
    <tableColumn id="35" xr3:uid="{474E7A33-E316-4BD4-8C54-BA8730174F8E}" uniqueName="35" name="IND_PARA" queryTableFieldId="372"/>
    <tableColumn id="36" xr3:uid="{D703457F-5FF3-43D9-867A-B63E0A132076}" uniqueName="36" name="IND_PROJT_ANNONCE" queryTableFieldId="373"/>
    <tableColumn id="31" xr3:uid="{252B2CE5-0319-43D0-A309-1F984D492495}" uniqueName="31" name="INDICE OPC" queryTableFieldId="368"/>
    <tableColumn id="59" xr3:uid="{ECC68C7A-013B-459C-B508-8277EDAE9C27}" uniqueName="59" name="Critère Etat Infrastructure" queryTableFieldId="185" dataDxfId="6">
      <calculatedColumnFormula>_xlfn.XLOOKUP(#REF!,Portefeuille_MNT_PPS_Access27[Numéro projet],Portefeuille_MNT_PPS_Access27[Critère Etat Infrastructure])</calculatedColumnFormula>
    </tableColumn>
    <tableColumn id="58" xr3:uid="{F63B520F-C4B3-4FEE-85A6-217650AD1D7D}" uniqueName="58" name="Priorité Programmation" queryTableFieldId="201" dataDxfId="5">
      <calculatedColumnFormula>IF(#REF!=5,100, SUM(IF(#REF!="",#REF!*$AE$8/5,#REF!*$AE$8/5),#REF!* $AE$10/5,#REF!* $AE$9/5,#REF!* $AE$7/5)*100)</calculatedColumnFormula>
    </tableColumn>
    <tableColumn id="51" xr3:uid="{3FAFFAE7-C49E-43F7-B7C8-1F5D120DA031}" uniqueName="51" name="Colonne1" queryTableFieldId="282" dataDxfId="4" totalsRowDxfId="17"/>
    <tableColumn id="47" xr3:uid="{F05AF67B-FA01-4E32-A42F-7B864FBBBE51}" uniqueName="47" name="IND_Etat_avancement" queryTableFieldId="390" dataDxfId="216"/>
    <tableColumn id="50" xr3:uid="{E9EA808C-B20C-4BC0-8F44-12F2E8A33845}" uniqueName="50" name="IND_SITE_PRIO_2024" queryTableFieldId="391"/>
    <tableColumn id="78" xr3:uid="{83D81AE0-FAD3-4068-AA1D-E1412E99ECDA}" uniqueName="78" name="AC ANT" totalsRowFunction="sum" queryTableFieldId="187" dataDxfId="215" totalsRowDxfId="18"/>
    <tableColumn id="34" xr3:uid="{F047D692-80B0-4350-BC84-E203065D101A}" uniqueName="34" name="TR ANT" totalsRowFunction="sum" queryTableFieldId="34" dataDxfId="214" totalsRowDxfId="19"/>
    <tableColumn id="12" xr3:uid="{0014D0FA-E9EC-471A-920B-7C76E9311465}" uniqueName="12" name="AC 2026" totalsRowFunction="sum" queryTableFieldId="12" dataDxfId="213" totalsRowDxfId="20"/>
    <tableColumn id="13" xr3:uid="{057AB990-4BFA-47E7-B326-674D2771E41A}" uniqueName="13" name="TR 2026" totalsRowFunction="sum" queryTableFieldId="13" dataDxfId="212" totalsRowDxfId="21"/>
    <tableColumn id="14" xr3:uid="{5868CDD9-F59A-4A56-9D02-32C1A431D3BC}" uniqueName="14" name="AC 2027" totalsRowFunction="sum" queryTableFieldId="14" dataDxfId="211" totalsRowDxfId="22"/>
    <tableColumn id="15" xr3:uid="{BAB450CB-7C51-4F51-8B7A-3DAC2BDEF8D6}" uniqueName="15" name="TR 2027" totalsRowFunction="sum" queryTableFieldId="15" dataDxfId="210" totalsRowDxfId="23"/>
    <tableColumn id="16" xr3:uid="{0C0B2CCD-5FF5-4C30-87D8-1131104686EE}" uniqueName="16" name="AC 2028" totalsRowFunction="sum" queryTableFieldId="16" dataDxfId="209" totalsRowDxfId="24"/>
    <tableColumn id="17" xr3:uid="{88DD95F9-2EF5-42AB-AE48-3C860D711E35}" uniqueName="17" name="TR 2028" totalsRowFunction="sum" queryTableFieldId="17" dataDxfId="208" totalsRowDxfId="25"/>
    <tableColumn id="18" xr3:uid="{B83198EA-12F1-4903-8A66-9738DE1A4396}" uniqueName="18" name="AC 2029" totalsRowFunction="sum" queryTableFieldId="18" dataDxfId="207" totalsRowDxfId="26"/>
    <tableColumn id="19" xr3:uid="{3021CA0A-F90B-4189-BB0A-C98A7927BDEF}" uniqueName="19" name="TR 2029" totalsRowFunction="sum" queryTableFieldId="19" dataDxfId="206" totalsRowDxfId="27"/>
    <tableColumn id="20" xr3:uid="{86277445-5786-4F2E-B6CE-CD03AE3866DE}" uniqueName="20" name="AC 2030" totalsRowFunction="sum" queryTableFieldId="20" dataDxfId="205" totalsRowDxfId="28"/>
    <tableColumn id="21" xr3:uid="{C9743A1C-1181-4885-8442-B379CEF29AE9}" uniqueName="21" name="TR 2030" totalsRowFunction="sum" queryTableFieldId="21" dataDxfId="204" totalsRowDxfId="29"/>
    <tableColumn id="22" xr3:uid="{E74DE3E1-70A8-4146-B1B5-7B9E0AE09D93}" uniqueName="22" name="AC 2031" totalsRowFunction="sum" queryTableFieldId="22" dataDxfId="203" totalsRowDxfId="30"/>
    <tableColumn id="23" xr3:uid="{C6BCF17D-BCC8-4292-A60E-0FA6FEF20F90}" uniqueName="23" name="TR 2031" totalsRowFunction="sum" queryTableFieldId="23" dataDxfId="202" totalsRowDxfId="31"/>
    <tableColumn id="24" xr3:uid="{4A30B0F2-CE36-406A-972C-F4742E8834B5}" uniqueName="24" name="AC 2032" totalsRowFunction="sum" queryTableFieldId="24" dataDxfId="201" totalsRowDxfId="32"/>
    <tableColumn id="25" xr3:uid="{27B1C7C1-4DC0-41A0-8A43-3588FAC469FF}" uniqueName="25" name="TR 2032" totalsRowFunction="sum" queryTableFieldId="25" dataDxfId="200" totalsRowDxfId="33"/>
    <tableColumn id="10" xr3:uid="{C17BCFDF-DF83-4D8E-A6F1-9F26890A8D12}" uniqueName="10" name="AC 2033" queryTableFieldId="588"/>
    <tableColumn id="11" xr3:uid="{0D4583F0-2B20-4CF8-8712-D37149355BBA}" uniqueName="11" name="TR 2033" queryTableFieldId="589"/>
    <tableColumn id="26" xr3:uid="{35251819-467D-40EB-B42E-184FFE7B4ACD}" uniqueName="26" name="AC 2034" queryTableFieldId="590"/>
    <tableColumn id="27" xr3:uid="{9D2DEFE9-EBF0-4BD5-8E40-DD9075469C0A}" uniqueName="27" name="TR 2034" queryTableFieldId="591"/>
    <tableColumn id="28" xr3:uid="{82FFC0A8-1A4E-4BE0-8057-2BA01EA3DC47}" uniqueName="28" name="AC 2035" queryTableFieldId="592"/>
    <tableColumn id="29" xr3:uid="{0ABF94CA-F062-44D2-AF66-6C6C92D10865}" uniqueName="29" name="TR 2035" queryTableFieldId="593"/>
    <tableColumn id="48" xr3:uid="{EC145476-01EA-4C6E-9430-39CC690021E6}" uniqueName="48" name="AC 2036" queryTableFieldId="594"/>
    <tableColumn id="52" xr3:uid="{1E5A969D-7D82-42CE-85AF-4707792B29F8}" uniqueName="52" name="TR 2036" queryTableFieldId="595"/>
    <tableColumn id="41" xr3:uid="{348C6343-3E98-4F2A-9640-39EF8A75D03E}" uniqueName="41" name="AC ULT" queryTableFieldId="556"/>
    <tableColumn id="46" xr3:uid="{052123FC-EF37-47D6-892D-58482E73EE7C}" uniqueName="46" name="TR ULT" queryTableFieldId="557"/>
    <tableColumn id="68" xr3:uid="{C4907671-EBD9-4C41-B786-C8DA00423008}" uniqueName="68" name="Total Projet" totalsRowFunction="sum" queryTableFieldId="442" totalsRowDxfId="34"/>
    <tableColumn id="32" xr3:uid="{D8EC9584-FE04-4290-A2A7-6E36D5F5AA71}" uniqueName="32" name="Total Quinquennale" queryTableFieldId="445"/>
    <tableColumn id="33" xr3:uid="{08ECFFB5-1FB5-4916-85CE-F7A7AEB0BCF2}" uniqueName="33" name="Total Décennale" queryTableFieldId="446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C976C08-82D8-432A-9F44-898AF1BAB032}" name="Programmation_proposé" displayName="Programmation_proposé" ref="A1:L1112" tableType="queryTable" totalsRowShown="0">
  <autoFilter ref="A1:L1112" xr:uid="{2C976C08-82D8-432A-9F44-898AF1BAB032}">
    <filterColumn colId="0">
      <filters>
        <filter val="2026"/>
        <filter val="2027"/>
        <filter val="2028"/>
        <filter val="2029"/>
      </filters>
    </filterColumn>
  </autoFilter>
  <tableColumns count="12">
    <tableColumn id="1" xr3:uid="{AF990AEB-7CB9-4BF3-B4A7-75A2566A305E}" uniqueName="1" name="Année" queryTableFieldId="1"/>
    <tableColumn id="2" xr3:uid="{C8BFF880-B527-425E-B504-B78C51FFD729}" uniqueName="2" name="Numéro projet" queryTableFieldId="2" dataDxfId="199"/>
    <tableColumn id="3" xr3:uid="{9C317BF9-1456-4353-9F9D-536BD43E924A}" uniqueName="3" name="Titre projet" queryTableFieldId="3" dataDxfId="198"/>
    <tableColumn id="4" xr3:uid="{648BFA18-9003-46DC-A914-7BF3BD1ED891}" uniqueName="4" name="État avancement" queryTableFieldId="4" dataDxfId="197"/>
    <tableColumn id="10" xr3:uid="{3EA4C5BA-77B3-4C5E-A7A5-CE014AB2860E}" uniqueName="10" name="Date PC-0" queryTableFieldId="10" dataDxfId="3"/>
    <tableColumn id="11" xr3:uid="{9810EF48-314B-4037-9000-3707E3E2759B}" uniqueName="11" name="Date PC-1" queryTableFieldId="11" dataDxfId="2"/>
    <tableColumn id="12" xr3:uid="{F61E77A2-E5D3-42C4-A92B-70103F95F6B8}" uniqueName="12" name="Date PC-3" queryTableFieldId="12" dataDxfId="1"/>
    <tableColumn id="13" xr3:uid="{03E8FFC8-A56F-4CA1-9401-1DB9135B99D1}" uniqueName="13" name="Date PC-5" queryTableFieldId="13" dataDxfId="0"/>
    <tableColumn id="6" xr3:uid="{5005BC2E-38F0-4785-B224-37EC7591A63C}" uniqueName="6" name="AC" queryTableFieldId="6"/>
    <tableColumn id="7" xr3:uid="{345844CD-2B98-4375-B6B8-BD714E2948A1}" uniqueName="7" name="TR" queryTableFieldId="7"/>
    <tableColumn id="8" xr3:uid="{A6532DBA-E003-4A37-82FD-0B0CB7703FDF}" uniqueName="8" name="Budget année" queryTableFieldId="8"/>
    <tableColumn id="9" xr3:uid="{7E7C4C18-464B-4B35-B100-7999B95478F2}" uniqueName="9" name="Projet annoncé" queryTableFieldId="9" dataDxfId="19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560246E-CEE0-4359-9205-BD03C5994E70}" name="Portefeuille_MNT_PPS_Access27" displayName="Portefeuille_MNT_PPS_Access27" ref="A15:Q130" totalsRowShown="0" headerRowDxfId="195">
  <autoFilter ref="A15:Q130" xr:uid="{9F04E8B0-9684-4F3F-8527-175E5EC6D67D}">
    <filterColumn colId="12">
      <filters>
        <filter val="Chicoutimi/Saint-Honoré"/>
      </filters>
    </filterColumn>
  </autoFilter>
  <tableColumns count="17">
    <tableColumn id="49" xr3:uid="{292E6226-D917-4A5A-B3B8-FB98D75F4CE0}" name="DES_COMPL_NATR_COMPB" dataDxfId="194"/>
    <tableColumn id="58" xr3:uid="{76CC844D-0986-4D8C-9141-45656008894F}" name="TYPE_INVEST_SCT" dataDxfId="193"/>
    <tableColumn id="44" xr3:uid="{0E989BD6-C649-4723-B7C8-CCAF820755EC}" name="NUM_PRIRT_DG"/>
    <tableColumn id="1" xr3:uid="{1280226D-27E3-4D67-9793-413D5A9D213D}" name="Axe"/>
    <tableColumn id="3" xr3:uid="{C6B166E8-2D4B-4345-9768-0B7619E5B19C}" name="Catégorie Investissement"/>
    <tableColumn id="4" xr3:uid="{AB25DCB8-C366-442F-9051-F0F9B5C0161F}" name="Type Infrastructure"/>
    <tableColumn id="5" xr3:uid="{6BC26A7A-529B-45F9-8C7C-0238CAF12527}" name="Gérant projet"/>
    <tableColumn id="35" xr3:uid="{C75A29E2-AAC7-4B99-9FD7-7058FE39CC1B}" name="État Composante AC"/>
    <tableColumn id="36" xr3:uid="{1ECC7231-0682-442B-BD6D-7832CDF11C5D}" name="État Composante TR"/>
    <tableColumn id="2" xr3:uid="{78B6D817-6566-4D00-AF3F-FEF52B6F2B7B}" name="Région" dataDxfId="192"/>
    <tableColumn id="37" xr3:uid="{C4AA5A42-1D9D-4B7D-9007-ADAA6A5D5BDA}" name="Numéro projet" dataDxfId="191"/>
    <tableColumn id="57" xr3:uid="{E8EDA6AF-8CC3-43AA-800C-2E156A9474A5}" name="Titre projet" dataDxfId="190"/>
    <tableColumn id="30" xr3:uid="{87D4C35C-DAE5-436A-B898-9B13E346B4F8}" name="Localisation" dataDxfId="189"/>
    <tableColumn id="59" xr3:uid="{36528D41-15CE-415A-80EE-41E7644598D4}" name="Année DÉBUT Travaux prévu" dataDxfId="188"/>
    <tableColumn id="7" xr3:uid="{AA7695B2-A638-48D7-9458-E54B375A854D}" name="État avancement" dataDxfId="187"/>
    <tableColumn id="76" xr3:uid="{15836394-E5F6-438F-86F0-4120F56D2213}" name="Critère Etat Infrastructure" dataDxfId="186">
      <calculatedColumnFormula>_xlfn.XLOOKUP(Portefeuille_MNT_PPS_Access27[[#This Row],[Numéro projet]],Tableau5[Numéro projet],Tableau5[Critère Etat Infrastructure])</calculatedColumnFormula>
    </tableColumn>
    <tableColumn id="6" xr3:uid="{FA93E27F-47B6-4542-8363-DF7684525F67}" name="Stratégie d'intervention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1F5296-3997-45E6-AB8A-C58812A50EEB}" name="Tableau5" displayName="Tableau5" ref="A3:P129" totalsRowShown="0" headerRowDxfId="185" dataDxfId="183" headerRowBorderDxfId="184" tableBorderDxfId="182" totalsRowBorderDxfId="181">
  <autoFilter ref="A3:P129" xr:uid="{C01F5296-3997-45E6-AB8A-C58812A50EEB}"/>
  <tableColumns count="16">
    <tableColumn id="1" xr3:uid="{AFB40F5F-64DC-4EE4-B0FE-DBE1BDB6260A}" name="Numéro projet" dataDxfId="180"/>
    <tableColumn id="2" xr3:uid="{9CC6022D-FF3C-43FD-9B5A-C516C2C8C722}" name="IEG_Batiment_Moy" dataDxfId="179"/>
    <tableColumn id="3" xr3:uid="{C3CCBEEA-F6AF-48D3-9B74-B03CAD92B8BA}" name="IEG_Gravier" dataDxfId="178"/>
    <tableColumn id="4" xr3:uid="{5B135B15-BE5B-41D5-A705-0493A1A5B182}" name="IEG_ChausseePavee" dataDxfId="177"/>
    <tableColumn id="5" xr3:uid="{1873BB72-593E-4B79-9AF9-045D1F1C0D77}" name="IEG_Ponceaux_Moy" dataDxfId="176"/>
    <tableColumn id="6" xr3:uid="{26D461CF-54BB-4041-83BB-BA88037540C4}" name="IEG_RouteAcces" dataDxfId="175"/>
    <tableColumn id="7" xr3:uid="{41EFC6D2-057A-4ED7-A60B-ED36D28C6005}" name="IEG_SystElectro" dataDxfId="174"/>
    <tableColumn id="8" xr3:uid="{8CA76316-8FB2-4C85-ABB0-DD2F7DED0018}" name="IND_Batiment_Moy" dataDxfId="173"/>
    <tableColumn id="9" xr3:uid="{4A82F696-EF4B-45FF-93D9-D5F05FBAB42E}" name="IND_ChausseeGravier" dataDxfId="172"/>
    <tableColumn id="10" xr3:uid="{C999C9BD-949F-4BE4-811D-FD9D7E86546C}" name="IND_ChausseePavee" dataDxfId="171"/>
    <tableColumn id="11" xr3:uid="{D7697436-F12E-4167-B8E8-8DC5C8AD843D}" name="IND_Ponceaux_Moy" dataDxfId="170"/>
    <tableColumn id="12" xr3:uid="{E88FA319-4BE8-48DB-8340-DB135EE2C535}" name="IND_RouteAcces" dataDxfId="169"/>
    <tableColumn id="13" xr3:uid="{26454626-1E2E-4EA2-8102-C68D95000255}" name="IND_SystElectro_Moy" dataDxfId="168"/>
    <tableColumn id="14" xr3:uid="{7F666F14-D846-427D-927C-0C58206F7EC7}" name="IND_Etat_avancement" dataDxfId="167"/>
    <tableColumn id="15" xr3:uid="{0DDD0BE0-54A6-44D9-8D38-B526B105B4DC}" name="IND_Site_Prioritaire" dataDxfId="166"/>
    <tableColumn id="16" xr3:uid="{EA305B29-6AFC-4FAD-A06F-94CA5477370E}" name="Critère Etat Infrastructure" dataDxfId="16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7216D-41CE-473D-B50F-02BEE4BA430D}" name="Portefeuille_MNT_PROGR_PREV" displayName="Portefeuille_MNT_PROGR_PREV" ref="A5:BV144" totalsRowCount="1" headerRowDxfId="164">
  <autoFilter ref="A5:BV143" xr:uid="{87F7216D-41CE-473D-B50F-02BEE4BA430D}">
    <filterColumn colId="9">
      <filters>
        <filter val="Z_Plusieurs sites"/>
      </filters>
    </filterColumn>
  </autoFilter>
  <tableColumns count="74">
    <tableColumn id="1" xr3:uid="{EEEC5753-39D0-46FB-84E9-9ED6A0A88DEE}" name="Catégorie Investissement" totalsRowLabel="Total" dataDxfId="163"/>
    <tableColumn id="2" xr3:uid="{C7DBB7C3-1187-4762-9841-7D7164C4B922}" name="Type Infrastructure" dataDxfId="162"/>
    <tableColumn id="67" xr3:uid="{48518C19-900D-47B6-8810-2EBB3CBDB14E}" name="TYPE_INVEST_SCT" dataDxfId="161"/>
    <tableColumn id="3" xr3:uid="{C5EFD1B4-3F2A-4679-82FB-3FD0956B7D0D}" name="Axe" dataDxfId="160"/>
    <tableColumn id="4" xr3:uid="{411A2088-FDB7-4D35-B990-113E4E78CD15}" name="État Composante AC" dataDxfId="159"/>
    <tableColumn id="5" xr3:uid="{696B05E8-D892-4BF7-BCA7-BA212E6240C5}" name="État Composante TR" dataDxfId="158"/>
    <tableColumn id="8" xr3:uid="{86C2C8E6-860C-4681-B431-4E55CA0F1DCD}" name="Région" dataDxfId="157"/>
    <tableColumn id="6" xr3:uid="{D1435FB9-C3F8-4EB7-B730-2BCB585F4559}" name="Numéro projet" totalsRowFunction="count" dataDxfId="156"/>
    <tableColumn id="7" xr3:uid="{237A320E-3475-4A93-89F8-15D955761E34}" name="Titre projet" dataDxfId="155"/>
    <tableColumn id="9" xr3:uid="{CC4EF3FD-815C-4263-BD02-4852C7F84C23}" name="Localisation"/>
    <tableColumn id="10" xr3:uid="{FC629F26-148F-449D-8A47-945E59CB299E}" name="Gérant projet" dataDxfId="154"/>
    <tableColumn id="11" xr3:uid="{A68E99BA-FCFC-4446-8DB8-13BDF944D01D}" name="État avancement" dataDxfId="153"/>
    <tableColumn id="12" xr3:uid="{D77E7163-7C41-4D69-90F4-F7F6FA58D2A3}" name="PC-1" dataDxfId="152"/>
    <tableColumn id="13" xr3:uid="{FC6C12A5-434E-4727-A562-0B95EE3A5BF7}" name="PC-3" dataDxfId="151"/>
    <tableColumn id="65" xr3:uid="{99DBE6C2-BAF7-4F9A-BD0D-2D0C6F73BAB9}" name="AC 2035"/>
    <tableColumn id="14" xr3:uid="{AD92F629-CB89-4AE9-AFD4-E6D8517D50B5}" name="PC-5" dataDxfId="150"/>
    <tableColumn id="15" xr3:uid="{F0CB7818-2D0C-4A98-AB19-D9B9D885A38D}" name="IND_PC1_AC2025"/>
    <tableColumn id="16" xr3:uid="{084EACD7-F91A-4056-A4A8-1F41D6D3CDFC}" name="IND_PC3_TR2026"/>
    <tableColumn id="17" xr3:uid="{89CE10B2-85FA-4D0C-9822-6ABBA132722E}" name="IND_PC5_TR2025"/>
    <tableColumn id="18" xr3:uid="{9455A766-DD6B-4003-9AEB-5CACFC2AA29E}" name="IND_Parachèvement"/>
    <tableColumn id="19" xr3:uid="{3DB8327C-2855-4169-9F78-B83AA2C5187A}" name="Année DÉBUT Travaux prévu" dataDxfId="149" totalsRowDxfId="148"/>
    <tableColumn id="20" xr3:uid="{EE6A312B-89F7-4C8F-8144-D135B4D218A3}" name="AC 2024" totalsRowFunction="sum" dataDxfId="147" totalsRowDxfId="146"/>
    <tableColumn id="21" xr3:uid="{CEF1C00E-9CD9-45C2-BFE5-4365E993B809}" name="PREV AC 2024" totalsRowFunction="sum" dataDxfId="145" totalsRowDxfId="144"/>
    <tableColumn id="68" xr3:uid="{2624818E-7935-49F2-B35C-00584D87D42A}" name="ÉCART AC 2024" totalsRowFunction="sum" dataDxfId="143" totalsRowDxfId="142">
      <calculatedColumnFormula>Portefeuille_MNT_PROGR_PREV[[#This Row],[AC 2024]]-Portefeuille_MNT_PROGR_PREV[[#This Row],[PREV AC 2024]]</calculatedColumnFormula>
    </tableColumn>
    <tableColumn id="66" xr3:uid="{BD728B0D-A64F-48C8-89DD-0D69445636F7}" name="ÉCART TR 2024" totalsRowFunction="sum" dataDxfId="141" totalsRowDxfId="140">
      <calculatedColumnFormula>Portefeuille_MNT_PROGR_PREV[[#This Row],[TR 2024]]-Portefeuille_MNT_PROGR_PREV[[#This Row],[PREV TR 2024]]</calculatedColumnFormula>
    </tableColumn>
    <tableColumn id="64" xr3:uid="{07B72142-2956-45F1-956F-448382FF9B31}" name="ÉCART TOTAL 2024" totalsRowFunction="sum" dataDxfId="139" totalsRowDxfId="138">
      <calculatedColumnFormula>Portefeuille_MNT_PROGR_PREV[[#This Row],[ÉCART AC 2024]]+Portefeuille_MNT_PROGR_PREV[[#This Row],[ÉCART TR 2024]]</calculatedColumnFormula>
    </tableColumn>
    <tableColumn id="22" xr3:uid="{3CC0E0E4-2754-485A-B89F-FB26542B640F}" name="TR 2024" totalsRowFunction="sum" dataDxfId="137" totalsRowDxfId="136"/>
    <tableColumn id="23" xr3:uid="{0B77E975-DFB5-4E8E-A156-873B237309E1}" name="PREV TR 2024" totalsRowFunction="sum" dataDxfId="135" totalsRowDxfId="134"/>
    <tableColumn id="24" xr3:uid="{BE76192B-EBBC-4E7A-B5F5-AD55CB9010B0}" name="AC 2025" totalsRowFunction="sum" dataDxfId="133" totalsRowDxfId="132"/>
    <tableColumn id="25" xr3:uid="{3AF976AE-F860-46C3-BA50-152ADF290011}" name="PREV AC 2025" totalsRowFunction="sum" dataDxfId="131" totalsRowDxfId="130"/>
    <tableColumn id="74" xr3:uid="{E814474B-FA93-4911-888B-242DA4B1D197}" name="ÉCART AC 2025" totalsRowFunction="sum" dataDxfId="129" totalsRowDxfId="128">
      <calculatedColumnFormula>Portefeuille_MNT_PROGR_PREV[[#This Row],[AC 2025]]-Portefeuille_MNT_PROGR_PREV[[#This Row],[PREV AC 2025]]</calculatedColumnFormula>
    </tableColumn>
    <tableColumn id="71" xr3:uid="{40496B5D-517E-465B-9B6A-BBD2F2ABE440}" name="ÉCART TR 2025" totalsRowFunction="sum" dataDxfId="127" totalsRowDxfId="126">
      <calculatedColumnFormula>Portefeuille_MNT_PROGR_PREV[[#This Row],[TR 2025]]-Portefeuille_MNT_PROGR_PREV[[#This Row],[PREV TR 2025]]</calculatedColumnFormula>
    </tableColumn>
    <tableColumn id="70" xr3:uid="{2A098934-06F5-4A90-B2E0-F163D39613EA}" name="ÉCART TOTAL 2025" totalsRowFunction="sum" dataDxfId="125" totalsRowDxfId="124">
      <calculatedColumnFormula>Portefeuille_MNT_PROGR_PREV[[#This Row],[ÉCART AC 2025]]+Portefeuille_MNT_PROGR_PREV[[#This Row],[ÉCART TR 2025]]</calculatedColumnFormula>
    </tableColumn>
    <tableColumn id="26" xr3:uid="{4A3549EF-37BA-414A-8E3F-DBD2715CE604}" name="TR 2025" totalsRowFunction="sum" dataDxfId="123" totalsRowDxfId="122"/>
    <tableColumn id="27" xr3:uid="{980A071B-F8DD-4BF2-BA5B-E84FF2AFA7DF}" name="PREV TR 2025" totalsRowFunction="sum" dataDxfId="121" totalsRowDxfId="120"/>
    <tableColumn id="28" xr3:uid="{054772A4-F1BD-4A90-82C9-F3BFAD464F12}" name="AC 2026" totalsRowFunction="sum" dataDxfId="119" totalsRowDxfId="118"/>
    <tableColumn id="29" xr3:uid="{22480FD1-46D4-40FF-A1D7-C051944BEAB7}" name="PREV AC 2026" totalsRowFunction="sum" dataDxfId="117" totalsRowDxfId="116"/>
    <tableColumn id="79" xr3:uid="{780813A8-119A-4BF4-A03A-648AC413A539}" name="ÉCART AC 20262" totalsRowFunction="sum" dataDxfId="115" totalsRowDxfId="114">
      <calculatedColumnFormula>Portefeuille_MNT_PROGR_PREV[[#This Row],[AC 2026]]-Portefeuille_MNT_PROGR_PREV[[#This Row],[PREV AC 2026]]</calculatedColumnFormula>
    </tableColumn>
    <tableColumn id="76" xr3:uid="{84CBB1E4-C464-4C28-96F1-88069956D2F4}" name="ÉCART TR 20263" totalsRowFunction="sum" dataDxfId="113" totalsRowDxfId="112">
      <calculatedColumnFormula>Portefeuille_MNT_PROGR_PREV[[#This Row],[TR 2026]]-Portefeuille_MNT_PROGR_PREV[[#This Row],[PREV TR 2026]]</calculatedColumnFormula>
    </tableColumn>
    <tableColumn id="75" xr3:uid="{944C732C-EE83-4E77-A5C6-C3D1EC2150F6}" name="ÉCART TOTAL 20264" totalsRowFunction="sum" dataDxfId="111" totalsRowDxfId="110">
      <calculatedColumnFormula>Portefeuille_MNT_PROGR_PREV[[#This Row],[ÉCART AC 20262]]+Portefeuille_MNT_PROGR_PREV[[#This Row],[ÉCART TR 20263]]</calculatedColumnFormula>
    </tableColumn>
    <tableColumn id="30" xr3:uid="{9EA679CE-DA84-40A9-AA12-71AD55C3A830}" name="TR 2026" totalsRowFunction="sum" dataDxfId="109" totalsRowDxfId="108"/>
    <tableColumn id="31" xr3:uid="{413192C0-282B-423D-90CF-102039248A8C}" name="PREV TR 2026" totalsRowFunction="sum" dataDxfId="107" totalsRowDxfId="106"/>
    <tableColumn id="32" xr3:uid="{1837FAE9-F84D-4684-906C-C135E0DF2334}" name="AC 2027" totalsRowFunction="sum"/>
    <tableColumn id="33" xr3:uid="{E6A8E072-FA1A-44C2-BCA7-A356DCC21ACE}" name="PREV AC 2027" totalsRowFunction="sum"/>
    <tableColumn id="34" xr3:uid="{89BDAFB2-E9F0-492B-8834-D6790732A409}" name="TR 2027" totalsRowFunction="sum"/>
    <tableColumn id="35" xr3:uid="{2BD43373-3585-41DD-9BCC-14CFBF90D84A}" name="PREV TR 2027" totalsRowFunction="sum"/>
    <tableColumn id="36" xr3:uid="{B604E967-18EB-49A3-ADEA-4B710D470251}" name="AC 2028" totalsRowFunction="sum"/>
    <tableColumn id="37" xr3:uid="{16A6796B-4D28-43E1-A40E-9911DBCB9B9F}" name="PREV AC 2028" totalsRowFunction="sum"/>
    <tableColumn id="38" xr3:uid="{7BC12B14-C526-4E35-99C2-EA8EE9800D3F}" name="TR 2028" totalsRowFunction="sum"/>
    <tableColumn id="39" xr3:uid="{355D37DB-BFC3-48B9-AB9E-AEF4039776FD}" name="PREV TR 2028" totalsRowFunction="sum"/>
    <tableColumn id="40" xr3:uid="{8C79D699-9C29-478C-BA6B-FA50B1B541BD}" name="AC 2029" totalsRowFunction="sum"/>
    <tableColumn id="41" xr3:uid="{07D78E4D-7BFA-4219-9671-2469A56C5922}" name="PREV AC 2029" totalsRowFunction="sum"/>
    <tableColumn id="42" xr3:uid="{D343725C-2DF9-4C7E-AD3D-F4F15818423E}" name="TR 2029" totalsRowFunction="sum"/>
    <tableColumn id="43" xr3:uid="{5390B4A8-1023-4916-BAC8-310F7F9C70DA}" name="PREV TR 2029" totalsRowFunction="sum"/>
    <tableColumn id="44" xr3:uid="{C6CC9ACD-4032-4DA3-A0D1-1A92D3A1C882}" name="AC 2030" totalsRowFunction="sum"/>
    <tableColumn id="45" xr3:uid="{7679A6CA-4ED9-4486-9A68-D03D13441CDC}" name="PREV AC 2030" totalsRowFunction="sum"/>
    <tableColumn id="46" xr3:uid="{8B342BAF-2C70-4451-97EA-80748FFA1FBB}" name="TR 2030" totalsRowFunction="sum"/>
    <tableColumn id="47" xr3:uid="{F2BEE857-BC76-45CD-B627-E044D274E84E}" name="PREV TR 2030" totalsRowFunction="sum"/>
    <tableColumn id="48" xr3:uid="{892EC588-595E-493C-832A-6D9825775B44}" name="AC 2031" totalsRowFunction="sum"/>
    <tableColumn id="49" xr3:uid="{34786BD3-70DA-4027-8909-B677E4B5D713}" name="PREV AC 2031" totalsRowFunction="sum"/>
    <tableColumn id="50" xr3:uid="{3697B144-33FA-43C0-9AAD-C8E81DF9F6B3}" name="TR 2031" totalsRowFunction="sum"/>
    <tableColumn id="51" xr3:uid="{57311420-2615-4974-9D22-ADB2A8442F68}" name="PREV TR 2031" totalsRowFunction="sum"/>
    <tableColumn id="52" xr3:uid="{EF1499B7-EC3C-453E-B079-B8369B388DEF}" name="AC 2032" totalsRowFunction="sum"/>
    <tableColumn id="53" xr3:uid="{E05AC105-2625-47FF-BC16-211A9DD706C8}" name="PREV AC 2032" totalsRowFunction="sum"/>
    <tableColumn id="54" xr3:uid="{83601070-FA3D-43B5-804C-5D7D8BFDA37F}" name="TR 2032" totalsRowFunction="sum"/>
    <tableColumn id="55" xr3:uid="{1F93E8F1-576A-4C5D-8E18-25866F4F14E7}" name="PREV TR 2032" totalsRowFunction="sum"/>
    <tableColumn id="56" xr3:uid="{13DE8C53-2D1E-470D-99FB-998F11FA70BF}" name="AC 2033" totalsRowFunction="sum"/>
    <tableColumn id="57" xr3:uid="{2AEBA662-4C0B-47E4-82E0-8082C1A22116}" name="PREV AC 2033" totalsRowFunction="sum"/>
    <tableColumn id="58" xr3:uid="{9A433EAF-AF77-4B26-9AEA-D64ADD42BB22}" name="TR 2033" totalsRowFunction="sum"/>
    <tableColumn id="59" xr3:uid="{C6DC4892-A9B9-4056-AF9E-9373998B516A}" name="PREV TR 2033" totalsRowFunction="sum"/>
    <tableColumn id="60" xr3:uid="{AB8617B6-566D-4B64-908F-2C0EBCC0802D}" name="AC 2034" totalsRowFunction="sum"/>
    <tableColumn id="61" xr3:uid="{4637AEEF-6F3E-4936-910D-2B11BBBA01F0}" name="PREV AC 2034" totalsRowFunction="sum"/>
    <tableColumn id="62" xr3:uid="{4D7A2CC7-F63D-409D-BC77-003CF6508766}" name="TR 2034" totalsRowFunction="sum"/>
    <tableColumn id="63" xr3:uid="{7988BFDF-4154-4BA6-AA8C-1595390DEE5D}" name="PREV TR 2034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2" dT="2025-08-18T14:11:01.56" personId="{5A55FDC7-F201-4CA5-9EE7-302190102C39}" id="{897B4867-74A0-4C8A-8FB8-0E6AD4B98FA5}">
    <text>Sera inclut au contrat d’entretien d’été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25" dT="2025-09-16T18:19:13.46" personId="{5A55FDC7-F201-4CA5-9EE7-302190102C39}" id="{59C08077-DC27-4744-AE35-29BB64E75935}">
    <text>Report en raison d’un conflit avec le projet d’aérogare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85" dT="2025-09-17T18:44:43.18" personId="{5A55FDC7-F201-4CA5-9EE7-302190102C39}" id="{6E878C7B-4781-4503-B7A8-C34ABB8410C2}">
    <text>La DPPA ne fait d’étude pour ce type de projet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43" dT="2025-09-22T16:01:08.94" personId="{5A55FDC7-F201-4CA5-9EE7-302190102C39}" id="{B8698192-1C61-42DE-B210-4209E6CA262D}">
    <text>Valider montant en travaux</text>
  </threadedComment>
  <threadedComment ref="L45" dT="2025-09-18T13:31:09.43" personId="{5A55FDC7-F201-4CA5-9EE7-302190102C39}" id="{F7F0DEB9-D2D1-447C-82DD-6758CD23BDC8}">
    <text>Travaux répartie sur 2 ans Hiver 2026 et Printemps-Été 2027</text>
  </threadedComment>
  <threadedComment ref="Y45" dT="2025-09-18T15:48:56.68" personId="{5A55FDC7-F201-4CA5-9EE7-302190102C39}" id="{8D7364CD-F4B9-4EB4-A3B7-8D6B57AB111C}">
    <text>Risque acceptable pour des travaux hiver 2026</text>
  </threadedComment>
  <threadedComment ref="L46" dT="2025-09-18T13:31:58.70" personId="{5A55FDC7-F201-4CA5-9EE7-302190102C39}" id="{44E0384E-F750-4DA3-B26D-ABA4566AE08E}">
    <text>Travaux répartie sur 2ans automne 2026 (25%) et printemps-été 2027 (75%)</text>
  </threadedComment>
  <threadedComment ref="L47" dT="2025-09-19T19:50:56.96" personId="{5A55FDC7-F201-4CA5-9EE7-302190102C39}" id="{5A5593B8-78F0-48C7-9577-B8A67989DD45}">
    <text>Voir tableau des coûts</text>
  </threadedComment>
  <threadedComment ref="L49" dT="2025-09-18T18:19:58.26" personId="{5A55FDC7-F201-4CA5-9EE7-302190102C39}" id="{1FA049BB-FACD-418E-8040-62565F3B5BAB}">
    <text>Valider le PC-5. Créer un projet phase 2</text>
  </threadedComment>
  <threadedComment ref="L51" dT="2025-09-18T17:51:20.39" personId="{5A55FDC7-F201-4CA5-9EE7-302190102C39}" id="{1A92F73A-4E6B-40DF-8435-ABF52AED3BB2}">
    <text>En attente du PC-1 DPPA. Évaluez si la date de PC-5 est réaliste.</text>
  </threadedComment>
  <threadedComment ref="L54" dT="2025-09-18T13:30:08.60" personId="{5A55FDC7-F201-4CA5-9EE7-302190102C39}" id="{1F02DAE5-7F69-455C-8805-747F3426B888}">
    <text>Quelle équipe prend en charge la réalisation des travaux? Créer un projet seulement pour le sud</text>
  </threadedComment>
  <threadedComment ref="T55" dT="2025-09-18T18:05:16.17" personId="{5A55FDC7-F201-4CA5-9EE7-302190102C39}" id="{D7ACD50A-CC67-4A24-8787-9538BC05FDC7}">
    <text>Revoir PC-1</text>
  </threadedComment>
  <threadedComment ref="L58" dT="2025-09-19T18:07:50.27" personId="{5A55FDC7-F201-4CA5-9EE7-302190102C39}" id="{01D697F9-3434-4DAE-BF48-6AF5E6A87264}">
    <text>Voir à laisser 2027</text>
  </threadedComment>
  <threadedComment ref="L59" dT="2025-09-18T14:23:07.14" personId="{5A55FDC7-F201-4CA5-9EE7-302190102C39}" id="{DCAA592E-CDC3-4777-9521-688E4727BF74}">
    <text>Les conclusion présenté au PC-1 donneront l’orientation au projet. Peut-être que la ville sera en mesure de fournir l’eau et que les travaux ne seront plus nécessaires</text>
  </threadedComment>
  <threadedComment ref="L62" dT="2025-09-22T15:50:48.78" personId="{5A55FDC7-F201-4CA5-9EE7-302190102C39}" id="{6E6CEB8E-AFD5-48C6-8646-34363BED673F}">
    <text>Valider les prévisions</text>
  </threadedComment>
  <threadedComment ref="L63" dT="2025-09-18T18:17:29.34" personId="{5A55FDC7-F201-4CA5-9EE7-302190102C39}" id="{EF1F4A05-0731-4D20-BF9D-7DA4149FB3B4}">
    <text>En attente de la date du PC-1 pour évaluer l’orientation du projet</text>
  </threadedComment>
  <threadedComment ref="L65" dT="2025-09-18T15:47:03.34" personId="{5A55FDC7-F201-4CA5-9EE7-302190102C39}" id="{D2D4CBDC-6952-41E9-A8FA-63E114077464}">
    <text>Est-ce que la date du PC-3 est réaliste?</text>
  </threadedComment>
  <threadedComment ref="L83" dT="2025-09-18T15:51:07.63" personId="{5A55FDC7-F201-4CA5-9EE7-302190102C39}" id="{2E459530-00A5-4749-82F6-8B3BCA5AADC0}">
    <text>Pourquoi l’échéancier entre le PC-1 et le PC-5 est plus de 24 mois?</text>
  </threadedComment>
  <threadedComment ref="L84" dT="2025-09-18T15:57:15.32" personId="{5A55FDC7-F201-4CA5-9EE7-302190102C39}" id="{D4915E2E-C5CE-48FD-AEC4-AAB2730E92B3}">
    <text>Voir pour ramener 2028</text>
  </threadedComment>
  <threadedComment ref="L102" dT="2025-09-18T16:00:24.59" personId="{5A55FDC7-F201-4CA5-9EE7-302190102C39}" id="{0D7A89A3-1C6C-482A-8AB1-E3FF7FFB3765}">
    <text>Qui prend en charge l’Étude d’opportunité? Est-ce qu’on peut maintenir en 2029?</text>
  </threadedComment>
  <threadedComment ref="L111" dT="2025-09-18T17:57:37.27" personId="{5A55FDC7-F201-4CA5-9EE7-302190102C39}" id="{0CCF014B-2FAA-4F65-A364-2887C342C2BD}">
    <text>Que nécessite l’acquisition de matériaux granulaire pour renflouer la réserve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FD6267-1611-42A6-9BB4-74F46338BE7A}">
  <we:reference id="wa200006230" version="1.0.0.0" store="fr-FR" storeType="OMEX"/>
  <we:alternateReferences>
    <we:reference id="WA200006230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05EB-2674-416A-B240-A43D3B1D3160}">
  <dimension ref="A1:BR69"/>
  <sheetViews>
    <sheetView topLeftCell="H1" workbookViewId="0"/>
  </sheetViews>
  <sheetFormatPr baseColWidth="10" defaultColWidth="11.44140625" defaultRowHeight="14.4" outlineLevelCol="1" x14ac:dyDescent="0.3"/>
  <cols>
    <col min="1" max="1" width="10.6640625" hidden="1" customWidth="1" outlineLevel="1"/>
    <col min="2" max="2" width="18.44140625" hidden="1" customWidth="1" outlineLevel="1"/>
    <col min="3" max="3" width="17.33203125" hidden="1" customWidth="1" outlineLevel="1"/>
    <col min="4" max="4" width="14.5546875" hidden="1" customWidth="1" outlineLevel="1"/>
    <col min="5" max="5" width="15.88671875" hidden="1" customWidth="1" outlineLevel="1"/>
    <col min="6" max="7" width="16" hidden="1" customWidth="1" outlineLevel="1"/>
    <col min="8" max="8" width="24.109375" customWidth="1" collapsed="1"/>
    <col min="9" max="9" width="13.33203125" customWidth="1"/>
    <col min="10" max="10" width="55.5546875" customWidth="1"/>
    <col min="11" max="11" width="23" customWidth="1"/>
    <col min="12" max="12" width="15.6640625" customWidth="1"/>
    <col min="13" max="13" width="22.33203125" customWidth="1" collapsed="1"/>
    <col min="14" max="14" width="15.33203125" customWidth="1"/>
    <col min="15" max="15" width="12.6640625" customWidth="1"/>
    <col min="16" max="16" width="14.5546875" customWidth="1"/>
    <col min="17" max="17" width="17.44140625" hidden="1" customWidth="1" outlineLevel="1"/>
    <col min="18" max="18" width="17.33203125" hidden="1" customWidth="1" outlineLevel="1"/>
    <col min="19" max="19" width="17.44140625" hidden="1" customWidth="1" outlineLevel="1"/>
    <col min="20" max="20" width="17.33203125" hidden="1" customWidth="1" outlineLevel="1"/>
    <col min="21" max="21" width="17.44140625" hidden="1" customWidth="1" outlineLevel="1"/>
    <col min="22" max="22" width="17.33203125" hidden="1" customWidth="1" outlineLevel="1"/>
    <col min="23" max="23" width="17.44140625" hidden="1" customWidth="1" outlineLevel="1"/>
    <col min="24" max="24" width="17.33203125" hidden="1" customWidth="1" outlineLevel="1"/>
    <col min="25" max="25" width="11.88671875" hidden="1" customWidth="1" outlineLevel="1"/>
    <col min="26" max="26" width="11.6640625" hidden="1" customWidth="1" outlineLevel="1"/>
    <col min="27" max="27" width="13.33203125" hidden="1" customWidth="1" outlineLevel="1"/>
    <col min="28" max="28" width="12.88671875" hidden="1" customWidth="1" outlineLevel="1"/>
    <col min="29" max="29" width="13" hidden="1" customWidth="1" outlineLevel="1"/>
    <col min="30" max="30" width="12.88671875" hidden="1" customWidth="1" outlineLevel="1"/>
    <col min="31" max="31" width="11.88671875" hidden="1" customWidth="1" outlineLevel="1"/>
    <col min="32" max="32" width="13.6640625" style="25" hidden="1" customWidth="1" outlineLevel="1"/>
    <col min="33" max="33" width="9.6640625" hidden="1" customWidth="1" outlineLevel="1"/>
    <col min="34" max="34" width="11.6640625" hidden="1" customWidth="1" outlineLevel="1" collapsed="1"/>
    <col min="35" max="35" width="15.88671875" customWidth="1" collapsed="1"/>
    <col min="36" max="36" width="12.88671875" customWidth="1"/>
    <col min="37" max="37" width="16.44140625" customWidth="1"/>
    <col min="38" max="38" width="15.88671875" customWidth="1"/>
    <col min="39" max="39" width="26.6640625" customWidth="1"/>
    <col min="40" max="40" width="11.44140625" hidden="1" customWidth="1" outlineLevel="1"/>
    <col min="41" max="41" width="11.109375" hidden="1" customWidth="1" outlineLevel="1"/>
    <col min="42" max="42" width="13.109375" style="8" hidden="1" customWidth="1" outlineLevel="1"/>
    <col min="43" max="43" width="11.44140625" hidden="1" customWidth="1" outlineLevel="1"/>
    <col min="44" max="44" width="11" customWidth="1" collapsed="1"/>
    <col min="45" max="63" width="11.33203125" customWidth="1"/>
    <col min="64" max="64" width="12.5546875" customWidth="1"/>
    <col min="65" max="65" width="13.44140625" customWidth="1"/>
    <col min="66" max="66" width="13.109375" customWidth="1"/>
    <col min="67" max="67" width="14" customWidth="1"/>
    <col min="68" max="73" width="17.33203125" customWidth="1"/>
    <col min="74" max="74" width="18.109375" customWidth="1"/>
    <col min="75" max="75" width="17.5546875" customWidth="1"/>
  </cols>
  <sheetData>
    <row r="1" spans="1:70" ht="21" x14ac:dyDescent="0.4">
      <c r="A1" s="32"/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7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</row>
    <row r="2" spans="1:70" x14ac:dyDescent="0.3">
      <c r="H2" s="86" t="s">
        <v>1</v>
      </c>
      <c r="I2" s="87">
        <v>45581</v>
      </c>
      <c r="AF2"/>
      <c r="AI2" s="25"/>
      <c r="AJ2" s="25"/>
      <c r="AK2" s="25"/>
      <c r="AL2" s="25"/>
      <c r="AM2" s="25"/>
      <c r="AN2" s="25"/>
      <c r="AO2" s="25"/>
      <c r="AP2" s="25"/>
      <c r="AQ2" s="8"/>
    </row>
    <row r="3" spans="1:70" ht="26.4" customHeight="1" x14ac:dyDescent="0.3">
      <c r="H3" s="90" t="s">
        <v>2</v>
      </c>
      <c r="I3" s="91"/>
      <c r="O3" s="65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65"/>
      <c r="AJ3" s="88" t="s">
        <v>3</v>
      </c>
      <c r="AK3" s="4" t="s">
        <v>3</v>
      </c>
      <c r="AL3" s="3" t="s">
        <v>4</v>
      </c>
      <c r="AM3" s="4" t="s">
        <v>5</v>
      </c>
      <c r="AN3" s="265" t="s">
        <v>6</v>
      </c>
      <c r="AO3" s="264"/>
      <c r="AP3" s="263">
        <v>2024</v>
      </c>
      <c r="AQ3" s="264"/>
      <c r="AR3" s="263">
        <v>2025</v>
      </c>
      <c r="AS3" s="264"/>
      <c r="AT3" s="263">
        <v>2026</v>
      </c>
      <c r="AU3" s="264"/>
      <c r="AV3" s="263">
        <v>2027</v>
      </c>
      <c r="AW3" s="264"/>
      <c r="AX3" s="263">
        <v>2028</v>
      </c>
      <c r="AY3" s="264"/>
      <c r="AZ3" s="263">
        <v>2029</v>
      </c>
      <c r="BA3" s="264"/>
      <c r="BB3" s="263">
        <v>2030</v>
      </c>
      <c r="BC3" s="264"/>
      <c r="BD3" s="263">
        <v>2031</v>
      </c>
      <c r="BE3" s="264"/>
      <c r="BF3" s="263">
        <v>2032</v>
      </c>
      <c r="BG3" s="264"/>
      <c r="BH3" s="263">
        <v>2033</v>
      </c>
      <c r="BI3" s="264"/>
      <c r="BJ3" s="263">
        <v>2034</v>
      </c>
      <c r="BK3" s="264"/>
      <c r="BL3" s="26" t="s">
        <v>7</v>
      </c>
      <c r="BM3" s="26" t="s">
        <v>8</v>
      </c>
    </row>
    <row r="4" spans="1:70" x14ac:dyDescent="0.3">
      <c r="H4" s="27" t="s">
        <v>9</v>
      </c>
      <c r="I4" s="28" t="s">
        <v>10</v>
      </c>
      <c r="O4" s="65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65"/>
      <c r="AJ4" s="65"/>
      <c r="AK4" s="66"/>
      <c r="AL4" s="69"/>
      <c r="AM4" s="71" t="s">
        <v>11</v>
      </c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16">
        <f t="shared" ref="BL4:BL11" si="0">SUM(AR4:BA4)</f>
        <v>0</v>
      </c>
      <c r="BM4" s="18">
        <f xml:space="preserve"> SUM(AR4:BK4)</f>
        <v>0</v>
      </c>
    </row>
    <row r="5" spans="1:70" x14ac:dyDescent="0.3">
      <c r="H5" s="27" t="s">
        <v>12</v>
      </c>
      <c r="I5" s="28" t="s">
        <v>13</v>
      </c>
      <c r="AF5"/>
      <c r="AK5" s="67"/>
      <c r="AL5" s="5" t="s">
        <v>14</v>
      </c>
      <c r="AM5" s="71" t="s">
        <v>15</v>
      </c>
      <c r="AN5" s="260">
        <f>SUMIFS(ProgProp_20241016[AC ANT],ProgProp_20241016[État Composante AC],"=PR")</f>
        <v>8998</v>
      </c>
      <c r="AO5" s="260"/>
      <c r="AP5" s="260">
        <f>SUMIFS(ProgProp_20241016[AC 2024],ProgProp_20241016[État Composante AC],"=PR")</f>
        <v>5571</v>
      </c>
      <c r="AQ5" s="260"/>
      <c r="AR5" s="260">
        <f>SUMIFS(ProgProp_20241016[AC 2025],ProgProp_20241016[État Composante AC],"=PR")</f>
        <v>7171</v>
      </c>
      <c r="AS5" s="260"/>
      <c r="AT5" s="260">
        <f>SUMIFS(ProgProp_20241016[AC 2026],ProgProp_20241016[État Composante AC],"=PR")</f>
        <v>8384</v>
      </c>
      <c r="AU5" s="260"/>
      <c r="AV5" s="260">
        <f>SUMIFS(ProgProp_20241016[AC 2027],ProgProp_20241016[État Composante AC],"=PR")</f>
        <v>6135</v>
      </c>
      <c r="AW5" s="260"/>
      <c r="AX5" s="260">
        <f>SUMIFS(ProgProp_20241016[AC 2028],ProgProp_20241016[État Composante AC],"=PR")</f>
        <v>6709</v>
      </c>
      <c r="AY5" s="260"/>
      <c r="AZ5" s="260">
        <f>SUMIFS(ProgProp_20241016[AC 2029],ProgProp_20241016[État Composante AC],"=PR")</f>
        <v>2427</v>
      </c>
      <c r="BA5" s="260"/>
      <c r="BB5" s="260">
        <f>SUMIFS(ProgProp_20241016[AC 2030],ProgProp_20241016[État Composante AC],"=PR")</f>
        <v>2470</v>
      </c>
      <c r="BC5" s="260"/>
      <c r="BD5" s="260">
        <f>SUMIFS(ProgProp_20241016[AC 2031],ProgProp_20241016[État Composante AC],"=PR")</f>
        <v>1922</v>
      </c>
      <c r="BE5" s="260"/>
      <c r="BF5" s="260">
        <f>SUMIFS(ProgProp_20241016[AC 2032],ProgProp_20241016[État Composante AC],"=PR")</f>
        <v>0</v>
      </c>
      <c r="BG5" s="260"/>
      <c r="BH5" s="260">
        <f>SUMIFS(ProgProp_20241016[AC 2033],ProgProp_20241016[État Composante AC],"=PR")</f>
        <v>0</v>
      </c>
      <c r="BI5" s="260"/>
      <c r="BJ5" s="260">
        <f>SUMIFS(ProgProp_20241016[AC 2034],ProgProp_20241016[État Composante AC],"=PR")</f>
        <v>0</v>
      </c>
      <c r="BK5" s="260"/>
      <c r="BL5" s="16">
        <f t="shared" si="0"/>
        <v>30826</v>
      </c>
      <c r="BM5" s="18">
        <f t="shared" ref="BM5:BM10" si="1" xml:space="preserve"> SUM(AR5:BK5)</f>
        <v>35218</v>
      </c>
    </row>
    <row r="6" spans="1:70" x14ac:dyDescent="0.3">
      <c r="H6" s="29" t="s">
        <v>16</v>
      </c>
      <c r="I6" s="28" t="s">
        <v>17</v>
      </c>
      <c r="AF6"/>
      <c r="AK6" s="35" t="s">
        <v>18</v>
      </c>
      <c r="AL6" s="6">
        <v>1</v>
      </c>
      <c r="AM6" s="72" t="s">
        <v>19</v>
      </c>
      <c r="AN6" s="260">
        <f>SUMIFS(ProgProp_20241016[TR ANT],ProgProp_20241016[État Composante TR],"=PR")</f>
        <v>33280</v>
      </c>
      <c r="AO6" s="260"/>
      <c r="AP6" s="260">
        <f>SUMIFS(ProgProp_20241016[TR 2024],ProgProp_20241016[État Composante TR],"=PR")</f>
        <v>23628</v>
      </c>
      <c r="AQ6" s="260"/>
      <c r="AR6" s="260">
        <f>SUMIFS(ProgProp_20241016[TR 2025],ProgProp_20241016[État Composante TR],"=PR")</f>
        <v>35110</v>
      </c>
      <c r="AS6" s="260"/>
      <c r="AT6" s="260">
        <f>SUMIFS(ProgProp_20241016[TR 2026],ProgProp_20241016[État Composante TR],"=PR")</f>
        <v>15531</v>
      </c>
      <c r="AU6" s="260"/>
      <c r="AV6" s="260">
        <f>SUMIFS(ProgProp_20241016[TR 2027],ProgProp_20241016[État Composante TR],"=PR")</f>
        <v>0</v>
      </c>
      <c r="AW6" s="260"/>
      <c r="AX6" s="260">
        <f>SUMIFS(ProgProp_20241016[TR 2028],ProgProp_20241016[État Composante TR],"=PR")</f>
        <v>0</v>
      </c>
      <c r="AY6" s="260"/>
      <c r="AZ6" s="260">
        <f>SUMIFS(ProgProp_20241016[TR 2029],ProgProp_20241016[État Composante TR],"=PR")</f>
        <v>0</v>
      </c>
      <c r="BA6" s="260"/>
      <c r="BB6" s="260">
        <f>SUMIFS(ProgProp_20241016[TR 2030],ProgProp_20241016[État Composante TR],"=PR")</f>
        <v>0</v>
      </c>
      <c r="BC6" s="260"/>
      <c r="BD6" s="260">
        <f>SUMIFS(ProgProp_20241016[TR 2031],ProgProp_20241016[État Composante TR],"=PR")</f>
        <v>0</v>
      </c>
      <c r="BE6" s="260"/>
      <c r="BF6" s="260">
        <f>SUMIFS(ProgProp_20241016[TR 2032],ProgProp_20241016[État Composante TR],"=PR")</f>
        <v>0</v>
      </c>
      <c r="BG6" s="260"/>
      <c r="BH6" s="260">
        <f>SUMIFS(ProgProp_20241016[TR 2033],ProgProp_20241016[État Composante TR],"=PR")</f>
        <v>0</v>
      </c>
      <c r="BI6" s="260"/>
      <c r="BJ6" s="260">
        <f>SUMIFS(ProgProp_20241016[TR 2034],ProgProp_20241016[État Composante TR],"=PR")</f>
        <v>0</v>
      </c>
      <c r="BK6" s="260"/>
      <c r="BL6" s="16">
        <f t="shared" si="0"/>
        <v>50641</v>
      </c>
      <c r="BM6" s="18">
        <f t="shared" si="1"/>
        <v>50641</v>
      </c>
    </row>
    <row r="7" spans="1:70" x14ac:dyDescent="0.3">
      <c r="H7" s="30" t="s">
        <v>20</v>
      </c>
      <c r="I7" s="31" t="s">
        <v>21</v>
      </c>
      <c r="AF7"/>
      <c r="AK7" s="35" t="s">
        <v>22</v>
      </c>
      <c r="AL7" s="6">
        <v>0.25</v>
      </c>
      <c r="AM7" s="73" t="s">
        <v>23</v>
      </c>
      <c r="AN7" s="262">
        <f>AN5+AN6</f>
        <v>42278</v>
      </c>
      <c r="AO7" s="262"/>
      <c r="AP7" s="262">
        <f>AP5+AP6</f>
        <v>29199</v>
      </c>
      <c r="AQ7" s="262"/>
      <c r="AR7" s="262">
        <f>AR5+AR6</f>
        <v>42281</v>
      </c>
      <c r="AS7" s="262"/>
      <c r="AT7" s="262">
        <f>AT5+AT6</f>
        <v>23915</v>
      </c>
      <c r="AU7" s="262"/>
      <c r="AV7" s="262">
        <f>AV5+AV6</f>
        <v>6135</v>
      </c>
      <c r="AW7" s="262"/>
      <c r="AX7" s="262">
        <f>AX5+AX6</f>
        <v>6709</v>
      </c>
      <c r="AY7" s="262"/>
      <c r="AZ7" s="262">
        <f>AZ5+AZ6</f>
        <v>2427</v>
      </c>
      <c r="BA7" s="262"/>
      <c r="BB7" s="262">
        <f>BB5+BB6</f>
        <v>2470</v>
      </c>
      <c r="BC7" s="262"/>
      <c r="BD7" s="262">
        <f>BD5+BD6</f>
        <v>1922</v>
      </c>
      <c r="BE7" s="262"/>
      <c r="BF7" s="262">
        <f>BF5+BF6</f>
        <v>0</v>
      </c>
      <c r="BG7" s="262"/>
      <c r="BH7" s="262">
        <f>BH5+BH6</f>
        <v>0</v>
      </c>
      <c r="BI7" s="262"/>
      <c r="BJ7" s="262">
        <f>BJ5+BJ6</f>
        <v>0</v>
      </c>
      <c r="BK7" s="262"/>
      <c r="BL7" s="20">
        <f t="shared" si="0"/>
        <v>81467</v>
      </c>
      <c r="BM7" s="20">
        <f t="shared" si="1"/>
        <v>85859</v>
      </c>
    </row>
    <row r="8" spans="1:70" x14ac:dyDescent="0.3">
      <c r="AF8"/>
      <c r="AK8" s="35" t="s">
        <v>24</v>
      </c>
      <c r="AL8" s="6">
        <v>0.25</v>
      </c>
      <c r="AM8" s="72" t="s">
        <v>25</v>
      </c>
      <c r="AN8" s="260">
        <f>SUMIFS(ProgProp_20241016[AC ANT],ProgProp_20241016[État Composante AC],"&lt;&gt;PR")</f>
        <v>0</v>
      </c>
      <c r="AO8" s="260"/>
      <c r="AP8" s="260">
        <f>SUMIFS(ProgProp_20241016[AC 2024],ProgProp_20241016[État Composante AC],"&lt;&gt;PR")</f>
        <v>0</v>
      </c>
      <c r="AQ8" s="260"/>
      <c r="AR8" s="260">
        <f>SUMIFS(ProgProp_20241016[AC 2025],ProgProp_20241016[État Composante AC],"&lt;&gt;PR")</f>
        <v>954</v>
      </c>
      <c r="AS8" s="260"/>
      <c r="AT8" s="260">
        <f>SUMIFS(ProgProp_20241016[AC 2026],ProgProp_20241016[État Composante AC],"&lt;&gt;PR")</f>
        <v>1805</v>
      </c>
      <c r="AU8" s="260"/>
      <c r="AV8" s="260">
        <f>SUMIFS(ProgProp_20241016[AC 2027],ProgProp_20241016[État Composante AC],"&lt;&gt;PR")</f>
        <v>2492</v>
      </c>
      <c r="AW8" s="260"/>
      <c r="AX8" s="260">
        <f>SUMIFS(ProgProp_20241016[AC 2028],ProgProp_20241016[État Composante AC],"&lt;&gt;PR")</f>
        <v>30</v>
      </c>
      <c r="AY8" s="260"/>
      <c r="AZ8" s="260">
        <f>SUMIFS(ProgProp_20241016[AC 2029],ProgProp_20241016[État Composante AC],"&lt;&gt;PR")</f>
        <v>0</v>
      </c>
      <c r="BA8" s="260"/>
      <c r="BB8" s="260">
        <f>SUMIFS(ProgProp_20241016[AC 2030],ProgProp_20241016[État Composante AC],"&lt;&gt;PR")</f>
        <v>0</v>
      </c>
      <c r="BC8" s="260"/>
      <c r="BD8" s="260">
        <f>SUMIFS(ProgProp_20241016[AC 2031],ProgProp_20241016[État Composante AC],"&lt;&gt;PR")</f>
        <v>0</v>
      </c>
      <c r="BE8" s="260"/>
      <c r="BF8" s="260">
        <f>SUMIFS(ProgProp_20241016[AC 2032],ProgProp_20241016[État Composante AC],"&lt;&gt;PR")</f>
        <v>0</v>
      </c>
      <c r="BG8" s="260"/>
      <c r="BH8" s="260">
        <f>SUMIFS(ProgProp_20241016[AC 2033],ProgProp_20241016[État Composante AC],"&lt;&gt;PR")</f>
        <v>0</v>
      </c>
      <c r="BI8" s="260"/>
      <c r="BJ8" s="260">
        <f>SUMIFS(ProgProp_20241016[AC 2034],ProgProp_20241016[État Composante AC],"&lt;&gt;PR")</f>
        <v>0</v>
      </c>
      <c r="BK8" s="260"/>
      <c r="BL8" s="16">
        <f t="shared" si="0"/>
        <v>5281</v>
      </c>
      <c r="BM8" s="18">
        <f t="shared" si="1"/>
        <v>5281</v>
      </c>
    </row>
    <row r="9" spans="1:70" x14ac:dyDescent="0.3">
      <c r="AF9"/>
      <c r="AK9" s="35" t="s">
        <v>26</v>
      </c>
      <c r="AL9" s="6">
        <v>0.25</v>
      </c>
      <c r="AM9" s="72" t="s">
        <v>27</v>
      </c>
      <c r="AN9" s="260">
        <f>SUMIFS(ProgProp_20241016[TR ANT],ProgProp_20241016[État Composante TR],"&lt;&gt;PR")</f>
        <v>15</v>
      </c>
      <c r="AO9" s="260"/>
      <c r="AP9" s="260">
        <f>SUMIFS(ProgProp_20241016[TR 2024],ProgProp_20241016[État Composante TR],"&lt;&gt;PR")</f>
        <v>0</v>
      </c>
      <c r="AQ9" s="260"/>
      <c r="AR9" s="260">
        <f>SUMIFS(ProgProp_20241016[TR 2025],ProgProp_20241016[État Composante TR],"&lt;&gt;PR")</f>
        <v>32265</v>
      </c>
      <c r="AS9" s="260"/>
      <c r="AT9" s="260">
        <f>SUMIFS(ProgProp_20241016[TR 2026],ProgProp_20241016[État Composante TR],"&lt;&gt;PR")</f>
        <v>45566</v>
      </c>
      <c r="AU9" s="260"/>
      <c r="AV9" s="260">
        <f>SUMIFS(ProgProp_20241016[TR 2027],ProgProp_20241016[État Composante TR],"&lt;&gt;PR")</f>
        <v>0</v>
      </c>
      <c r="AW9" s="260"/>
      <c r="AX9" s="260">
        <f>SUMIFS(ProgProp_20241016[TR 2028],ProgProp_20241016[État Composante TR],"&lt;&gt;PR")</f>
        <v>0</v>
      </c>
      <c r="AY9" s="260"/>
      <c r="AZ9" s="260">
        <f>SUMIFS(ProgProp_20241016[TR 2029],ProgProp_20241016[État Composante TR],"&lt;&gt;PR")</f>
        <v>0</v>
      </c>
      <c r="BA9" s="260"/>
      <c r="BB9" s="260">
        <f>SUMIFS(ProgProp_20241016[TR 2030],ProgProp_20241016[État Composante TR],"&lt;&gt;PR")</f>
        <v>0</v>
      </c>
      <c r="BC9" s="260"/>
      <c r="BD9" s="260">
        <f>SUMIFS(ProgProp_20241016[TR 2031],ProgProp_20241016[État Composante TR],"&lt;&gt;PR")</f>
        <v>0</v>
      </c>
      <c r="BE9" s="260"/>
      <c r="BF9" s="260">
        <f>SUMIFS(ProgProp_20241016[TR 2032],ProgProp_20241016[État Composante TR],"&lt;&gt;PR")</f>
        <v>0</v>
      </c>
      <c r="BG9" s="260"/>
      <c r="BH9" s="260">
        <f>SUMIFS(ProgProp_20241016[TR 2033],ProgProp_20241016[État Composante TR],"&lt;&gt;PR")</f>
        <v>0</v>
      </c>
      <c r="BI9" s="260"/>
      <c r="BJ9" s="260">
        <f>SUMIFS(ProgProp_20241016[TR 2034],ProgProp_20241016[État Composante TR],"&lt;&gt;PR")</f>
        <v>0</v>
      </c>
      <c r="BK9" s="260"/>
      <c r="BL9" s="16">
        <f t="shared" si="0"/>
        <v>77831</v>
      </c>
      <c r="BM9" s="18">
        <f t="shared" si="1"/>
        <v>77831</v>
      </c>
    </row>
    <row r="10" spans="1:70" x14ac:dyDescent="0.3"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K10" s="35" t="s">
        <v>28</v>
      </c>
      <c r="AL10" s="6">
        <v>0.25</v>
      </c>
      <c r="AM10" s="74" t="s">
        <v>29</v>
      </c>
      <c r="AN10" s="262">
        <f>AN8+AN9</f>
        <v>15</v>
      </c>
      <c r="AO10" s="262"/>
      <c r="AP10" s="262">
        <f>AP8+AP9</f>
        <v>0</v>
      </c>
      <c r="AQ10" s="262"/>
      <c r="AR10" s="262">
        <f>AR8+AR9</f>
        <v>33219</v>
      </c>
      <c r="AS10" s="262"/>
      <c r="AT10" s="262">
        <f>AT8+AT9</f>
        <v>47371</v>
      </c>
      <c r="AU10" s="262"/>
      <c r="AV10" s="262">
        <f>AV8+AV9</f>
        <v>2492</v>
      </c>
      <c r="AW10" s="262"/>
      <c r="AX10" s="262">
        <f>AX8+AX9</f>
        <v>30</v>
      </c>
      <c r="AY10" s="262"/>
      <c r="AZ10" s="262">
        <f>AZ8+AZ9</f>
        <v>0</v>
      </c>
      <c r="BA10" s="262"/>
      <c r="BB10" s="262">
        <f>BB8+BB9</f>
        <v>0</v>
      </c>
      <c r="BC10" s="262"/>
      <c r="BD10" s="262">
        <f>BD8+BD9</f>
        <v>0</v>
      </c>
      <c r="BE10" s="262"/>
      <c r="BF10" s="262">
        <f>BF8+BF9</f>
        <v>0</v>
      </c>
      <c r="BG10" s="262"/>
      <c r="BH10" s="262">
        <f>BH8+BH9</f>
        <v>0</v>
      </c>
      <c r="BI10" s="262"/>
      <c r="BJ10" s="262">
        <f>BJ8+BJ9</f>
        <v>0</v>
      </c>
      <c r="BK10" s="262"/>
      <c r="BL10" s="20">
        <f t="shared" si="0"/>
        <v>83112</v>
      </c>
      <c r="BM10" s="20">
        <f t="shared" si="1"/>
        <v>83112</v>
      </c>
    </row>
    <row r="11" spans="1:70" ht="15.6" x14ac:dyDescent="0.3">
      <c r="AA11" s="89"/>
      <c r="AB11" s="2"/>
      <c r="AF11"/>
      <c r="AJ11" s="24"/>
      <c r="AK11" s="70" t="s">
        <v>30</v>
      </c>
      <c r="AL11" s="68">
        <f>SUM(AL7:AL10)</f>
        <v>1</v>
      </c>
      <c r="AM11" s="75" t="s">
        <v>31</v>
      </c>
      <c r="AN11" s="261">
        <f>AN10+AN7</f>
        <v>42293</v>
      </c>
      <c r="AO11" s="259"/>
      <c r="AP11" s="258">
        <f>AP10+AP7-AP4</f>
        <v>29199</v>
      </c>
      <c r="AQ11" s="259"/>
      <c r="AR11" s="258">
        <f>AR10+AR7-AR4</f>
        <v>75500</v>
      </c>
      <c r="AS11" s="259"/>
      <c r="AT11" s="258">
        <f>AT10+AT7</f>
        <v>71286</v>
      </c>
      <c r="AU11" s="259"/>
      <c r="AV11" s="258">
        <f>AV10+AV7</f>
        <v>8627</v>
      </c>
      <c r="AW11" s="259"/>
      <c r="AX11" s="258">
        <f>AX10+AX7</f>
        <v>6739</v>
      </c>
      <c r="AY11" s="259"/>
      <c r="AZ11" s="258">
        <f>AZ10+AZ7</f>
        <v>2427</v>
      </c>
      <c r="BA11" s="259"/>
      <c r="BB11" s="258">
        <f>BB10+BB7</f>
        <v>2470</v>
      </c>
      <c r="BC11" s="259"/>
      <c r="BD11" s="258">
        <f>BD10+BD7</f>
        <v>1922</v>
      </c>
      <c r="BE11" s="259"/>
      <c r="BF11" s="258">
        <f>BF10+BF7</f>
        <v>0</v>
      </c>
      <c r="BG11" s="259"/>
      <c r="BH11" s="258">
        <f>BH10+BH7</f>
        <v>0</v>
      </c>
      <c r="BI11" s="259"/>
      <c r="BJ11" s="258">
        <f>BJ10+BJ7</f>
        <v>0</v>
      </c>
      <c r="BK11" s="259"/>
      <c r="BL11" s="21">
        <f t="shared" si="0"/>
        <v>164579</v>
      </c>
      <c r="BM11" s="21">
        <f xml:space="preserve"> SUM(AR11:BK11)</f>
        <v>168971</v>
      </c>
    </row>
    <row r="12" spans="1:70" ht="15.6" x14ac:dyDescent="0.3">
      <c r="AA12" s="89"/>
      <c r="AB12" s="2"/>
      <c r="AF12"/>
      <c r="AJ12" s="24"/>
      <c r="AK12" s="24"/>
      <c r="AL12" s="7"/>
      <c r="AM12" s="29" t="s">
        <v>32</v>
      </c>
      <c r="AN12" s="260"/>
      <c r="AO12" s="260"/>
      <c r="AP12" s="260">
        <v>0</v>
      </c>
      <c r="AQ12" s="260"/>
      <c r="AR12" s="260">
        <v>0</v>
      </c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260">
        <v>0</v>
      </c>
      <c r="BA12" s="260"/>
      <c r="BB12" s="260">
        <v>0</v>
      </c>
      <c r="BC12" s="260"/>
      <c r="BD12" s="260">
        <v>0</v>
      </c>
      <c r="BE12" s="260"/>
      <c r="BF12" s="260">
        <v>0</v>
      </c>
      <c r="BG12" s="260"/>
      <c r="BH12" s="260">
        <v>0</v>
      </c>
      <c r="BI12" s="260"/>
      <c r="BJ12" s="260">
        <v>0</v>
      </c>
      <c r="BK12" s="260"/>
      <c r="BL12" s="76">
        <v>0</v>
      </c>
      <c r="BM12" s="77">
        <v>0</v>
      </c>
    </row>
    <row r="13" spans="1:70" ht="15.6" x14ac:dyDescent="0.3">
      <c r="AA13" s="89"/>
      <c r="AB13" s="2"/>
      <c r="AF13"/>
      <c r="AJ13" s="24"/>
      <c r="AK13" s="24"/>
      <c r="AL13" s="38"/>
      <c r="AM13" s="38" t="s">
        <v>33</v>
      </c>
      <c r="AN13" s="21"/>
      <c r="AO13" s="64"/>
      <c r="AP13" s="258">
        <f>AP12+AP11</f>
        <v>29199</v>
      </c>
      <c r="AQ13" s="259"/>
      <c r="AR13" s="258">
        <f t="shared" ref="AR13" si="2">AR12+AR11</f>
        <v>75500</v>
      </c>
      <c r="AS13" s="259"/>
      <c r="AT13" s="258">
        <f t="shared" ref="AT13" si="3">AT12+AT11</f>
        <v>71286</v>
      </c>
      <c r="AU13" s="259"/>
      <c r="AV13" s="258">
        <f t="shared" ref="AV13" si="4">AV12+AV11</f>
        <v>8627</v>
      </c>
      <c r="AW13" s="259"/>
      <c r="AX13" s="258">
        <f t="shared" ref="AX13" si="5">AX12+AX11</f>
        <v>6739</v>
      </c>
      <c r="AY13" s="259"/>
      <c r="AZ13" s="258">
        <f t="shared" ref="AZ13" si="6">AZ12+AZ11</f>
        <v>2427</v>
      </c>
      <c r="BA13" s="259"/>
      <c r="BB13" s="258">
        <f t="shared" ref="BB13" si="7">BB12+BB11</f>
        <v>2470</v>
      </c>
      <c r="BC13" s="259"/>
      <c r="BD13" s="258">
        <f t="shared" ref="BD13" si="8">BD12+BD11</f>
        <v>1922</v>
      </c>
      <c r="BE13" s="259"/>
      <c r="BF13" s="258">
        <f t="shared" ref="BF13" si="9">BF12+BF11</f>
        <v>0</v>
      </c>
      <c r="BG13" s="259"/>
      <c r="BH13" s="258">
        <f t="shared" ref="BH13" si="10">BH12+BH11</f>
        <v>0</v>
      </c>
      <c r="BI13" s="259"/>
      <c r="BJ13" s="258">
        <f t="shared" ref="BJ13" si="11">BJ12+BJ11</f>
        <v>0</v>
      </c>
      <c r="BK13" s="259"/>
      <c r="BL13" s="21">
        <f>BL12+BL11</f>
        <v>164579</v>
      </c>
      <c r="BM13" s="21">
        <f>BM12+BM11</f>
        <v>168971</v>
      </c>
    </row>
    <row r="14" spans="1:70" ht="15.6" x14ac:dyDescent="0.3">
      <c r="AF14"/>
      <c r="AM14" s="39" t="s">
        <v>34</v>
      </c>
      <c r="AN14" s="256"/>
      <c r="AO14" s="257"/>
      <c r="AP14" s="256">
        <v>61550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256">
        <v>75500</v>
      </c>
      <c r="BA14" s="257"/>
      <c r="BB14" s="256">
        <v>75500</v>
      </c>
      <c r="BC14" s="257"/>
      <c r="BD14" s="256">
        <v>75500</v>
      </c>
      <c r="BE14" s="257"/>
      <c r="BF14" s="256">
        <v>75500</v>
      </c>
      <c r="BG14" s="257"/>
      <c r="BH14" s="256">
        <v>75500</v>
      </c>
      <c r="BI14" s="257"/>
      <c r="BJ14" s="256">
        <v>75500</v>
      </c>
      <c r="BK14" s="257"/>
      <c r="BL14" s="17">
        <f>SUM(AR14:BA14)</f>
        <v>377500</v>
      </c>
      <c r="BM14" s="19">
        <f xml:space="preserve"> SUM(AR14:BK14)</f>
        <v>755000</v>
      </c>
    </row>
    <row r="15" spans="1:70" ht="15.6" x14ac:dyDescent="0.3">
      <c r="AF15"/>
      <c r="AM15" s="40" t="s">
        <v>35</v>
      </c>
      <c r="AN15" s="252"/>
      <c r="AO15" s="253"/>
      <c r="AP15" s="252">
        <f>AP14-AP13</f>
        <v>32351</v>
      </c>
      <c r="AQ15" s="253"/>
      <c r="AR15" s="252">
        <f>AR14-AR13</f>
        <v>0</v>
      </c>
      <c r="AS15" s="253"/>
      <c r="AT15" s="252">
        <f t="shared" ref="AT15" si="12">AT14-AT13</f>
        <v>4214</v>
      </c>
      <c r="AU15" s="253"/>
      <c r="AV15" s="252">
        <f t="shared" ref="AV15" si="13">AV14-AV13</f>
        <v>66873</v>
      </c>
      <c r="AW15" s="253"/>
      <c r="AX15" s="252">
        <f t="shared" ref="AX15" si="14">AX14-AX13</f>
        <v>68761</v>
      </c>
      <c r="AY15" s="253"/>
      <c r="AZ15" s="252">
        <f t="shared" ref="AZ15" si="15">AZ14-AZ13</f>
        <v>73073</v>
      </c>
      <c r="BA15" s="253"/>
      <c r="BB15" s="252">
        <f t="shared" ref="BB15" si="16">BB14-BB13</f>
        <v>73030</v>
      </c>
      <c r="BC15" s="253"/>
      <c r="BD15" s="252">
        <f t="shared" ref="BD15" si="17">BD14-BD13</f>
        <v>73578</v>
      </c>
      <c r="BE15" s="253"/>
      <c r="BF15" s="252">
        <f t="shared" ref="BF15" si="18">BF14-BF13</f>
        <v>75500</v>
      </c>
      <c r="BG15" s="253"/>
      <c r="BH15" s="252">
        <f t="shared" ref="BH15" si="19">BH14-BH13</f>
        <v>75500</v>
      </c>
      <c r="BI15" s="253"/>
      <c r="BJ15" s="252">
        <f t="shared" ref="BJ15" si="20">BJ14-BJ13</f>
        <v>75500</v>
      </c>
      <c r="BK15" s="253"/>
      <c r="BL15" s="23">
        <f>BL14-BL13</f>
        <v>212921</v>
      </c>
      <c r="BM15" s="23">
        <f>BM14-BM13</f>
        <v>586029</v>
      </c>
    </row>
    <row r="16" spans="1:70" ht="15.6" x14ac:dyDescent="0.3">
      <c r="AF16"/>
      <c r="AM16" s="41" t="s">
        <v>36</v>
      </c>
      <c r="AN16" s="254"/>
      <c r="AO16" s="255"/>
      <c r="AP16" s="254">
        <f>(AP13-AP14)/AP14</f>
        <v>-0.52560519902518277</v>
      </c>
      <c r="AQ16" s="255"/>
      <c r="AR16" s="254">
        <f t="shared" ref="AR16" si="21">(AR13-AR14)/AR14</f>
        <v>0</v>
      </c>
      <c r="AS16" s="255"/>
      <c r="AT16" s="254">
        <f>(AT13-AT14)/AT14</f>
        <v>-5.5814569536423844E-2</v>
      </c>
      <c r="AU16" s="255"/>
      <c r="AV16" s="254">
        <f t="shared" ref="AV16" si="22">(AV13-AV14)/AV14</f>
        <v>-0.8857350993377483</v>
      </c>
      <c r="AW16" s="255"/>
      <c r="AX16" s="254">
        <f t="shared" ref="AX16" si="23">(AX13-AX14)/AX14</f>
        <v>-0.91074172185430469</v>
      </c>
      <c r="AY16" s="255"/>
      <c r="AZ16" s="254">
        <f t="shared" ref="AZ16" si="24">(AZ13-AZ14)/AZ14</f>
        <v>-0.96785430463576161</v>
      </c>
      <c r="BA16" s="255"/>
      <c r="BB16" s="254">
        <f t="shared" ref="BB16" si="25">(BB13-BB14)/BB14</f>
        <v>-0.96728476821192055</v>
      </c>
      <c r="BC16" s="255"/>
      <c r="BD16" s="254">
        <f t="shared" ref="BD16" si="26">(BD13-BD14)/BD14</f>
        <v>-0.97454304635761591</v>
      </c>
      <c r="BE16" s="255"/>
      <c r="BF16" s="254">
        <f t="shared" ref="BF16" si="27">(BF13-BF14)/BF14</f>
        <v>-1</v>
      </c>
      <c r="BG16" s="255"/>
      <c r="BH16" s="254">
        <f t="shared" ref="BH16" si="28">(BH13-BH14)/BH14</f>
        <v>-1</v>
      </c>
      <c r="BI16" s="255"/>
      <c r="BJ16" s="254">
        <f t="shared" ref="BJ16" si="29">(BJ13-BJ14)/BJ14</f>
        <v>-1</v>
      </c>
      <c r="BK16" s="255"/>
      <c r="BL16" s="22">
        <f>(BL13-BL14)/BL14</f>
        <v>-0.56402913907284769</v>
      </c>
      <c r="BM16" s="22">
        <f>(BM13-BM14)/BM14</f>
        <v>-0.7761973509933775</v>
      </c>
    </row>
    <row r="17" spans="1:64" ht="13.95" customHeight="1" thickBot="1" x14ac:dyDescent="0.35">
      <c r="AF17"/>
    </row>
    <row r="18" spans="1:64" s="11" customFormat="1" ht="75.599999999999994" customHeight="1" x14ac:dyDescent="0.3">
      <c r="A18" s="11" t="s">
        <v>37</v>
      </c>
      <c r="B18" s="11" t="s">
        <v>38</v>
      </c>
      <c r="C18" s="11" t="s">
        <v>39</v>
      </c>
      <c r="D18" s="11" t="s">
        <v>40</v>
      </c>
      <c r="E18" s="11" t="s">
        <v>41</v>
      </c>
      <c r="F18" s="11" t="s">
        <v>42</v>
      </c>
      <c r="G18" s="11" t="s">
        <v>43</v>
      </c>
      <c r="H18" s="11" t="s">
        <v>44</v>
      </c>
      <c r="I18" s="11" t="s">
        <v>45</v>
      </c>
      <c r="J18" s="11" t="s">
        <v>46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51</v>
      </c>
      <c r="P18" s="11" t="s">
        <v>52</v>
      </c>
      <c r="Q18" s="11" t="s">
        <v>53</v>
      </c>
      <c r="R18" s="11" t="s">
        <v>54</v>
      </c>
      <c r="S18" s="11" t="s">
        <v>55</v>
      </c>
      <c r="T18" s="11" t="s">
        <v>56</v>
      </c>
      <c r="U18" s="11" t="s">
        <v>57</v>
      </c>
      <c r="V18" s="11" t="s">
        <v>58</v>
      </c>
      <c r="W18" s="11" t="s">
        <v>59</v>
      </c>
      <c r="X18" s="11" t="s">
        <v>60</v>
      </c>
      <c r="Y18" s="11" t="s">
        <v>61</v>
      </c>
      <c r="Z18" s="11" t="s">
        <v>62</v>
      </c>
      <c r="AA18" s="11" t="s">
        <v>63</v>
      </c>
      <c r="AB18" s="11" t="s">
        <v>64</v>
      </c>
      <c r="AC18" s="11" t="s">
        <v>65</v>
      </c>
      <c r="AD18" s="11" t="s">
        <v>66</v>
      </c>
      <c r="AE18" s="11" t="s">
        <v>67</v>
      </c>
      <c r="AF18" s="11" t="s">
        <v>68</v>
      </c>
      <c r="AG18" s="11" t="s">
        <v>69</v>
      </c>
      <c r="AH18" s="11" t="s">
        <v>70</v>
      </c>
      <c r="AI18" s="9" t="s">
        <v>71</v>
      </c>
      <c r="AJ18" s="9" t="s">
        <v>72</v>
      </c>
      <c r="AK18" s="9" t="s">
        <v>73</v>
      </c>
      <c r="AL18" s="9" t="s">
        <v>74</v>
      </c>
      <c r="AM18" s="10" t="s">
        <v>75</v>
      </c>
      <c r="AN18" s="9" t="s">
        <v>76</v>
      </c>
      <c r="AO18" s="9" t="s">
        <v>77</v>
      </c>
      <c r="AP18" s="9" t="s">
        <v>78</v>
      </c>
      <c r="AQ18" s="9" t="s">
        <v>79</v>
      </c>
      <c r="AR18" s="9" t="s">
        <v>80</v>
      </c>
      <c r="AS18" s="9" t="s">
        <v>81</v>
      </c>
      <c r="AT18" s="9" t="s">
        <v>82</v>
      </c>
      <c r="AU18" s="9" t="s">
        <v>83</v>
      </c>
      <c r="AV18" s="9" t="s">
        <v>84</v>
      </c>
      <c r="AW18" s="9" t="s">
        <v>85</v>
      </c>
      <c r="AX18" s="9" t="s">
        <v>86</v>
      </c>
      <c r="AY18" s="9" t="s">
        <v>87</v>
      </c>
      <c r="AZ18" s="9" t="s">
        <v>88</v>
      </c>
      <c r="BA18" s="9" t="s">
        <v>89</v>
      </c>
      <c r="BB18" s="9" t="s">
        <v>90</v>
      </c>
      <c r="BC18" s="9" t="s">
        <v>91</v>
      </c>
      <c r="BD18" s="9" t="s">
        <v>92</v>
      </c>
      <c r="BE18" s="9" t="s">
        <v>93</v>
      </c>
      <c r="BF18" s="9" t="s">
        <v>94</v>
      </c>
      <c r="BG18" s="9" t="s">
        <v>95</v>
      </c>
      <c r="BH18" s="9" t="s">
        <v>96</v>
      </c>
      <c r="BI18" s="9" t="s">
        <v>97</v>
      </c>
      <c r="BJ18" s="9" t="s">
        <v>98</v>
      </c>
      <c r="BK18" s="9" t="s">
        <v>99</v>
      </c>
      <c r="BL18" s="9" t="s">
        <v>100</v>
      </c>
    </row>
    <row r="19" spans="1:64" x14ac:dyDescent="0.3">
      <c r="A19" t="s">
        <v>101</v>
      </c>
      <c r="B19" t="s">
        <v>102</v>
      </c>
      <c r="C19" t="s">
        <v>103</v>
      </c>
      <c r="D19" t="s">
        <v>140</v>
      </c>
      <c r="E19" t="s">
        <v>16</v>
      </c>
      <c r="F19" t="s">
        <v>16</v>
      </c>
      <c r="H19" t="s">
        <v>105</v>
      </c>
      <c r="I19" t="s">
        <v>174</v>
      </c>
      <c r="J19" t="s">
        <v>175</v>
      </c>
      <c r="K19" t="s">
        <v>143</v>
      </c>
      <c r="L19" t="s">
        <v>176</v>
      </c>
      <c r="M19" t="s">
        <v>164</v>
      </c>
      <c r="N19" s="1">
        <v>44014</v>
      </c>
      <c r="O19" s="1">
        <v>44294</v>
      </c>
      <c r="P19" s="1">
        <v>45239</v>
      </c>
      <c r="Q19">
        <v>5</v>
      </c>
      <c r="R19">
        <v>5</v>
      </c>
      <c r="S19">
        <v>5</v>
      </c>
      <c r="T19">
        <v>5</v>
      </c>
      <c r="V19" t="s">
        <v>117</v>
      </c>
      <c r="AB19">
        <v>4</v>
      </c>
      <c r="AF19"/>
      <c r="AG19" t="s">
        <v>165</v>
      </c>
      <c r="AH19">
        <v>4.333333333333333</v>
      </c>
      <c r="AI19" s="2">
        <v>5</v>
      </c>
      <c r="AJ19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19" s="2">
        <f>MAX(ProgProp_20241016[[#This Row],[IND_Batiment_Moy]:[IND_SystElectro_Moy]])</f>
        <v>4</v>
      </c>
      <c r="AL19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100</v>
      </c>
      <c r="AM19" s="63"/>
      <c r="AN19">
        <v>389</v>
      </c>
      <c r="AO19">
        <v>4986</v>
      </c>
      <c r="AP19">
        <v>926</v>
      </c>
      <c r="AQ19">
        <v>19912</v>
      </c>
      <c r="AR19">
        <v>300</v>
      </c>
      <c r="AS19">
        <v>16142</v>
      </c>
      <c r="BL19" s="14">
        <f>SUM(ProgProp_20241016[[#This Row],[AC ANT]:[TR 2034]])</f>
        <v>42655</v>
      </c>
    </row>
    <row r="20" spans="1:64" x14ac:dyDescent="0.3">
      <c r="A20" t="s">
        <v>101</v>
      </c>
      <c r="B20" t="s">
        <v>102</v>
      </c>
      <c r="C20" t="s">
        <v>177</v>
      </c>
      <c r="D20" t="s">
        <v>129</v>
      </c>
      <c r="E20" t="s">
        <v>16</v>
      </c>
      <c r="F20" t="s">
        <v>16</v>
      </c>
      <c r="H20" t="s">
        <v>131</v>
      </c>
      <c r="I20" t="s">
        <v>178</v>
      </c>
      <c r="J20" t="s">
        <v>179</v>
      </c>
      <c r="K20" t="s">
        <v>180</v>
      </c>
      <c r="L20" t="s">
        <v>176</v>
      </c>
      <c r="M20" t="s">
        <v>164</v>
      </c>
      <c r="N20" s="1"/>
      <c r="O20" s="1"/>
      <c r="P20" s="1">
        <v>45195</v>
      </c>
      <c r="Q20">
        <v>5</v>
      </c>
      <c r="R20">
        <v>5</v>
      </c>
      <c r="AF20"/>
      <c r="AG20" t="s">
        <v>165</v>
      </c>
      <c r="AH20">
        <v>2.666666666666667</v>
      </c>
      <c r="AI20" s="2">
        <v>5</v>
      </c>
      <c r="AJ20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0" s="2">
        <f>MAX(ProgProp_20241016[[#This Row],[IND_Batiment_Moy]:[IND_SystElectro_Moy]])</f>
        <v>0</v>
      </c>
      <c r="AL20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100</v>
      </c>
      <c r="AM20" s="63"/>
      <c r="AN20">
        <v>75.000000000000014</v>
      </c>
      <c r="AO20">
        <v>101.00000000000001</v>
      </c>
      <c r="AP20">
        <v>83</v>
      </c>
      <c r="AQ20">
        <v>1096</v>
      </c>
      <c r="AR20">
        <v>15</v>
      </c>
      <c r="AS20">
        <v>548</v>
      </c>
      <c r="BL20" s="14">
        <f>SUM(ProgProp_20241016[[#This Row],[AC ANT]:[TR 2034]])</f>
        <v>1918</v>
      </c>
    </row>
    <row r="21" spans="1:64" x14ac:dyDescent="0.3">
      <c r="A21" t="s">
        <v>118</v>
      </c>
      <c r="B21" t="s">
        <v>102</v>
      </c>
      <c r="C21" t="s">
        <v>103</v>
      </c>
      <c r="D21" t="s">
        <v>149</v>
      </c>
      <c r="E21" t="s">
        <v>16</v>
      </c>
      <c r="F21" t="s">
        <v>16</v>
      </c>
      <c r="H21" t="s">
        <v>131</v>
      </c>
      <c r="I21" t="s">
        <v>192</v>
      </c>
      <c r="J21" t="s">
        <v>193</v>
      </c>
      <c r="K21" t="s">
        <v>194</v>
      </c>
      <c r="L21" t="s">
        <v>176</v>
      </c>
      <c r="M21" t="s">
        <v>164</v>
      </c>
      <c r="N21" s="1">
        <v>44547</v>
      </c>
      <c r="O21" s="1">
        <v>45091</v>
      </c>
      <c r="P21" s="1">
        <v>45375</v>
      </c>
      <c r="Q21">
        <v>5</v>
      </c>
      <c r="R21">
        <v>5</v>
      </c>
      <c r="S21">
        <v>5</v>
      </c>
      <c r="T21">
        <v>5</v>
      </c>
      <c r="W21" t="s">
        <v>124</v>
      </c>
      <c r="X21" t="s">
        <v>117</v>
      </c>
      <c r="Z21" t="s">
        <v>135</v>
      </c>
      <c r="AC21">
        <v>5</v>
      </c>
      <c r="AD21">
        <v>4</v>
      </c>
      <c r="AF21">
        <v>3</v>
      </c>
      <c r="AG21" t="s">
        <v>165</v>
      </c>
      <c r="AH21">
        <v>3.3333333333333335</v>
      </c>
      <c r="AI21" s="2">
        <v>5</v>
      </c>
      <c r="AJ21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1" s="2">
        <f>MAX(ProgProp_20241016[[#This Row],[IND_Batiment_Moy]:[IND_SystElectro_Moy]])</f>
        <v>5</v>
      </c>
      <c r="AL21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100</v>
      </c>
      <c r="AM21" s="62"/>
      <c r="AN21">
        <v>7</v>
      </c>
      <c r="AP21">
        <v>25</v>
      </c>
      <c r="AQ21">
        <v>1600</v>
      </c>
      <c r="AR21">
        <v>185</v>
      </c>
      <c r="AS21">
        <v>5471</v>
      </c>
      <c r="BL21" s="14">
        <f>SUM(ProgProp_20241016[[#This Row],[AC ANT]:[TR 2034]])</f>
        <v>7288</v>
      </c>
    </row>
    <row r="22" spans="1:64" x14ac:dyDescent="0.3">
      <c r="A22" t="s">
        <v>118</v>
      </c>
      <c r="B22" t="s">
        <v>102</v>
      </c>
      <c r="C22" t="s">
        <v>136</v>
      </c>
      <c r="D22" t="s">
        <v>104</v>
      </c>
      <c r="E22" t="s">
        <v>16</v>
      </c>
      <c r="F22" t="s">
        <v>16</v>
      </c>
      <c r="H22" t="s">
        <v>105</v>
      </c>
      <c r="I22" t="s">
        <v>198</v>
      </c>
      <c r="J22" t="s">
        <v>199</v>
      </c>
      <c r="K22" t="s">
        <v>108</v>
      </c>
      <c r="L22" t="s">
        <v>176</v>
      </c>
      <c r="M22" t="s">
        <v>164</v>
      </c>
      <c r="N22" s="1"/>
      <c r="O22" s="1"/>
      <c r="P22" s="1">
        <v>45176</v>
      </c>
      <c r="Q22">
        <v>5</v>
      </c>
      <c r="R22">
        <v>5</v>
      </c>
      <c r="AF22"/>
      <c r="AG22" t="s">
        <v>165</v>
      </c>
      <c r="AH22">
        <v>4</v>
      </c>
      <c r="AI22" s="2">
        <v>5</v>
      </c>
      <c r="AJ22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2" s="2">
        <f>MAX(ProgProp_20241016[[#This Row],[IND_Batiment_Moy]:[IND_SystElectro_Moy]])</f>
        <v>0</v>
      </c>
      <c r="AL22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100</v>
      </c>
      <c r="AM22" s="63"/>
      <c r="AN22">
        <v>269</v>
      </c>
      <c r="AP22">
        <v>27</v>
      </c>
      <c r="AQ22">
        <v>1020</v>
      </c>
      <c r="AR22">
        <v>245</v>
      </c>
      <c r="AS22">
        <v>8040</v>
      </c>
      <c r="BL22" s="14">
        <f>SUM(ProgProp_20241016[[#This Row],[AC ANT]:[TR 2034]])</f>
        <v>9601</v>
      </c>
    </row>
    <row r="23" spans="1:64" x14ac:dyDescent="0.3">
      <c r="A23" t="s">
        <v>126</v>
      </c>
      <c r="B23" t="s">
        <v>127</v>
      </c>
      <c r="C23" t="s">
        <v>136</v>
      </c>
      <c r="D23" t="s">
        <v>104</v>
      </c>
      <c r="E23" t="s">
        <v>16</v>
      </c>
      <c r="F23" t="s">
        <v>16</v>
      </c>
      <c r="H23" t="s">
        <v>105</v>
      </c>
      <c r="I23" t="s">
        <v>162</v>
      </c>
      <c r="J23" t="s">
        <v>163</v>
      </c>
      <c r="K23" t="s">
        <v>122</v>
      </c>
      <c r="L23" t="s">
        <v>148</v>
      </c>
      <c r="M23" t="s">
        <v>164</v>
      </c>
      <c r="N23" s="1"/>
      <c r="O23" s="1"/>
      <c r="P23" s="1"/>
      <c r="Q23">
        <v>1</v>
      </c>
      <c r="AF23"/>
      <c r="AG23" t="s">
        <v>165</v>
      </c>
      <c r="AH23">
        <v>4</v>
      </c>
      <c r="AI23" s="2">
        <v>5</v>
      </c>
      <c r="AJ23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7</v>
      </c>
      <c r="AK23" s="2">
        <f>MAX(ProgProp_20241016[[#This Row],[IND_Batiment_Moy]:[IND_SystElectro_Moy]])</f>
        <v>0</v>
      </c>
      <c r="AL23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100</v>
      </c>
      <c r="AM23" s="63"/>
      <c r="AN23">
        <v>5398</v>
      </c>
      <c r="AO23">
        <v>28152</v>
      </c>
      <c r="AP23">
        <v>429</v>
      </c>
      <c r="AR23">
        <v>49</v>
      </c>
      <c r="AS23">
        <v>67</v>
      </c>
      <c r="AT23">
        <v>30</v>
      </c>
      <c r="BL23" s="14">
        <f>SUM(ProgProp_20241016[[#This Row],[AC ANT]:[TR 2034]])</f>
        <v>34125</v>
      </c>
    </row>
    <row r="24" spans="1:64" x14ac:dyDescent="0.3">
      <c r="A24" t="s">
        <v>126</v>
      </c>
      <c r="B24" t="s">
        <v>127</v>
      </c>
      <c r="C24" t="s">
        <v>103</v>
      </c>
      <c r="D24" t="s">
        <v>144</v>
      </c>
      <c r="E24" t="s">
        <v>16</v>
      </c>
      <c r="F24" t="s">
        <v>16</v>
      </c>
      <c r="H24" t="s">
        <v>131</v>
      </c>
      <c r="I24" t="s">
        <v>145</v>
      </c>
      <c r="J24" t="s">
        <v>146</v>
      </c>
      <c r="K24" t="s">
        <v>147</v>
      </c>
      <c r="L24" t="s">
        <v>148</v>
      </c>
      <c r="M24" t="s">
        <v>110</v>
      </c>
      <c r="N24" s="1">
        <v>44609</v>
      </c>
      <c r="O24" s="1">
        <v>45641</v>
      </c>
      <c r="P24" s="1">
        <v>45762</v>
      </c>
      <c r="Q24">
        <v>5</v>
      </c>
      <c r="R24">
        <v>1</v>
      </c>
      <c r="S24">
        <v>5</v>
      </c>
      <c r="T24">
        <v>5</v>
      </c>
      <c r="W24" t="s">
        <v>124</v>
      </c>
      <c r="X24" t="s">
        <v>124</v>
      </c>
      <c r="AC24">
        <v>5</v>
      </c>
      <c r="AD24">
        <v>5</v>
      </c>
      <c r="AF24"/>
      <c r="AG24" t="s">
        <v>112</v>
      </c>
      <c r="AH24">
        <v>3</v>
      </c>
      <c r="AI24" s="2"/>
      <c r="AJ24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4" s="2">
        <f>MAX(ProgProp_20241016[[#This Row],[IND_Batiment_Moy]:[IND_SystElectro_Moy]])</f>
        <v>5</v>
      </c>
      <c r="AL24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90</v>
      </c>
      <c r="AM24" s="63"/>
      <c r="AN24">
        <v>117</v>
      </c>
      <c r="AP24">
        <v>246</v>
      </c>
      <c r="AR24">
        <v>230</v>
      </c>
      <c r="AS24">
        <v>4842</v>
      </c>
      <c r="AT24">
        <v>130</v>
      </c>
      <c r="AU24">
        <v>4842</v>
      </c>
      <c r="BL24" s="14">
        <f>SUM(ProgProp_20241016[[#This Row],[AC ANT]:[TR 2034]])</f>
        <v>10407</v>
      </c>
    </row>
    <row r="25" spans="1:64" x14ac:dyDescent="0.3">
      <c r="A25" t="s">
        <v>118</v>
      </c>
      <c r="B25" t="s">
        <v>102</v>
      </c>
      <c r="C25" t="s">
        <v>136</v>
      </c>
      <c r="D25" t="s">
        <v>129</v>
      </c>
      <c r="E25" t="s">
        <v>16</v>
      </c>
      <c r="F25" t="s">
        <v>130</v>
      </c>
      <c r="G25">
        <v>1</v>
      </c>
      <c r="H25" t="s">
        <v>131</v>
      </c>
      <c r="I25" t="s">
        <v>218</v>
      </c>
      <c r="J25" t="s">
        <v>219</v>
      </c>
      <c r="K25" t="s">
        <v>152</v>
      </c>
      <c r="L25" t="s">
        <v>148</v>
      </c>
      <c r="M25" t="s">
        <v>110</v>
      </c>
      <c r="N25" s="1">
        <v>45370</v>
      </c>
      <c r="O25" s="1"/>
      <c r="P25" s="1">
        <v>45627</v>
      </c>
      <c r="Q25">
        <v>1</v>
      </c>
      <c r="R25">
        <v>5</v>
      </c>
      <c r="T25">
        <v>5</v>
      </c>
      <c r="U25" t="s">
        <v>124</v>
      </c>
      <c r="AA25">
        <v>5</v>
      </c>
      <c r="AF25"/>
      <c r="AG25" t="s">
        <v>112</v>
      </c>
      <c r="AH25">
        <v>3.6666666666666665</v>
      </c>
      <c r="AI25" s="2"/>
      <c r="AJ25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5" s="2">
        <f>MAX(ProgProp_20241016[[#This Row],[IND_Batiment_Moy]:[IND_SystElectro_Moy]])</f>
        <v>5</v>
      </c>
      <c r="AL25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73.333333333333343</v>
      </c>
      <c r="AM25" s="63"/>
      <c r="AN25">
        <v>6</v>
      </c>
      <c r="AP25">
        <v>60</v>
      </c>
      <c r="AR25">
        <v>54</v>
      </c>
      <c r="AS25">
        <v>610</v>
      </c>
      <c r="BL25" s="14">
        <f>SUM(ProgProp_20241016[[#This Row],[AC ANT]:[TR 2034]])</f>
        <v>730</v>
      </c>
    </row>
    <row r="26" spans="1:64" x14ac:dyDescent="0.3">
      <c r="A26" t="s">
        <v>118</v>
      </c>
      <c r="B26" t="s">
        <v>102</v>
      </c>
      <c r="C26" t="s">
        <v>119</v>
      </c>
      <c r="D26" t="s">
        <v>113</v>
      </c>
      <c r="E26" t="s">
        <v>20</v>
      </c>
      <c r="F26" t="s">
        <v>20</v>
      </c>
      <c r="G26">
        <v>1</v>
      </c>
      <c r="H26" t="s">
        <v>105</v>
      </c>
      <c r="I26" t="s">
        <v>120</v>
      </c>
      <c r="J26" t="s">
        <v>121</v>
      </c>
      <c r="K26" t="s">
        <v>122</v>
      </c>
      <c r="L26" t="s">
        <v>109</v>
      </c>
      <c r="M26" t="s">
        <v>123</v>
      </c>
      <c r="N26" s="1">
        <v>45391</v>
      </c>
      <c r="O26" s="1">
        <v>45514</v>
      </c>
      <c r="P26" s="1">
        <v>45611</v>
      </c>
      <c r="Q26">
        <v>1</v>
      </c>
      <c r="R26">
        <v>5</v>
      </c>
      <c r="S26">
        <v>5</v>
      </c>
      <c r="T26">
        <v>5</v>
      </c>
      <c r="X26" t="s">
        <v>124</v>
      </c>
      <c r="AD26">
        <v>5</v>
      </c>
      <c r="AF26"/>
      <c r="AG26" t="s">
        <v>125</v>
      </c>
      <c r="AH26">
        <v>4</v>
      </c>
      <c r="AI26" s="2"/>
      <c r="AJ26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6" s="2">
        <f>MAX(ProgProp_20241016[[#This Row],[IND_Batiment_Moy]:[IND_SystElectro_Moy]])</f>
        <v>5</v>
      </c>
      <c r="AL26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75</v>
      </c>
      <c r="AM26" s="63"/>
      <c r="AP26"/>
      <c r="AR26">
        <v>22</v>
      </c>
      <c r="AT26">
        <v>300</v>
      </c>
      <c r="AU26">
        <v>6704</v>
      </c>
      <c r="BL26" s="14">
        <f>SUM(ProgProp_20241016[[#This Row],[AC ANT]:[TR 2034]])</f>
        <v>7026</v>
      </c>
    </row>
    <row r="27" spans="1:64" x14ac:dyDescent="0.3">
      <c r="A27" t="s">
        <v>101</v>
      </c>
      <c r="B27" t="s">
        <v>102</v>
      </c>
      <c r="C27" t="s">
        <v>128</v>
      </c>
      <c r="D27" t="s">
        <v>140</v>
      </c>
      <c r="E27" t="s">
        <v>16</v>
      </c>
      <c r="F27" t="s">
        <v>16</v>
      </c>
      <c r="H27" t="s">
        <v>105</v>
      </c>
      <c r="I27" t="s">
        <v>141</v>
      </c>
      <c r="J27" t="s">
        <v>142</v>
      </c>
      <c r="K27" t="s">
        <v>143</v>
      </c>
      <c r="L27" t="s">
        <v>109</v>
      </c>
      <c r="M27" t="s">
        <v>123</v>
      </c>
      <c r="N27" s="1">
        <v>42900</v>
      </c>
      <c r="O27" s="1">
        <v>45323</v>
      </c>
      <c r="P27" s="1">
        <v>45884</v>
      </c>
      <c r="Q27">
        <v>5</v>
      </c>
      <c r="R27">
        <v>1</v>
      </c>
      <c r="S27">
        <v>5</v>
      </c>
      <c r="T27">
        <v>5</v>
      </c>
      <c r="AF27"/>
      <c r="AG27" t="s">
        <v>125</v>
      </c>
      <c r="AH27">
        <v>4.333333333333333</v>
      </c>
      <c r="AI27" s="2"/>
      <c r="AJ27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7" s="2">
        <f>MAX(ProgProp_20241016[[#This Row],[IND_Batiment_Moy]:[IND_SystElectro_Moy]])</f>
        <v>0</v>
      </c>
      <c r="AL27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71.666666666666671</v>
      </c>
      <c r="AM27" s="63"/>
      <c r="AN27">
        <v>61</v>
      </c>
      <c r="AP27"/>
      <c r="AT27">
        <v>370</v>
      </c>
      <c r="AU27">
        <v>4948</v>
      </c>
      <c r="BL27" s="14">
        <f>SUM(ProgProp_20241016[[#This Row],[AC ANT]:[TR 2034]])</f>
        <v>5379</v>
      </c>
    </row>
    <row r="28" spans="1:64" x14ac:dyDescent="0.3">
      <c r="A28" t="s">
        <v>101</v>
      </c>
      <c r="B28" t="s">
        <v>102</v>
      </c>
      <c r="C28" t="s">
        <v>128</v>
      </c>
      <c r="D28" t="s">
        <v>149</v>
      </c>
      <c r="E28" t="s">
        <v>16</v>
      </c>
      <c r="F28" t="s">
        <v>20</v>
      </c>
      <c r="G28">
        <v>1</v>
      </c>
      <c r="H28" t="s">
        <v>131</v>
      </c>
      <c r="I28" t="s">
        <v>150</v>
      </c>
      <c r="J28" t="s">
        <v>151</v>
      </c>
      <c r="K28" t="s">
        <v>152</v>
      </c>
      <c r="L28" t="s">
        <v>148</v>
      </c>
      <c r="M28" t="s">
        <v>110</v>
      </c>
      <c r="N28" s="1">
        <v>45079</v>
      </c>
      <c r="O28" s="1">
        <v>45626</v>
      </c>
      <c r="P28" s="1">
        <v>45762</v>
      </c>
      <c r="Q28">
        <v>1</v>
      </c>
      <c r="R28">
        <v>1</v>
      </c>
      <c r="S28">
        <v>5</v>
      </c>
      <c r="T28">
        <v>5</v>
      </c>
      <c r="X28" t="s">
        <v>117</v>
      </c>
      <c r="AD28">
        <v>4</v>
      </c>
      <c r="AF28"/>
      <c r="AG28" t="s">
        <v>112</v>
      </c>
      <c r="AH28">
        <v>3.6666666666666665</v>
      </c>
      <c r="AI28" s="2"/>
      <c r="AJ28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8" s="2">
        <f>MAX(ProgProp_20241016[[#This Row],[IND_Batiment_Moy]:[IND_SystElectro_Moy]])</f>
        <v>4</v>
      </c>
      <c r="AL28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68.333333333333329</v>
      </c>
      <c r="AM28" s="63"/>
      <c r="AN28">
        <v>12</v>
      </c>
      <c r="AP28">
        <v>255</v>
      </c>
      <c r="AR28">
        <v>144</v>
      </c>
      <c r="AS28">
        <v>3159</v>
      </c>
      <c r="AT28">
        <v>43</v>
      </c>
      <c r="AU28">
        <v>2781</v>
      </c>
      <c r="BL28" s="14">
        <f>SUM(ProgProp_20241016[[#This Row],[AC ANT]:[TR 2034]])</f>
        <v>6394</v>
      </c>
    </row>
    <row r="29" spans="1:64" x14ac:dyDescent="0.3">
      <c r="A29" t="s">
        <v>101</v>
      </c>
      <c r="B29" t="s">
        <v>102</v>
      </c>
      <c r="C29" t="s">
        <v>103</v>
      </c>
      <c r="D29" t="s">
        <v>149</v>
      </c>
      <c r="E29" t="s">
        <v>16</v>
      </c>
      <c r="F29" t="s">
        <v>20</v>
      </c>
      <c r="G29">
        <v>1</v>
      </c>
      <c r="H29" t="s">
        <v>105</v>
      </c>
      <c r="I29" t="s">
        <v>228</v>
      </c>
      <c r="J29" t="s">
        <v>229</v>
      </c>
      <c r="K29" t="s">
        <v>230</v>
      </c>
      <c r="L29" t="s">
        <v>148</v>
      </c>
      <c r="M29" t="s">
        <v>123</v>
      </c>
      <c r="N29" s="1">
        <v>45022</v>
      </c>
      <c r="O29" s="1">
        <v>45463</v>
      </c>
      <c r="P29" s="1">
        <v>45555</v>
      </c>
      <c r="Q29">
        <v>1</v>
      </c>
      <c r="R29">
        <v>5</v>
      </c>
      <c r="S29">
        <v>5</v>
      </c>
      <c r="T29">
        <v>5</v>
      </c>
      <c r="V29" t="s">
        <v>117</v>
      </c>
      <c r="X29" t="s">
        <v>117</v>
      </c>
      <c r="AB29">
        <v>4</v>
      </c>
      <c r="AD29">
        <v>4</v>
      </c>
      <c r="AF29"/>
      <c r="AG29" t="s">
        <v>125</v>
      </c>
      <c r="AH29">
        <v>3</v>
      </c>
      <c r="AI29" s="2"/>
      <c r="AJ29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29" s="2">
        <f>MAX(ProgProp_20241016[[#This Row],[IND_Batiment_Moy]:[IND_SystElectro_Moy]])</f>
        <v>4</v>
      </c>
      <c r="AL29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65</v>
      </c>
      <c r="AM29" s="63"/>
      <c r="AN29">
        <v>61</v>
      </c>
      <c r="AP29">
        <v>21</v>
      </c>
      <c r="AR29">
        <v>580</v>
      </c>
      <c r="AS29">
        <v>11581</v>
      </c>
      <c r="BL29" s="14">
        <f>SUM(ProgProp_20241016[[#This Row],[AC ANT]:[TR 2034]])</f>
        <v>12243</v>
      </c>
    </row>
    <row r="30" spans="1:64" x14ac:dyDescent="0.3">
      <c r="A30" t="s">
        <v>126</v>
      </c>
      <c r="B30" t="s">
        <v>127</v>
      </c>
      <c r="C30" t="s">
        <v>128</v>
      </c>
      <c r="D30" t="s">
        <v>252</v>
      </c>
      <c r="E30" t="s">
        <v>20</v>
      </c>
      <c r="F30" t="s">
        <v>20</v>
      </c>
      <c r="G30">
        <v>1</v>
      </c>
      <c r="H30" t="s">
        <v>131</v>
      </c>
      <c r="I30" t="s">
        <v>253</v>
      </c>
      <c r="J30" t="s">
        <v>254</v>
      </c>
      <c r="K30" t="s">
        <v>147</v>
      </c>
      <c r="L30" t="s">
        <v>148</v>
      </c>
      <c r="M30" t="s">
        <v>110</v>
      </c>
      <c r="N30" s="1">
        <v>45378</v>
      </c>
      <c r="O30" s="1"/>
      <c r="P30" s="1">
        <v>45611</v>
      </c>
      <c r="Q30">
        <v>1</v>
      </c>
      <c r="R30">
        <v>5</v>
      </c>
      <c r="T30">
        <v>5</v>
      </c>
      <c r="AF30"/>
      <c r="AG30" t="s">
        <v>112</v>
      </c>
      <c r="AH30">
        <v>3</v>
      </c>
      <c r="AI30" s="2"/>
      <c r="AJ30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30" s="2">
        <f>MAX(ProgProp_20241016[[#This Row],[IND_Batiment_Moy]:[IND_SystElectro_Moy]])</f>
        <v>0</v>
      </c>
      <c r="AL30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45</v>
      </c>
      <c r="AM30" s="63"/>
      <c r="AP30"/>
      <c r="AR30">
        <v>10</v>
      </c>
      <c r="AS30">
        <v>39</v>
      </c>
      <c r="BL30" s="14">
        <f>SUM(ProgProp_20241016[[#This Row],[AC ANT]:[TR 2034]])</f>
        <v>49</v>
      </c>
    </row>
    <row r="31" spans="1:64" x14ac:dyDescent="0.3">
      <c r="A31" t="s">
        <v>118</v>
      </c>
      <c r="B31" t="s">
        <v>102</v>
      </c>
      <c r="C31" t="s">
        <v>136</v>
      </c>
      <c r="E31" t="s">
        <v>20</v>
      </c>
      <c r="F31" t="s">
        <v>20</v>
      </c>
      <c r="G31">
        <v>1</v>
      </c>
      <c r="H31" t="s">
        <v>131</v>
      </c>
      <c r="I31" t="s">
        <v>255</v>
      </c>
      <c r="J31" t="s">
        <v>256</v>
      </c>
      <c r="K31" t="s">
        <v>209</v>
      </c>
      <c r="L31" t="s">
        <v>148</v>
      </c>
      <c r="N31" s="1"/>
      <c r="O31" s="1"/>
      <c r="P31" s="1"/>
      <c r="Q31">
        <v>1</v>
      </c>
      <c r="U31" t="s">
        <v>124</v>
      </c>
      <c r="AA31">
        <v>5</v>
      </c>
      <c r="AF31"/>
      <c r="AH31">
        <v>3</v>
      </c>
      <c r="AI31" s="2"/>
      <c r="AJ31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0</v>
      </c>
      <c r="AK31" s="2">
        <f>MAX(ProgProp_20241016[[#This Row],[IND_Batiment_Moy]:[IND_SystElectro_Moy]])</f>
        <v>5</v>
      </c>
      <c r="AL31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45</v>
      </c>
      <c r="AM31" s="63"/>
      <c r="AP31"/>
      <c r="AS31">
        <v>300</v>
      </c>
      <c r="BL31" s="14">
        <f>SUM(ProgProp_20241016[[#This Row],[AC ANT]:[TR 2034]])</f>
        <v>300</v>
      </c>
    </row>
    <row r="32" spans="1:64" x14ac:dyDescent="0.3">
      <c r="A32" t="s">
        <v>126</v>
      </c>
      <c r="B32" t="s">
        <v>127</v>
      </c>
      <c r="C32" t="s">
        <v>128</v>
      </c>
      <c r="E32" t="s">
        <v>20</v>
      </c>
      <c r="F32" t="s">
        <v>20</v>
      </c>
      <c r="G32">
        <v>1</v>
      </c>
      <c r="H32" t="s">
        <v>131</v>
      </c>
      <c r="I32" t="s">
        <v>259</v>
      </c>
      <c r="J32" t="s">
        <v>260</v>
      </c>
      <c r="K32" t="s">
        <v>159</v>
      </c>
      <c r="L32" t="s">
        <v>148</v>
      </c>
      <c r="N32" s="1"/>
      <c r="O32" s="1"/>
      <c r="P32" s="1"/>
      <c r="Q32">
        <v>1</v>
      </c>
      <c r="AF32"/>
      <c r="AH32">
        <v>4.333333333333333</v>
      </c>
      <c r="AI32" s="2"/>
      <c r="AJ32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0</v>
      </c>
      <c r="AK32" s="2">
        <f>MAX(ProgProp_20241016[[#This Row],[IND_Batiment_Moy]:[IND_SystElectro_Moy]])</f>
        <v>0</v>
      </c>
      <c r="AL32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26.666666666666668</v>
      </c>
      <c r="AM32" s="63"/>
      <c r="AP32"/>
      <c r="AS32">
        <v>100</v>
      </c>
      <c r="BL32" s="14">
        <f>SUM(ProgProp_20241016[[#This Row],[AC ANT]:[TR 2034]])</f>
        <v>100</v>
      </c>
    </row>
    <row r="33" spans="1:64" x14ac:dyDescent="0.3">
      <c r="A33" t="s">
        <v>101</v>
      </c>
      <c r="B33" t="s">
        <v>102</v>
      </c>
      <c r="C33" t="s">
        <v>136</v>
      </c>
      <c r="D33" t="s">
        <v>113</v>
      </c>
      <c r="E33" t="s">
        <v>16</v>
      </c>
      <c r="F33" t="s">
        <v>20</v>
      </c>
      <c r="H33" t="s">
        <v>131</v>
      </c>
      <c r="I33" t="s">
        <v>185</v>
      </c>
      <c r="J33" t="s">
        <v>186</v>
      </c>
      <c r="K33" t="s">
        <v>187</v>
      </c>
      <c r="L33" t="s">
        <v>173</v>
      </c>
      <c r="M33" t="s">
        <v>110</v>
      </c>
      <c r="N33" s="1">
        <v>44823</v>
      </c>
      <c r="O33" s="1">
        <v>46096</v>
      </c>
      <c r="P33" s="1">
        <v>46461</v>
      </c>
      <c r="Q33">
        <v>1</v>
      </c>
      <c r="R33">
        <v>1</v>
      </c>
      <c r="S33">
        <v>1</v>
      </c>
      <c r="T33">
        <v>5</v>
      </c>
      <c r="U33" t="s">
        <v>117</v>
      </c>
      <c r="W33" t="s">
        <v>124</v>
      </c>
      <c r="Z33" t="s">
        <v>135</v>
      </c>
      <c r="AA33">
        <v>4</v>
      </c>
      <c r="AC33">
        <v>5</v>
      </c>
      <c r="AF33">
        <v>3</v>
      </c>
      <c r="AG33" t="s">
        <v>112</v>
      </c>
      <c r="AH33">
        <v>3</v>
      </c>
      <c r="AI33" s="2"/>
      <c r="AJ33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33" s="2">
        <f>MAX(ProgProp_20241016[[#This Row],[IND_Batiment_Moy]:[IND_SystElectro_Moy]])</f>
        <v>5</v>
      </c>
      <c r="AL33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60.000000000000007</v>
      </c>
      <c r="AM33" s="63"/>
      <c r="AN33">
        <v>282</v>
      </c>
      <c r="AP33">
        <v>452</v>
      </c>
      <c r="AR33">
        <v>835</v>
      </c>
      <c r="AT33">
        <v>630</v>
      </c>
      <c r="AV33">
        <v>225</v>
      </c>
      <c r="AX33">
        <v>225</v>
      </c>
      <c r="AZ33">
        <v>225</v>
      </c>
      <c r="BL33" s="14">
        <f>SUM(ProgProp_20241016[[#This Row],[AC ANT]:[TR 2034]])</f>
        <v>2874</v>
      </c>
    </row>
    <row r="34" spans="1:64" x14ac:dyDescent="0.3">
      <c r="A34" t="s">
        <v>126</v>
      </c>
      <c r="B34" t="s">
        <v>127</v>
      </c>
      <c r="C34" t="s">
        <v>136</v>
      </c>
      <c r="D34" t="s">
        <v>144</v>
      </c>
      <c r="E34" t="s">
        <v>16</v>
      </c>
      <c r="F34" t="s">
        <v>20</v>
      </c>
      <c r="H34" t="s">
        <v>131</v>
      </c>
      <c r="I34" t="s">
        <v>231</v>
      </c>
      <c r="J34" t="s">
        <v>232</v>
      </c>
      <c r="K34" t="s">
        <v>147</v>
      </c>
      <c r="L34" t="s">
        <v>173</v>
      </c>
      <c r="M34" t="s">
        <v>110</v>
      </c>
      <c r="N34" s="1">
        <v>45099</v>
      </c>
      <c r="O34" s="1">
        <v>45945</v>
      </c>
      <c r="P34" s="1">
        <v>46371</v>
      </c>
      <c r="Q34">
        <v>1</v>
      </c>
      <c r="R34">
        <v>1</v>
      </c>
      <c r="S34">
        <v>1</v>
      </c>
      <c r="T34">
        <v>5</v>
      </c>
      <c r="U34" t="s">
        <v>124</v>
      </c>
      <c r="AA34">
        <v>5</v>
      </c>
      <c r="AF34"/>
      <c r="AG34" t="s">
        <v>112</v>
      </c>
      <c r="AH34">
        <v>3</v>
      </c>
      <c r="AI34" s="2"/>
      <c r="AJ34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34" s="2">
        <f>MAX(ProgProp_20241016[[#This Row],[IND_Batiment_Moy]:[IND_SystElectro_Moy]])</f>
        <v>5</v>
      </c>
      <c r="AL34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60.000000000000007</v>
      </c>
      <c r="AM34" s="63"/>
      <c r="AN34">
        <v>9</v>
      </c>
      <c r="AP34">
        <v>180</v>
      </c>
      <c r="AR34">
        <v>503</v>
      </c>
      <c r="AT34">
        <v>553</v>
      </c>
      <c r="AV34">
        <v>1185</v>
      </c>
      <c r="AX34">
        <v>1602</v>
      </c>
      <c r="BL34" s="14">
        <f>SUM(ProgProp_20241016[[#This Row],[AC ANT]:[TR 2034]])</f>
        <v>4032</v>
      </c>
    </row>
    <row r="35" spans="1:64" x14ac:dyDescent="0.3">
      <c r="A35" t="s">
        <v>101</v>
      </c>
      <c r="B35" t="s">
        <v>102</v>
      </c>
      <c r="C35" t="s">
        <v>136</v>
      </c>
      <c r="D35" t="s">
        <v>104</v>
      </c>
      <c r="E35" t="s">
        <v>16</v>
      </c>
      <c r="F35" t="s">
        <v>20</v>
      </c>
      <c r="H35" t="s">
        <v>105</v>
      </c>
      <c r="I35" t="s">
        <v>170</v>
      </c>
      <c r="J35" t="s">
        <v>171</v>
      </c>
      <c r="K35" t="s">
        <v>172</v>
      </c>
      <c r="L35" t="s">
        <v>173</v>
      </c>
      <c r="M35" t="s">
        <v>110</v>
      </c>
      <c r="N35" s="1">
        <v>44833</v>
      </c>
      <c r="O35" s="1">
        <v>45976</v>
      </c>
      <c r="P35" s="1">
        <v>46280</v>
      </c>
      <c r="Q35">
        <v>1</v>
      </c>
      <c r="R35">
        <v>1</v>
      </c>
      <c r="S35">
        <v>1</v>
      </c>
      <c r="T35">
        <v>5</v>
      </c>
      <c r="U35" t="s">
        <v>117</v>
      </c>
      <c r="AA35">
        <v>4</v>
      </c>
      <c r="AF35"/>
      <c r="AG35" t="s">
        <v>112</v>
      </c>
      <c r="AH35">
        <v>3.6666666666666665</v>
      </c>
      <c r="AI35" s="2"/>
      <c r="AJ35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35" s="2">
        <f>MAX(ProgProp_20241016[[#This Row],[IND_Batiment_Moy]:[IND_SystElectro_Moy]])</f>
        <v>4</v>
      </c>
      <c r="AL35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58.333333333333336</v>
      </c>
      <c r="AM35" s="63"/>
      <c r="AN35">
        <v>497</v>
      </c>
      <c r="AO35">
        <v>8</v>
      </c>
      <c r="AP35">
        <v>557</v>
      </c>
      <c r="AR35">
        <v>443</v>
      </c>
      <c r="AT35">
        <v>346</v>
      </c>
      <c r="AV35">
        <v>1338</v>
      </c>
      <c r="AX35">
        <v>2195</v>
      </c>
      <c r="BL35" s="14">
        <f>SUM(ProgProp_20241016[[#This Row],[AC ANT]:[TR 2034]])</f>
        <v>5384</v>
      </c>
    </row>
    <row r="36" spans="1:64" x14ac:dyDescent="0.3">
      <c r="A36" t="s">
        <v>101</v>
      </c>
      <c r="B36" t="s">
        <v>102</v>
      </c>
      <c r="C36" t="s">
        <v>136</v>
      </c>
      <c r="D36" t="s">
        <v>144</v>
      </c>
      <c r="E36" t="s">
        <v>16</v>
      </c>
      <c r="F36" t="s">
        <v>20</v>
      </c>
      <c r="H36" t="s">
        <v>131</v>
      </c>
      <c r="I36" t="s">
        <v>195</v>
      </c>
      <c r="J36" t="s">
        <v>196</v>
      </c>
      <c r="K36" t="s">
        <v>180</v>
      </c>
      <c r="L36" t="s">
        <v>197</v>
      </c>
      <c r="M36" t="s">
        <v>110</v>
      </c>
      <c r="N36" s="1">
        <v>44889</v>
      </c>
      <c r="O36" s="1">
        <v>46068</v>
      </c>
      <c r="P36" s="1">
        <v>46583</v>
      </c>
      <c r="Q36">
        <v>1</v>
      </c>
      <c r="R36">
        <v>1</v>
      </c>
      <c r="S36">
        <v>1</v>
      </c>
      <c r="T36">
        <v>5</v>
      </c>
      <c r="U36" t="s">
        <v>124</v>
      </c>
      <c r="W36" t="s">
        <v>117</v>
      </c>
      <c r="AA36">
        <v>5</v>
      </c>
      <c r="AC36">
        <v>4</v>
      </c>
      <c r="AF36"/>
      <c r="AG36" t="s">
        <v>112</v>
      </c>
      <c r="AH36">
        <v>2.6666666666666665</v>
      </c>
      <c r="AI36" s="2"/>
      <c r="AJ36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36" s="2">
        <f>MAX(ProgProp_20241016[[#This Row],[IND_Batiment_Moy]:[IND_SystElectro_Moy]])</f>
        <v>5</v>
      </c>
      <c r="AL36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58.333333333333336</v>
      </c>
      <c r="AM36" s="63"/>
      <c r="AN36">
        <v>337</v>
      </c>
      <c r="AP36">
        <v>1201</v>
      </c>
      <c r="AR36">
        <v>1230</v>
      </c>
      <c r="AT36">
        <v>1600</v>
      </c>
      <c r="AV36">
        <v>1600</v>
      </c>
      <c r="AX36">
        <v>800</v>
      </c>
      <c r="AZ36">
        <v>800</v>
      </c>
      <c r="BB36">
        <v>525</v>
      </c>
      <c r="BL36" s="14">
        <f>SUM(ProgProp_20241016[[#This Row],[AC ANT]:[TR 2034]])</f>
        <v>8093</v>
      </c>
    </row>
    <row r="37" spans="1:64" x14ac:dyDescent="0.3">
      <c r="A37" t="s">
        <v>118</v>
      </c>
      <c r="B37" t="s">
        <v>102</v>
      </c>
      <c r="C37" t="s">
        <v>103</v>
      </c>
      <c r="E37" t="s">
        <v>20</v>
      </c>
      <c r="F37" t="s">
        <v>20</v>
      </c>
      <c r="G37">
        <v>1</v>
      </c>
      <c r="H37" t="s">
        <v>131</v>
      </c>
      <c r="I37" t="s">
        <v>257</v>
      </c>
      <c r="J37" t="s">
        <v>258</v>
      </c>
      <c r="K37" t="s">
        <v>180</v>
      </c>
      <c r="L37" t="s">
        <v>148</v>
      </c>
      <c r="N37" s="1"/>
      <c r="O37" s="1"/>
      <c r="P37" s="1"/>
      <c r="Q37">
        <v>1</v>
      </c>
      <c r="AF37"/>
      <c r="AH37">
        <v>2.9393939393939394</v>
      </c>
      <c r="AI37" s="2"/>
      <c r="AJ37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0</v>
      </c>
      <c r="AK37" s="2">
        <f>MAX(ProgProp_20241016[[#This Row],[IND_Batiment_Moy]:[IND_SystElectro_Moy]])</f>
        <v>0</v>
      </c>
      <c r="AL37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19.696969696969695</v>
      </c>
      <c r="AM37" s="62"/>
      <c r="AP37"/>
      <c r="AS37">
        <v>300</v>
      </c>
      <c r="BL37" s="14">
        <f>SUM(ProgProp_20241016[[#This Row],[AC ANT]:[TR 2034]])</f>
        <v>300</v>
      </c>
    </row>
    <row r="38" spans="1:64" x14ac:dyDescent="0.3">
      <c r="A38" t="s">
        <v>101</v>
      </c>
      <c r="B38" t="s">
        <v>102</v>
      </c>
      <c r="C38" t="s">
        <v>103</v>
      </c>
      <c r="D38" t="s">
        <v>113</v>
      </c>
      <c r="E38" t="s">
        <v>16</v>
      </c>
      <c r="F38" t="s">
        <v>20</v>
      </c>
      <c r="G38">
        <v>1</v>
      </c>
      <c r="H38" t="s">
        <v>105</v>
      </c>
      <c r="I38" t="s">
        <v>114</v>
      </c>
      <c r="J38" t="s">
        <v>115</v>
      </c>
      <c r="K38" t="s">
        <v>116</v>
      </c>
      <c r="L38" t="s">
        <v>109</v>
      </c>
      <c r="M38" t="s">
        <v>110</v>
      </c>
      <c r="N38" s="1">
        <v>45105</v>
      </c>
      <c r="O38" s="1">
        <v>45641</v>
      </c>
      <c r="P38" s="1">
        <v>45940</v>
      </c>
      <c r="Q38">
        <v>1</v>
      </c>
      <c r="R38">
        <v>1</v>
      </c>
      <c r="S38">
        <v>5</v>
      </c>
      <c r="T38">
        <v>5</v>
      </c>
      <c r="V38" t="s">
        <v>117</v>
      </c>
      <c r="X38" t="s">
        <v>117</v>
      </c>
      <c r="AB38">
        <v>4</v>
      </c>
      <c r="AD38">
        <v>4</v>
      </c>
      <c r="AF38"/>
      <c r="AG38" t="s">
        <v>112</v>
      </c>
      <c r="AH38">
        <v>3</v>
      </c>
      <c r="AI38" s="2"/>
      <c r="AJ38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38" s="2">
        <f>MAX(ProgProp_20241016[[#This Row],[IND_Batiment_Moy]:[IND_SystElectro_Moy]])</f>
        <v>4</v>
      </c>
      <c r="AL38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65</v>
      </c>
      <c r="AM38" s="63"/>
      <c r="AN38">
        <v>25</v>
      </c>
      <c r="AP38">
        <v>13</v>
      </c>
      <c r="AR38">
        <v>48</v>
      </c>
      <c r="AT38">
        <v>855</v>
      </c>
      <c r="AU38">
        <v>11074</v>
      </c>
      <c r="BL38" s="14">
        <f>SUM(ProgProp_20241016[[#This Row],[AC ANT]:[TR 2034]])</f>
        <v>12015</v>
      </c>
    </row>
    <row r="39" spans="1:64" x14ac:dyDescent="0.3">
      <c r="A39" t="s">
        <v>126</v>
      </c>
      <c r="B39" t="s">
        <v>127</v>
      </c>
      <c r="C39" t="s">
        <v>103</v>
      </c>
      <c r="D39" t="s">
        <v>104</v>
      </c>
      <c r="E39" t="s">
        <v>16</v>
      </c>
      <c r="F39" t="s">
        <v>130</v>
      </c>
      <c r="H39" t="s">
        <v>131</v>
      </c>
      <c r="I39" t="s">
        <v>220</v>
      </c>
      <c r="J39" t="s">
        <v>221</v>
      </c>
      <c r="K39" t="s">
        <v>159</v>
      </c>
      <c r="L39" t="s">
        <v>173</v>
      </c>
      <c r="M39" t="s">
        <v>155</v>
      </c>
      <c r="N39" s="1">
        <v>45731</v>
      </c>
      <c r="O39" s="1">
        <v>46127</v>
      </c>
      <c r="P39" s="1">
        <v>46433</v>
      </c>
      <c r="Q39">
        <v>1</v>
      </c>
      <c r="R39">
        <v>1</v>
      </c>
      <c r="S39">
        <v>1</v>
      </c>
      <c r="T39">
        <v>1</v>
      </c>
      <c r="W39" t="s">
        <v>124</v>
      </c>
      <c r="X39" t="s">
        <v>117</v>
      </c>
      <c r="Z39" t="s">
        <v>117</v>
      </c>
      <c r="AC39">
        <v>5</v>
      </c>
      <c r="AD39">
        <v>4</v>
      </c>
      <c r="AF39">
        <v>4</v>
      </c>
      <c r="AG39" t="s">
        <v>156</v>
      </c>
      <c r="AH39">
        <v>4.333333333333333</v>
      </c>
      <c r="AI39" s="2"/>
      <c r="AJ39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39" s="2">
        <f>MAX(ProgProp_20241016[[#This Row],[IND_Batiment_Moy]:[IND_SystElectro_Moy]])</f>
        <v>5</v>
      </c>
      <c r="AL39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56.666666666666664</v>
      </c>
      <c r="AM39" s="63"/>
      <c r="AP39">
        <v>5</v>
      </c>
      <c r="AR39">
        <v>5</v>
      </c>
      <c r="AT39">
        <v>170</v>
      </c>
      <c r="AV39">
        <v>100</v>
      </c>
      <c r="AX39">
        <v>100</v>
      </c>
      <c r="AZ39">
        <v>100</v>
      </c>
      <c r="BL39" s="14">
        <f>SUM(ProgProp_20241016[[#This Row],[AC ANT]:[TR 2034]])</f>
        <v>480</v>
      </c>
    </row>
    <row r="40" spans="1:64" x14ac:dyDescent="0.3">
      <c r="A40" t="s">
        <v>101</v>
      </c>
      <c r="B40" t="s">
        <v>102</v>
      </c>
      <c r="C40" t="s">
        <v>103</v>
      </c>
      <c r="D40" t="s">
        <v>104</v>
      </c>
      <c r="E40" t="s">
        <v>16</v>
      </c>
      <c r="F40" t="s">
        <v>130</v>
      </c>
      <c r="G40">
        <v>1</v>
      </c>
      <c r="H40" t="s">
        <v>105</v>
      </c>
      <c r="I40" t="s">
        <v>215</v>
      </c>
      <c r="J40" t="s">
        <v>216</v>
      </c>
      <c r="K40" t="s">
        <v>217</v>
      </c>
      <c r="L40" t="s">
        <v>148</v>
      </c>
      <c r="M40" t="s">
        <v>123</v>
      </c>
      <c r="N40" s="1">
        <v>44838</v>
      </c>
      <c r="O40" s="1">
        <v>45441</v>
      </c>
      <c r="P40" s="1">
        <v>45583</v>
      </c>
      <c r="Q40">
        <v>1</v>
      </c>
      <c r="R40">
        <v>5</v>
      </c>
      <c r="S40">
        <v>5</v>
      </c>
      <c r="T40">
        <v>5</v>
      </c>
      <c r="V40" t="s">
        <v>117</v>
      </c>
      <c r="AB40">
        <v>4</v>
      </c>
      <c r="AF40"/>
      <c r="AG40" t="s">
        <v>125</v>
      </c>
      <c r="AH40">
        <v>2.3333333333333335</v>
      </c>
      <c r="AI40" s="2"/>
      <c r="AJ40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40" s="2">
        <f>MAX(ProgProp_20241016[[#This Row],[IND_Batiment_Moy]:[IND_SystElectro_Moy]])</f>
        <v>4</v>
      </c>
      <c r="AL40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61.666666666666671</v>
      </c>
      <c r="AM40" s="63"/>
      <c r="AN40">
        <v>218</v>
      </c>
      <c r="AO40">
        <v>3</v>
      </c>
      <c r="AP40">
        <v>82</v>
      </c>
      <c r="AR40">
        <v>641</v>
      </c>
      <c r="AS40">
        <v>11754</v>
      </c>
      <c r="BL40" s="14">
        <f>SUM(ProgProp_20241016[[#This Row],[AC ANT]:[TR 2034]])</f>
        <v>12698</v>
      </c>
    </row>
    <row r="41" spans="1:64" x14ac:dyDescent="0.3">
      <c r="A41" t="s">
        <v>101</v>
      </c>
      <c r="B41" t="s">
        <v>102</v>
      </c>
      <c r="C41" t="s">
        <v>136</v>
      </c>
      <c r="D41" t="s">
        <v>149</v>
      </c>
      <c r="E41" t="s">
        <v>20</v>
      </c>
      <c r="F41" t="s">
        <v>20</v>
      </c>
      <c r="G41">
        <v>1</v>
      </c>
      <c r="H41" t="s">
        <v>105</v>
      </c>
      <c r="I41" t="s">
        <v>203</v>
      </c>
      <c r="J41" t="s">
        <v>204</v>
      </c>
      <c r="K41" t="s">
        <v>205</v>
      </c>
      <c r="L41" t="s">
        <v>173</v>
      </c>
      <c r="M41" t="s">
        <v>155</v>
      </c>
      <c r="N41" s="1">
        <v>45703</v>
      </c>
      <c r="O41" s="1">
        <v>45915</v>
      </c>
      <c r="P41" s="1">
        <v>46295</v>
      </c>
      <c r="Q41">
        <v>1</v>
      </c>
      <c r="R41">
        <v>1</v>
      </c>
      <c r="S41">
        <v>1</v>
      </c>
      <c r="T41">
        <v>1</v>
      </c>
      <c r="U41" t="s">
        <v>124</v>
      </c>
      <c r="AA41">
        <v>5</v>
      </c>
      <c r="AF41"/>
      <c r="AG41" t="s">
        <v>156</v>
      </c>
      <c r="AH41">
        <v>3.3333333333333335</v>
      </c>
      <c r="AI41" s="2"/>
      <c r="AJ41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1" s="2">
        <f>MAX(ProgProp_20241016[[#This Row],[IND_Batiment_Moy]:[IND_SystElectro_Moy]])</f>
        <v>5</v>
      </c>
      <c r="AL41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51.666666666666671</v>
      </c>
      <c r="AM41" s="62"/>
      <c r="AP41"/>
      <c r="AR41">
        <v>85</v>
      </c>
      <c r="AT41">
        <v>85</v>
      </c>
      <c r="AV41">
        <v>170</v>
      </c>
      <c r="BL41" s="14">
        <f>SUM(ProgProp_20241016[[#This Row],[AC ANT]:[TR 2034]])</f>
        <v>340</v>
      </c>
    </row>
    <row r="42" spans="1:64" x14ac:dyDescent="0.3">
      <c r="A42" t="s">
        <v>101</v>
      </c>
      <c r="B42" t="s">
        <v>102</v>
      </c>
      <c r="C42" t="s">
        <v>103</v>
      </c>
      <c r="D42" t="s">
        <v>149</v>
      </c>
      <c r="E42" t="s">
        <v>20</v>
      </c>
      <c r="F42" t="s">
        <v>20</v>
      </c>
      <c r="G42">
        <v>1</v>
      </c>
      <c r="H42" t="s">
        <v>105</v>
      </c>
      <c r="I42" t="s">
        <v>235</v>
      </c>
      <c r="J42" t="s">
        <v>236</v>
      </c>
      <c r="K42" t="s">
        <v>205</v>
      </c>
      <c r="L42" t="s">
        <v>173</v>
      </c>
      <c r="M42" t="s">
        <v>155</v>
      </c>
      <c r="N42" s="1">
        <v>45641</v>
      </c>
      <c r="O42" s="1">
        <v>46006</v>
      </c>
      <c r="P42" s="1">
        <v>46371</v>
      </c>
      <c r="Q42">
        <v>1</v>
      </c>
      <c r="R42">
        <v>1</v>
      </c>
      <c r="S42">
        <v>1</v>
      </c>
      <c r="T42">
        <v>5</v>
      </c>
      <c r="V42" t="s">
        <v>124</v>
      </c>
      <c r="AB42">
        <v>5</v>
      </c>
      <c r="AF42"/>
      <c r="AG42" t="s">
        <v>156</v>
      </c>
      <c r="AH42">
        <v>3.3333333333333335</v>
      </c>
      <c r="AI42" s="2"/>
      <c r="AJ42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2" s="2">
        <f>MAX(ProgProp_20241016[[#This Row],[IND_Batiment_Moy]:[IND_SystElectro_Moy]])</f>
        <v>5</v>
      </c>
      <c r="AL42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51.666666666666671</v>
      </c>
      <c r="AM42" s="63"/>
      <c r="AP42"/>
      <c r="AR42">
        <v>75</v>
      </c>
      <c r="AT42">
        <v>300</v>
      </c>
      <c r="AV42">
        <v>475</v>
      </c>
      <c r="BL42" s="14">
        <f>SUM(ProgProp_20241016[[#This Row],[AC ANT]:[TR 2034]])</f>
        <v>850</v>
      </c>
    </row>
    <row r="43" spans="1:64" x14ac:dyDescent="0.3">
      <c r="A43" t="s">
        <v>101</v>
      </c>
      <c r="B43" t="s">
        <v>102</v>
      </c>
      <c r="C43" t="s">
        <v>136</v>
      </c>
      <c r="D43" t="s">
        <v>113</v>
      </c>
      <c r="E43" t="s">
        <v>16</v>
      </c>
      <c r="F43" t="s">
        <v>20</v>
      </c>
      <c r="H43" t="s">
        <v>105</v>
      </c>
      <c r="I43" t="s">
        <v>166</v>
      </c>
      <c r="J43" t="s">
        <v>167</v>
      </c>
      <c r="K43" t="s">
        <v>168</v>
      </c>
      <c r="L43" t="s">
        <v>169</v>
      </c>
      <c r="M43" t="s">
        <v>155</v>
      </c>
      <c r="N43" s="1">
        <v>45884</v>
      </c>
      <c r="O43" s="1">
        <v>46402</v>
      </c>
      <c r="P43" s="1">
        <v>46980</v>
      </c>
      <c r="Q43">
        <v>1</v>
      </c>
      <c r="R43">
        <v>1</v>
      </c>
      <c r="S43">
        <v>1</v>
      </c>
      <c r="T43">
        <v>1</v>
      </c>
      <c r="U43" t="s">
        <v>124</v>
      </c>
      <c r="AA43">
        <v>5</v>
      </c>
      <c r="AF43"/>
      <c r="AG43" t="s">
        <v>156</v>
      </c>
      <c r="AH43">
        <v>3.3333333333333335</v>
      </c>
      <c r="AI43" s="2"/>
      <c r="AJ43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3" s="2">
        <f>MAX(ProgProp_20241016[[#This Row],[IND_Batiment_Moy]:[IND_SystElectro_Moy]])</f>
        <v>5</v>
      </c>
      <c r="AL43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51.666666666666671</v>
      </c>
      <c r="AM43" s="62"/>
      <c r="AN43">
        <v>71</v>
      </c>
      <c r="AP43">
        <v>5</v>
      </c>
      <c r="AR43">
        <v>120</v>
      </c>
      <c r="AT43">
        <v>210</v>
      </c>
      <c r="AV43">
        <v>310</v>
      </c>
      <c r="AX43">
        <v>310</v>
      </c>
      <c r="AZ43">
        <v>395</v>
      </c>
      <c r="BB43">
        <v>395</v>
      </c>
      <c r="BD43">
        <v>395</v>
      </c>
      <c r="BL43" s="14">
        <f>SUM(ProgProp_20241016[[#This Row],[AC ANT]:[TR 2034]])</f>
        <v>2211</v>
      </c>
    </row>
    <row r="44" spans="1:64" x14ac:dyDescent="0.3">
      <c r="A44" t="s">
        <v>126</v>
      </c>
      <c r="B44" t="s">
        <v>127</v>
      </c>
      <c r="C44" t="s">
        <v>136</v>
      </c>
      <c r="D44" t="s">
        <v>113</v>
      </c>
      <c r="E44" t="s">
        <v>16</v>
      </c>
      <c r="F44" t="s">
        <v>20</v>
      </c>
      <c r="H44" t="s">
        <v>131</v>
      </c>
      <c r="I44" t="s">
        <v>226</v>
      </c>
      <c r="J44" t="s">
        <v>227</v>
      </c>
      <c r="K44" t="s">
        <v>139</v>
      </c>
      <c r="L44" t="s">
        <v>184</v>
      </c>
      <c r="M44" t="s">
        <v>110</v>
      </c>
      <c r="N44" s="1">
        <v>45330</v>
      </c>
      <c r="O44" s="1">
        <v>45960</v>
      </c>
      <c r="P44" s="1">
        <v>46625</v>
      </c>
      <c r="Q44">
        <v>1</v>
      </c>
      <c r="R44">
        <v>1</v>
      </c>
      <c r="S44">
        <v>1</v>
      </c>
      <c r="T44">
        <v>5</v>
      </c>
      <c r="U44" t="s">
        <v>117</v>
      </c>
      <c r="AA44">
        <v>4</v>
      </c>
      <c r="AF44"/>
      <c r="AG44" t="s">
        <v>112</v>
      </c>
      <c r="AH44">
        <v>2.3333333333333335</v>
      </c>
      <c r="AI44" s="2"/>
      <c r="AJ44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44" s="2">
        <f>MAX(ProgProp_20241016[[#This Row],[IND_Batiment_Moy]:[IND_SystElectro_Moy]])</f>
        <v>4</v>
      </c>
      <c r="AL44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51.666666666666671</v>
      </c>
      <c r="AM44" s="63"/>
      <c r="AN44">
        <v>44</v>
      </c>
      <c r="AP44">
        <v>45</v>
      </c>
      <c r="AR44">
        <v>100</v>
      </c>
      <c r="AT44">
        <v>288</v>
      </c>
      <c r="AV44">
        <v>475</v>
      </c>
      <c r="AX44">
        <v>475</v>
      </c>
      <c r="AZ44">
        <v>573</v>
      </c>
      <c r="BB44">
        <v>1000</v>
      </c>
      <c r="BD44">
        <v>1077</v>
      </c>
      <c r="BL44" s="14">
        <f>SUM(ProgProp_20241016[[#This Row],[AC ANT]:[TR 2034]])</f>
        <v>4077</v>
      </c>
    </row>
    <row r="45" spans="1:64" x14ac:dyDescent="0.3">
      <c r="A45" t="s">
        <v>101</v>
      </c>
      <c r="B45" t="s">
        <v>102</v>
      </c>
      <c r="C45" t="s">
        <v>103</v>
      </c>
      <c r="D45" t="s">
        <v>104</v>
      </c>
      <c r="E45" t="s">
        <v>16</v>
      </c>
      <c r="F45" t="s">
        <v>20</v>
      </c>
      <c r="G45">
        <v>1</v>
      </c>
      <c r="H45" t="s">
        <v>105</v>
      </c>
      <c r="I45" t="s">
        <v>106</v>
      </c>
      <c r="J45" t="s">
        <v>107</v>
      </c>
      <c r="K45" t="s">
        <v>108</v>
      </c>
      <c r="L45" t="s">
        <v>109</v>
      </c>
      <c r="M45" t="s">
        <v>110</v>
      </c>
      <c r="N45" s="1">
        <v>45014</v>
      </c>
      <c r="O45" s="1">
        <v>45624</v>
      </c>
      <c r="P45" s="1">
        <v>45840</v>
      </c>
      <c r="Q45">
        <v>1</v>
      </c>
      <c r="R45">
        <v>1</v>
      </c>
      <c r="S45">
        <v>5</v>
      </c>
      <c r="T45">
        <v>5</v>
      </c>
      <c r="V45" t="s">
        <v>111</v>
      </c>
      <c r="AB45">
        <v>2</v>
      </c>
      <c r="AF45"/>
      <c r="AG45" t="s">
        <v>112</v>
      </c>
      <c r="AH45">
        <v>4</v>
      </c>
      <c r="AI45" s="2"/>
      <c r="AJ45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45" s="2">
        <f>MAX(ProgProp_20241016[[#This Row],[IND_Batiment_Moy]:[IND_SystElectro_Moy]])</f>
        <v>2</v>
      </c>
      <c r="AL45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60.000000000000007</v>
      </c>
      <c r="AM45" s="63"/>
      <c r="AN45">
        <v>69</v>
      </c>
      <c r="AP45">
        <v>303</v>
      </c>
      <c r="AR45">
        <v>130</v>
      </c>
      <c r="AT45">
        <v>853</v>
      </c>
      <c r="AU45">
        <v>16557</v>
      </c>
      <c r="BL45" s="14">
        <f>SUM(ProgProp_20241016[[#This Row],[AC ANT]:[TR 2034]])</f>
        <v>17912</v>
      </c>
    </row>
    <row r="46" spans="1:64" x14ac:dyDescent="0.3">
      <c r="A46" t="s">
        <v>126</v>
      </c>
      <c r="B46" t="s">
        <v>127</v>
      </c>
      <c r="C46" t="s">
        <v>128</v>
      </c>
      <c r="D46" t="s">
        <v>129</v>
      </c>
      <c r="E46" t="s">
        <v>16</v>
      </c>
      <c r="F46" t="s">
        <v>130</v>
      </c>
      <c r="G46">
        <v>1</v>
      </c>
      <c r="H46" t="s">
        <v>131</v>
      </c>
      <c r="I46" t="s">
        <v>132</v>
      </c>
      <c r="J46" t="s">
        <v>133</v>
      </c>
      <c r="K46" t="s">
        <v>134</v>
      </c>
      <c r="L46" t="s">
        <v>109</v>
      </c>
      <c r="M46" t="s">
        <v>110</v>
      </c>
      <c r="N46" s="1">
        <v>45218</v>
      </c>
      <c r="O46" s="1">
        <v>45641</v>
      </c>
      <c r="P46" s="1">
        <v>45945</v>
      </c>
      <c r="Q46">
        <v>1</v>
      </c>
      <c r="R46">
        <v>1</v>
      </c>
      <c r="S46">
        <v>5</v>
      </c>
      <c r="T46">
        <v>5</v>
      </c>
      <c r="X46" t="s">
        <v>135</v>
      </c>
      <c r="Z46" t="s">
        <v>135</v>
      </c>
      <c r="AD46">
        <v>3</v>
      </c>
      <c r="AF46">
        <v>3</v>
      </c>
      <c r="AG46" t="s">
        <v>112</v>
      </c>
      <c r="AH46">
        <v>1.3333333333333333</v>
      </c>
      <c r="AI46" s="2"/>
      <c r="AJ46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46" s="2">
        <f>MAX(ProgProp_20241016[[#This Row],[IND_Batiment_Moy]:[IND_SystElectro_Moy]])</f>
        <v>3</v>
      </c>
      <c r="AL46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51.666666666666671</v>
      </c>
      <c r="AM46" s="63"/>
      <c r="AP46">
        <v>10</v>
      </c>
      <c r="AR46">
        <v>10</v>
      </c>
      <c r="AT46">
        <v>100</v>
      </c>
      <c r="AU46">
        <v>6584</v>
      </c>
      <c r="BL46" s="14">
        <f>SUM(ProgProp_20241016[[#This Row],[AC ANT]:[TR 2034]])</f>
        <v>6704</v>
      </c>
    </row>
    <row r="47" spans="1:64" x14ac:dyDescent="0.3">
      <c r="A47" t="s">
        <v>118</v>
      </c>
      <c r="B47" t="s">
        <v>102</v>
      </c>
      <c r="C47" t="s">
        <v>103</v>
      </c>
      <c r="D47" t="s">
        <v>206</v>
      </c>
      <c r="E47" t="s">
        <v>16</v>
      </c>
      <c r="F47" t="s">
        <v>20</v>
      </c>
      <c r="H47" t="s">
        <v>131</v>
      </c>
      <c r="I47" t="s">
        <v>210</v>
      </c>
      <c r="J47" t="s">
        <v>211</v>
      </c>
      <c r="K47" t="s">
        <v>209</v>
      </c>
      <c r="L47" t="s">
        <v>197</v>
      </c>
      <c r="M47" t="s">
        <v>155</v>
      </c>
      <c r="N47" s="1">
        <v>45731</v>
      </c>
      <c r="O47" s="1">
        <v>46096</v>
      </c>
      <c r="P47" s="1">
        <v>46461</v>
      </c>
      <c r="Q47">
        <v>1</v>
      </c>
      <c r="R47">
        <v>1</v>
      </c>
      <c r="S47">
        <v>1</v>
      </c>
      <c r="T47">
        <v>1</v>
      </c>
      <c r="W47" t="s">
        <v>124</v>
      </c>
      <c r="X47" t="s">
        <v>124</v>
      </c>
      <c r="AC47">
        <v>5</v>
      </c>
      <c r="AD47">
        <v>5</v>
      </c>
      <c r="AF47"/>
      <c r="AG47" t="s">
        <v>156</v>
      </c>
      <c r="AH47">
        <v>3</v>
      </c>
      <c r="AI47" s="2"/>
      <c r="AJ47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7" s="2">
        <f>MAX(ProgProp_20241016[[#This Row],[IND_Batiment_Moy]:[IND_SystElectro_Moy]])</f>
        <v>5</v>
      </c>
      <c r="AL47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49.999999999999993</v>
      </c>
      <c r="AM47" s="63"/>
      <c r="AN47">
        <v>8</v>
      </c>
      <c r="AP47"/>
      <c r="AR47">
        <v>100</v>
      </c>
      <c r="AT47">
        <v>100</v>
      </c>
      <c r="AV47">
        <v>100</v>
      </c>
      <c r="AX47">
        <v>250</v>
      </c>
      <c r="BL47" s="14">
        <f>SUM(ProgProp_20241016[[#This Row],[AC ANT]:[TR 2034]])</f>
        <v>558</v>
      </c>
    </row>
    <row r="48" spans="1:64" x14ac:dyDescent="0.3">
      <c r="A48" t="s">
        <v>101</v>
      </c>
      <c r="B48" t="s">
        <v>102</v>
      </c>
      <c r="C48" t="s">
        <v>136</v>
      </c>
      <c r="D48" t="s">
        <v>149</v>
      </c>
      <c r="E48" t="s">
        <v>16</v>
      </c>
      <c r="F48" t="s">
        <v>20</v>
      </c>
      <c r="H48" t="s">
        <v>131</v>
      </c>
      <c r="I48" t="s">
        <v>212</v>
      </c>
      <c r="J48" t="s">
        <v>213</v>
      </c>
      <c r="K48" t="s">
        <v>214</v>
      </c>
      <c r="L48" t="s">
        <v>184</v>
      </c>
      <c r="M48" t="s">
        <v>155</v>
      </c>
      <c r="N48" s="1">
        <v>45792</v>
      </c>
      <c r="O48" s="1">
        <v>46157</v>
      </c>
      <c r="P48" s="1">
        <v>46522</v>
      </c>
      <c r="Q48">
        <v>1</v>
      </c>
      <c r="R48">
        <v>1</v>
      </c>
      <c r="S48">
        <v>1</v>
      </c>
      <c r="T48">
        <v>1</v>
      </c>
      <c r="U48" t="s">
        <v>124</v>
      </c>
      <c r="AA48">
        <v>5</v>
      </c>
      <c r="AF48"/>
      <c r="AG48" t="s">
        <v>156</v>
      </c>
      <c r="AH48">
        <v>3</v>
      </c>
      <c r="AI48" s="2"/>
      <c r="AJ48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8" s="2">
        <f>MAX(ProgProp_20241016[[#This Row],[IND_Batiment_Moy]:[IND_SystElectro_Moy]])</f>
        <v>5</v>
      </c>
      <c r="AL48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49.999999999999993</v>
      </c>
      <c r="AM48" s="63"/>
      <c r="AN48">
        <v>47</v>
      </c>
      <c r="AP48">
        <v>174</v>
      </c>
      <c r="AR48">
        <v>150</v>
      </c>
      <c r="AT48">
        <v>125</v>
      </c>
      <c r="AV48">
        <v>125</v>
      </c>
      <c r="AX48">
        <v>125</v>
      </c>
      <c r="AZ48">
        <v>125</v>
      </c>
      <c r="BB48">
        <v>300</v>
      </c>
      <c r="BD48">
        <v>350</v>
      </c>
      <c r="BL48" s="14">
        <f>SUM(ProgProp_20241016[[#This Row],[AC ANT]:[TR 2034]])</f>
        <v>1521</v>
      </c>
    </row>
    <row r="49" spans="1:64" x14ac:dyDescent="0.3">
      <c r="A49" t="s">
        <v>126</v>
      </c>
      <c r="B49" t="s">
        <v>127</v>
      </c>
      <c r="C49" t="s">
        <v>103</v>
      </c>
      <c r="D49" t="s">
        <v>149</v>
      </c>
      <c r="E49" t="s">
        <v>20</v>
      </c>
      <c r="F49" t="s">
        <v>20</v>
      </c>
      <c r="G49">
        <v>1</v>
      </c>
      <c r="H49" t="s">
        <v>131</v>
      </c>
      <c r="I49" t="s">
        <v>233</v>
      </c>
      <c r="J49" t="s">
        <v>234</v>
      </c>
      <c r="K49" t="s">
        <v>152</v>
      </c>
      <c r="L49" t="s">
        <v>173</v>
      </c>
      <c r="M49" t="s">
        <v>155</v>
      </c>
      <c r="N49" s="1">
        <v>45657</v>
      </c>
      <c r="O49" s="1">
        <v>45945</v>
      </c>
      <c r="P49" s="1">
        <v>46310</v>
      </c>
      <c r="Q49">
        <v>1</v>
      </c>
      <c r="R49">
        <v>1</v>
      </c>
      <c r="S49">
        <v>1</v>
      </c>
      <c r="T49">
        <v>1</v>
      </c>
      <c r="W49" t="s">
        <v>117</v>
      </c>
      <c r="AC49">
        <v>4</v>
      </c>
      <c r="AF49"/>
      <c r="AG49" t="s">
        <v>156</v>
      </c>
      <c r="AH49">
        <v>3.6666666666666665</v>
      </c>
      <c r="AI49" s="2"/>
      <c r="AJ49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49" s="2">
        <f>MAX(ProgProp_20241016[[#This Row],[IND_Batiment_Moy]:[IND_SystElectro_Moy]])</f>
        <v>4</v>
      </c>
      <c r="AL49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48.333333333333336</v>
      </c>
      <c r="AM49" s="63"/>
      <c r="AP49"/>
      <c r="AR49">
        <v>100</v>
      </c>
      <c r="AT49">
        <v>150</v>
      </c>
      <c r="AV49">
        <v>500</v>
      </c>
      <c r="BL49" s="14">
        <f>SUM(ProgProp_20241016[[#This Row],[AC ANT]:[TR 2034]])</f>
        <v>750</v>
      </c>
    </row>
    <row r="50" spans="1:64" x14ac:dyDescent="0.3">
      <c r="A50" t="s">
        <v>101</v>
      </c>
      <c r="B50" t="s">
        <v>102</v>
      </c>
      <c r="C50" t="s">
        <v>103</v>
      </c>
      <c r="D50" t="s">
        <v>149</v>
      </c>
      <c r="E50" t="s">
        <v>20</v>
      </c>
      <c r="F50" t="s">
        <v>20</v>
      </c>
      <c r="G50">
        <v>1</v>
      </c>
      <c r="H50" t="s">
        <v>105</v>
      </c>
      <c r="I50" t="s">
        <v>237</v>
      </c>
      <c r="J50" t="s">
        <v>238</v>
      </c>
      <c r="K50" t="s">
        <v>239</v>
      </c>
      <c r="L50" t="s">
        <v>173</v>
      </c>
      <c r="M50" t="s">
        <v>155</v>
      </c>
      <c r="N50" s="1">
        <v>45703</v>
      </c>
      <c r="O50" s="1">
        <v>46022</v>
      </c>
      <c r="P50" s="1">
        <v>46295</v>
      </c>
      <c r="Q50">
        <v>1</v>
      </c>
      <c r="R50">
        <v>1</v>
      </c>
      <c r="S50">
        <v>1</v>
      </c>
      <c r="T50">
        <v>1</v>
      </c>
      <c r="V50" t="s">
        <v>117</v>
      </c>
      <c r="AB50">
        <v>4</v>
      </c>
      <c r="AF50"/>
      <c r="AG50" t="s">
        <v>156</v>
      </c>
      <c r="AH50">
        <v>3.3333333333333335</v>
      </c>
      <c r="AI50" s="2"/>
      <c r="AJ50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0" s="2">
        <f>MAX(ProgProp_20241016[[#This Row],[IND_Batiment_Moy]:[IND_SystElectro_Moy]])</f>
        <v>4</v>
      </c>
      <c r="AL50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46.666666666666664</v>
      </c>
      <c r="AM50" s="63"/>
      <c r="AP50"/>
      <c r="AR50">
        <v>100</v>
      </c>
      <c r="AT50">
        <v>200</v>
      </c>
      <c r="AV50">
        <v>475</v>
      </c>
      <c r="BL50" s="14">
        <f>SUM(ProgProp_20241016[[#This Row],[AC ANT]:[TR 2034]])</f>
        <v>775</v>
      </c>
    </row>
    <row r="51" spans="1:64" x14ac:dyDescent="0.3">
      <c r="A51" t="s">
        <v>101</v>
      </c>
      <c r="B51" t="s">
        <v>102</v>
      </c>
      <c r="C51" t="s">
        <v>136</v>
      </c>
      <c r="D51" t="s">
        <v>113</v>
      </c>
      <c r="E51" t="s">
        <v>16</v>
      </c>
      <c r="F51" t="s">
        <v>16</v>
      </c>
      <c r="H51" t="s">
        <v>131</v>
      </c>
      <c r="I51" t="s">
        <v>137</v>
      </c>
      <c r="J51" t="s">
        <v>138</v>
      </c>
      <c r="K51" t="s">
        <v>139</v>
      </c>
      <c r="L51" t="s">
        <v>109</v>
      </c>
      <c r="M51" t="s">
        <v>110</v>
      </c>
      <c r="N51" s="1">
        <v>45062</v>
      </c>
      <c r="O51" s="1">
        <v>45689</v>
      </c>
      <c r="P51" s="1">
        <v>45962</v>
      </c>
      <c r="Q51">
        <v>1</v>
      </c>
      <c r="R51">
        <v>1</v>
      </c>
      <c r="S51">
        <v>1</v>
      </c>
      <c r="T51">
        <v>5</v>
      </c>
      <c r="U51" t="s">
        <v>124</v>
      </c>
      <c r="Z51" t="s">
        <v>135</v>
      </c>
      <c r="AA51">
        <v>5</v>
      </c>
      <c r="AF51">
        <v>3</v>
      </c>
      <c r="AG51" t="s">
        <v>112</v>
      </c>
      <c r="AH51">
        <v>2.3333333333333335</v>
      </c>
      <c r="AI51" s="2"/>
      <c r="AJ51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51" s="2">
        <f>MAX(ProgProp_20241016[[#This Row],[IND_Batiment_Moy]:[IND_SystElectro_Moy]])</f>
        <v>5</v>
      </c>
      <c r="AL51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56.666666666666679</v>
      </c>
      <c r="AM51" s="63"/>
      <c r="AN51">
        <v>337</v>
      </c>
      <c r="AO51">
        <v>41</v>
      </c>
      <c r="AP51">
        <v>349</v>
      </c>
      <c r="AR51">
        <v>340</v>
      </c>
      <c r="AT51">
        <v>1377</v>
      </c>
      <c r="AU51">
        <v>5741</v>
      </c>
      <c r="BL51" s="14">
        <f>SUM(ProgProp_20241016[[#This Row],[AC ANT]:[TR 2034]])</f>
        <v>8185</v>
      </c>
    </row>
    <row r="52" spans="1:64" x14ac:dyDescent="0.3">
      <c r="A52" t="s">
        <v>118</v>
      </c>
      <c r="B52" t="s">
        <v>102</v>
      </c>
      <c r="C52" t="s">
        <v>136</v>
      </c>
      <c r="D52" t="s">
        <v>104</v>
      </c>
      <c r="E52" t="s">
        <v>20</v>
      </c>
      <c r="F52" t="s">
        <v>20</v>
      </c>
      <c r="G52">
        <v>1</v>
      </c>
      <c r="H52" t="s">
        <v>131</v>
      </c>
      <c r="I52" t="s">
        <v>157</v>
      </c>
      <c r="J52" t="s">
        <v>158</v>
      </c>
      <c r="K52" t="s">
        <v>159</v>
      </c>
      <c r="L52" t="s">
        <v>109</v>
      </c>
      <c r="M52" t="s">
        <v>155</v>
      </c>
      <c r="N52" s="1">
        <v>45597</v>
      </c>
      <c r="O52" s="1"/>
      <c r="P52" s="1">
        <v>46006</v>
      </c>
      <c r="Q52">
        <v>1</v>
      </c>
      <c r="T52">
        <v>5</v>
      </c>
      <c r="U52" t="s">
        <v>124</v>
      </c>
      <c r="AA52">
        <v>5</v>
      </c>
      <c r="AF52"/>
      <c r="AG52" t="s">
        <v>156</v>
      </c>
      <c r="AH52">
        <v>4.333333333333333</v>
      </c>
      <c r="AI52" s="2"/>
      <c r="AJ52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2" s="2">
        <f>MAX(ProgProp_20241016[[#This Row],[IND_Batiment_Moy]:[IND_SystElectro_Moy]])</f>
        <v>5</v>
      </c>
      <c r="AL52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56.666666666666664</v>
      </c>
      <c r="AM52" s="63"/>
      <c r="AP52"/>
      <c r="AR52">
        <v>150</v>
      </c>
      <c r="AT52">
        <v>150</v>
      </c>
      <c r="AU52">
        <v>650</v>
      </c>
      <c r="BL52" s="14">
        <f>SUM(ProgProp_20241016[[#This Row],[AC ANT]:[TR 2034]])</f>
        <v>950</v>
      </c>
    </row>
    <row r="53" spans="1:64" x14ac:dyDescent="0.3">
      <c r="A53" t="s">
        <v>101</v>
      </c>
      <c r="B53" t="s">
        <v>102</v>
      </c>
      <c r="C53" t="s">
        <v>128</v>
      </c>
      <c r="D53" t="s">
        <v>140</v>
      </c>
      <c r="E53" t="s">
        <v>20</v>
      </c>
      <c r="F53" t="s">
        <v>20</v>
      </c>
      <c r="G53">
        <v>1</v>
      </c>
      <c r="H53" t="s">
        <v>131</v>
      </c>
      <c r="I53" t="s">
        <v>246</v>
      </c>
      <c r="J53" t="s">
        <v>247</v>
      </c>
      <c r="K53" t="s">
        <v>180</v>
      </c>
      <c r="L53" t="s">
        <v>173</v>
      </c>
      <c r="M53" t="s">
        <v>155</v>
      </c>
      <c r="N53" s="1">
        <v>45641</v>
      </c>
      <c r="O53" s="1">
        <v>46006</v>
      </c>
      <c r="P53" s="1">
        <v>46371</v>
      </c>
      <c r="Q53">
        <v>1</v>
      </c>
      <c r="R53">
        <v>1</v>
      </c>
      <c r="S53">
        <v>1</v>
      </c>
      <c r="T53">
        <v>5</v>
      </c>
      <c r="Z53" t="s">
        <v>117</v>
      </c>
      <c r="AF53">
        <v>4</v>
      </c>
      <c r="AG53" t="s">
        <v>156</v>
      </c>
      <c r="AH53">
        <v>1.8333333333333335</v>
      </c>
      <c r="AI53" s="2"/>
      <c r="AJ53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3" s="2">
        <f>MAX(ProgProp_20241016[[#This Row],[IND_Batiment_Moy]:[IND_SystElectro_Moy]])</f>
        <v>4</v>
      </c>
      <c r="AL53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39.166666666666664</v>
      </c>
      <c r="AM53" s="63"/>
      <c r="AP53"/>
      <c r="AR53">
        <v>50</v>
      </c>
      <c r="AT53">
        <v>100</v>
      </c>
      <c r="AV53">
        <v>200</v>
      </c>
      <c r="BL53" s="14">
        <f>SUM(ProgProp_20241016[[#This Row],[AC ANT]:[TR 2034]])</f>
        <v>350</v>
      </c>
    </row>
    <row r="54" spans="1:64" x14ac:dyDescent="0.3">
      <c r="A54" t="s">
        <v>118</v>
      </c>
      <c r="B54" t="s">
        <v>102</v>
      </c>
      <c r="C54" t="s">
        <v>242</v>
      </c>
      <c r="D54" t="s">
        <v>113</v>
      </c>
      <c r="E54" t="s">
        <v>20</v>
      </c>
      <c r="F54" t="s">
        <v>20</v>
      </c>
      <c r="G54">
        <v>1</v>
      </c>
      <c r="H54" t="s">
        <v>131</v>
      </c>
      <c r="I54" t="s">
        <v>243</v>
      </c>
      <c r="J54" t="s">
        <v>244</v>
      </c>
      <c r="K54" t="s">
        <v>245</v>
      </c>
      <c r="L54" t="s">
        <v>173</v>
      </c>
      <c r="M54" t="s">
        <v>155</v>
      </c>
      <c r="N54" s="1">
        <v>45672</v>
      </c>
      <c r="O54" s="1">
        <v>45976</v>
      </c>
      <c r="P54" s="1">
        <v>46341</v>
      </c>
      <c r="Q54">
        <v>1</v>
      </c>
      <c r="R54">
        <v>1</v>
      </c>
      <c r="S54">
        <v>1</v>
      </c>
      <c r="T54">
        <v>1</v>
      </c>
      <c r="Z54" t="s">
        <v>117</v>
      </c>
      <c r="AF54">
        <v>4</v>
      </c>
      <c r="AG54" t="s">
        <v>156</v>
      </c>
      <c r="AH54">
        <v>1.6666666666666667</v>
      </c>
      <c r="AI54" s="2"/>
      <c r="AJ54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4" s="2">
        <f>MAX(ProgProp_20241016[[#This Row],[IND_Batiment_Moy]:[IND_SystElectro_Moy]])</f>
        <v>4</v>
      </c>
      <c r="AL54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38.333333333333336</v>
      </c>
      <c r="AM54" s="63"/>
      <c r="AP54"/>
      <c r="AR54">
        <v>50</v>
      </c>
      <c r="AT54">
        <v>150</v>
      </c>
      <c r="AV54">
        <v>150</v>
      </c>
      <c r="BL54" s="14">
        <f>SUM(ProgProp_20241016[[#This Row],[AC ANT]:[TR 2034]])</f>
        <v>350</v>
      </c>
    </row>
    <row r="55" spans="1:64" x14ac:dyDescent="0.3">
      <c r="A55" t="s">
        <v>101</v>
      </c>
      <c r="B55" t="s">
        <v>102</v>
      </c>
      <c r="C55" t="s">
        <v>136</v>
      </c>
      <c r="D55" t="s">
        <v>140</v>
      </c>
      <c r="E55" t="s">
        <v>16</v>
      </c>
      <c r="F55" t="s">
        <v>20</v>
      </c>
      <c r="H55" t="s">
        <v>131</v>
      </c>
      <c r="I55" t="s">
        <v>181</v>
      </c>
      <c r="J55" t="s">
        <v>182</v>
      </c>
      <c r="K55" t="s">
        <v>183</v>
      </c>
      <c r="L55" t="s">
        <v>184</v>
      </c>
      <c r="M55" t="s">
        <v>155</v>
      </c>
      <c r="N55" s="1">
        <v>45595</v>
      </c>
      <c r="O55" s="1">
        <v>46188</v>
      </c>
      <c r="P55" s="1">
        <v>46675</v>
      </c>
      <c r="Q55">
        <v>1</v>
      </c>
      <c r="R55">
        <v>1</v>
      </c>
      <c r="S55">
        <v>1</v>
      </c>
      <c r="T55">
        <v>5</v>
      </c>
      <c r="U55" t="s">
        <v>135</v>
      </c>
      <c r="AA55">
        <v>3</v>
      </c>
      <c r="AF55"/>
      <c r="AG55" t="s">
        <v>156</v>
      </c>
      <c r="AH55">
        <v>2.3333333333333335</v>
      </c>
      <c r="AI55" s="2"/>
      <c r="AJ55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5" s="2">
        <f>MAX(ProgProp_20241016[[#This Row],[IND_Batiment_Moy]:[IND_SystElectro_Moy]])</f>
        <v>3</v>
      </c>
      <c r="AL55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36.666666666666664</v>
      </c>
      <c r="AM55" s="63"/>
      <c r="AP55"/>
      <c r="AR55">
        <v>50</v>
      </c>
      <c r="AT55">
        <v>50</v>
      </c>
      <c r="AV55">
        <v>50</v>
      </c>
      <c r="AX55">
        <v>50</v>
      </c>
      <c r="AZ55">
        <v>50</v>
      </c>
      <c r="BB55">
        <v>150</v>
      </c>
      <c r="BL55" s="14">
        <f>SUM(ProgProp_20241016[[#This Row],[AC ANT]:[TR 2034]])</f>
        <v>400</v>
      </c>
    </row>
    <row r="56" spans="1:64" x14ac:dyDescent="0.3">
      <c r="A56" t="s">
        <v>101</v>
      </c>
      <c r="B56" t="s">
        <v>102</v>
      </c>
      <c r="C56" t="s">
        <v>128</v>
      </c>
      <c r="D56" t="s">
        <v>113</v>
      </c>
      <c r="E56" t="s">
        <v>16</v>
      </c>
      <c r="F56" t="s">
        <v>130</v>
      </c>
      <c r="G56">
        <v>1</v>
      </c>
      <c r="H56" t="s">
        <v>105</v>
      </c>
      <c r="I56" t="s">
        <v>160</v>
      </c>
      <c r="J56" t="s">
        <v>161</v>
      </c>
      <c r="K56" t="s">
        <v>122</v>
      </c>
      <c r="L56" t="s">
        <v>148</v>
      </c>
      <c r="M56" t="s">
        <v>123</v>
      </c>
      <c r="N56" s="1">
        <v>44956</v>
      </c>
      <c r="O56" s="1">
        <v>45321</v>
      </c>
      <c r="P56" s="1">
        <v>45611</v>
      </c>
      <c r="Q56">
        <v>1</v>
      </c>
      <c r="R56">
        <v>5</v>
      </c>
      <c r="S56">
        <v>5</v>
      </c>
      <c r="T56">
        <v>5</v>
      </c>
      <c r="AF56"/>
      <c r="AG56" t="s">
        <v>125</v>
      </c>
      <c r="AH56">
        <v>4</v>
      </c>
      <c r="AI56" s="2"/>
      <c r="AJ56" s="2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5</v>
      </c>
      <c r="AK56" s="2">
        <f>MAX(ProgProp_20241016[[#This Row],[IND_Batiment_Moy]:[IND_SystElectro_Moy]])</f>
        <v>0</v>
      </c>
      <c r="AL56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50</v>
      </c>
      <c r="AM56" s="63"/>
      <c r="AN56">
        <v>6</v>
      </c>
      <c r="AP56">
        <v>11</v>
      </c>
      <c r="AR56">
        <v>200</v>
      </c>
      <c r="AS56">
        <v>4422</v>
      </c>
      <c r="AT56">
        <v>69</v>
      </c>
      <c r="AU56">
        <v>216</v>
      </c>
      <c r="BL56" s="14">
        <f>SUM(ProgProp_20241016[[#This Row],[AC ANT]:[TR 2034]])</f>
        <v>4924</v>
      </c>
    </row>
    <row r="57" spans="1:64" x14ac:dyDescent="0.3">
      <c r="A57" t="s">
        <v>101</v>
      </c>
      <c r="B57" t="s">
        <v>102</v>
      </c>
      <c r="C57" t="s">
        <v>128</v>
      </c>
      <c r="D57" t="s">
        <v>129</v>
      </c>
      <c r="E57" t="s">
        <v>20</v>
      </c>
      <c r="F57" t="s">
        <v>20</v>
      </c>
      <c r="G57">
        <v>1</v>
      </c>
      <c r="H57" t="s">
        <v>131</v>
      </c>
      <c r="I57" t="s">
        <v>250</v>
      </c>
      <c r="J57" t="s">
        <v>251</v>
      </c>
      <c r="K57" t="s">
        <v>214</v>
      </c>
      <c r="L57" t="s">
        <v>197</v>
      </c>
      <c r="M57" t="s">
        <v>110</v>
      </c>
      <c r="N57" s="1">
        <v>45490</v>
      </c>
      <c r="O57" s="1"/>
      <c r="P57" s="1">
        <v>46447</v>
      </c>
      <c r="Q57">
        <v>1</v>
      </c>
      <c r="R57">
        <v>1</v>
      </c>
      <c r="T57">
        <v>5</v>
      </c>
      <c r="AF57"/>
      <c r="AG57" t="s">
        <v>112</v>
      </c>
      <c r="AH57">
        <v>3</v>
      </c>
      <c r="AI57" s="2"/>
      <c r="AJ57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57" s="2">
        <f>MAX(ProgProp_20241016[[#This Row],[IND_Batiment_Moy]:[IND_SystElectro_Moy]])</f>
        <v>0</v>
      </c>
      <c r="AL57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35</v>
      </c>
      <c r="AM57" s="63"/>
      <c r="AP57"/>
      <c r="AR57">
        <v>37</v>
      </c>
      <c r="AT57">
        <v>10</v>
      </c>
      <c r="AV57">
        <v>12</v>
      </c>
      <c r="AX57">
        <v>30</v>
      </c>
      <c r="BL57" s="14">
        <f>SUM(ProgProp_20241016[[#This Row],[AC ANT]:[TR 2034]])</f>
        <v>89</v>
      </c>
    </row>
    <row r="58" spans="1:64" x14ac:dyDescent="0.3">
      <c r="A58" t="s">
        <v>101</v>
      </c>
      <c r="B58" t="s">
        <v>102</v>
      </c>
      <c r="C58" t="s">
        <v>200</v>
      </c>
      <c r="D58" t="s">
        <v>104</v>
      </c>
      <c r="E58" t="s">
        <v>16</v>
      </c>
      <c r="F58" t="s">
        <v>20</v>
      </c>
      <c r="H58" t="s">
        <v>105</v>
      </c>
      <c r="I58" t="s">
        <v>201</v>
      </c>
      <c r="J58" t="s">
        <v>202</v>
      </c>
      <c r="K58" t="s">
        <v>108</v>
      </c>
      <c r="M58" t="s">
        <v>155</v>
      </c>
      <c r="N58" s="1"/>
      <c r="O58" s="1"/>
      <c r="P58" s="1"/>
      <c r="Q58">
        <v>1</v>
      </c>
      <c r="AF58"/>
      <c r="AG58" t="s">
        <v>156</v>
      </c>
      <c r="AH58">
        <v>4</v>
      </c>
      <c r="AI58" s="2"/>
      <c r="AJ58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8" s="2">
        <f>MAX(ProgProp_20241016[[#This Row],[IND_Batiment_Moy]:[IND_SystElectro_Moy]])</f>
        <v>0</v>
      </c>
      <c r="AL58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30</v>
      </c>
      <c r="AM58" s="63"/>
      <c r="AN58">
        <v>277</v>
      </c>
      <c r="AO58">
        <v>4</v>
      </c>
      <c r="AP58"/>
      <c r="AT58">
        <v>127</v>
      </c>
      <c r="AV58">
        <v>125</v>
      </c>
      <c r="AX58">
        <v>471</v>
      </c>
      <c r="BL58" s="14">
        <f>SUM(ProgProp_20241016[[#This Row],[AC ANT]:[TR 2034]])</f>
        <v>1004</v>
      </c>
    </row>
    <row r="59" spans="1:64" x14ac:dyDescent="0.3">
      <c r="A59" t="s">
        <v>118</v>
      </c>
      <c r="B59" t="s">
        <v>102</v>
      </c>
      <c r="C59" t="s">
        <v>136</v>
      </c>
      <c r="D59" t="s">
        <v>113</v>
      </c>
      <c r="E59" t="s">
        <v>20</v>
      </c>
      <c r="F59" t="s">
        <v>20</v>
      </c>
      <c r="G59">
        <v>1</v>
      </c>
      <c r="H59" t="s">
        <v>105</v>
      </c>
      <c r="I59" t="s">
        <v>248</v>
      </c>
      <c r="J59" t="s">
        <v>249</v>
      </c>
      <c r="K59" t="s">
        <v>180</v>
      </c>
      <c r="L59" t="s">
        <v>109</v>
      </c>
      <c r="M59" t="s">
        <v>155</v>
      </c>
      <c r="N59" s="1">
        <v>45580</v>
      </c>
      <c r="O59" s="1">
        <v>45945</v>
      </c>
      <c r="P59" s="1">
        <v>46096</v>
      </c>
      <c r="Q59">
        <v>1</v>
      </c>
      <c r="R59">
        <v>1</v>
      </c>
      <c r="S59">
        <v>1</v>
      </c>
      <c r="T59">
        <v>5</v>
      </c>
      <c r="U59" t="s">
        <v>124</v>
      </c>
      <c r="AA59">
        <v>5</v>
      </c>
      <c r="AF59"/>
      <c r="AG59" t="s">
        <v>156</v>
      </c>
      <c r="AH59">
        <v>3.166666666666667</v>
      </c>
      <c r="AI59" s="2"/>
      <c r="AJ59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59" s="2">
        <f>MAX(ProgProp_20241016[[#This Row],[IND_Batiment_Moy]:[IND_SystElectro_Moy]])</f>
        <v>5</v>
      </c>
      <c r="AL59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50.833333333333343</v>
      </c>
      <c r="AM59" s="63"/>
      <c r="AP59"/>
      <c r="AR59">
        <v>100</v>
      </c>
      <c r="AT59">
        <v>110</v>
      </c>
      <c r="AU59" s="86"/>
      <c r="AV59">
        <v>110</v>
      </c>
      <c r="BL59" s="14">
        <f>SUM(ProgProp_20241016[[#This Row],[AC ANT]:[TR 2034]])</f>
        <v>320</v>
      </c>
    </row>
    <row r="60" spans="1:64" x14ac:dyDescent="0.3">
      <c r="A60" t="s">
        <v>118</v>
      </c>
      <c r="B60" t="s">
        <v>102</v>
      </c>
      <c r="C60" t="s">
        <v>119</v>
      </c>
      <c r="D60" t="s">
        <v>206</v>
      </c>
      <c r="E60" t="s">
        <v>16</v>
      </c>
      <c r="F60" t="s">
        <v>130</v>
      </c>
      <c r="H60" t="s">
        <v>131</v>
      </c>
      <c r="I60" t="s">
        <v>207</v>
      </c>
      <c r="J60" t="s">
        <v>208</v>
      </c>
      <c r="K60" t="s">
        <v>209</v>
      </c>
      <c r="L60" t="s">
        <v>173</v>
      </c>
      <c r="M60" t="s">
        <v>155</v>
      </c>
      <c r="N60" s="1">
        <v>45672</v>
      </c>
      <c r="O60" s="1">
        <v>46006</v>
      </c>
      <c r="P60" s="1">
        <v>46310</v>
      </c>
      <c r="Q60">
        <v>1</v>
      </c>
      <c r="R60">
        <v>1</v>
      </c>
      <c r="S60">
        <v>1</v>
      </c>
      <c r="T60">
        <v>1</v>
      </c>
      <c r="AF60"/>
      <c r="AG60" t="s">
        <v>156</v>
      </c>
      <c r="AH60">
        <v>3</v>
      </c>
      <c r="AI60" s="2"/>
      <c r="AJ60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60" s="2">
        <f>MAX(ProgProp_20241016[[#This Row],[IND_Batiment_Moy]:[IND_SystElectro_Moy]])</f>
        <v>0</v>
      </c>
      <c r="AL60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25</v>
      </c>
      <c r="AM60" s="63"/>
      <c r="AN60">
        <v>196</v>
      </c>
      <c r="AP60"/>
      <c r="AR60">
        <v>40</v>
      </c>
      <c r="AT60">
        <v>255</v>
      </c>
      <c r="AV60">
        <v>396</v>
      </c>
      <c r="BL60" s="14">
        <f>SUM(ProgProp_20241016[[#This Row],[AC ANT]:[TR 2034]])</f>
        <v>887</v>
      </c>
    </row>
    <row r="61" spans="1:64" x14ac:dyDescent="0.3">
      <c r="A61" t="s">
        <v>118</v>
      </c>
      <c r="B61" t="s">
        <v>102</v>
      </c>
      <c r="C61" t="s">
        <v>177</v>
      </c>
      <c r="D61" t="s">
        <v>113</v>
      </c>
      <c r="E61" t="s">
        <v>130</v>
      </c>
      <c r="F61" t="s">
        <v>20</v>
      </c>
      <c r="G61">
        <v>1</v>
      </c>
      <c r="H61" t="s">
        <v>131</v>
      </c>
      <c r="I61" t="s">
        <v>240</v>
      </c>
      <c r="J61" t="s">
        <v>241</v>
      </c>
      <c r="K61" t="s">
        <v>187</v>
      </c>
      <c r="L61" t="s">
        <v>173</v>
      </c>
      <c r="M61" t="s">
        <v>155</v>
      </c>
      <c r="N61" s="1">
        <v>45611</v>
      </c>
      <c r="O61" s="1">
        <v>45945</v>
      </c>
      <c r="P61" s="1">
        <v>46310</v>
      </c>
      <c r="Q61">
        <v>1</v>
      </c>
      <c r="R61">
        <v>1</v>
      </c>
      <c r="S61">
        <v>1</v>
      </c>
      <c r="T61">
        <v>5</v>
      </c>
      <c r="AF61"/>
      <c r="AG61" t="s">
        <v>156</v>
      </c>
      <c r="AH61">
        <v>3</v>
      </c>
      <c r="AI61" s="2"/>
      <c r="AJ61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61" s="2">
        <f>MAX(ProgProp_20241016[[#This Row],[IND_Batiment_Moy]:[IND_SystElectro_Moy]])</f>
        <v>0</v>
      </c>
      <c r="AL61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25</v>
      </c>
      <c r="AM61" s="63"/>
      <c r="AP61"/>
      <c r="AR61">
        <v>100</v>
      </c>
      <c r="AT61">
        <v>100</v>
      </c>
      <c r="AV61">
        <v>400</v>
      </c>
      <c r="BL61" s="14">
        <f>SUM(ProgProp_20241016[[#This Row],[AC ANT]:[TR 2034]])</f>
        <v>600</v>
      </c>
    </row>
    <row r="62" spans="1:64" x14ac:dyDescent="0.3">
      <c r="A62" t="s">
        <v>126</v>
      </c>
      <c r="B62" t="s">
        <v>127</v>
      </c>
      <c r="C62" t="s">
        <v>177</v>
      </c>
      <c r="D62" t="s">
        <v>222</v>
      </c>
      <c r="E62" t="s">
        <v>16</v>
      </c>
      <c r="F62" t="s">
        <v>130</v>
      </c>
      <c r="H62" t="s">
        <v>223</v>
      </c>
      <c r="I62" t="s">
        <v>224</v>
      </c>
      <c r="J62" t="s">
        <v>225</v>
      </c>
      <c r="K62" t="s">
        <v>180</v>
      </c>
      <c r="L62" t="s">
        <v>109</v>
      </c>
      <c r="M62" t="s">
        <v>110</v>
      </c>
      <c r="N62" s="1">
        <v>44623</v>
      </c>
      <c r="O62" s="1">
        <v>45731</v>
      </c>
      <c r="P62" s="1">
        <v>46006</v>
      </c>
      <c r="Q62">
        <v>1</v>
      </c>
      <c r="R62">
        <v>1</v>
      </c>
      <c r="S62">
        <v>1</v>
      </c>
      <c r="T62">
        <v>5</v>
      </c>
      <c r="AF62"/>
      <c r="AG62" t="s">
        <v>112</v>
      </c>
      <c r="AH62">
        <v>3.25</v>
      </c>
      <c r="AI62" s="2"/>
      <c r="AJ62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3</v>
      </c>
      <c r="AK62" s="2">
        <f>MAX(ProgProp_20241016[[#This Row],[IND_Batiment_Moy]:[IND_SystElectro_Moy]])</f>
        <v>0</v>
      </c>
      <c r="AL62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36.25</v>
      </c>
      <c r="AM62" s="63"/>
      <c r="AN62">
        <v>179.99999999999997</v>
      </c>
      <c r="AP62">
        <v>102</v>
      </c>
      <c r="AR62">
        <v>283</v>
      </c>
      <c r="AT62">
        <v>53.000000000000014</v>
      </c>
      <c r="AU62" s="86"/>
      <c r="AV62">
        <v>106.00000000000001</v>
      </c>
      <c r="AX62">
        <v>106.00000000000001</v>
      </c>
      <c r="AZ62">
        <v>159.00000000000003</v>
      </c>
      <c r="BB62">
        <v>100</v>
      </c>
      <c r="BD62">
        <v>100</v>
      </c>
      <c r="BL62" s="14">
        <f>SUM(ProgProp_20241016[[#This Row],[AC ANT]:[TR 2034]])</f>
        <v>1189</v>
      </c>
    </row>
    <row r="63" spans="1:64" x14ac:dyDescent="0.3">
      <c r="A63" t="s">
        <v>118</v>
      </c>
      <c r="B63" t="s">
        <v>102</v>
      </c>
      <c r="C63" t="s">
        <v>188</v>
      </c>
      <c r="D63" t="s">
        <v>113</v>
      </c>
      <c r="E63" t="s">
        <v>16</v>
      </c>
      <c r="F63" t="s">
        <v>130</v>
      </c>
      <c r="H63" t="s">
        <v>131</v>
      </c>
      <c r="I63" t="s">
        <v>189</v>
      </c>
      <c r="J63" t="s">
        <v>190</v>
      </c>
      <c r="K63" t="s">
        <v>191</v>
      </c>
      <c r="L63" t="s">
        <v>109</v>
      </c>
      <c r="M63" t="s">
        <v>155</v>
      </c>
      <c r="N63" s="1">
        <v>45672</v>
      </c>
      <c r="O63" s="1">
        <v>45884</v>
      </c>
      <c r="P63" s="1">
        <v>45945</v>
      </c>
      <c r="Q63">
        <v>1</v>
      </c>
      <c r="R63">
        <v>1</v>
      </c>
      <c r="S63">
        <v>1</v>
      </c>
      <c r="T63">
        <v>1</v>
      </c>
      <c r="AF63"/>
      <c r="AG63" t="s">
        <v>156</v>
      </c>
      <c r="AH63">
        <v>1.6666666666666667</v>
      </c>
      <c r="AI63" s="2"/>
      <c r="AJ63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63" s="2">
        <f>MAX(ProgProp_20241016[[#This Row],[IND_Batiment_Moy]:[IND_SystElectro_Moy]])</f>
        <v>0</v>
      </c>
      <c r="AL63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18.333333333333336</v>
      </c>
      <c r="AM63" s="63"/>
      <c r="AP63">
        <v>10</v>
      </c>
      <c r="AR63">
        <v>141</v>
      </c>
      <c r="AT63">
        <v>50</v>
      </c>
      <c r="AU63" s="86"/>
      <c r="BL63" s="14">
        <f>SUM(ProgProp_20241016[[#This Row],[AC ANT]:[TR 2034]])</f>
        <v>201</v>
      </c>
    </row>
    <row r="64" spans="1:64" x14ac:dyDescent="0.3">
      <c r="A64" t="s">
        <v>101</v>
      </c>
      <c r="B64" t="s">
        <v>102</v>
      </c>
      <c r="C64" t="s">
        <v>119</v>
      </c>
      <c r="D64" t="s">
        <v>129</v>
      </c>
      <c r="E64" t="s">
        <v>20</v>
      </c>
      <c r="F64" t="s">
        <v>20</v>
      </c>
      <c r="G64">
        <v>1</v>
      </c>
      <c r="H64" t="s">
        <v>131</v>
      </c>
      <c r="I64" t="s">
        <v>153</v>
      </c>
      <c r="J64" t="s">
        <v>154</v>
      </c>
      <c r="K64" t="s">
        <v>134</v>
      </c>
      <c r="L64" t="s">
        <v>109</v>
      </c>
      <c r="M64" t="s">
        <v>155</v>
      </c>
      <c r="N64" s="1">
        <v>45601</v>
      </c>
      <c r="O64" s="1">
        <v>45731</v>
      </c>
      <c r="P64" s="1">
        <v>45976</v>
      </c>
      <c r="Q64">
        <v>1</v>
      </c>
      <c r="R64">
        <v>1</v>
      </c>
      <c r="S64">
        <v>1</v>
      </c>
      <c r="T64">
        <v>5</v>
      </c>
      <c r="AF64"/>
      <c r="AG64" t="s">
        <v>156</v>
      </c>
      <c r="AH64">
        <v>1.3333333333333333</v>
      </c>
      <c r="AI64" s="2"/>
      <c r="AJ64" s="2" t="str">
        <f>IF(AND(ProgProp_20241016[[#This Row],[Année DÉBUT Travaux prévu]]&gt;=2024,ProgProp_20241016[[#This Row],[IND_PC5_TR2025]]=5),5,IF(AND(ProgProp_20241016[[#This Row],[Année DÉBUT Travaux prévu]]&gt;=2026,ProgProp_20241016[[#This Row],[IND_PC3_TR2026]]=5),5,ProgProp_20241016[[#This Row],[IND_Etat_avancement]]))</f>
        <v>1</v>
      </c>
      <c r="AK64" s="2">
        <f>MAX(ProgProp_20241016[[#This Row],[IND_Batiment_Moy]:[IND_SystElectro_Moy]])</f>
        <v>0</v>
      </c>
      <c r="AL64" s="12">
        <f>IF(ProgProp_20241016[[#This Row],[IND_Parachèvement]]=5,100, SUM(ProgProp_20241016[[#This Row],[Critère PC Atteint]]*$AL$8/5, ProgProp_20241016[[#This Row],[Critère Etat Infrastructure]]*$AL$10/5, ProgProp_20241016[[#This Row],[IND_Site_Prioritaire]]*$AL$9/5, ProgProp_20241016[[#This Row],[IND_PROJT_ANNONCE]]*$AL$7/5)*100)</f>
        <v>16.666666666666668</v>
      </c>
      <c r="AM64" s="63"/>
      <c r="AP64"/>
      <c r="AR64">
        <v>75</v>
      </c>
      <c r="AT64">
        <v>150</v>
      </c>
      <c r="AU64">
        <v>1000</v>
      </c>
      <c r="BL64" s="14">
        <f>SUM(ProgProp_20241016[[#This Row],[AC ANT]:[TR 2034]])</f>
        <v>1225</v>
      </c>
    </row>
    <row r="65" spans="9:64" x14ac:dyDescent="0.3">
      <c r="I65">
        <f>SUBTOTAL(103,ProgProp_20241016[Numéro projet])</f>
        <v>46</v>
      </c>
      <c r="AF65"/>
      <c r="AM65" s="13"/>
      <c r="AN65" s="57">
        <f>SUBTOTAL(109,ProgProp_20241016[AC ANT])</f>
        <v>8998</v>
      </c>
      <c r="AO65" s="57">
        <f>SUBTOTAL(109,ProgProp_20241016[TR ANT])</f>
        <v>33295</v>
      </c>
      <c r="AP65" s="57">
        <f>SUBTOTAL(109,ProgProp_20241016[AC 2024])</f>
        <v>5571</v>
      </c>
      <c r="AQ65" s="57">
        <f>SUBTOTAL(109,ProgProp_20241016[TR 2024])</f>
        <v>23628</v>
      </c>
      <c r="AR65">
        <f>SUBTOTAL(109,ProgProp_20241016[AC 2025])</f>
        <v>8125</v>
      </c>
      <c r="AS65">
        <f>SUBTOTAL(109,ProgProp_20241016[TR 2025])</f>
        <v>67375</v>
      </c>
      <c r="AT65">
        <f>SUBTOTAL(109,ProgProp_20241016[AC 2026])</f>
        <v>10189</v>
      </c>
      <c r="AU65">
        <f>SUBTOTAL(109,ProgProp_20241016[TR 2026])</f>
        <v>61097</v>
      </c>
      <c r="AV65" s="57">
        <f>SUBTOTAL(109,ProgProp_20241016[AC 2027])</f>
        <v>8627</v>
      </c>
      <c r="AW65" s="57">
        <f>SUBTOTAL(109,ProgProp_20241016[TR 2027])</f>
        <v>0</v>
      </c>
      <c r="AX65" s="57">
        <f>SUBTOTAL(109,ProgProp_20241016[AC 2028])</f>
        <v>6739</v>
      </c>
      <c r="AY65" s="57">
        <f>SUBTOTAL(109,ProgProp_20241016[TR 2028])</f>
        <v>0</v>
      </c>
      <c r="AZ65" s="57">
        <f>SUBTOTAL(109,ProgProp_20241016[AC 2029])</f>
        <v>2427</v>
      </c>
      <c r="BA65" s="57">
        <f>SUBTOTAL(109,ProgProp_20241016[TR 2029])</f>
        <v>0</v>
      </c>
      <c r="BB65" s="57">
        <f>SUBTOTAL(109,ProgProp_20241016[AC 2030])</f>
        <v>2470</v>
      </c>
      <c r="BC65">
        <f>SUBTOTAL(103,ProgProp_20241016[TR 2030])</f>
        <v>0</v>
      </c>
      <c r="BD65" s="57">
        <f>SUBTOTAL(109,ProgProp_20241016[AC 2031])</f>
        <v>1922</v>
      </c>
      <c r="BE65" s="57">
        <f>SUBTOTAL(109,ProgProp_20241016[TR 2031])</f>
        <v>0</v>
      </c>
      <c r="BF65" s="57">
        <f>SUBTOTAL(109,ProgProp_20241016[AC 2032])</f>
        <v>0</v>
      </c>
      <c r="BG65" s="57">
        <f>SUBTOTAL(109,ProgProp_20241016[TR 2032])</f>
        <v>0</v>
      </c>
      <c r="BH65" s="57">
        <f>SUBTOTAL(109,ProgProp_20241016[AC 2033])</f>
        <v>0</v>
      </c>
      <c r="BI65" s="57">
        <f>SUBTOTAL(109,ProgProp_20241016[TR 2033])</f>
        <v>0</v>
      </c>
      <c r="BJ65" s="57">
        <f>SUBTOTAL(109,ProgProp_20241016[AC 2034])</f>
        <v>0</v>
      </c>
      <c r="BK65" s="57">
        <f>SUBTOTAL(109,ProgProp_20241016[TR 2034])</f>
        <v>0</v>
      </c>
      <c r="BL65" s="14">
        <f>SUBTOTAL(109,ProgProp_20241016[Total Projet])</f>
        <v>240463</v>
      </c>
    </row>
    <row r="68" spans="9:64" x14ac:dyDescent="0.3">
      <c r="AM68" s="59"/>
      <c r="AR68" s="57"/>
      <c r="AT68" s="57"/>
    </row>
    <row r="69" spans="9:64" x14ac:dyDescent="0.3">
      <c r="AM69" s="59"/>
      <c r="AR69" s="57"/>
    </row>
  </sheetData>
  <mergeCells count="167">
    <mergeCell ref="BJ3:BK3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AX3:AY3"/>
    <mergeCell ref="AZ3:BA3"/>
    <mergeCell ref="BB3:BC3"/>
    <mergeCell ref="BD3:BE3"/>
    <mergeCell ref="BF3:BG3"/>
    <mergeCell ref="BH3:BI3"/>
    <mergeCell ref="AN3:AO3"/>
    <mergeCell ref="AP3:AQ3"/>
    <mergeCell ref="AR3:AS3"/>
    <mergeCell ref="AT3:AU3"/>
    <mergeCell ref="AV3:AW3"/>
    <mergeCell ref="BF4:BG4"/>
    <mergeCell ref="BH4:BI4"/>
    <mergeCell ref="BJ4:BK4"/>
    <mergeCell ref="BF5:BG5"/>
    <mergeCell ref="BH5:BI5"/>
    <mergeCell ref="BJ5:BK5"/>
    <mergeCell ref="AN6:AO6"/>
    <mergeCell ref="AP6:AQ6"/>
    <mergeCell ref="AR6:AS6"/>
    <mergeCell ref="AT6:AU6"/>
    <mergeCell ref="AV6:AW6"/>
    <mergeCell ref="BJ6:BK6"/>
    <mergeCell ref="AX6:AY6"/>
    <mergeCell ref="AZ6:BA6"/>
    <mergeCell ref="BB6:BC6"/>
    <mergeCell ref="BD6:BE6"/>
    <mergeCell ref="BF6:BG6"/>
    <mergeCell ref="BH6:BI6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7:BG7"/>
    <mergeCell ref="BH7:BI7"/>
    <mergeCell ref="BJ7:BK7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AN9:AO9"/>
    <mergeCell ref="AP9:AQ9"/>
    <mergeCell ref="AR9:AS9"/>
    <mergeCell ref="AT9:AU9"/>
    <mergeCell ref="AV9:AW9"/>
    <mergeCell ref="BJ9:BK9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AX9:AY9"/>
    <mergeCell ref="AZ9:BA9"/>
    <mergeCell ref="BB9:BC9"/>
    <mergeCell ref="BD9:BE9"/>
    <mergeCell ref="BF9:BG9"/>
    <mergeCell ref="BH9:BI9"/>
    <mergeCell ref="BF10:BG10"/>
    <mergeCell ref="BH10:BI10"/>
    <mergeCell ref="BJ10:BK10"/>
    <mergeCell ref="BF11:BG11"/>
    <mergeCell ref="BH11:BI11"/>
    <mergeCell ref="BJ11:BK11"/>
    <mergeCell ref="AN12:AO12"/>
    <mergeCell ref="AP12:AQ12"/>
    <mergeCell ref="AR12:AS12"/>
    <mergeCell ref="AT12:AU12"/>
    <mergeCell ref="AV12:AW12"/>
    <mergeCell ref="BJ12:BK12"/>
    <mergeCell ref="AX12:AY12"/>
    <mergeCell ref="AZ12:BA12"/>
    <mergeCell ref="BB12:BC12"/>
    <mergeCell ref="BD12:BE12"/>
    <mergeCell ref="BF12:BG12"/>
    <mergeCell ref="BH12:BI12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H15:BI15"/>
    <mergeCell ref="BJ15:BK15"/>
    <mergeCell ref="BD14:BE14"/>
    <mergeCell ref="BF14:BG14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J14:BK14"/>
    <mergeCell ref="BF15:BG15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H14:BI14"/>
    <mergeCell ref="AZ16:BA16"/>
    <mergeCell ref="BB16:BC16"/>
    <mergeCell ref="BD16:BE16"/>
    <mergeCell ref="BF16:BG16"/>
    <mergeCell ref="BH16:BI16"/>
    <mergeCell ref="BJ16:BK16"/>
    <mergeCell ref="AN16:AO16"/>
    <mergeCell ref="AP16:AQ16"/>
    <mergeCell ref="AR16:AS16"/>
    <mergeCell ref="AT16:AU16"/>
    <mergeCell ref="AV16:AW16"/>
    <mergeCell ref="AX16:AY16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0DB6503-92DE-457C-876D-5AF646C28EB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AI19:AI64</xm:sqref>
        </x14:conditionalFormatting>
        <x14:conditionalFormatting xmlns:xm="http://schemas.microsoft.com/office/excel/2006/main">
          <x14:cfRule type="iconSet" priority="1" id="{83F43F2A-575B-45F8-BC33-E7E6EEC3B6D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AJ19:AJ64</xm:sqref>
        </x14:conditionalFormatting>
        <x14:conditionalFormatting xmlns:xm="http://schemas.microsoft.com/office/excel/2006/main">
          <x14:cfRule type="iconSet" priority="3" id="{2A719064-2FA8-4D56-BA63-CA54E385D05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AK19:AM64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D2CB-5742-4685-A041-C35D4CCB253F}">
  <dimension ref="A1:BH147"/>
  <sheetViews>
    <sheetView workbookViewId="0"/>
  </sheetViews>
  <sheetFormatPr baseColWidth="10" defaultColWidth="11.5546875" defaultRowHeight="14.4" outlineLevelCol="1" x14ac:dyDescent="0.3"/>
  <cols>
    <col min="1" max="1" width="15.33203125" customWidth="1" outlineLevel="1"/>
    <col min="2" max="2" width="11.44140625" customWidth="1" outlineLevel="1"/>
    <col min="3" max="3" width="8.109375" customWidth="1" outlineLevel="1"/>
    <col min="4" max="4" width="19.33203125" customWidth="1" outlineLevel="1"/>
    <col min="5" max="5" width="17.44140625" customWidth="1" outlineLevel="1"/>
    <col min="6" max="6" width="16" customWidth="1" outlineLevel="1"/>
    <col min="7" max="7" width="15.88671875" customWidth="1" outlineLevel="1"/>
    <col min="8" max="8" width="14.88671875" customWidth="1" outlineLevel="1"/>
    <col min="9" max="9" width="18.44140625" customWidth="1" outlineLevel="1"/>
    <col min="10" max="10" width="19" customWidth="1"/>
    <col min="11" max="11" width="62.6640625" customWidth="1"/>
    <col min="12" max="12" width="24.109375" customWidth="1" collapsed="1"/>
    <col min="13" max="13" width="16.109375" customWidth="1"/>
    <col min="14" max="14" width="24" customWidth="1"/>
    <col min="15" max="15" width="14.5546875" customWidth="1"/>
    <col min="16" max="16" width="17.44140625" customWidth="1"/>
    <col min="17" max="17" width="16.5546875" customWidth="1"/>
    <col min="18" max="21" width="9.44140625" hidden="1" customWidth="1" outlineLevel="1"/>
    <col min="22" max="22" width="9.5546875" customWidth="1" collapsed="1"/>
    <col min="23" max="23" width="9.5546875" customWidth="1"/>
    <col min="24" max="24" width="13.33203125" hidden="1" customWidth="1" outlineLevel="1"/>
    <col min="25" max="25" width="11.5546875" hidden="1" customWidth="1" outlineLevel="1"/>
    <col min="26" max="27" width="8.33203125" hidden="1" customWidth="1" outlineLevel="1"/>
    <col min="28" max="28" width="11" customWidth="1" collapsed="1"/>
    <col min="29" max="29" width="11" customWidth="1"/>
    <col min="30" max="30" width="9" customWidth="1"/>
    <col min="31" max="31" width="9.88671875" style="25" customWidth="1"/>
    <col min="32" max="32" width="13.33203125" hidden="1" customWidth="1" outlineLevel="1"/>
    <col min="33" max="33" width="13.33203125" hidden="1" customWidth="1" outlineLevel="1" collapsed="1"/>
    <col min="34" max="34" width="7.44140625" hidden="1" customWidth="1" outlineLevel="1"/>
    <col min="35" max="35" width="9.44140625" hidden="1" customWidth="1" outlineLevel="1"/>
    <col min="36" max="36" width="10.44140625" customWidth="1" collapsed="1"/>
    <col min="37" max="37" width="9.5546875" customWidth="1" outlineLevel="1"/>
    <col min="38" max="43" width="9.88671875" customWidth="1" outlineLevel="1"/>
    <col min="44" max="44" width="9.88671875" style="8" customWidth="1" outlineLevel="1"/>
    <col min="45" max="52" width="9.88671875" customWidth="1" outlineLevel="1"/>
    <col min="53" max="53" width="17.109375" bestFit="1" customWidth="1"/>
    <col min="54" max="54" width="16.6640625" bestFit="1" customWidth="1"/>
    <col min="55" max="57" width="9.88671875" customWidth="1"/>
    <col min="58" max="58" width="16.109375" customWidth="1"/>
    <col min="59" max="59" width="17" customWidth="1"/>
    <col min="60" max="70" width="11.33203125" customWidth="1"/>
    <col min="71" max="71" width="12.5546875" customWidth="1"/>
    <col min="72" max="72" width="13.44140625" customWidth="1"/>
    <col min="73" max="73" width="13.109375" customWidth="1"/>
    <col min="74" max="74" width="14" customWidth="1"/>
    <col min="75" max="80" width="17.33203125" customWidth="1"/>
    <col min="81" max="81" width="18.109375" customWidth="1"/>
    <col min="82" max="82" width="17.5546875" customWidth="1"/>
  </cols>
  <sheetData>
    <row r="1" spans="1:56" ht="21" x14ac:dyDescent="0.4">
      <c r="A1" s="85"/>
      <c r="B1" s="85"/>
      <c r="C1" s="85"/>
      <c r="D1" s="85"/>
      <c r="E1" s="85"/>
      <c r="F1" s="85"/>
      <c r="J1" s="32" t="s">
        <v>261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85"/>
      <c r="BD1" s="85"/>
    </row>
    <row r="2" spans="1:56" x14ac:dyDescent="0.3">
      <c r="J2" s="86"/>
      <c r="K2" s="87" t="s">
        <v>262</v>
      </c>
      <c r="Q2" s="25"/>
      <c r="R2" s="25"/>
      <c r="S2" s="25"/>
      <c r="T2" s="25"/>
      <c r="U2" s="8"/>
      <c r="AE2"/>
      <c r="AR2"/>
    </row>
    <row r="3" spans="1:56" ht="26.4" customHeight="1" thickBot="1" x14ac:dyDescent="0.35">
      <c r="J3" s="129" t="s">
        <v>2</v>
      </c>
      <c r="K3" s="130"/>
      <c r="N3" s="65"/>
      <c r="P3" s="128"/>
      <c r="Q3" s="128" t="s">
        <v>5</v>
      </c>
      <c r="R3" s="301" t="s">
        <v>6</v>
      </c>
      <c r="S3" s="302"/>
      <c r="T3" s="303">
        <v>2024</v>
      </c>
      <c r="U3" s="302"/>
      <c r="V3" s="293" t="s">
        <v>263</v>
      </c>
      <c r="W3" s="304"/>
      <c r="X3" s="305" t="s">
        <v>264</v>
      </c>
      <c r="Y3" s="305"/>
      <c r="Z3" s="266" t="s">
        <v>265</v>
      </c>
      <c r="AA3" s="267"/>
      <c r="AB3" s="267"/>
      <c r="AC3" s="267"/>
      <c r="AD3" s="300" t="s">
        <v>266</v>
      </c>
      <c r="AE3" s="300"/>
      <c r="AF3" s="297" t="s">
        <v>267</v>
      </c>
      <c r="AG3" s="298"/>
      <c r="AH3" s="266" t="s">
        <v>268</v>
      </c>
      <c r="AI3" s="267"/>
      <c r="AJ3" s="299"/>
      <c r="AK3" s="300">
        <v>2027</v>
      </c>
      <c r="AL3" s="294"/>
      <c r="AM3" s="293">
        <v>2028</v>
      </c>
      <c r="AN3" s="294"/>
      <c r="AO3" s="293">
        <v>2029</v>
      </c>
      <c r="AP3" s="294"/>
      <c r="AQ3" s="293">
        <v>2030</v>
      </c>
      <c r="AR3" s="294"/>
      <c r="AS3" s="293">
        <v>2031</v>
      </c>
      <c r="AT3" s="294"/>
      <c r="AU3" s="293">
        <v>2032</v>
      </c>
      <c r="AV3" s="294"/>
      <c r="AW3" s="293">
        <v>2033</v>
      </c>
      <c r="AX3" s="294"/>
      <c r="AY3" s="293">
        <v>2034</v>
      </c>
      <c r="AZ3" s="294"/>
      <c r="BA3" s="26" t="s">
        <v>269</v>
      </c>
      <c r="BB3" s="26" t="s">
        <v>8</v>
      </c>
    </row>
    <row r="4" spans="1:56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SUMIFS(Portefeuille_ProgPropose4[AC 2024],Portefeuille_ProgPropose4[DES_COMPL_NATR_COMPB],"=Fonctionnement")+SUMIFS(Portefeuille_ProgPropose4[TR 2024],Portefeuille_ProgPropose4[DES_COMPL_NATR_COMPB],"=Fonctionnement")</f>
        <v>27</v>
      </c>
      <c r="U4" s="260"/>
      <c r="V4" s="295">
        <f>SUMIFS(Portefeuille_ProgPropose4[AC 2025],Portefeuille_ProgPropose4[DES_COMPL_NATR_COMPB],"=Fonctionnement")+SUMIFS(Portefeuille_ProgPropose4[TR 2025],Portefeuille_ProgPropose4[DES_COMPL_NATR_COMPB],"=Fonctionnement")</f>
        <v>300</v>
      </c>
      <c r="W4" s="296"/>
      <c r="X4" s="260"/>
      <c r="Y4" s="260"/>
      <c r="Z4" s="106"/>
      <c r="AA4" s="78"/>
      <c r="AB4" s="107"/>
      <c r="AC4" s="78"/>
      <c r="AD4" s="260">
        <f>SUMIFS(Portefeuille_ProgPropose4[AC 2026],Portefeuille_ProgPropose4[DES_COMPL_NATR_COMPB],"=Fonctionnement")+SUMIFS(Portefeuille_ProgPropose4[TR 2026],Portefeuille_ProgPropose4[DES_COMPL_NATR_COMPB],"=Fonctionnement")</f>
        <v>0</v>
      </c>
      <c r="AE4" s="260"/>
      <c r="AF4" s="279"/>
      <c r="AG4" s="280"/>
      <c r="AH4" s="106"/>
      <c r="AI4" s="78"/>
      <c r="AJ4" s="107"/>
      <c r="AK4" s="260">
        <f>SUMIFS(Portefeuille_ProgPropose4[AC 2027],Portefeuille_ProgPropose4[DES_COMPL_NATR_COMPB],"=Fonctionnement")+SUMIFS(Portefeuille_ProgPropose4[TR 2027],Portefeuille_ProgPropose4[DES_COMPL_NATR_COMPB],"=Fonctionnement")</f>
        <v>9305</v>
      </c>
      <c r="AL4" s="260"/>
      <c r="AM4" s="260">
        <f>SUMIFS(Portefeuille_ProgPropose4[AC 2028],Portefeuille_ProgPropose4[DES_COMPL_NATR_COMPB],"=Fonctionnement")+SUMIFS(Portefeuille_ProgPropose4[TR 2028],Portefeuille_ProgPropose4[DES_COMPL_NATR_COMPB],"=Fonctionnement")</f>
        <v>0</v>
      </c>
      <c r="AN4" s="260"/>
      <c r="AO4" s="260">
        <f>SUMIFS(Portefeuille_ProgPropose4[AC 2029],Portefeuille_ProgPropose4[DES_COMPL_NATR_COMPB],"=Fonctionnement")+SUMIFS(Portefeuille_ProgPropose4[TR 2029],Portefeuille_ProgPropose4[DES_COMPL_NATR_COMPB],"=Fonctionnement")</f>
        <v>0</v>
      </c>
      <c r="AP4" s="260"/>
      <c r="AQ4" s="260">
        <f>SUMIFS(Portefeuille_ProgPropose4[AC 2030],Portefeuille_ProgPropose4[DES_COMPL_NATR_COMPB],"=Fonctionnement")+SUMIFS(Portefeuille_ProgPropose4[TR 2030],Portefeuille_ProgPropose4[DES_COMPL_NATR_COMPB],"=Fonctionnement")</f>
        <v>0</v>
      </c>
      <c r="AR4" s="260"/>
      <c r="AS4" s="260">
        <f>SUMIFS(Portefeuille_ProgPropose4[AC 2031],Portefeuille_ProgPropose4[DES_COMPL_NATR_COMPB],"=Fonctionnement")+SUMIFS(Portefeuille_ProgPropose4[TR 2031],Portefeuille_ProgPropose4[DES_COMPL_NATR_COMPB],"=Fonctionnement")</f>
        <v>0</v>
      </c>
      <c r="AT4" s="260"/>
      <c r="AU4" s="260">
        <f>SUMIFS(Portefeuille_ProgPropose4[AC 2032],Portefeuille_ProgPropose4[DES_COMPL_NATR_COMPB],"=Fonctionnement")+SUMIFS(Portefeuille_ProgPropose4[TR 2032],Portefeuille_ProgPropose4[DES_COMPL_NATR_COMPB],"=Fonctionnement")</f>
        <v>0</v>
      </c>
      <c r="AV4" s="260"/>
      <c r="AW4" s="260">
        <f>SUMIFS(Portefeuille_ProgPropose4[AC 2033],Portefeuille_ProgPropose4[DES_COMPL_NATR_COMPB],"=Fonctionnement")+SUMIFS(Portefeuille_ProgPropose4[TR 2033],Portefeuille_ProgPropose4[DES_COMPL_NATR_COMPB],"=Fonctionnement")</f>
        <v>0</v>
      </c>
      <c r="AX4" s="260"/>
      <c r="AY4" s="260">
        <f>SUMIFS(Portefeuille_ProgPropose4[AC 2034],Portefeuille_ProgPropose4[DES_COMPL_NATR_COMPB],"=Fonctionnement")+SUMIFS(Portefeuille_ProgPropose4[TR 2034],Portefeuille_ProgPropose4[DES_COMPL_NATR_COMPB],"=Fonctionnement")</f>
        <v>0</v>
      </c>
      <c r="AZ4" s="260"/>
      <c r="BA4" s="16">
        <f>SUM(V4,AD4)</f>
        <v>300</v>
      </c>
      <c r="BB4" s="16">
        <f>SUM(V4,AD4,AK4:AZ4)</f>
        <v>9605</v>
      </c>
    </row>
    <row r="5" spans="1:56" x14ac:dyDescent="0.3">
      <c r="J5" s="27" t="s">
        <v>12</v>
      </c>
      <c r="K5" s="28" t="s">
        <v>13</v>
      </c>
      <c r="Q5" s="104" t="s">
        <v>15</v>
      </c>
      <c r="R5" s="279">
        <f>SUMIFS(Portefeuille_ProgPropose4[AC ANT],Portefeuille_ProgPropose4[État Composante AC],"=PR")</f>
        <v>8998</v>
      </c>
      <c r="S5" s="260"/>
      <c r="T5" s="260">
        <f>SUMIFS(Portefeuille_ProgPropose4[AC 2024],Portefeuille_ProgPropose4[État Composante AC],"=PR")</f>
        <v>5380</v>
      </c>
      <c r="U5" s="260"/>
      <c r="V5" s="260">
        <f>SUMIFS(Portefeuille_ProgPropose4[AC 2025],Portefeuille_ProgPropose4[État Composante AC],"=PR")</f>
        <v>7761</v>
      </c>
      <c r="W5" s="280"/>
      <c r="X5" s="260">
        <f>SUMIFS(Portefeuille_ProgPropose4[AC 2025 Trimestre précédent],Portefeuille_ProgPropose4[État Composante AC],"=PR")</f>
        <v>7171</v>
      </c>
      <c r="Y5" s="260"/>
      <c r="Z5" s="279">
        <f>SUMIFS(Portefeuille_ProgPropose4[Écart AC 2025],Portefeuille_ProgPropose4[État Composante AC],"=PR")</f>
        <v>590</v>
      </c>
      <c r="AA5" s="260"/>
      <c r="AB5" s="280"/>
      <c r="AC5" s="78"/>
      <c r="AD5" s="260">
        <f>SUMIFS(Portefeuille_ProgPropose4[AC 2026],Portefeuille_ProgPropose4[État Composante AC],"=PR")</f>
        <v>9382</v>
      </c>
      <c r="AE5" s="260"/>
      <c r="AF5" s="279">
        <f>SUMIFS(Portefeuille_ProgPropose4[AC 2026 Trimestre précédent],Portefeuille_ProgPropose4[État Composante AC],"=PR")</f>
        <v>8384</v>
      </c>
      <c r="AG5" s="280"/>
      <c r="AH5" s="279">
        <f>SUMIFS(Portefeuille_ProgPropose4[Écart AC 2026],Portefeuille_ProgPropose4[État Composante AC],"=PR")</f>
        <v>998</v>
      </c>
      <c r="AI5" s="260"/>
      <c r="AJ5" s="280"/>
      <c r="AK5" s="260">
        <f>SUMIFS(Portefeuille_ProgPropose4[AC 2027],Portefeuille_ProgPropose4[État Composante AC],"=PR")</f>
        <v>6851</v>
      </c>
      <c r="AL5" s="260"/>
      <c r="AM5" s="260">
        <f>SUMIFS(Portefeuille_ProgPropose4[AC 2028],Portefeuille_ProgPropose4[État Composante AC],"=PR")</f>
        <v>6765</v>
      </c>
      <c r="AN5" s="260"/>
      <c r="AO5" s="260">
        <f>SUMIFS(Portefeuille_ProgPropose4[AC 2029],Portefeuille_ProgPropose4[État Composante AC],"=PR")</f>
        <v>2430</v>
      </c>
      <c r="AP5" s="260"/>
      <c r="AQ5" s="260">
        <f>SUMIFS(Portefeuille_ProgPropose4[AC 2030],Portefeuille_ProgPropose4[État Composante AC],"=PR")</f>
        <v>2320</v>
      </c>
      <c r="AR5" s="260"/>
      <c r="AS5" s="260">
        <f>SUMIFS(Portefeuille_ProgPropose4[AC 2031],Portefeuille_ProgPropose4[État Composante AC],"=PR")</f>
        <v>1822</v>
      </c>
      <c r="AT5" s="260"/>
      <c r="AU5" s="260">
        <f>SUMIFS(Portefeuille_ProgPropose4[AC 2032],Portefeuille_ProgPropose4[État Composante AC],"=PR")</f>
        <v>0</v>
      </c>
      <c r="AV5" s="260"/>
      <c r="AW5" s="260">
        <f>SUMIFS(Portefeuille_ProgPropose4[AC 2033],Portefeuille_ProgPropose4[État Composante AC],"=PR")</f>
        <v>0</v>
      </c>
      <c r="AX5" s="260"/>
      <c r="AY5" s="260">
        <f>SUMIFS(Portefeuille_ProgPropose4[AC 2034],Portefeuille_ProgPropose4[État Composante AC],"=PR")</f>
        <v>0</v>
      </c>
      <c r="AZ5" s="260"/>
      <c r="BA5" s="16">
        <f t="shared" ref="BA5:BA6" si="0">SUM(V5,AD5)</f>
        <v>17143</v>
      </c>
      <c r="BB5" s="16">
        <f t="shared" ref="BB5:BB9" si="1">SUM(V5,AD5,AK5:AZ5)</f>
        <v>37331</v>
      </c>
    </row>
    <row r="6" spans="1:56" x14ac:dyDescent="0.3">
      <c r="J6" s="29" t="s">
        <v>16</v>
      </c>
      <c r="K6" s="28" t="s">
        <v>17</v>
      </c>
      <c r="Q6" s="83" t="s">
        <v>19</v>
      </c>
      <c r="R6" s="279">
        <f>SUMIFS(Portefeuille_ProgPropose4[TR ANT],Portefeuille_ProgPropose4[État Composante TR],"=PR")</f>
        <v>33280</v>
      </c>
      <c r="S6" s="260"/>
      <c r="T6" s="260">
        <f>SUMIFS(Portefeuille_ProgPropose4[TR 2024],Portefeuille_ProgPropose4[État Composante TR],"=PR")</f>
        <v>32420</v>
      </c>
      <c r="U6" s="260"/>
      <c r="V6" s="260">
        <f>SUMIFS(Portefeuille_ProgPropose4[TR 2025],Portefeuille_ProgPropose4[État Composante TR],"=PR")</f>
        <v>17854</v>
      </c>
      <c r="W6" s="280"/>
      <c r="X6" s="260">
        <f>SUMIFS(Portefeuille_ProgPropose4[TR 2025 Trimestre précédent],Portefeuille_ProgPropose4[État Composante TR],"=PR")</f>
        <v>35110</v>
      </c>
      <c r="Y6" s="260"/>
      <c r="Z6" s="279">
        <f>SUMIFS(Portefeuille_ProgPropose4[Écart TR 2025],Portefeuille_ProgPropose4[État Composante TR],"=PR")</f>
        <v>-17256</v>
      </c>
      <c r="AA6" s="260"/>
      <c r="AB6" s="280"/>
      <c r="AC6" s="78"/>
      <c r="AD6" s="260">
        <f>SUMIFS(Portefeuille_ProgPropose4[TR 2026],Portefeuille_ProgPropose4[État Composante TR],"=PR")</f>
        <v>20373</v>
      </c>
      <c r="AE6" s="260"/>
      <c r="AF6" s="279">
        <f>SUMIFS(Portefeuille_ProgPropose4[TR 2026 Trimestre précédent],Portefeuille_ProgPropose4[État Composante TR],"=PR")</f>
        <v>15531</v>
      </c>
      <c r="AG6" s="280"/>
      <c r="AH6" s="279">
        <f>SUMIFS(Portefeuille_ProgPropose4[Écart TR 2026],Portefeuille_ProgPropose4[État Composante TR],"=PR")</f>
        <v>4842</v>
      </c>
      <c r="AI6" s="260"/>
      <c r="AJ6" s="280"/>
      <c r="AK6" s="260">
        <f>SUMIFS(Portefeuille_ProgPropose4[TR 2027],Portefeuille_ProgPropose4[État Composante TR],"=PR")</f>
        <v>9060</v>
      </c>
      <c r="AL6" s="260"/>
      <c r="AM6" s="260">
        <f>SUMIFS(Portefeuille_ProgPropose4[TR 2028],Portefeuille_ProgPropose4[État Composante TR],"=PR")</f>
        <v>0</v>
      </c>
      <c r="AN6" s="260"/>
      <c r="AO6" s="260">
        <f>SUMIFS(Portefeuille_ProgPropose4[TR 2029],Portefeuille_ProgPropose4[État Composante TR],"=PR")</f>
        <v>0</v>
      </c>
      <c r="AP6" s="260"/>
      <c r="AQ6" s="260">
        <f>SUMIFS(Portefeuille_ProgPropose4[TR 2030],Portefeuille_ProgPropose4[État Composante TR],"=PR")</f>
        <v>0</v>
      </c>
      <c r="AR6" s="260"/>
      <c r="AS6" s="260">
        <f>SUMIFS(Portefeuille_ProgPropose4[TR 2031],Portefeuille_ProgPropose4[État Composante TR],"=PR")</f>
        <v>0</v>
      </c>
      <c r="AT6" s="260"/>
      <c r="AU6" s="260">
        <f>SUMIFS(Portefeuille_ProgPropose4[TR 2032],Portefeuille_ProgPropose4[État Composante TR],"=PR")</f>
        <v>0</v>
      </c>
      <c r="AV6" s="260"/>
      <c r="AW6" s="260">
        <f>SUMIFS(Portefeuille_ProgPropose4[TR 2033],Portefeuille_ProgPropose4[État Composante TR],"=PR")</f>
        <v>0</v>
      </c>
      <c r="AX6" s="260"/>
      <c r="AY6" s="260">
        <f>SUMIFS(Portefeuille_ProgPropose4[TR 2034],Portefeuille_ProgPropose4[État Composante TR],"=PR")</f>
        <v>0</v>
      </c>
      <c r="AZ6" s="260"/>
      <c r="BA6" s="16">
        <f t="shared" si="0"/>
        <v>38227</v>
      </c>
      <c r="BB6" s="16">
        <f t="shared" si="1"/>
        <v>47287</v>
      </c>
    </row>
    <row r="7" spans="1:56" x14ac:dyDescent="0.3">
      <c r="J7" s="29" t="s">
        <v>20</v>
      </c>
      <c r="K7" s="28" t="s">
        <v>21</v>
      </c>
      <c r="P7" s="127"/>
      <c r="Q7" s="116" t="s">
        <v>23</v>
      </c>
      <c r="R7" s="288">
        <f>R5+R6</f>
        <v>42278</v>
      </c>
      <c r="S7" s="262"/>
      <c r="T7" s="262">
        <f>T5+T6</f>
        <v>37800</v>
      </c>
      <c r="U7" s="262"/>
      <c r="V7" s="262">
        <f>V5+V6</f>
        <v>25615</v>
      </c>
      <c r="W7" s="289"/>
      <c r="X7" s="262">
        <f>X5+X6</f>
        <v>42281</v>
      </c>
      <c r="Y7" s="262"/>
      <c r="Z7" s="288">
        <f>Z5+Z6</f>
        <v>-16666</v>
      </c>
      <c r="AA7" s="262"/>
      <c r="AB7" s="289"/>
      <c r="AC7" s="20"/>
      <c r="AD7" s="290">
        <f>AD5+AD6</f>
        <v>29755</v>
      </c>
      <c r="AE7" s="291"/>
      <c r="AF7" s="288">
        <f>AF5+AF6</f>
        <v>23915</v>
      </c>
      <c r="AG7" s="289"/>
      <c r="AH7" s="290">
        <f>AH5+AH6</f>
        <v>5840</v>
      </c>
      <c r="AI7" s="292"/>
      <c r="AJ7" s="291"/>
      <c r="AK7" s="262">
        <f>AK5+AK6</f>
        <v>15911</v>
      </c>
      <c r="AL7" s="262"/>
      <c r="AM7" s="262">
        <f>AM5+AM6</f>
        <v>6765</v>
      </c>
      <c r="AN7" s="262"/>
      <c r="AO7" s="262">
        <f>AO5+AO6</f>
        <v>2430</v>
      </c>
      <c r="AP7" s="262"/>
      <c r="AQ7" s="262">
        <f>AQ5+AQ6</f>
        <v>2320</v>
      </c>
      <c r="AR7" s="262"/>
      <c r="AS7" s="262">
        <f>AS5+AS6</f>
        <v>1822</v>
      </c>
      <c r="AT7" s="262"/>
      <c r="AU7" s="262">
        <f>AU5+AU6</f>
        <v>0</v>
      </c>
      <c r="AV7" s="262"/>
      <c r="AW7" s="262">
        <f>AW5+AW6</f>
        <v>0</v>
      </c>
      <c r="AX7" s="262"/>
      <c r="AY7" s="262">
        <f>AY5+AY6</f>
        <v>0</v>
      </c>
      <c r="AZ7" s="262"/>
      <c r="BA7" s="20">
        <f t="shared" ref="BA7:BA12" si="2">SUM(V7,AD7)</f>
        <v>55370</v>
      </c>
      <c r="BB7" s="20">
        <f t="shared" si="1"/>
        <v>84618</v>
      </c>
    </row>
    <row r="8" spans="1:56" x14ac:dyDescent="0.3">
      <c r="J8" s="131"/>
      <c r="K8" s="28" t="s">
        <v>270</v>
      </c>
      <c r="Q8" s="83" t="s">
        <v>25</v>
      </c>
      <c r="R8" s="279">
        <f>SUMIFS(Portefeuille_ProgPropose4[AC ANT],Portefeuille_ProgPropose4[État Composante AC],"&lt;&gt;PR")</f>
        <v>0</v>
      </c>
      <c r="S8" s="260"/>
      <c r="T8" s="260">
        <f>SUMIFS(Portefeuille_ProgPropose4[AC 2024],Portefeuille_ProgPropose4[État Composante AC],"&lt;&gt;PR")</f>
        <v>0</v>
      </c>
      <c r="U8" s="260"/>
      <c r="V8" s="260">
        <f>SUMIFS(Portefeuille_ProgPropose4[AC 2025],Portefeuille_ProgPropose4[État Composante AC],"&lt;&gt;PR")</f>
        <v>1299</v>
      </c>
      <c r="W8" s="280"/>
      <c r="X8" s="260">
        <f>SUMIFS(Portefeuille_ProgPropose4[AC 2025 Trimestre précédent],Portefeuille_ProgPropose4[État Composante AC],"&lt;&gt;PR")</f>
        <v>954</v>
      </c>
      <c r="Y8" s="260"/>
      <c r="Z8" s="279">
        <f>SUMIFS(Portefeuille_ProgPropose4[Écart AC 2025],Portefeuille_ProgPropose4[État Composante AC],"&lt;&gt;PR")</f>
        <v>345</v>
      </c>
      <c r="AA8" s="260"/>
      <c r="AB8" s="280"/>
      <c r="AC8" s="78"/>
      <c r="AD8" s="260">
        <f>SUMIFS(Portefeuille_ProgPropose4[AC 2026],Portefeuille_ProgPropose4[État Composante AC],"&lt;&gt;PR")</f>
        <v>1410</v>
      </c>
      <c r="AE8" s="260"/>
      <c r="AF8" s="279">
        <f>SUMIFS(Portefeuille_ProgPropose4[AC 2026 Trimestre précédent],Portefeuille_ProgPropose4[État Composante AC],"&lt;&gt;PR")</f>
        <v>1805</v>
      </c>
      <c r="AG8" s="280"/>
      <c r="AH8" s="279">
        <f>SUMIFS(Portefeuille_ProgPropose4[Écart AC 2026],Portefeuille_ProgPropose4[État Composante AC],"&lt;&gt;PR")</f>
        <v>-395</v>
      </c>
      <c r="AI8" s="260"/>
      <c r="AJ8" s="280"/>
      <c r="AK8" s="260">
        <f>SUMIFS(Portefeuille_ProgPropose4[AC 2027],Portefeuille_ProgPropose4[État Composante AC],"&lt;&gt;PR")</f>
        <v>2492</v>
      </c>
      <c r="AL8" s="260"/>
      <c r="AM8" s="260">
        <f>SUMIFS(Portefeuille_ProgPropose4[AC 2028],Portefeuille_ProgPropose4[État Composante AC],"&lt;&gt;PR")</f>
        <v>30</v>
      </c>
      <c r="AN8" s="260"/>
      <c r="AO8" s="260">
        <f>SUMIFS(Portefeuille_ProgPropose4[AC 2029],Portefeuille_ProgPropose4[État Composante AC],"&lt;&gt;PR")</f>
        <v>0</v>
      </c>
      <c r="AP8" s="260"/>
      <c r="AQ8" s="260">
        <f>SUMIFS(Portefeuille_ProgPropose4[AC 2030],Portefeuille_ProgPropose4[État Composante AC],"&lt;&gt;PR")</f>
        <v>0</v>
      </c>
      <c r="AR8" s="260"/>
      <c r="AS8" s="260">
        <f>SUMIFS(Portefeuille_ProgPropose4[AC 2031],Portefeuille_ProgPropose4[État Composante AC],"&lt;&gt;PR")</f>
        <v>0</v>
      </c>
      <c r="AT8" s="260"/>
      <c r="AU8" s="260">
        <f>SUMIFS(Portefeuille_ProgPropose4[AC 2032],Portefeuille_ProgPropose4[État Composante AC],"&lt;&gt;PR")</f>
        <v>0</v>
      </c>
      <c r="AV8" s="260"/>
      <c r="AW8" s="260">
        <f>SUMIFS(Portefeuille_ProgPropose4[AC 2033],Portefeuille_ProgPropose4[État Composante AC],"&lt;&gt;PR")</f>
        <v>0</v>
      </c>
      <c r="AX8" s="260"/>
      <c r="AY8" s="260">
        <f>SUMIFS(Portefeuille_ProgPropose4[AC 2034],Portefeuille_ProgPropose4[État Composante AC],"&lt;&gt;PR")</f>
        <v>0</v>
      </c>
      <c r="AZ8" s="260"/>
      <c r="BA8" s="16">
        <f t="shared" si="2"/>
        <v>2709</v>
      </c>
      <c r="BB8" s="16">
        <f t="shared" si="1"/>
        <v>5231</v>
      </c>
    </row>
    <row r="9" spans="1:56" x14ac:dyDescent="0.3">
      <c r="J9" s="132"/>
      <c r="K9" s="31" t="s">
        <v>271</v>
      </c>
      <c r="Q9" s="83" t="s">
        <v>27</v>
      </c>
      <c r="R9" s="279">
        <f>SUMIFS(Portefeuille_ProgPropose4[TR ANT],Portefeuille_ProgPropose4[État Composante TR],"&lt;&gt;PR")</f>
        <v>15</v>
      </c>
      <c r="S9" s="260"/>
      <c r="T9" s="260">
        <f>SUMIFS(Portefeuille_ProgPropose4[TR 2024],Portefeuille_ProgPropose4[État Composante TR],"&lt;&gt;PR")</f>
        <v>0</v>
      </c>
      <c r="U9" s="260"/>
      <c r="V9" s="260">
        <f>SUMIFS(Portefeuille_ProgPropose4[TR 2025],Portefeuille_ProgPropose4[État Composante TR],"&lt;&gt;PR")</f>
        <v>37503</v>
      </c>
      <c r="W9" s="280"/>
      <c r="X9" s="260">
        <f>SUMIFS(Portefeuille_ProgPropose4[TR 2025 Trimestre précédent],Portefeuille_ProgPropose4[État Composante TR],"&lt;&gt;PR")</f>
        <v>32265</v>
      </c>
      <c r="Y9" s="260"/>
      <c r="Z9" s="279">
        <f>SUMIFS(Portefeuille_ProgPropose4[Écart TR 2025],Portefeuille_ProgPropose4[État Composante TR],"&lt;&gt;PR")</f>
        <v>5238</v>
      </c>
      <c r="AA9" s="260"/>
      <c r="AB9" s="280"/>
      <c r="AC9" s="78"/>
      <c r="AD9" s="260">
        <f>SUMIFS(Portefeuille_ProgPropose4[TR 2026],Portefeuille_ProgPropose4[État Composante TR],"&lt;&gt;PR")</f>
        <v>41026</v>
      </c>
      <c r="AE9" s="260"/>
      <c r="AF9" s="279">
        <f>SUMIFS(Portefeuille_ProgPropose4[TR 2026 Trimestre précédent],Portefeuille_ProgPropose4[État Composante TR],"&lt;&gt;PR")</f>
        <v>45566</v>
      </c>
      <c r="AG9" s="280"/>
      <c r="AH9" s="279">
        <f>SUMIFS(Portefeuille_ProgPropose4[Écart TR 2026],Portefeuille_ProgPropose4[État Composante TR],"&lt;&gt;PR")</f>
        <v>-4540</v>
      </c>
      <c r="AI9" s="260"/>
      <c r="AJ9" s="280"/>
      <c r="AK9" s="260">
        <f>SUMIFS(Portefeuille_ProgPropose4[TR 2027],Portefeuille_ProgPropose4[État Composante TR],"&lt;&gt;PR")</f>
        <v>91655</v>
      </c>
      <c r="AL9" s="260"/>
      <c r="AM9" s="260">
        <f>SUMIFS(Portefeuille_ProgPropose4[TR 2028],Portefeuille_ProgPropose4[État Composante TR],"&lt;&gt;PR")</f>
        <v>45411</v>
      </c>
      <c r="AN9" s="260"/>
      <c r="AO9" s="260">
        <f>SUMIFS(Portefeuille_ProgPropose4[TR 2029],Portefeuille_ProgPropose4[État Composante TR],"&lt;&gt;PR")</f>
        <v>35416</v>
      </c>
      <c r="AP9" s="260"/>
      <c r="AQ9" s="260">
        <f>SUMIFS(Portefeuille_ProgPropose4[TR 2030],Portefeuille_ProgPropose4[État Composante TR],"&lt;&gt;PR")</f>
        <v>34124</v>
      </c>
      <c r="AR9" s="260"/>
      <c r="AS9" s="260">
        <f>SUMIFS(Portefeuille_ProgPropose4[TR 2031],Portefeuille_ProgPropose4[État Composante TR],"&lt;&gt;PR")</f>
        <v>41119</v>
      </c>
      <c r="AT9" s="260"/>
      <c r="AU9" s="260">
        <f>SUMIFS(Portefeuille_ProgPropose4[TR 2032],Portefeuille_ProgPropose4[État Composante TR],"&lt;&gt;PR")</f>
        <v>0</v>
      </c>
      <c r="AV9" s="260"/>
      <c r="AW9" s="260">
        <f>SUMIFS(Portefeuille_ProgPropose4[TR 2033],Portefeuille_ProgPropose4[État Composante TR],"&lt;&gt;PR")</f>
        <v>0</v>
      </c>
      <c r="AX9" s="260"/>
      <c r="AY9" s="260">
        <f>SUMIFS(Portefeuille_ProgPropose4[TR 2034],Portefeuille_ProgPropose4[État Composante TR],"&lt;&gt;PR")</f>
        <v>0</v>
      </c>
      <c r="AZ9" s="260"/>
      <c r="BA9" s="16">
        <f t="shared" si="2"/>
        <v>78529</v>
      </c>
      <c r="BB9" s="16">
        <f t="shared" si="1"/>
        <v>326254</v>
      </c>
    </row>
    <row r="10" spans="1:56" x14ac:dyDescent="0.3">
      <c r="P10" s="127"/>
      <c r="Q10" s="117" t="s">
        <v>29</v>
      </c>
      <c r="R10" s="288">
        <f>R8+R9</f>
        <v>15</v>
      </c>
      <c r="S10" s="262"/>
      <c r="T10" s="262">
        <f>T8+T9</f>
        <v>0</v>
      </c>
      <c r="U10" s="262"/>
      <c r="V10" s="262">
        <f>V8+V9</f>
        <v>38802</v>
      </c>
      <c r="W10" s="289"/>
      <c r="X10" s="262">
        <f>X8+X9</f>
        <v>33219</v>
      </c>
      <c r="Y10" s="262"/>
      <c r="Z10" s="288">
        <f>Z9+Z8</f>
        <v>5583</v>
      </c>
      <c r="AA10" s="262"/>
      <c r="AB10" s="289"/>
      <c r="AC10" s="20"/>
      <c r="AD10" s="262">
        <f>AD8+AD9</f>
        <v>42436</v>
      </c>
      <c r="AE10" s="262"/>
      <c r="AF10" s="288">
        <f>AF8+AF9</f>
        <v>47371</v>
      </c>
      <c r="AG10" s="289"/>
      <c r="AH10" s="288">
        <f>AH9+AH8</f>
        <v>-4935</v>
      </c>
      <c r="AI10" s="262"/>
      <c r="AJ10" s="289"/>
      <c r="AK10" s="262">
        <f>AK8+AK9</f>
        <v>94147</v>
      </c>
      <c r="AL10" s="262"/>
      <c r="AM10" s="262">
        <f>AM8+AM9</f>
        <v>45441</v>
      </c>
      <c r="AN10" s="262"/>
      <c r="AO10" s="262">
        <f>AO8+AO9</f>
        <v>35416</v>
      </c>
      <c r="AP10" s="262"/>
      <c r="AQ10" s="262">
        <f>AQ8+AQ9</f>
        <v>34124</v>
      </c>
      <c r="AR10" s="262"/>
      <c r="AS10" s="262">
        <f>AS8+AS9</f>
        <v>41119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0">
        <f t="shared" si="2"/>
        <v>81238</v>
      </c>
      <c r="BB10" s="20">
        <f>SUM(V10,AD10,AK10:AZ10)</f>
        <v>331485</v>
      </c>
    </row>
    <row r="11" spans="1:56" s="133" customFormat="1" ht="13.8" x14ac:dyDescent="0.3">
      <c r="P11" s="134"/>
      <c r="Q11" s="135" t="s">
        <v>272</v>
      </c>
      <c r="R11" s="286">
        <f>R10+R7</f>
        <v>42293</v>
      </c>
      <c r="S11" s="284"/>
      <c r="T11" s="285">
        <f>T10+T7</f>
        <v>37800</v>
      </c>
      <c r="U11" s="284"/>
      <c r="V11" s="285">
        <f>V10+V7</f>
        <v>64417</v>
      </c>
      <c r="W11" s="287"/>
      <c r="X11" s="283">
        <f>X10+X7-X4</f>
        <v>75500</v>
      </c>
      <c r="Y11" s="283"/>
      <c r="Z11" s="286">
        <f>Z10+Z7</f>
        <v>-11083</v>
      </c>
      <c r="AA11" s="283"/>
      <c r="AB11" s="287"/>
      <c r="AC11" s="105"/>
      <c r="AD11" s="286">
        <f>AD10+AD7-AD4</f>
        <v>72191</v>
      </c>
      <c r="AE11" s="287"/>
      <c r="AF11" s="286">
        <f t="shared" ref="AF11" si="3">AF10+AF7-AF4</f>
        <v>71286</v>
      </c>
      <c r="AG11" s="287"/>
      <c r="AH11" s="286">
        <f>AH10+AH7</f>
        <v>905</v>
      </c>
      <c r="AI11" s="283"/>
      <c r="AJ11" s="287"/>
      <c r="AK11" s="283">
        <f t="shared" ref="AK11" si="4">AK10+AK7-AK4</f>
        <v>100753</v>
      </c>
      <c r="AL11" s="284"/>
      <c r="AM11" s="285">
        <f t="shared" ref="AM11" si="5">AM10+AM7-AM4</f>
        <v>52206</v>
      </c>
      <c r="AN11" s="284"/>
      <c r="AO11" s="285">
        <f t="shared" ref="AO11" si="6">AO10+AO7-AO4</f>
        <v>37846</v>
      </c>
      <c r="AP11" s="284"/>
      <c r="AQ11" s="285">
        <f t="shared" ref="AQ11" si="7">AQ10+AQ7-AQ4</f>
        <v>36444</v>
      </c>
      <c r="AR11" s="284"/>
      <c r="AS11" s="285">
        <f t="shared" ref="AS11" si="8">AS10+AS7-AS4</f>
        <v>42941</v>
      </c>
      <c r="AT11" s="284"/>
      <c r="AU11" s="285">
        <f t="shared" ref="AU11" si="9">AU10+AU7-AU4</f>
        <v>0</v>
      </c>
      <c r="AV11" s="284"/>
      <c r="AW11" s="285">
        <f t="shared" ref="AW11" si="10">AW10+AW7-AW4</f>
        <v>0</v>
      </c>
      <c r="AX11" s="284"/>
      <c r="AY11" s="285">
        <f t="shared" ref="AY11" si="11">AY10+AY7-AY4</f>
        <v>0</v>
      </c>
      <c r="AZ11" s="284"/>
      <c r="BA11" s="105">
        <f t="shared" si="2"/>
        <v>136608</v>
      </c>
      <c r="BB11" s="105">
        <f>SUM(V11,AD11,AK11:AZ11)</f>
        <v>406798</v>
      </c>
      <c r="BC11" s="136"/>
    </row>
    <row r="12" spans="1:56" x14ac:dyDescent="0.3">
      <c r="Q12" s="83" t="s">
        <v>32</v>
      </c>
      <c r="R12" s="279"/>
      <c r="S12" s="260"/>
      <c r="T12" s="260"/>
      <c r="U12" s="260"/>
      <c r="V12" s="260"/>
      <c r="W12" s="280"/>
      <c r="X12" s="281"/>
      <c r="Y12" s="282"/>
      <c r="Z12" s="108"/>
      <c r="AA12" s="95"/>
      <c r="AB12" s="109"/>
      <c r="AC12" s="95"/>
      <c r="AD12" s="260"/>
      <c r="AE12" s="260"/>
      <c r="AF12" s="279">
        <v>0</v>
      </c>
      <c r="AG12" s="280"/>
      <c r="AH12" s="108"/>
      <c r="AI12" s="95"/>
      <c r="AJ12" s="123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>
        <v>0</v>
      </c>
      <c r="AV12" s="260"/>
      <c r="AW12" s="260">
        <v>0</v>
      </c>
      <c r="AX12" s="260"/>
      <c r="AY12" s="260">
        <v>0</v>
      </c>
      <c r="AZ12" s="260"/>
      <c r="BA12" s="78">
        <f t="shared" si="2"/>
        <v>0</v>
      </c>
      <c r="BB12" s="78">
        <f>SUM(AK12:AZ12,V12,AD12)</f>
        <v>0</v>
      </c>
    </row>
    <row r="13" spans="1:56" ht="15.6" x14ac:dyDescent="0.3">
      <c r="P13" s="126"/>
      <c r="Q13" s="118" t="s">
        <v>33</v>
      </c>
      <c r="R13" s="120"/>
      <c r="S13" s="64"/>
      <c r="T13" s="258">
        <f>T12+T11</f>
        <v>37800</v>
      </c>
      <c r="U13" s="259"/>
      <c r="V13" s="258">
        <f>V12+V11</f>
        <v>64417</v>
      </c>
      <c r="W13" s="277"/>
      <c r="X13" s="261">
        <f>AD12+X11</f>
        <v>75500</v>
      </c>
      <c r="Y13" s="261"/>
      <c r="Z13" s="110"/>
      <c r="AA13" s="96"/>
      <c r="AB13" s="111"/>
      <c r="AC13" s="96"/>
      <c r="AD13" s="261">
        <f>AD12+AD11</f>
        <v>72191</v>
      </c>
      <c r="AE13" s="261"/>
      <c r="AF13" s="278">
        <f t="shared" ref="AF13" si="12">AF12+AF11</f>
        <v>71286</v>
      </c>
      <c r="AG13" s="277"/>
      <c r="AH13" s="110"/>
      <c r="AI13" s="96"/>
      <c r="AJ13" s="111"/>
      <c r="AK13" s="261">
        <f>AK12+AK11</f>
        <v>100753</v>
      </c>
      <c r="AL13" s="259"/>
      <c r="AM13" s="258">
        <f t="shared" ref="AM13" si="13">AM12+AM11</f>
        <v>52206</v>
      </c>
      <c r="AN13" s="259"/>
      <c r="AO13" s="258">
        <f t="shared" ref="AO13" si="14">AO12+AO11</f>
        <v>37846</v>
      </c>
      <c r="AP13" s="259"/>
      <c r="AQ13" s="258">
        <f t="shared" ref="AQ13" si="15">AQ12+AQ11</f>
        <v>36444</v>
      </c>
      <c r="AR13" s="259"/>
      <c r="AS13" s="258">
        <f t="shared" ref="AS13" si="16">AS12+AS11</f>
        <v>42941</v>
      </c>
      <c r="AT13" s="259"/>
      <c r="AU13" s="258">
        <f t="shared" ref="AU13" si="17">AU12+AU11</f>
        <v>0</v>
      </c>
      <c r="AV13" s="259"/>
      <c r="AW13" s="258">
        <f t="shared" ref="AW13" si="18">AW12+AW11</f>
        <v>0</v>
      </c>
      <c r="AX13" s="259"/>
      <c r="AY13" s="258">
        <f t="shared" ref="AY13" si="19">AY12+AY11</f>
        <v>0</v>
      </c>
      <c r="AZ13" s="259"/>
      <c r="BA13" s="21">
        <f>BA12+BA11</f>
        <v>136608</v>
      </c>
      <c r="BB13" s="21">
        <f>BB12+BB11</f>
        <v>406798</v>
      </c>
    </row>
    <row r="14" spans="1:56" ht="15.6" x14ac:dyDescent="0.3">
      <c r="Q14" s="84" t="s">
        <v>34</v>
      </c>
      <c r="R14" s="270"/>
      <c r="S14" s="257"/>
      <c r="T14" s="256"/>
      <c r="U14" s="257"/>
      <c r="V14" s="256">
        <v>75500</v>
      </c>
      <c r="W14" s="271"/>
      <c r="X14" s="272">
        <v>75500</v>
      </c>
      <c r="Y14" s="272"/>
      <c r="Z14" s="112"/>
      <c r="AA14" s="81"/>
      <c r="AB14" s="100"/>
      <c r="AC14" s="81"/>
      <c r="AD14" s="270">
        <v>75500</v>
      </c>
      <c r="AE14" s="271"/>
      <c r="AF14" s="270">
        <v>75500</v>
      </c>
      <c r="AG14" s="271"/>
      <c r="AH14" s="112"/>
      <c r="AI14" s="81"/>
      <c r="AJ14" s="100"/>
      <c r="AK14" s="272">
        <v>75500</v>
      </c>
      <c r="AL14" s="257"/>
      <c r="AM14" s="256">
        <v>75500</v>
      </c>
      <c r="AN14" s="257"/>
      <c r="AO14" s="256">
        <v>75500</v>
      </c>
      <c r="AP14" s="257"/>
      <c r="AQ14" s="256">
        <v>75500</v>
      </c>
      <c r="AR14" s="257"/>
      <c r="AS14" s="256">
        <v>75500</v>
      </c>
      <c r="AT14" s="257"/>
      <c r="AU14" s="256">
        <v>75500</v>
      </c>
      <c r="AV14" s="257"/>
      <c r="AW14" s="256">
        <v>75500</v>
      </c>
      <c r="AX14" s="257"/>
      <c r="AY14" s="256">
        <v>75500</v>
      </c>
      <c r="AZ14" s="257"/>
      <c r="BA14" s="17">
        <f>SUM(V14,AD14)</f>
        <v>151000</v>
      </c>
      <c r="BB14" s="17">
        <f>SUM(V14,AD14,AK14:AZ14)</f>
        <v>755000</v>
      </c>
      <c r="BC14" s="98"/>
    </row>
    <row r="15" spans="1:56" ht="15.6" x14ac:dyDescent="0.3">
      <c r="Q15" s="84" t="s">
        <v>35</v>
      </c>
      <c r="R15" s="268"/>
      <c r="S15" s="253"/>
      <c r="T15" s="252"/>
      <c r="U15" s="253"/>
      <c r="V15" s="252">
        <f>V14-V13</f>
        <v>11083</v>
      </c>
      <c r="W15" s="269"/>
      <c r="X15" s="253">
        <f>X14-X13</f>
        <v>0</v>
      </c>
      <c r="Y15" s="253"/>
      <c r="Z15" s="94"/>
      <c r="AA15" s="79"/>
      <c r="AB15" s="101"/>
      <c r="AC15" s="79"/>
      <c r="AD15" s="268">
        <f>AD14-AD13</f>
        <v>3309</v>
      </c>
      <c r="AE15" s="269"/>
      <c r="AF15" s="268">
        <f>AF14-AF13</f>
        <v>4214</v>
      </c>
      <c r="AG15" s="269"/>
      <c r="AH15" s="94"/>
      <c r="AI15" s="79"/>
      <c r="AJ15" s="101"/>
      <c r="AK15" s="253">
        <f t="shared" ref="AK15" si="20">AK14-AK13</f>
        <v>-25253</v>
      </c>
      <c r="AL15" s="253"/>
      <c r="AM15" s="252">
        <f t="shared" ref="AM15" si="21">AM14-AM13</f>
        <v>23294</v>
      </c>
      <c r="AN15" s="253"/>
      <c r="AO15" s="252">
        <f t="shared" ref="AO15" si="22">AO14-AO13</f>
        <v>37654</v>
      </c>
      <c r="AP15" s="253"/>
      <c r="AQ15" s="252">
        <f t="shared" ref="AQ15" si="23">AQ14-AQ13</f>
        <v>39056</v>
      </c>
      <c r="AR15" s="253"/>
      <c r="AS15" s="252">
        <f t="shared" ref="AS15" si="24">AS14-AS13</f>
        <v>32559</v>
      </c>
      <c r="AT15" s="253"/>
      <c r="AU15" s="252">
        <f t="shared" ref="AU15" si="25">AU14-AU13</f>
        <v>75500</v>
      </c>
      <c r="AV15" s="253"/>
      <c r="AW15" s="252">
        <f t="shared" ref="AW15" si="26">AW14-AW13</f>
        <v>75500</v>
      </c>
      <c r="AX15" s="253"/>
      <c r="AY15" s="252">
        <f t="shared" ref="AY15" si="27">AY14-AY13</f>
        <v>75500</v>
      </c>
      <c r="AZ15" s="253"/>
      <c r="BA15" s="23">
        <f>BA14-BA13</f>
        <v>14392</v>
      </c>
      <c r="BB15" s="23">
        <f>BB14-BB13</f>
        <v>348202</v>
      </c>
      <c r="BC15" s="98"/>
    </row>
    <row r="16" spans="1:56" ht="16.2" thickBot="1" x14ac:dyDescent="0.35">
      <c r="Q16" s="119" t="s">
        <v>36</v>
      </c>
      <c r="R16" s="273"/>
      <c r="S16" s="274"/>
      <c r="T16" s="254"/>
      <c r="U16" s="255"/>
      <c r="V16" s="254">
        <f t="shared" ref="V16:X16" si="28">(V13-V14)/V14</f>
        <v>-0.14679470198675496</v>
      </c>
      <c r="W16" s="275"/>
      <c r="X16" s="255">
        <f t="shared" si="28"/>
        <v>0</v>
      </c>
      <c r="Y16" s="255"/>
      <c r="Z16" s="113"/>
      <c r="AA16" s="114"/>
      <c r="AB16" s="115"/>
      <c r="AC16" s="146"/>
      <c r="AD16" s="255">
        <f t="shared" ref="AD16" si="29">(AD13-AD14)/AD14</f>
        <v>-4.3827814569536425E-2</v>
      </c>
      <c r="AE16" s="255"/>
      <c r="AF16" s="276">
        <f>(AF14-AF13)/AF14</f>
        <v>5.5814569536423844E-2</v>
      </c>
      <c r="AG16" s="275"/>
      <c r="AH16" s="121"/>
      <c r="AI16" s="122"/>
      <c r="AJ16" s="124"/>
      <c r="AK16" s="255">
        <f t="shared" ref="AK16" si="30">(AK14-AK13)/AK14</f>
        <v>-0.33447682119205296</v>
      </c>
      <c r="AL16" s="255"/>
      <c r="AM16" s="254">
        <f t="shared" ref="AM16" si="31">(AM14-AM13)/AM14</f>
        <v>0.30852980132450331</v>
      </c>
      <c r="AN16" s="255"/>
      <c r="AO16" s="254">
        <f t="shared" ref="AO16" si="32">(AO14-AO13)/AO14</f>
        <v>0.49872847682119203</v>
      </c>
      <c r="AP16" s="255"/>
      <c r="AQ16" s="254">
        <f t="shared" ref="AQ16" si="33">(AQ14-AQ13)/AQ14</f>
        <v>0.51729801324503311</v>
      </c>
      <c r="AR16" s="255"/>
      <c r="AS16" s="254">
        <f t="shared" ref="AS16" si="34">(AS14-AS13)/AS14</f>
        <v>0.43124503311258278</v>
      </c>
      <c r="AT16" s="255"/>
      <c r="AU16" s="254">
        <f t="shared" ref="AU16" si="35">(AU14-AU13)/AU14</f>
        <v>1</v>
      </c>
      <c r="AV16" s="255"/>
      <c r="AW16" s="254">
        <f t="shared" ref="AW16" si="36">(AW14-AW13)/AW14</f>
        <v>1</v>
      </c>
      <c r="AX16" s="255"/>
      <c r="AY16" s="254">
        <f t="shared" ref="AY16" si="37">(AY14-AY13)/AY14</f>
        <v>1</v>
      </c>
      <c r="AZ16" s="255"/>
      <c r="BA16" s="97">
        <f>(BA13-BA14)/BA14</f>
        <v>-9.5311258278145697E-2</v>
      </c>
      <c r="BB16" s="125">
        <f>(BB13-BB14)/BB14</f>
        <v>-0.46119470198675494</v>
      </c>
    </row>
    <row r="17" spans="1:53" s="11" customFormat="1" ht="75.599999999999994" customHeight="1" x14ac:dyDescent="0.3">
      <c r="A17" s="11" t="s">
        <v>273</v>
      </c>
      <c r="B17" s="11" t="s">
        <v>274</v>
      </c>
      <c r="C17" s="11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11" t="s">
        <v>42</v>
      </c>
      <c r="I17" s="11" t="s">
        <v>44</v>
      </c>
      <c r="J17" s="11" t="s">
        <v>45</v>
      </c>
      <c r="K17" s="11" t="s">
        <v>46</v>
      </c>
      <c r="L17" s="11" t="s">
        <v>47</v>
      </c>
      <c r="M17" s="11" t="s">
        <v>48</v>
      </c>
      <c r="N17" s="11" t="s">
        <v>49</v>
      </c>
      <c r="O17" s="11" t="s">
        <v>50</v>
      </c>
      <c r="P17" s="11" t="s">
        <v>51</v>
      </c>
      <c r="Q17" s="11" t="s">
        <v>52</v>
      </c>
      <c r="R17" s="9" t="s">
        <v>76</v>
      </c>
      <c r="S17" s="9" t="s">
        <v>77</v>
      </c>
      <c r="T17" s="9" t="s">
        <v>78</v>
      </c>
      <c r="U17" s="9" t="s">
        <v>79</v>
      </c>
      <c r="V17" s="11" t="s">
        <v>80</v>
      </c>
      <c r="W17" s="11" t="s">
        <v>81</v>
      </c>
      <c r="X17" s="92" t="s">
        <v>275</v>
      </c>
      <c r="Y17" s="92" t="s">
        <v>276</v>
      </c>
      <c r="Z17" s="99" t="s">
        <v>277</v>
      </c>
      <c r="AA17" s="99" t="s">
        <v>278</v>
      </c>
      <c r="AB17" s="99" t="s">
        <v>279</v>
      </c>
      <c r="AC17" s="137" t="s">
        <v>280</v>
      </c>
      <c r="AD17" s="11" t="s">
        <v>82</v>
      </c>
      <c r="AE17" s="11" t="s">
        <v>83</v>
      </c>
      <c r="AF17" s="92" t="s">
        <v>281</v>
      </c>
      <c r="AG17" s="92" t="s">
        <v>282</v>
      </c>
      <c r="AH17" s="93" t="s">
        <v>283</v>
      </c>
      <c r="AI17" s="93" t="s">
        <v>284</v>
      </c>
      <c r="AJ17" s="93" t="s">
        <v>285</v>
      </c>
      <c r="AK17" s="11" t="s">
        <v>84</v>
      </c>
      <c r="AL17" s="11" t="s">
        <v>85</v>
      </c>
      <c r="AM17" s="11" t="s">
        <v>86</v>
      </c>
      <c r="AN17" s="11" t="s">
        <v>87</v>
      </c>
      <c r="AO17" s="11" t="s">
        <v>88</v>
      </c>
      <c r="AP17" s="11" t="s">
        <v>89</v>
      </c>
      <c r="AQ17" s="11" t="s">
        <v>90</v>
      </c>
      <c r="AR17" s="11" t="s">
        <v>91</v>
      </c>
      <c r="AS17" s="11" t="s">
        <v>92</v>
      </c>
      <c r="AT17" s="11" t="s">
        <v>93</v>
      </c>
      <c r="AU17" s="11" t="s">
        <v>94</v>
      </c>
      <c r="AV17" s="11" t="s">
        <v>95</v>
      </c>
      <c r="AW17" s="11" t="s">
        <v>96</v>
      </c>
      <c r="AX17" s="11" t="s">
        <v>97</v>
      </c>
      <c r="AY17" s="11" t="s">
        <v>98</v>
      </c>
      <c r="AZ17" s="11" t="s">
        <v>99</v>
      </c>
      <c r="BA17" s="11" t="s">
        <v>100</v>
      </c>
    </row>
    <row r="18" spans="1:53" x14ac:dyDescent="0.3">
      <c r="A18" t="s">
        <v>286</v>
      </c>
      <c r="B18">
        <v>4</v>
      </c>
      <c r="C18" t="s">
        <v>101</v>
      </c>
      <c r="D18" t="s">
        <v>102</v>
      </c>
      <c r="E18" t="s">
        <v>128</v>
      </c>
      <c r="F18" t="s">
        <v>113</v>
      </c>
      <c r="G18" t="s">
        <v>16</v>
      </c>
      <c r="H18" t="s">
        <v>130</v>
      </c>
      <c r="I18" t="s">
        <v>105</v>
      </c>
      <c r="J18" t="s">
        <v>160</v>
      </c>
      <c r="K18" t="s">
        <v>161</v>
      </c>
      <c r="L18" t="s">
        <v>122</v>
      </c>
      <c r="M18" t="s">
        <v>148</v>
      </c>
      <c r="N18" t="s">
        <v>123</v>
      </c>
      <c r="O18" s="1">
        <v>44956</v>
      </c>
      <c r="P18" s="1">
        <v>45321</v>
      </c>
      <c r="Q18" s="1">
        <v>45611</v>
      </c>
      <c r="R18">
        <v>6</v>
      </c>
      <c r="T18">
        <v>11</v>
      </c>
      <c r="V18">
        <v>200</v>
      </c>
      <c r="W18">
        <v>4422</v>
      </c>
      <c r="X18">
        <v>200</v>
      </c>
      <c r="Y18">
        <v>4422</v>
      </c>
      <c r="Z18">
        <f>Portefeuille_ProgPropose4[[#This Row],[AC 2025]]-Portefeuille_ProgPropose4[[#This Row],[AC 2025 Trimestre précédent]]</f>
        <v>0</v>
      </c>
      <c r="AA18">
        <f>Portefeuille_ProgPropose4[[#This Row],[TR 2025]]-Portefeuille_ProgPropose4[[#This Row],[TR 2025 Trimestre précédent]]</f>
        <v>0</v>
      </c>
      <c r="AB18">
        <f>Portefeuille_ProgPropose4[[#This Row],[Écart AC 2025]]+Portefeuille_ProgPropose4[[#This Row],[Écart TR 2025]]</f>
        <v>0</v>
      </c>
      <c r="AD18">
        <v>69</v>
      </c>
      <c r="AE18">
        <v>216</v>
      </c>
      <c r="AF18">
        <v>69</v>
      </c>
      <c r="AG18">
        <v>216</v>
      </c>
      <c r="AH18">
        <f>Portefeuille_ProgPropose4[[#This Row],[AC 2026]]-Portefeuille_ProgPropose4[[#This Row],[AC 2026 Trimestre précédent]]</f>
        <v>0</v>
      </c>
      <c r="AI18">
        <f>Portefeuille_ProgPropose4[[#This Row],[TR 2026]]-Portefeuille_ProgPropose4[[#This Row],[TR 2026 Trimestre précédent]]</f>
        <v>0</v>
      </c>
      <c r="AJ18">
        <f>Portefeuille_ProgPropose4[[#This Row],[Écart AC 2026]]+Portefeuille_ProgPropose4[[#This Row],[Écart TR 2026]]</f>
        <v>0</v>
      </c>
      <c r="AR18"/>
      <c r="BA18" s="14">
        <f>SUM(Portefeuille_ProgPropose4[[#This Row],[AC ANT]:[TR 2025]],Portefeuille_ProgPropose4[[#This Row],[AC 2026]:[TR 2026]],Portefeuille_ProgPropose4[[#This Row],[AC 2027]:[TR 2034]])</f>
        <v>4924</v>
      </c>
    </row>
    <row r="19" spans="1:53" x14ac:dyDescent="0.3">
      <c r="A19" t="s">
        <v>286</v>
      </c>
      <c r="C19" t="s">
        <v>101</v>
      </c>
      <c r="D19" t="s">
        <v>102</v>
      </c>
      <c r="E19" t="s">
        <v>128</v>
      </c>
      <c r="F19" t="s">
        <v>140</v>
      </c>
      <c r="G19" t="s">
        <v>16</v>
      </c>
      <c r="H19" t="s">
        <v>16</v>
      </c>
      <c r="I19" t="s">
        <v>105</v>
      </c>
      <c r="J19" t="s">
        <v>141</v>
      </c>
      <c r="K19" t="s">
        <v>142</v>
      </c>
      <c r="L19" t="s">
        <v>143</v>
      </c>
      <c r="M19" t="s">
        <v>109</v>
      </c>
      <c r="N19" t="s">
        <v>123</v>
      </c>
      <c r="O19" s="1">
        <v>42900</v>
      </c>
      <c r="P19" s="1">
        <v>45323</v>
      </c>
      <c r="Q19" s="1">
        <v>45884</v>
      </c>
      <c r="R19">
        <v>61</v>
      </c>
      <c r="Z19">
        <f>Portefeuille_ProgPropose4[[#This Row],[AC 2025]]-Portefeuille_ProgPropose4[[#This Row],[AC 2025 Trimestre précédent]]</f>
        <v>0</v>
      </c>
      <c r="AA19">
        <f>Portefeuille_ProgPropose4[[#This Row],[TR 2025]]-Portefeuille_ProgPropose4[[#This Row],[TR 2025 Trimestre précédent]]</f>
        <v>0</v>
      </c>
      <c r="AB19">
        <f>Portefeuille_ProgPropose4[[#This Row],[Écart AC 2025]]+Portefeuille_ProgPropose4[[#This Row],[Écart TR 2025]]</f>
        <v>0</v>
      </c>
      <c r="AD19">
        <v>370</v>
      </c>
      <c r="AE19">
        <v>4948</v>
      </c>
      <c r="AF19">
        <v>370</v>
      </c>
      <c r="AG19">
        <v>4948</v>
      </c>
      <c r="AH19">
        <f>Portefeuille_ProgPropose4[[#This Row],[AC 2026]]-Portefeuille_ProgPropose4[[#This Row],[AC 2026 Trimestre précédent]]</f>
        <v>0</v>
      </c>
      <c r="AI19">
        <f>Portefeuille_ProgPropose4[[#This Row],[TR 2026]]-Portefeuille_ProgPropose4[[#This Row],[TR 2026 Trimestre précédent]]</f>
        <v>0</v>
      </c>
      <c r="AJ19">
        <f>Portefeuille_ProgPropose4[[#This Row],[Écart AC 2026]]+Portefeuille_ProgPropose4[[#This Row],[Écart TR 2026]]</f>
        <v>0</v>
      </c>
      <c r="AR19"/>
      <c r="BA19" s="14">
        <f>SUM(Portefeuille_ProgPropose4[[#This Row],[AC ANT]:[TR 2025]],Portefeuille_ProgPropose4[[#This Row],[AC 2026]:[TR 2026]],Portefeuille_ProgPropose4[[#This Row],[AC 2027]:[TR 2034]])</f>
        <v>5379</v>
      </c>
    </row>
    <row r="20" spans="1:53" x14ac:dyDescent="0.3">
      <c r="A20" t="s">
        <v>286</v>
      </c>
      <c r="B20">
        <v>4</v>
      </c>
      <c r="C20" t="s">
        <v>126</v>
      </c>
      <c r="D20" t="s">
        <v>127</v>
      </c>
      <c r="E20" t="s">
        <v>128</v>
      </c>
      <c r="F20" t="s">
        <v>252</v>
      </c>
      <c r="G20" t="s">
        <v>20</v>
      </c>
      <c r="H20" t="s">
        <v>20</v>
      </c>
      <c r="I20" t="s">
        <v>131</v>
      </c>
      <c r="J20" t="s">
        <v>259</v>
      </c>
      <c r="K20" t="s">
        <v>260</v>
      </c>
      <c r="L20" t="s">
        <v>159</v>
      </c>
      <c r="M20" t="s">
        <v>148</v>
      </c>
      <c r="N20" t="s">
        <v>291</v>
      </c>
      <c r="O20" s="1"/>
      <c r="P20" s="1"/>
      <c r="Q20" s="1"/>
      <c r="W20">
        <v>100</v>
      </c>
      <c r="Y20">
        <v>100</v>
      </c>
      <c r="Z20">
        <f>Portefeuille_ProgPropose4[[#This Row],[AC 2025]]-Portefeuille_ProgPropose4[[#This Row],[AC 2025 Trimestre précédent]]</f>
        <v>0</v>
      </c>
      <c r="AA20">
        <f>Portefeuille_ProgPropose4[[#This Row],[TR 2025]]-Portefeuille_ProgPropose4[[#This Row],[TR 2025 Trimestre précédent]]</f>
        <v>0</v>
      </c>
      <c r="AB20">
        <f>Portefeuille_ProgPropose4[[#This Row],[Écart AC 2025]]+Portefeuille_ProgPropose4[[#This Row],[Écart TR 2025]]</f>
        <v>0</v>
      </c>
      <c r="AE20"/>
      <c r="AH20">
        <f>Portefeuille_ProgPropose4[[#This Row],[AC 2026]]-Portefeuille_ProgPropose4[[#This Row],[AC 2026 Trimestre précédent]]</f>
        <v>0</v>
      </c>
      <c r="AI20">
        <f>Portefeuille_ProgPropose4[[#This Row],[TR 2026]]-Portefeuille_ProgPropose4[[#This Row],[TR 2026 Trimestre précédent]]</f>
        <v>0</v>
      </c>
      <c r="AJ20">
        <f>Portefeuille_ProgPropose4[[#This Row],[Écart AC 2026]]+Portefeuille_ProgPropose4[[#This Row],[Écart TR 2026]]</f>
        <v>0</v>
      </c>
      <c r="AR20"/>
      <c r="BA20" s="14">
        <f>SUM(Portefeuille_ProgPropose4[[#This Row],[AC ANT]:[TR 2025]],Portefeuille_ProgPropose4[[#This Row],[AC 2026]:[TR 2026]],Portefeuille_ProgPropose4[[#This Row],[AC 2027]:[TR 2034]])</f>
        <v>100</v>
      </c>
    </row>
    <row r="21" spans="1:53" x14ac:dyDescent="0.3">
      <c r="A21" t="s">
        <v>286</v>
      </c>
      <c r="B21">
        <v>6</v>
      </c>
      <c r="C21" t="s">
        <v>101</v>
      </c>
      <c r="D21" t="s">
        <v>102</v>
      </c>
      <c r="E21" t="s">
        <v>103</v>
      </c>
      <c r="F21" t="s">
        <v>113</v>
      </c>
      <c r="G21" t="s">
        <v>16</v>
      </c>
      <c r="H21" t="s">
        <v>20</v>
      </c>
      <c r="I21" t="s">
        <v>105</v>
      </c>
      <c r="J21" t="s">
        <v>114</v>
      </c>
      <c r="K21" t="s">
        <v>115</v>
      </c>
      <c r="L21" t="s">
        <v>116</v>
      </c>
      <c r="M21" t="s">
        <v>109</v>
      </c>
      <c r="N21" t="s">
        <v>110</v>
      </c>
      <c r="O21" s="1">
        <v>45105</v>
      </c>
      <c r="P21" s="1">
        <v>45672</v>
      </c>
      <c r="Q21" s="1">
        <v>45940</v>
      </c>
      <c r="R21">
        <v>25</v>
      </c>
      <c r="T21">
        <v>13</v>
      </c>
      <c r="V21">
        <v>48</v>
      </c>
      <c r="X21">
        <v>48</v>
      </c>
      <c r="Z21">
        <f>Portefeuille_ProgPropose4[[#This Row],[AC 2025]]-Portefeuille_ProgPropose4[[#This Row],[AC 2025 Trimestre précédent]]</f>
        <v>0</v>
      </c>
      <c r="AA21">
        <f>Portefeuille_ProgPropose4[[#This Row],[TR 2025]]-Portefeuille_ProgPropose4[[#This Row],[TR 2025 Trimestre précédent]]</f>
        <v>0</v>
      </c>
      <c r="AB21">
        <f>Portefeuille_ProgPropose4[[#This Row],[Écart AC 2025]]+Portefeuille_ProgPropose4[[#This Row],[Écart TR 2025]]</f>
        <v>0</v>
      </c>
      <c r="AD21">
        <v>855</v>
      </c>
      <c r="AE21">
        <v>11074</v>
      </c>
      <c r="AF21">
        <v>855</v>
      </c>
      <c r="AG21">
        <v>11074</v>
      </c>
      <c r="AH21">
        <f>Portefeuille_ProgPropose4[[#This Row],[AC 2026]]-Portefeuille_ProgPropose4[[#This Row],[AC 2026 Trimestre précédent]]</f>
        <v>0</v>
      </c>
      <c r="AI21">
        <f>Portefeuille_ProgPropose4[[#This Row],[TR 2026]]-Portefeuille_ProgPropose4[[#This Row],[TR 2026 Trimestre précédent]]</f>
        <v>0</v>
      </c>
      <c r="AJ21">
        <f>Portefeuille_ProgPropose4[[#This Row],[Écart AC 2026]]+Portefeuille_ProgPropose4[[#This Row],[Écart TR 2026]]</f>
        <v>0</v>
      </c>
      <c r="AR21"/>
      <c r="BA21" s="14">
        <f>SUM(Portefeuille_ProgPropose4[[#This Row],[AC ANT]:[TR 2025]],Portefeuille_ProgPropose4[[#This Row],[AC 2026]:[TR 2026]],Portefeuille_ProgPropose4[[#This Row],[AC 2027]:[TR 2034]])</f>
        <v>12015</v>
      </c>
    </row>
    <row r="22" spans="1:53" x14ac:dyDescent="0.3">
      <c r="A22" t="s">
        <v>286</v>
      </c>
      <c r="B22">
        <v>10</v>
      </c>
      <c r="C22" t="s">
        <v>101</v>
      </c>
      <c r="D22" t="s">
        <v>102</v>
      </c>
      <c r="E22" t="s">
        <v>128</v>
      </c>
      <c r="F22" t="s">
        <v>149</v>
      </c>
      <c r="G22" t="s">
        <v>16</v>
      </c>
      <c r="H22" t="s">
        <v>20</v>
      </c>
      <c r="I22" t="s">
        <v>131</v>
      </c>
      <c r="J22" t="s">
        <v>150</v>
      </c>
      <c r="K22" t="s">
        <v>151</v>
      </c>
      <c r="L22" t="s">
        <v>152</v>
      </c>
      <c r="M22" t="s">
        <v>109</v>
      </c>
      <c r="N22" t="s">
        <v>110</v>
      </c>
      <c r="O22" s="1">
        <v>45079</v>
      </c>
      <c r="P22" s="1">
        <v>45688</v>
      </c>
      <c r="Q22" s="1">
        <v>45762</v>
      </c>
      <c r="R22">
        <v>12</v>
      </c>
      <c r="T22">
        <v>255</v>
      </c>
      <c r="V22" s="102">
        <v>300</v>
      </c>
      <c r="W22" s="103"/>
      <c r="X22">
        <v>144</v>
      </c>
      <c r="Y22">
        <v>3159</v>
      </c>
      <c r="Z22">
        <f>Portefeuille_ProgPropose4[[#This Row],[AC 2025]]-Portefeuille_ProgPropose4[[#This Row],[AC 2025 Trimestre précédent]]</f>
        <v>156</v>
      </c>
      <c r="AA22">
        <f>Portefeuille_ProgPropose4[[#This Row],[TR 2025]]-Portefeuille_ProgPropose4[[#This Row],[TR 2025 Trimestre précédent]]</f>
        <v>-3159</v>
      </c>
      <c r="AB22">
        <f>Portefeuille_ProgPropose4[[#This Row],[Écart AC 2025]]+Portefeuille_ProgPropose4[[#This Row],[Écart TR 2025]]</f>
        <v>-3003</v>
      </c>
      <c r="AC22" t="s">
        <v>287</v>
      </c>
      <c r="AD22">
        <v>43</v>
      </c>
      <c r="AE22" s="103">
        <v>5940</v>
      </c>
      <c r="AF22">
        <v>43</v>
      </c>
      <c r="AG22">
        <v>2781</v>
      </c>
      <c r="AH22">
        <f>Portefeuille_ProgPropose4[[#This Row],[AC 2026]]-Portefeuille_ProgPropose4[[#This Row],[AC 2026 Trimestre précédent]]</f>
        <v>0</v>
      </c>
      <c r="AI22">
        <f>Portefeuille_ProgPropose4[[#This Row],[TR 2026]]-Portefeuille_ProgPropose4[[#This Row],[TR 2026 Trimestre précédent]]</f>
        <v>3159</v>
      </c>
      <c r="AJ22">
        <f>Portefeuille_ProgPropose4[[#This Row],[Écart AC 2026]]+Portefeuille_ProgPropose4[[#This Row],[Écart TR 2026]]</f>
        <v>3159</v>
      </c>
      <c r="AR22"/>
      <c r="BA22" s="14">
        <f>SUM(Portefeuille_ProgPropose4[[#This Row],[AC ANT]:[TR 2025]],Portefeuille_ProgPropose4[[#This Row],[AC 2026]:[TR 2026]],Portefeuille_ProgPropose4[[#This Row],[AC 2027]:[TR 2034]])</f>
        <v>6550</v>
      </c>
    </row>
    <row r="23" spans="1:53" x14ac:dyDescent="0.3">
      <c r="A23" t="s">
        <v>286</v>
      </c>
      <c r="B23">
        <v>1</v>
      </c>
      <c r="C23" t="s">
        <v>126</v>
      </c>
      <c r="D23" t="s">
        <v>127</v>
      </c>
      <c r="E23" t="s">
        <v>128</v>
      </c>
      <c r="F23" t="s">
        <v>129</v>
      </c>
      <c r="G23" t="s">
        <v>16</v>
      </c>
      <c r="H23" t="s">
        <v>130</v>
      </c>
      <c r="I23" t="s">
        <v>131</v>
      </c>
      <c r="J23" t="s">
        <v>132</v>
      </c>
      <c r="K23" t="s">
        <v>288</v>
      </c>
      <c r="L23" t="s">
        <v>134</v>
      </c>
      <c r="M23" t="s">
        <v>109</v>
      </c>
      <c r="N23" t="s">
        <v>110</v>
      </c>
      <c r="O23" s="1">
        <v>45218</v>
      </c>
      <c r="P23" s="1">
        <v>45688</v>
      </c>
      <c r="Q23" s="1">
        <v>45945</v>
      </c>
      <c r="T23">
        <v>10</v>
      </c>
      <c r="V23">
        <v>10</v>
      </c>
      <c r="X23">
        <v>10</v>
      </c>
      <c r="Z23">
        <f>Portefeuille_ProgPropose4[[#This Row],[AC 2025]]-Portefeuille_ProgPropose4[[#This Row],[AC 2025 Trimestre précédent]]</f>
        <v>0</v>
      </c>
      <c r="AA23">
        <f>Portefeuille_ProgPropose4[[#This Row],[TR 2025]]-Portefeuille_ProgPropose4[[#This Row],[TR 2025 Trimestre précédent]]</f>
        <v>0</v>
      </c>
      <c r="AB23">
        <f>Portefeuille_ProgPropose4[[#This Row],[Écart AC 2025]]+Portefeuille_ProgPropose4[[#This Row],[Écart TR 2025]]</f>
        <v>0</v>
      </c>
      <c r="AD23" s="102">
        <v>254</v>
      </c>
      <c r="AE23" s="103">
        <v>4584</v>
      </c>
      <c r="AF23">
        <v>100</v>
      </c>
      <c r="AG23">
        <v>6584</v>
      </c>
      <c r="AH23">
        <f>Portefeuille_ProgPropose4[[#This Row],[AC 2026]]-Portefeuille_ProgPropose4[[#This Row],[AC 2026 Trimestre précédent]]</f>
        <v>154</v>
      </c>
      <c r="AI23">
        <f>Portefeuille_ProgPropose4[[#This Row],[TR 2026]]-Portefeuille_ProgPropose4[[#This Row],[TR 2026 Trimestre précédent]]</f>
        <v>-2000</v>
      </c>
      <c r="AJ23">
        <f>Portefeuille_ProgPropose4[[#This Row],[Écart AC 2026]]+Portefeuille_ProgPropose4[[#This Row],[Écart TR 2026]]</f>
        <v>-1846</v>
      </c>
      <c r="AR23"/>
      <c r="BA23" s="14">
        <f>SUM(Portefeuille_ProgPropose4[[#This Row],[AC ANT]:[TR 2025]],Portefeuille_ProgPropose4[[#This Row],[AC 2026]:[TR 2026]],Portefeuille_ProgPropose4[[#This Row],[AC 2027]:[TR 2034]])</f>
        <v>4858</v>
      </c>
    </row>
    <row r="24" spans="1:53" x14ac:dyDescent="0.3">
      <c r="A24" t="s">
        <v>286</v>
      </c>
      <c r="C24" t="s">
        <v>101</v>
      </c>
      <c r="D24" t="s">
        <v>102</v>
      </c>
      <c r="E24" t="s">
        <v>136</v>
      </c>
      <c r="F24" t="s">
        <v>113</v>
      </c>
      <c r="G24" t="s">
        <v>16</v>
      </c>
      <c r="H24" t="s">
        <v>16</v>
      </c>
      <c r="I24" t="s">
        <v>131</v>
      </c>
      <c r="J24" t="s">
        <v>137</v>
      </c>
      <c r="K24" t="s">
        <v>138</v>
      </c>
      <c r="L24" t="s">
        <v>139</v>
      </c>
      <c r="M24" t="s">
        <v>109</v>
      </c>
      <c r="N24" t="s">
        <v>110</v>
      </c>
      <c r="O24" s="1">
        <v>45062</v>
      </c>
      <c r="P24" s="1">
        <v>45689</v>
      </c>
      <c r="Q24" s="1">
        <v>45962</v>
      </c>
      <c r="R24">
        <v>337</v>
      </c>
      <c r="S24">
        <v>41</v>
      </c>
      <c r="T24">
        <v>349</v>
      </c>
      <c r="V24">
        <v>340</v>
      </c>
      <c r="X24">
        <v>340</v>
      </c>
      <c r="Z24">
        <f>Portefeuille_ProgPropose4[[#This Row],[AC 2025]]-Portefeuille_ProgPropose4[[#This Row],[AC 2025 Trimestre précédent]]</f>
        <v>0</v>
      </c>
      <c r="AA24">
        <f>Portefeuille_ProgPropose4[[#This Row],[TR 2025]]-Portefeuille_ProgPropose4[[#This Row],[TR 2025 Trimestre précédent]]</f>
        <v>0</v>
      </c>
      <c r="AB24">
        <f>Portefeuille_ProgPropose4[[#This Row],[Écart AC 2025]]+Portefeuille_ProgPropose4[[#This Row],[Écart TR 2025]]</f>
        <v>0</v>
      </c>
      <c r="AD24">
        <v>1377</v>
      </c>
      <c r="AE24">
        <v>5741</v>
      </c>
      <c r="AF24">
        <v>1377</v>
      </c>
      <c r="AG24">
        <v>5741</v>
      </c>
      <c r="AH24">
        <f>Portefeuille_ProgPropose4[[#This Row],[AC 2026]]-Portefeuille_ProgPropose4[[#This Row],[AC 2026 Trimestre précédent]]</f>
        <v>0</v>
      </c>
      <c r="AI24">
        <f>Portefeuille_ProgPropose4[[#This Row],[TR 2026]]-Portefeuille_ProgPropose4[[#This Row],[TR 2026 Trimestre précédent]]</f>
        <v>0</v>
      </c>
      <c r="AJ24">
        <f>Portefeuille_ProgPropose4[[#This Row],[Écart AC 2026]]+Portefeuille_ProgPropose4[[#This Row],[Écart TR 2026]]</f>
        <v>0</v>
      </c>
      <c r="AR24"/>
      <c r="BA24" s="14">
        <f>SUM(Portefeuille_ProgPropose4[[#This Row],[AC ANT]:[TR 2025]],Portefeuille_ProgPropose4[[#This Row],[AC 2026]:[TR 2026]],Portefeuille_ProgPropose4[[#This Row],[AC 2027]:[TR 2034]])</f>
        <v>8185</v>
      </c>
    </row>
    <row r="25" spans="1:53" x14ac:dyDescent="0.3">
      <c r="A25" t="s">
        <v>286</v>
      </c>
      <c r="B25">
        <v>2</v>
      </c>
      <c r="C25" t="s">
        <v>101</v>
      </c>
      <c r="D25" t="s">
        <v>102</v>
      </c>
      <c r="E25" t="s">
        <v>103</v>
      </c>
      <c r="F25" t="s">
        <v>104</v>
      </c>
      <c r="G25" t="s">
        <v>16</v>
      </c>
      <c r="H25" t="s">
        <v>20</v>
      </c>
      <c r="I25" t="s">
        <v>105</v>
      </c>
      <c r="J25" t="s">
        <v>106</v>
      </c>
      <c r="K25" t="s">
        <v>107</v>
      </c>
      <c r="L25" t="s">
        <v>108</v>
      </c>
      <c r="M25" t="s">
        <v>109</v>
      </c>
      <c r="N25" t="s">
        <v>110</v>
      </c>
      <c r="O25" s="1">
        <v>45014</v>
      </c>
      <c r="P25" s="1">
        <v>45731</v>
      </c>
      <c r="Q25" s="1">
        <v>45840</v>
      </c>
      <c r="R25">
        <v>69</v>
      </c>
      <c r="T25">
        <v>303</v>
      </c>
      <c r="V25">
        <v>130</v>
      </c>
      <c r="X25">
        <v>130</v>
      </c>
      <c r="Z25">
        <f>Portefeuille_ProgPropose4[[#This Row],[AC 2025]]-Portefeuille_ProgPropose4[[#This Row],[AC 2025 Trimestre précédent]]</f>
        <v>0</v>
      </c>
      <c r="AA25">
        <f>Portefeuille_ProgPropose4[[#This Row],[TR 2025]]-Portefeuille_ProgPropose4[[#This Row],[TR 2025 Trimestre précédent]]</f>
        <v>0</v>
      </c>
      <c r="AB25">
        <f>Portefeuille_ProgPropose4[[#This Row],[Écart AC 2025]]+Portefeuille_ProgPropose4[[#This Row],[Écart TR 2025]]</f>
        <v>0</v>
      </c>
      <c r="AD25">
        <v>853</v>
      </c>
      <c r="AE25">
        <v>16557</v>
      </c>
      <c r="AF25">
        <v>853</v>
      </c>
      <c r="AG25">
        <v>16557</v>
      </c>
      <c r="AH25">
        <f>Portefeuille_ProgPropose4[[#This Row],[AC 2026]]-Portefeuille_ProgPropose4[[#This Row],[AC 2026 Trimestre précédent]]</f>
        <v>0</v>
      </c>
      <c r="AI25">
        <f>Portefeuille_ProgPropose4[[#This Row],[TR 2026]]-Portefeuille_ProgPropose4[[#This Row],[TR 2026 Trimestre précédent]]</f>
        <v>0</v>
      </c>
      <c r="AJ25">
        <f>Portefeuille_ProgPropose4[[#This Row],[Écart AC 2026]]+Portefeuille_ProgPropose4[[#This Row],[Écart TR 2026]]</f>
        <v>0</v>
      </c>
      <c r="AR25"/>
      <c r="BA25" s="14">
        <f>SUM(Portefeuille_ProgPropose4[[#This Row],[AC ANT]:[TR 2025]],Portefeuille_ProgPropose4[[#This Row],[AC 2026]:[TR 2026]],Portefeuille_ProgPropose4[[#This Row],[AC 2027]:[TR 2034]])</f>
        <v>17912</v>
      </c>
    </row>
    <row r="26" spans="1:53" x14ac:dyDescent="0.3">
      <c r="A26" t="s">
        <v>286</v>
      </c>
      <c r="C26" t="s">
        <v>126</v>
      </c>
      <c r="D26" t="s">
        <v>127</v>
      </c>
      <c r="E26" t="s">
        <v>103</v>
      </c>
      <c r="F26" t="s">
        <v>144</v>
      </c>
      <c r="G26" t="s">
        <v>16</v>
      </c>
      <c r="H26" t="s">
        <v>16</v>
      </c>
      <c r="I26" t="s">
        <v>131</v>
      </c>
      <c r="J26" t="s">
        <v>145</v>
      </c>
      <c r="K26" t="s">
        <v>146</v>
      </c>
      <c r="L26" t="s">
        <v>147</v>
      </c>
      <c r="M26" s="2">
        <v>2026</v>
      </c>
      <c r="N26" t="s">
        <v>110</v>
      </c>
      <c r="O26" s="1">
        <v>44609</v>
      </c>
      <c r="P26" s="1">
        <v>45731</v>
      </c>
      <c r="Q26" s="1">
        <v>45853</v>
      </c>
      <c r="R26">
        <v>117</v>
      </c>
      <c r="T26" s="102">
        <v>159</v>
      </c>
      <c r="V26" s="102">
        <v>105</v>
      </c>
      <c r="W26" s="102"/>
      <c r="X26">
        <v>230</v>
      </c>
      <c r="Y26">
        <v>4842</v>
      </c>
      <c r="Z26">
        <f>Portefeuille_ProgPropose4[[#This Row],[AC 2025]]-Portefeuille_ProgPropose4[[#This Row],[AC 2025 Trimestre précédent]]</f>
        <v>-125</v>
      </c>
      <c r="AA26">
        <f>Portefeuille_ProgPropose4[[#This Row],[TR 2025]]-Portefeuille_ProgPropose4[[#This Row],[TR 2025 Trimestre précédent]]</f>
        <v>-4842</v>
      </c>
      <c r="AB26">
        <f>Portefeuille_ProgPropose4[[#This Row],[Écart AC 2025]]+Portefeuille_ProgPropose4[[#This Row],[Écart TR 2025]]</f>
        <v>-4967</v>
      </c>
      <c r="AC26" t="s">
        <v>287</v>
      </c>
      <c r="AD26" s="102">
        <v>342</v>
      </c>
      <c r="AE26" s="102">
        <v>9684</v>
      </c>
      <c r="AF26">
        <v>130</v>
      </c>
      <c r="AG26">
        <v>4842</v>
      </c>
      <c r="AH26">
        <f>Portefeuille_ProgPropose4[[#This Row],[AC 2026]]-Portefeuille_ProgPropose4[[#This Row],[AC 2026 Trimestre précédent]]</f>
        <v>212</v>
      </c>
      <c r="AI26">
        <f>Portefeuille_ProgPropose4[[#This Row],[TR 2026]]-Portefeuille_ProgPropose4[[#This Row],[TR 2026 Trimestre précédent]]</f>
        <v>4842</v>
      </c>
      <c r="AJ26">
        <f>Portefeuille_ProgPropose4[[#This Row],[Écart AC 2026]]+Portefeuille_ProgPropose4[[#This Row],[Écart TR 2026]]</f>
        <v>5054</v>
      </c>
      <c r="AR26"/>
      <c r="BA26" s="14">
        <f>SUM(Portefeuille_ProgPropose4[[#This Row],[AC ANT]:[TR 2025]],Portefeuille_ProgPropose4[[#This Row],[AC 2026]:[TR 2026]],Portefeuille_ProgPropose4[[#This Row],[AC 2027]:[TR 2034]])</f>
        <v>10407</v>
      </c>
    </row>
    <row r="27" spans="1:53" x14ac:dyDescent="0.3">
      <c r="A27" t="s">
        <v>286</v>
      </c>
      <c r="B27">
        <v>8</v>
      </c>
      <c r="C27" t="s">
        <v>118</v>
      </c>
      <c r="D27" t="s">
        <v>102</v>
      </c>
      <c r="E27" t="s">
        <v>136</v>
      </c>
      <c r="F27" t="s">
        <v>252</v>
      </c>
      <c r="G27" t="s">
        <v>20</v>
      </c>
      <c r="H27" t="s">
        <v>20</v>
      </c>
      <c r="I27" t="s">
        <v>131</v>
      </c>
      <c r="J27" t="s">
        <v>255</v>
      </c>
      <c r="K27" t="s">
        <v>256</v>
      </c>
      <c r="L27" t="s">
        <v>209</v>
      </c>
      <c r="M27" t="s">
        <v>148</v>
      </c>
      <c r="N27" t="s">
        <v>291</v>
      </c>
      <c r="O27" s="1"/>
      <c r="P27" s="1"/>
      <c r="Q27" s="1"/>
      <c r="W27">
        <v>300</v>
      </c>
      <c r="Y27">
        <v>300</v>
      </c>
      <c r="Z27">
        <f>Portefeuille_ProgPropose4[[#This Row],[AC 2025]]-Portefeuille_ProgPropose4[[#This Row],[AC 2025 Trimestre précédent]]</f>
        <v>0</v>
      </c>
      <c r="AA27">
        <f>Portefeuille_ProgPropose4[[#This Row],[TR 2025]]-Portefeuille_ProgPropose4[[#This Row],[TR 2025 Trimestre précédent]]</f>
        <v>0</v>
      </c>
      <c r="AB27">
        <f>Portefeuille_ProgPropose4[[#This Row],[Écart AC 2025]]+Portefeuille_ProgPropose4[[#This Row],[Écart TR 2025]]</f>
        <v>0</v>
      </c>
      <c r="AE27"/>
      <c r="AH27">
        <f>Portefeuille_ProgPropose4[[#This Row],[AC 2026]]-Portefeuille_ProgPropose4[[#This Row],[AC 2026 Trimestre précédent]]</f>
        <v>0</v>
      </c>
      <c r="AI27">
        <f>Portefeuille_ProgPropose4[[#This Row],[TR 2026]]-Portefeuille_ProgPropose4[[#This Row],[TR 2026 Trimestre précédent]]</f>
        <v>0</v>
      </c>
      <c r="AJ27">
        <f>Portefeuille_ProgPropose4[[#This Row],[Écart AC 2026]]+Portefeuille_ProgPropose4[[#This Row],[Écart TR 2026]]</f>
        <v>0</v>
      </c>
      <c r="AR27"/>
      <c r="BA27" s="14">
        <f>SUM(Portefeuille_ProgPropose4[[#This Row],[AC ANT]:[TR 2025]],Portefeuille_ProgPropose4[[#This Row],[AC 2026]:[TR 2026]],Portefeuille_ProgPropose4[[#This Row],[AC 2027]:[TR 2034]])</f>
        <v>300</v>
      </c>
    </row>
    <row r="28" spans="1:53" x14ac:dyDescent="0.3">
      <c r="A28" t="s">
        <v>11</v>
      </c>
      <c r="B28">
        <v>9</v>
      </c>
      <c r="C28" t="s">
        <v>118</v>
      </c>
      <c r="D28" t="s">
        <v>102</v>
      </c>
      <c r="E28" t="s">
        <v>103</v>
      </c>
      <c r="F28" t="s">
        <v>252</v>
      </c>
      <c r="G28" t="s">
        <v>20</v>
      </c>
      <c r="H28" t="s">
        <v>20</v>
      </c>
      <c r="I28" t="s">
        <v>131</v>
      </c>
      <c r="J28" t="s">
        <v>257</v>
      </c>
      <c r="K28" t="s">
        <v>258</v>
      </c>
      <c r="L28" t="s">
        <v>180</v>
      </c>
      <c r="M28" t="s">
        <v>148</v>
      </c>
      <c r="N28" t="s">
        <v>291</v>
      </c>
      <c r="O28" s="1"/>
      <c r="P28" s="1"/>
      <c r="Q28" s="1"/>
      <c r="W28">
        <v>300</v>
      </c>
      <c r="Y28">
        <v>300</v>
      </c>
      <c r="Z28">
        <f>Portefeuille_ProgPropose4[[#This Row],[AC 2025]]-Portefeuille_ProgPropose4[[#This Row],[AC 2025 Trimestre précédent]]</f>
        <v>0</v>
      </c>
      <c r="AA28">
        <f>Portefeuille_ProgPropose4[[#This Row],[TR 2025]]-Portefeuille_ProgPropose4[[#This Row],[TR 2025 Trimestre précédent]]</f>
        <v>0</v>
      </c>
      <c r="AB28">
        <f>Portefeuille_ProgPropose4[[#This Row],[Écart AC 2025]]+Portefeuille_ProgPropose4[[#This Row],[Écart TR 2025]]</f>
        <v>0</v>
      </c>
      <c r="AE28"/>
      <c r="AH28">
        <f>Portefeuille_ProgPropose4[[#This Row],[AC 2026]]-Portefeuille_ProgPropose4[[#This Row],[AC 2026 Trimestre précédent]]</f>
        <v>0</v>
      </c>
      <c r="AI28">
        <f>Portefeuille_ProgPropose4[[#This Row],[TR 2026]]-Portefeuille_ProgPropose4[[#This Row],[TR 2026 Trimestre précédent]]</f>
        <v>0</v>
      </c>
      <c r="AJ28">
        <f>Portefeuille_ProgPropose4[[#This Row],[Écart AC 2026]]+Portefeuille_ProgPropose4[[#This Row],[Écart TR 2026]]</f>
        <v>0</v>
      </c>
      <c r="AR28"/>
      <c r="BA28" s="14">
        <f>SUM(Portefeuille_ProgPropose4[[#This Row],[AC ANT]:[TR 2025]],Portefeuille_ProgPropose4[[#This Row],[AC 2026]:[TR 2026]],Portefeuille_ProgPropose4[[#This Row],[AC 2027]:[TR 2034]])</f>
        <v>300</v>
      </c>
    </row>
    <row r="29" spans="1:53" x14ac:dyDescent="0.3">
      <c r="A29" t="s">
        <v>286</v>
      </c>
      <c r="C29" t="s">
        <v>101</v>
      </c>
      <c r="D29" t="s">
        <v>102</v>
      </c>
      <c r="E29" t="s">
        <v>177</v>
      </c>
      <c r="F29" t="s">
        <v>129</v>
      </c>
      <c r="G29" t="s">
        <v>16</v>
      </c>
      <c r="H29" t="s">
        <v>16</v>
      </c>
      <c r="I29" t="s">
        <v>131</v>
      </c>
      <c r="J29" t="s">
        <v>178</v>
      </c>
      <c r="K29" t="s">
        <v>179</v>
      </c>
      <c r="L29" t="s">
        <v>180</v>
      </c>
      <c r="M29" t="s">
        <v>176</v>
      </c>
      <c r="N29" t="s">
        <v>164</v>
      </c>
      <c r="O29" s="1"/>
      <c r="P29" s="1"/>
      <c r="Q29" s="1">
        <v>45195</v>
      </c>
      <c r="R29">
        <v>74.999999999999986</v>
      </c>
      <c r="S29">
        <v>101.00000000000001</v>
      </c>
      <c r="T29">
        <v>83</v>
      </c>
      <c r="U29">
        <v>1096</v>
      </c>
      <c r="V29">
        <v>15</v>
      </c>
      <c r="W29">
        <v>548</v>
      </c>
      <c r="X29">
        <v>15</v>
      </c>
      <c r="Y29">
        <v>548</v>
      </c>
      <c r="Z29">
        <f>Portefeuille_ProgPropose4[[#This Row],[AC 2025]]-Portefeuille_ProgPropose4[[#This Row],[AC 2025 Trimestre précédent]]</f>
        <v>0</v>
      </c>
      <c r="AA29">
        <f>Portefeuille_ProgPropose4[[#This Row],[TR 2025]]-Portefeuille_ProgPropose4[[#This Row],[TR 2025 Trimestre précédent]]</f>
        <v>0</v>
      </c>
      <c r="AB29">
        <f>Portefeuille_ProgPropose4[[#This Row],[Écart AC 2025]]+Portefeuille_ProgPropose4[[#This Row],[Écart TR 2025]]</f>
        <v>0</v>
      </c>
      <c r="AE29"/>
      <c r="AH29">
        <f>Portefeuille_ProgPropose4[[#This Row],[AC 2026]]-Portefeuille_ProgPropose4[[#This Row],[AC 2026 Trimestre précédent]]</f>
        <v>0</v>
      </c>
      <c r="AI29">
        <f>Portefeuille_ProgPropose4[[#This Row],[TR 2026]]-Portefeuille_ProgPropose4[[#This Row],[TR 2026 Trimestre précédent]]</f>
        <v>0</v>
      </c>
      <c r="AJ29">
        <f>Portefeuille_ProgPropose4[[#This Row],[Écart AC 2026]]+Portefeuille_ProgPropose4[[#This Row],[Écart TR 2026]]</f>
        <v>0</v>
      </c>
      <c r="AR29"/>
      <c r="BA29" s="14">
        <f>SUM(Portefeuille_ProgPropose4[[#This Row],[AC ANT]:[TR 2025]],Portefeuille_ProgPropose4[[#This Row],[AC 2026]:[TR 2026]],Portefeuille_ProgPropose4[[#This Row],[AC 2027]:[TR 2034]])</f>
        <v>1918</v>
      </c>
    </row>
    <row r="30" spans="1:53" x14ac:dyDescent="0.3">
      <c r="A30" t="s">
        <v>286</v>
      </c>
      <c r="B30">
        <v>6</v>
      </c>
      <c r="C30" t="s">
        <v>118</v>
      </c>
      <c r="D30" t="s">
        <v>102</v>
      </c>
      <c r="E30" t="s">
        <v>136</v>
      </c>
      <c r="F30" t="s">
        <v>104</v>
      </c>
      <c r="G30" t="s">
        <v>20</v>
      </c>
      <c r="H30" t="s">
        <v>20</v>
      </c>
      <c r="I30" t="s">
        <v>131</v>
      </c>
      <c r="J30" t="s">
        <v>157</v>
      </c>
      <c r="K30" t="s">
        <v>158</v>
      </c>
      <c r="L30" t="s">
        <v>159</v>
      </c>
      <c r="M30" t="s">
        <v>109</v>
      </c>
      <c r="N30" t="s">
        <v>155</v>
      </c>
      <c r="O30" s="1">
        <v>45641</v>
      </c>
      <c r="P30" s="1"/>
      <c r="Q30" s="1">
        <v>45884</v>
      </c>
      <c r="V30">
        <v>150</v>
      </c>
      <c r="X30">
        <v>150</v>
      </c>
      <c r="Z30">
        <f>Portefeuille_ProgPropose4[[#This Row],[AC 2025]]-Portefeuille_ProgPropose4[[#This Row],[AC 2025 Trimestre précédent]]</f>
        <v>0</v>
      </c>
      <c r="AA30">
        <f>Portefeuille_ProgPropose4[[#This Row],[TR 2025]]-Portefeuille_ProgPropose4[[#This Row],[TR 2025 Trimestre précédent]]</f>
        <v>0</v>
      </c>
      <c r="AB30">
        <f>Portefeuille_ProgPropose4[[#This Row],[Écart AC 2025]]+Portefeuille_ProgPropose4[[#This Row],[Écart TR 2025]]</f>
        <v>0</v>
      </c>
      <c r="AD30">
        <v>150</v>
      </c>
      <c r="AE30">
        <v>650</v>
      </c>
      <c r="AF30">
        <v>150</v>
      </c>
      <c r="AG30">
        <v>650</v>
      </c>
      <c r="AH30">
        <f>Portefeuille_ProgPropose4[[#This Row],[AC 2026]]-Portefeuille_ProgPropose4[[#This Row],[AC 2026 Trimestre précédent]]</f>
        <v>0</v>
      </c>
      <c r="AI30">
        <f>Portefeuille_ProgPropose4[[#This Row],[TR 2026]]-Portefeuille_ProgPropose4[[#This Row],[TR 2026 Trimestre précédent]]</f>
        <v>0</v>
      </c>
      <c r="AJ30">
        <f>Portefeuille_ProgPropose4[[#This Row],[Écart AC 2026]]+Portefeuille_ProgPropose4[[#This Row],[Écart TR 2026]]</f>
        <v>0</v>
      </c>
      <c r="AR30"/>
      <c r="BA30" s="14">
        <f>SUM(Portefeuille_ProgPropose4[[#This Row],[AC ANT]:[TR 2025]],Portefeuille_ProgPropose4[[#This Row],[AC 2026]:[TR 2026]],Portefeuille_ProgPropose4[[#This Row],[AC 2027]:[TR 2034]])</f>
        <v>950</v>
      </c>
    </row>
    <row r="31" spans="1:53" x14ac:dyDescent="0.3">
      <c r="A31" t="s">
        <v>286</v>
      </c>
      <c r="B31">
        <v>3</v>
      </c>
      <c r="C31" t="s">
        <v>126</v>
      </c>
      <c r="D31" t="s">
        <v>127</v>
      </c>
      <c r="E31" t="s">
        <v>128</v>
      </c>
      <c r="F31" t="s">
        <v>252</v>
      </c>
      <c r="G31" t="s">
        <v>20</v>
      </c>
      <c r="H31" t="s">
        <v>20</v>
      </c>
      <c r="I31" t="s">
        <v>131</v>
      </c>
      <c r="J31" t="s">
        <v>253</v>
      </c>
      <c r="K31" t="s">
        <v>254</v>
      </c>
      <c r="L31" t="s">
        <v>147</v>
      </c>
      <c r="M31" t="s">
        <v>148</v>
      </c>
      <c r="N31" t="s">
        <v>110</v>
      </c>
      <c r="O31" s="1">
        <v>45378</v>
      </c>
      <c r="P31" s="1"/>
      <c r="Q31" s="1">
        <v>45611</v>
      </c>
      <c r="V31">
        <v>10</v>
      </c>
      <c r="W31">
        <v>39</v>
      </c>
      <c r="X31">
        <v>10</v>
      </c>
      <c r="Y31">
        <v>39</v>
      </c>
      <c r="Z31">
        <f>Portefeuille_ProgPropose4[[#This Row],[AC 2025]]-Portefeuille_ProgPropose4[[#This Row],[AC 2025 Trimestre précédent]]</f>
        <v>0</v>
      </c>
      <c r="AA31">
        <f>Portefeuille_ProgPropose4[[#This Row],[TR 2025]]-Portefeuille_ProgPropose4[[#This Row],[TR 2025 Trimestre précédent]]</f>
        <v>0</v>
      </c>
      <c r="AB31">
        <f>Portefeuille_ProgPropose4[[#This Row],[Écart AC 2025]]+Portefeuille_ProgPropose4[[#This Row],[Écart TR 2025]]</f>
        <v>0</v>
      </c>
      <c r="AE31"/>
      <c r="AH31">
        <f>Portefeuille_ProgPropose4[[#This Row],[AC 2026]]-Portefeuille_ProgPropose4[[#This Row],[AC 2026 Trimestre précédent]]</f>
        <v>0</v>
      </c>
      <c r="AI31">
        <f>Portefeuille_ProgPropose4[[#This Row],[TR 2026]]-Portefeuille_ProgPropose4[[#This Row],[TR 2026 Trimestre précédent]]</f>
        <v>0</v>
      </c>
      <c r="AJ31">
        <f>Portefeuille_ProgPropose4[[#This Row],[Écart AC 2026]]+Portefeuille_ProgPropose4[[#This Row],[Écart TR 2026]]</f>
        <v>0</v>
      </c>
      <c r="AR31"/>
      <c r="BA31" s="14">
        <f>SUM(Portefeuille_ProgPropose4[[#This Row],[AC ANT]:[TR 2025]],Portefeuille_ProgPropose4[[#This Row],[AC 2026]:[TR 2026]],Portefeuille_ProgPropose4[[#This Row],[AC 2027]:[TR 2034]])</f>
        <v>49</v>
      </c>
    </row>
    <row r="32" spans="1:53" x14ac:dyDescent="0.3">
      <c r="A32" t="s">
        <v>286</v>
      </c>
      <c r="C32" t="s">
        <v>101</v>
      </c>
      <c r="D32" t="s">
        <v>102</v>
      </c>
      <c r="E32" t="s">
        <v>136</v>
      </c>
      <c r="F32" t="s">
        <v>104</v>
      </c>
      <c r="G32" t="s">
        <v>16</v>
      </c>
      <c r="H32" t="s">
        <v>20</v>
      </c>
      <c r="I32" t="s">
        <v>105</v>
      </c>
      <c r="J32" t="s">
        <v>170</v>
      </c>
      <c r="K32" t="s">
        <v>171</v>
      </c>
      <c r="L32" t="s">
        <v>172</v>
      </c>
      <c r="M32" t="s">
        <v>173</v>
      </c>
      <c r="N32" t="s">
        <v>110</v>
      </c>
      <c r="O32" s="1">
        <v>44833</v>
      </c>
      <c r="P32" s="1">
        <v>45976</v>
      </c>
      <c r="Q32" s="1">
        <v>46280</v>
      </c>
      <c r="R32">
        <v>497</v>
      </c>
      <c r="S32">
        <v>8</v>
      </c>
      <c r="T32">
        <v>557</v>
      </c>
      <c r="V32">
        <v>443</v>
      </c>
      <c r="X32">
        <v>443</v>
      </c>
      <c r="Z32">
        <f>Portefeuille_ProgPropose4[[#This Row],[AC 2025]]-Portefeuille_ProgPropose4[[#This Row],[AC 2025 Trimestre précédent]]</f>
        <v>0</v>
      </c>
      <c r="AA32">
        <f>Portefeuille_ProgPropose4[[#This Row],[TR 2025]]-Portefeuille_ProgPropose4[[#This Row],[TR 2025 Trimestre précédent]]</f>
        <v>0</v>
      </c>
      <c r="AB32">
        <f>Portefeuille_ProgPropose4[[#This Row],[Écart AC 2025]]+Portefeuille_ProgPropose4[[#This Row],[Écart TR 2025]]</f>
        <v>0</v>
      </c>
      <c r="AD32">
        <v>346</v>
      </c>
      <c r="AE32"/>
      <c r="AF32">
        <v>346</v>
      </c>
      <c r="AH32">
        <f>Portefeuille_ProgPropose4[[#This Row],[AC 2026]]-Portefeuille_ProgPropose4[[#This Row],[AC 2026 Trimestre précédent]]</f>
        <v>0</v>
      </c>
      <c r="AI32">
        <f>Portefeuille_ProgPropose4[[#This Row],[TR 2026]]-Portefeuille_ProgPropose4[[#This Row],[TR 2026 Trimestre précédent]]</f>
        <v>0</v>
      </c>
      <c r="AJ32">
        <f>Portefeuille_ProgPropose4[[#This Row],[Écart AC 2026]]+Portefeuille_ProgPropose4[[#This Row],[Écart TR 2026]]</f>
        <v>0</v>
      </c>
      <c r="AK32">
        <v>1338</v>
      </c>
      <c r="AL32">
        <v>15737</v>
      </c>
      <c r="AM32">
        <v>2195</v>
      </c>
      <c r="AN32">
        <v>4000</v>
      </c>
      <c r="AR32"/>
      <c r="BA32" s="14">
        <f>SUM(Portefeuille_ProgPropose4[[#This Row],[AC ANT]:[TR 2025]],Portefeuille_ProgPropose4[[#This Row],[AC 2026]:[TR 2026]],Portefeuille_ProgPropose4[[#This Row],[AC 2027]:[TR 2034]])</f>
        <v>25121</v>
      </c>
    </row>
    <row r="33" spans="1:53" x14ac:dyDescent="0.3">
      <c r="A33" t="s">
        <v>286</v>
      </c>
      <c r="B33">
        <v>5</v>
      </c>
      <c r="C33" t="s">
        <v>118</v>
      </c>
      <c r="D33" t="s">
        <v>102</v>
      </c>
      <c r="E33" t="s">
        <v>136</v>
      </c>
      <c r="F33" t="s">
        <v>113</v>
      </c>
      <c r="G33" t="s">
        <v>20</v>
      </c>
      <c r="H33" t="s">
        <v>20</v>
      </c>
      <c r="I33" t="s">
        <v>105</v>
      </c>
      <c r="J33" t="s">
        <v>248</v>
      </c>
      <c r="K33" t="s">
        <v>249</v>
      </c>
      <c r="L33" t="s">
        <v>180</v>
      </c>
      <c r="M33" t="s">
        <v>173</v>
      </c>
      <c r="N33" t="s">
        <v>155</v>
      </c>
      <c r="O33" s="1">
        <v>45580</v>
      </c>
      <c r="P33" s="1">
        <v>45945</v>
      </c>
      <c r="Q33" s="1">
        <v>46096</v>
      </c>
      <c r="V33">
        <v>100</v>
      </c>
      <c r="X33">
        <v>100</v>
      </c>
      <c r="Z33">
        <f>Portefeuille_ProgPropose4[[#This Row],[AC 2025]]-Portefeuille_ProgPropose4[[#This Row],[AC 2025 Trimestre précédent]]</f>
        <v>0</v>
      </c>
      <c r="AA33">
        <f>Portefeuille_ProgPropose4[[#This Row],[TR 2025]]-Portefeuille_ProgPropose4[[#This Row],[TR 2025 Trimestre précédent]]</f>
        <v>0</v>
      </c>
      <c r="AB33">
        <f>Portefeuille_ProgPropose4[[#This Row],[Écart AC 2025]]+Portefeuille_ProgPropose4[[#This Row],[Écart TR 2025]]</f>
        <v>0</v>
      </c>
      <c r="AD33">
        <v>110</v>
      </c>
      <c r="AE33"/>
      <c r="AF33">
        <v>110</v>
      </c>
      <c r="AH33">
        <f>Portefeuille_ProgPropose4[[#This Row],[AC 2026]]-Portefeuille_ProgPropose4[[#This Row],[AC 2026 Trimestre précédent]]</f>
        <v>0</v>
      </c>
      <c r="AI33">
        <f>Portefeuille_ProgPropose4[[#This Row],[TR 2026]]-Portefeuille_ProgPropose4[[#This Row],[TR 2026 Trimestre précédent]]</f>
        <v>0</v>
      </c>
      <c r="AJ33">
        <f>Portefeuille_ProgPropose4[[#This Row],[Écart AC 2026]]+Portefeuille_ProgPropose4[[#This Row],[Écart TR 2026]]</f>
        <v>0</v>
      </c>
      <c r="AK33">
        <v>110</v>
      </c>
      <c r="AL33">
        <v>1415</v>
      </c>
      <c r="AN33">
        <v>2030</v>
      </c>
      <c r="AR33"/>
      <c r="BA33" s="14">
        <f>SUM(Portefeuille_ProgPropose4[[#This Row],[AC ANT]:[TR 2025]],Portefeuille_ProgPropose4[[#This Row],[AC 2026]:[TR 2026]],Portefeuille_ProgPropose4[[#This Row],[AC 2027]:[TR 2034]])</f>
        <v>3765</v>
      </c>
    </row>
    <row r="34" spans="1:53" x14ac:dyDescent="0.3">
      <c r="A34" t="s">
        <v>286</v>
      </c>
      <c r="C34" t="s">
        <v>101</v>
      </c>
      <c r="D34" t="s">
        <v>102</v>
      </c>
      <c r="E34" t="s">
        <v>103</v>
      </c>
      <c r="F34" t="s">
        <v>140</v>
      </c>
      <c r="G34" t="s">
        <v>16</v>
      </c>
      <c r="H34" t="s">
        <v>16</v>
      </c>
      <c r="I34" t="s">
        <v>105</v>
      </c>
      <c r="J34" t="s">
        <v>174</v>
      </c>
      <c r="K34" t="s">
        <v>175</v>
      </c>
      <c r="L34" t="s">
        <v>143</v>
      </c>
      <c r="M34" t="s">
        <v>176</v>
      </c>
      <c r="N34" t="s">
        <v>164</v>
      </c>
      <c r="O34" s="1">
        <v>44014</v>
      </c>
      <c r="P34" s="1">
        <v>44294</v>
      </c>
      <c r="Q34" s="1">
        <v>45239</v>
      </c>
      <c r="R34">
        <v>389</v>
      </c>
      <c r="S34">
        <v>4986</v>
      </c>
      <c r="T34" s="102">
        <v>822</v>
      </c>
      <c r="U34" s="102">
        <v>28833</v>
      </c>
      <c r="V34" s="102">
        <v>350</v>
      </c>
      <c r="W34" s="102">
        <v>11768</v>
      </c>
      <c r="X34">
        <v>300</v>
      </c>
      <c r="Y34">
        <v>16142</v>
      </c>
      <c r="Z34">
        <f>Portefeuille_ProgPropose4[[#This Row],[AC 2025]]-Portefeuille_ProgPropose4[[#This Row],[AC 2025 Trimestre précédent]]</f>
        <v>50</v>
      </c>
      <c r="AA34">
        <f>Portefeuille_ProgPropose4[[#This Row],[TR 2025]]-Portefeuille_ProgPropose4[[#This Row],[TR 2025 Trimestre précédent]]</f>
        <v>-4374</v>
      </c>
      <c r="AB34">
        <f>Portefeuille_ProgPropose4[[#This Row],[Écart AC 2025]]+Portefeuille_ProgPropose4[[#This Row],[Écart TR 2025]]</f>
        <v>-4324</v>
      </c>
      <c r="AE34"/>
      <c r="AH34">
        <f>Portefeuille_ProgPropose4[[#This Row],[AC 2026]]-Portefeuille_ProgPropose4[[#This Row],[AC 2026 Trimestre précédent]]</f>
        <v>0</v>
      </c>
      <c r="AI34">
        <f>Portefeuille_ProgPropose4[[#This Row],[TR 2026]]-Portefeuille_ProgPropose4[[#This Row],[TR 2026 Trimestre précédent]]</f>
        <v>0</v>
      </c>
      <c r="AJ34">
        <f>Portefeuille_ProgPropose4[[#This Row],[Écart AC 2026]]+Portefeuille_ProgPropose4[[#This Row],[Écart TR 2026]]</f>
        <v>0</v>
      </c>
      <c r="AR34"/>
      <c r="BA34" s="14">
        <f>SUM(Portefeuille_ProgPropose4[[#This Row],[AC ANT]:[TR 2025]],Portefeuille_ProgPropose4[[#This Row],[AC 2026]:[TR 2026]],Portefeuille_ProgPropose4[[#This Row],[AC 2027]:[TR 2034]])</f>
        <v>47148</v>
      </c>
    </row>
    <row r="35" spans="1:53" x14ac:dyDescent="0.3">
      <c r="A35" t="s">
        <v>286</v>
      </c>
      <c r="C35" t="s">
        <v>118</v>
      </c>
      <c r="D35" t="s">
        <v>102</v>
      </c>
      <c r="E35" t="s">
        <v>103</v>
      </c>
      <c r="F35" t="s">
        <v>149</v>
      </c>
      <c r="G35" t="s">
        <v>16</v>
      </c>
      <c r="H35" t="s">
        <v>16</v>
      </c>
      <c r="I35" t="s">
        <v>131</v>
      </c>
      <c r="J35" t="s">
        <v>192</v>
      </c>
      <c r="K35" t="s">
        <v>193</v>
      </c>
      <c r="L35" t="s">
        <v>194</v>
      </c>
      <c r="M35" t="s">
        <v>176</v>
      </c>
      <c r="N35" t="s">
        <v>164</v>
      </c>
      <c r="O35" s="1">
        <v>44547</v>
      </c>
      <c r="P35" s="1">
        <v>45091</v>
      </c>
      <c r="Q35" s="1">
        <v>45375</v>
      </c>
      <c r="R35">
        <v>7</v>
      </c>
      <c r="T35">
        <v>25</v>
      </c>
      <c r="U35">
        <v>1600</v>
      </c>
      <c r="V35">
        <v>185</v>
      </c>
      <c r="W35">
        <v>5471</v>
      </c>
      <c r="X35">
        <v>185</v>
      </c>
      <c r="Y35">
        <v>5471</v>
      </c>
      <c r="Z35">
        <f>Portefeuille_ProgPropose4[[#This Row],[AC 2025]]-Portefeuille_ProgPropose4[[#This Row],[AC 2025 Trimestre précédent]]</f>
        <v>0</v>
      </c>
      <c r="AA35">
        <f>Portefeuille_ProgPropose4[[#This Row],[TR 2025]]-Portefeuille_ProgPropose4[[#This Row],[TR 2025 Trimestre précédent]]</f>
        <v>0</v>
      </c>
      <c r="AB35">
        <f>Portefeuille_ProgPropose4[[#This Row],[Écart AC 2025]]+Portefeuille_ProgPropose4[[#This Row],[Écart TR 2025]]</f>
        <v>0</v>
      </c>
      <c r="AE35"/>
      <c r="AH35">
        <f>Portefeuille_ProgPropose4[[#This Row],[AC 2026]]-Portefeuille_ProgPropose4[[#This Row],[AC 2026 Trimestre précédent]]</f>
        <v>0</v>
      </c>
      <c r="AI35">
        <f>Portefeuille_ProgPropose4[[#This Row],[TR 2026]]-Portefeuille_ProgPropose4[[#This Row],[TR 2026 Trimestre précédent]]</f>
        <v>0</v>
      </c>
      <c r="AJ35">
        <f>Portefeuille_ProgPropose4[[#This Row],[Écart AC 2026]]+Portefeuille_ProgPropose4[[#This Row],[Écart TR 2026]]</f>
        <v>0</v>
      </c>
      <c r="AR35"/>
      <c r="BA35" s="14">
        <f>SUM(Portefeuille_ProgPropose4[[#This Row],[AC ANT]:[TR 2025]],Portefeuille_ProgPropose4[[#This Row],[AC 2026]:[TR 2026]],Portefeuille_ProgPropose4[[#This Row],[AC 2027]:[TR 2034]])</f>
        <v>7288</v>
      </c>
    </row>
    <row r="36" spans="1:53" x14ac:dyDescent="0.3">
      <c r="A36" t="s">
        <v>286</v>
      </c>
      <c r="C36" t="s">
        <v>126</v>
      </c>
      <c r="D36" t="s">
        <v>127</v>
      </c>
      <c r="E36" t="s">
        <v>136</v>
      </c>
      <c r="F36" t="s">
        <v>104</v>
      </c>
      <c r="G36" t="s">
        <v>16</v>
      </c>
      <c r="H36" t="s">
        <v>16</v>
      </c>
      <c r="I36" t="s">
        <v>105</v>
      </c>
      <c r="J36" t="s">
        <v>162</v>
      </c>
      <c r="K36" t="s">
        <v>163</v>
      </c>
      <c r="L36" t="s">
        <v>122</v>
      </c>
      <c r="M36" t="s">
        <v>148</v>
      </c>
      <c r="N36" t="s">
        <v>164</v>
      </c>
      <c r="O36" s="1"/>
      <c r="P36" s="1"/>
      <c r="Q36" s="1"/>
      <c r="R36">
        <v>5398</v>
      </c>
      <c r="S36">
        <v>28152</v>
      </c>
      <c r="T36">
        <v>429</v>
      </c>
      <c r="U36" s="102">
        <v>891</v>
      </c>
      <c r="V36" s="102">
        <v>399</v>
      </c>
      <c r="W36">
        <v>67</v>
      </c>
      <c r="X36">
        <v>49</v>
      </c>
      <c r="Y36">
        <v>67</v>
      </c>
      <c r="Z36">
        <f>Portefeuille_ProgPropose4[[#This Row],[AC 2025]]-Portefeuille_ProgPropose4[[#This Row],[AC 2025 Trimestre précédent]]</f>
        <v>350</v>
      </c>
      <c r="AA36">
        <f>Portefeuille_ProgPropose4[[#This Row],[TR 2025]]-Portefeuille_ProgPropose4[[#This Row],[TR 2025 Trimestre précédent]]</f>
        <v>0</v>
      </c>
      <c r="AB36">
        <f>Portefeuille_ProgPropose4[[#This Row],[Écart AC 2025]]+Portefeuille_ProgPropose4[[#This Row],[Écart TR 2025]]</f>
        <v>350</v>
      </c>
      <c r="AD36" s="102">
        <v>60</v>
      </c>
      <c r="AE36"/>
      <c r="AF36">
        <v>30</v>
      </c>
      <c r="AH36">
        <f>Portefeuille_ProgPropose4[[#This Row],[AC 2026]]-Portefeuille_ProgPropose4[[#This Row],[AC 2026 Trimestre précédent]]</f>
        <v>30</v>
      </c>
      <c r="AI36">
        <f>Portefeuille_ProgPropose4[[#This Row],[TR 2026]]-Portefeuille_ProgPropose4[[#This Row],[TR 2026 Trimestre précédent]]</f>
        <v>0</v>
      </c>
      <c r="AJ36">
        <f>Portefeuille_ProgPropose4[[#This Row],[Écart AC 2026]]+Portefeuille_ProgPropose4[[#This Row],[Écart TR 2026]]</f>
        <v>30</v>
      </c>
      <c r="AR36"/>
      <c r="BA36" s="14">
        <f>SUM(Portefeuille_ProgPropose4[[#This Row],[AC ANT]:[TR 2025]],Portefeuille_ProgPropose4[[#This Row],[AC 2026]:[TR 2026]],Portefeuille_ProgPropose4[[#This Row],[AC 2027]:[TR 2034]])</f>
        <v>35396</v>
      </c>
    </row>
    <row r="37" spans="1:53" x14ac:dyDescent="0.3">
      <c r="A37" t="s">
        <v>286</v>
      </c>
      <c r="C37" t="s">
        <v>101</v>
      </c>
      <c r="D37" t="s">
        <v>102</v>
      </c>
      <c r="E37" t="s">
        <v>200</v>
      </c>
      <c r="F37" t="s">
        <v>104</v>
      </c>
      <c r="G37" t="s">
        <v>16</v>
      </c>
      <c r="H37" t="s">
        <v>20</v>
      </c>
      <c r="I37" t="s">
        <v>105</v>
      </c>
      <c r="J37" t="s">
        <v>201</v>
      </c>
      <c r="K37" t="s">
        <v>202</v>
      </c>
      <c r="L37" t="s">
        <v>108</v>
      </c>
      <c r="N37" t="s">
        <v>155</v>
      </c>
      <c r="O37" s="1"/>
      <c r="P37" s="1"/>
      <c r="Q37" s="1"/>
      <c r="R37">
        <v>277</v>
      </c>
      <c r="S37">
        <v>4</v>
      </c>
      <c r="Z37">
        <f>Portefeuille_ProgPropose4[[#This Row],[AC 2025]]-Portefeuille_ProgPropose4[[#This Row],[AC 2025 Trimestre précédent]]</f>
        <v>0</v>
      </c>
      <c r="AA37">
        <f>Portefeuille_ProgPropose4[[#This Row],[TR 2025]]-Portefeuille_ProgPropose4[[#This Row],[TR 2025 Trimestre précédent]]</f>
        <v>0</v>
      </c>
      <c r="AB37">
        <f>Portefeuille_ProgPropose4[[#This Row],[Écart AC 2025]]+Portefeuille_ProgPropose4[[#This Row],[Écart TR 2025]]</f>
        <v>0</v>
      </c>
      <c r="AD37">
        <v>127</v>
      </c>
      <c r="AE37"/>
      <c r="AF37">
        <v>127</v>
      </c>
      <c r="AH37">
        <f>Portefeuille_ProgPropose4[[#This Row],[AC 2026]]-Portefeuille_ProgPropose4[[#This Row],[AC 2026 Trimestre précédent]]</f>
        <v>0</v>
      </c>
      <c r="AI37">
        <f>Portefeuille_ProgPropose4[[#This Row],[TR 2026]]-Portefeuille_ProgPropose4[[#This Row],[TR 2026 Trimestre précédent]]</f>
        <v>0</v>
      </c>
      <c r="AJ37">
        <f>Portefeuille_ProgPropose4[[#This Row],[Écart AC 2026]]+Portefeuille_ProgPropose4[[#This Row],[Écart TR 2026]]</f>
        <v>0</v>
      </c>
      <c r="AK37">
        <v>125</v>
      </c>
      <c r="AM37">
        <v>471</v>
      </c>
      <c r="AR37"/>
      <c r="BA37" s="14">
        <f>SUM(Portefeuille_ProgPropose4[[#This Row],[AC ANT]:[TR 2025]],Portefeuille_ProgPropose4[[#This Row],[AC 2026]:[TR 2026]],Portefeuille_ProgPropose4[[#This Row],[AC 2027]:[TR 2034]])</f>
        <v>1004</v>
      </c>
    </row>
    <row r="38" spans="1:53" x14ac:dyDescent="0.3">
      <c r="A38" t="s">
        <v>286</v>
      </c>
      <c r="C38" t="s">
        <v>101</v>
      </c>
      <c r="D38" t="s">
        <v>102</v>
      </c>
      <c r="E38" t="s">
        <v>136</v>
      </c>
      <c r="F38" t="s">
        <v>113</v>
      </c>
      <c r="G38" t="s">
        <v>16</v>
      </c>
      <c r="H38" t="s">
        <v>20</v>
      </c>
      <c r="I38" t="s">
        <v>131</v>
      </c>
      <c r="J38" t="s">
        <v>185</v>
      </c>
      <c r="K38" t="s">
        <v>186</v>
      </c>
      <c r="L38" t="s">
        <v>187</v>
      </c>
      <c r="M38" t="s">
        <v>173</v>
      </c>
      <c r="N38" t="s">
        <v>110</v>
      </c>
      <c r="O38" s="1">
        <v>44823</v>
      </c>
      <c r="P38" s="1">
        <v>46096</v>
      </c>
      <c r="Q38" s="1">
        <v>46461</v>
      </c>
      <c r="R38">
        <v>282</v>
      </c>
      <c r="T38">
        <v>452</v>
      </c>
      <c r="V38">
        <v>835</v>
      </c>
      <c r="X38">
        <v>835</v>
      </c>
      <c r="Z38">
        <f>Portefeuille_ProgPropose4[[#This Row],[AC 2025]]-Portefeuille_ProgPropose4[[#This Row],[AC 2025 Trimestre précédent]]</f>
        <v>0</v>
      </c>
      <c r="AA38">
        <f>Portefeuille_ProgPropose4[[#This Row],[TR 2025]]-Portefeuille_ProgPropose4[[#This Row],[TR 2025 Trimestre précédent]]</f>
        <v>0</v>
      </c>
      <c r="AB38">
        <f>Portefeuille_ProgPropose4[[#This Row],[Écart AC 2025]]+Portefeuille_ProgPropose4[[#This Row],[Écart TR 2025]]</f>
        <v>0</v>
      </c>
      <c r="AD38">
        <v>630</v>
      </c>
      <c r="AE38"/>
      <c r="AF38">
        <v>630</v>
      </c>
      <c r="AH38">
        <f>Portefeuille_ProgPropose4[[#This Row],[AC 2026]]-Portefeuille_ProgPropose4[[#This Row],[AC 2026 Trimestre précédent]]</f>
        <v>0</v>
      </c>
      <c r="AI38">
        <f>Portefeuille_ProgPropose4[[#This Row],[TR 2026]]-Portefeuille_ProgPropose4[[#This Row],[TR 2026 Trimestre précédent]]</f>
        <v>0</v>
      </c>
      <c r="AJ38">
        <f>Portefeuille_ProgPropose4[[#This Row],[Écart AC 2026]]+Portefeuille_ProgPropose4[[#This Row],[Écart TR 2026]]</f>
        <v>0</v>
      </c>
      <c r="AK38">
        <v>225</v>
      </c>
      <c r="AL38">
        <v>1806</v>
      </c>
      <c r="AM38">
        <v>225</v>
      </c>
      <c r="AN38">
        <v>5369</v>
      </c>
      <c r="AO38">
        <v>225</v>
      </c>
      <c r="AP38">
        <v>9000</v>
      </c>
      <c r="AR38"/>
      <c r="BA38" s="14">
        <f>SUM(Portefeuille_ProgPropose4[[#This Row],[AC ANT]:[TR 2025]],Portefeuille_ProgPropose4[[#This Row],[AC 2026]:[TR 2026]],Portefeuille_ProgPropose4[[#This Row],[AC 2027]:[TR 2034]])</f>
        <v>19049</v>
      </c>
    </row>
    <row r="39" spans="1:53" x14ac:dyDescent="0.3">
      <c r="A39" t="s">
        <v>286</v>
      </c>
      <c r="B39">
        <v>7</v>
      </c>
      <c r="C39" t="s">
        <v>101</v>
      </c>
      <c r="D39" t="s">
        <v>102</v>
      </c>
      <c r="E39" t="s">
        <v>103</v>
      </c>
      <c r="F39" t="s">
        <v>149</v>
      </c>
      <c r="G39" t="s">
        <v>16</v>
      </c>
      <c r="H39" t="s">
        <v>20</v>
      </c>
      <c r="I39" t="s">
        <v>105</v>
      </c>
      <c r="J39" t="s">
        <v>228</v>
      </c>
      <c r="K39" t="s">
        <v>229</v>
      </c>
      <c r="L39" t="s">
        <v>230</v>
      </c>
      <c r="M39" t="s">
        <v>148</v>
      </c>
      <c r="N39" t="s">
        <v>297</v>
      </c>
      <c r="O39" s="1">
        <v>45022</v>
      </c>
      <c r="P39" s="1">
        <v>45463</v>
      </c>
      <c r="Q39" s="1">
        <v>45590</v>
      </c>
      <c r="R39">
        <v>61</v>
      </c>
      <c r="T39">
        <v>21</v>
      </c>
      <c r="V39">
        <v>580</v>
      </c>
      <c r="W39">
        <v>11581</v>
      </c>
      <c r="X39">
        <v>580</v>
      </c>
      <c r="Y39">
        <v>11581</v>
      </c>
      <c r="Z39">
        <f>Portefeuille_ProgPropose4[[#This Row],[AC 2025]]-Portefeuille_ProgPropose4[[#This Row],[AC 2025 Trimestre précédent]]</f>
        <v>0</v>
      </c>
      <c r="AA39">
        <f>Portefeuille_ProgPropose4[[#This Row],[TR 2025]]-Portefeuille_ProgPropose4[[#This Row],[TR 2025 Trimestre précédent]]</f>
        <v>0</v>
      </c>
      <c r="AB39">
        <f>Portefeuille_ProgPropose4[[#This Row],[Écart AC 2025]]+Portefeuille_ProgPropose4[[#This Row],[Écart TR 2025]]</f>
        <v>0</v>
      </c>
      <c r="AE39"/>
      <c r="AH39">
        <f>Portefeuille_ProgPropose4[[#This Row],[AC 2026]]-Portefeuille_ProgPropose4[[#This Row],[AC 2026 Trimestre précédent]]</f>
        <v>0</v>
      </c>
      <c r="AI39">
        <f>Portefeuille_ProgPropose4[[#This Row],[TR 2026]]-Portefeuille_ProgPropose4[[#This Row],[TR 2026 Trimestre précédent]]</f>
        <v>0</v>
      </c>
      <c r="AJ39">
        <f>Portefeuille_ProgPropose4[[#This Row],[Écart AC 2026]]+Portefeuille_ProgPropose4[[#This Row],[Écart TR 2026]]</f>
        <v>0</v>
      </c>
      <c r="AR39"/>
      <c r="BA39" s="14">
        <f>SUM(Portefeuille_ProgPropose4[[#This Row],[AC ANT]:[TR 2025]],Portefeuille_ProgPropose4[[#This Row],[AC 2026]:[TR 2026]],Portefeuille_ProgPropose4[[#This Row],[AC 2027]:[TR 2034]])</f>
        <v>12243</v>
      </c>
    </row>
    <row r="40" spans="1:53" x14ac:dyDescent="0.3">
      <c r="A40" t="s">
        <v>286</v>
      </c>
      <c r="B40">
        <v>1</v>
      </c>
      <c r="C40" t="s">
        <v>101</v>
      </c>
      <c r="D40" t="s">
        <v>102</v>
      </c>
      <c r="E40" t="s">
        <v>103</v>
      </c>
      <c r="F40" t="s">
        <v>104</v>
      </c>
      <c r="G40" t="s">
        <v>16</v>
      </c>
      <c r="H40" t="s">
        <v>130</v>
      </c>
      <c r="I40" t="s">
        <v>105</v>
      </c>
      <c r="J40" t="s">
        <v>215</v>
      </c>
      <c r="K40" t="s">
        <v>216</v>
      </c>
      <c r="L40" t="s">
        <v>217</v>
      </c>
      <c r="M40" t="s">
        <v>148</v>
      </c>
      <c r="N40" t="s">
        <v>123</v>
      </c>
      <c r="O40" s="1">
        <v>44838</v>
      </c>
      <c r="P40" s="1">
        <v>45441</v>
      </c>
      <c r="Q40" s="1">
        <v>45583</v>
      </c>
      <c r="R40">
        <v>218</v>
      </c>
      <c r="S40">
        <v>3</v>
      </c>
      <c r="T40">
        <v>82</v>
      </c>
      <c r="V40" s="102">
        <v>603</v>
      </c>
      <c r="W40" s="103">
        <v>14787</v>
      </c>
      <c r="X40">
        <v>641</v>
      </c>
      <c r="Y40">
        <v>11754</v>
      </c>
      <c r="Z40">
        <f>Portefeuille_ProgPropose4[[#This Row],[AC 2025]]-Portefeuille_ProgPropose4[[#This Row],[AC 2025 Trimestre précédent]]</f>
        <v>-38</v>
      </c>
      <c r="AA40">
        <f>Portefeuille_ProgPropose4[[#This Row],[TR 2025]]-Portefeuille_ProgPropose4[[#This Row],[TR 2025 Trimestre précédent]]</f>
        <v>3033</v>
      </c>
      <c r="AB40">
        <f>Portefeuille_ProgPropose4[[#This Row],[Écart AC 2025]]+Portefeuille_ProgPropose4[[#This Row],[Écart TR 2025]]</f>
        <v>2995</v>
      </c>
      <c r="AE40"/>
      <c r="AH40">
        <f>Portefeuille_ProgPropose4[[#This Row],[AC 2026]]-Portefeuille_ProgPropose4[[#This Row],[AC 2026 Trimestre précédent]]</f>
        <v>0</v>
      </c>
      <c r="AI40">
        <f>Portefeuille_ProgPropose4[[#This Row],[TR 2026]]-Portefeuille_ProgPropose4[[#This Row],[TR 2026 Trimestre précédent]]</f>
        <v>0</v>
      </c>
      <c r="AJ40">
        <f>Portefeuille_ProgPropose4[[#This Row],[Écart AC 2026]]+Portefeuille_ProgPropose4[[#This Row],[Écart TR 2026]]</f>
        <v>0</v>
      </c>
      <c r="AR40"/>
      <c r="BA40" s="14">
        <f>SUM(Portefeuille_ProgPropose4[[#This Row],[AC ANT]:[TR 2025]],Portefeuille_ProgPropose4[[#This Row],[AC 2026]:[TR 2026]],Portefeuille_ProgPropose4[[#This Row],[AC 2027]:[TR 2034]])</f>
        <v>15693</v>
      </c>
    </row>
    <row r="41" spans="1:53" x14ac:dyDescent="0.3">
      <c r="A41" t="s">
        <v>286</v>
      </c>
      <c r="B41">
        <v>3</v>
      </c>
      <c r="C41" t="s">
        <v>101</v>
      </c>
      <c r="D41" t="s">
        <v>102</v>
      </c>
      <c r="E41" t="s">
        <v>119</v>
      </c>
      <c r="F41" t="s">
        <v>129</v>
      </c>
      <c r="G41" t="s">
        <v>20</v>
      </c>
      <c r="H41" t="s">
        <v>20</v>
      </c>
      <c r="I41" t="s">
        <v>131</v>
      </c>
      <c r="J41" t="s">
        <v>153</v>
      </c>
      <c r="K41" t="s">
        <v>154</v>
      </c>
      <c r="L41" t="s">
        <v>134</v>
      </c>
      <c r="M41" s="2" t="s">
        <v>109</v>
      </c>
      <c r="N41" t="s">
        <v>123</v>
      </c>
      <c r="O41" s="1">
        <v>45601</v>
      </c>
      <c r="P41" s="1"/>
      <c r="Q41" s="1">
        <v>45976</v>
      </c>
      <c r="V41" s="103">
        <v>20</v>
      </c>
      <c r="X41">
        <v>75</v>
      </c>
      <c r="Z41">
        <f>Portefeuille_ProgPropose4[[#This Row],[AC 2025]]-Portefeuille_ProgPropose4[[#This Row],[AC 2025 Trimestre précédent]]</f>
        <v>-55</v>
      </c>
      <c r="AA41">
        <f>Portefeuille_ProgPropose4[[#This Row],[TR 2025]]-Portefeuille_ProgPropose4[[#This Row],[TR 2025 Trimestre précédent]]</f>
        <v>0</v>
      </c>
      <c r="AB41">
        <f>Portefeuille_ProgPropose4[[#This Row],[Écart AC 2025]]+Portefeuille_ProgPropose4[[#This Row],[Écart TR 2025]]</f>
        <v>-55</v>
      </c>
      <c r="AD41" s="103">
        <v>55</v>
      </c>
      <c r="AE41" s="103">
        <v>543</v>
      </c>
      <c r="AF41">
        <v>150</v>
      </c>
      <c r="AG41">
        <v>1000</v>
      </c>
      <c r="AH41">
        <f>Portefeuille_ProgPropose4[[#This Row],[AC 2026]]-Portefeuille_ProgPropose4[[#This Row],[AC 2026 Trimestre précédent]]</f>
        <v>-95</v>
      </c>
      <c r="AI41">
        <f>Portefeuille_ProgPropose4[[#This Row],[TR 2026]]-Portefeuille_ProgPropose4[[#This Row],[TR 2026 Trimestre précédent]]</f>
        <v>-457</v>
      </c>
      <c r="AJ41">
        <f>Portefeuille_ProgPropose4[[#This Row],[Écart AC 2026]]+Portefeuille_ProgPropose4[[#This Row],[Écart TR 2026]]</f>
        <v>-552</v>
      </c>
      <c r="AR41"/>
      <c r="BA41" s="14">
        <f>SUM(Portefeuille_ProgPropose4[[#This Row],[AC ANT]:[TR 2025]],Portefeuille_ProgPropose4[[#This Row],[AC 2026]:[TR 2026]],Portefeuille_ProgPropose4[[#This Row],[AC 2027]:[TR 2034]])</f>
        <v>618</v>
      </c>
    </row>
    <row r="42" spans="1:53" x14ac:dyDescent="0.3">
      <c r="A42" t="s">
        <v>286</v>
      </c>
      <c r="B42">
        <v>7</v>
      </c>
      <c r="C42" t="s">
        <v>118</v>
      </c>
      <c r="D42" t="s">
        <v>102</v>
      </c>
      <c r="E42" t="s">
        <v>119</v>
      </c>
      <c r="F42" t="s">
        <v>113</v>
      </c>
      <c r="G42" t="s">
        <v>20</v>
      </c>
      <c r="H42" t="s">
        <v>20</v>
      </c>
      <c r="I42" t="s">
        <v>105</v>
      </c>
      <c r="J42" t="s">
        <v>120</v>
      </c>
      <c r="K42" t="s">
        <v>289</v>
      </c>
      <c r="L42" t="s">
        <v>122</v>
      </c>
      <c r="M42" t="s">
        <v>148</v>
      </c>
      <c r="N42" t="s">
        <v>123</v>
      </c>
      <c r="O42" s="1">
        <v>45391</v>
      </c>
      <c r="P42" s="1">
        <v>45514</v>
      </c>
      <c r="Q42" s="1">
        <v>45611</v>
      </c>
      <c r="V42" s="103">
        <v>322</v>
      </c>
      <c r="W42" s="103">
        <v>1000</v>
      </c>
      <c r="X42">
        <v>22</v>
      </c>
      <c r="Z42">
        <f>Portefeuille_ProgPropose4[[#This Row],[AC 2025]]-Portefeuille_ProgPropose4[[#This Row],[AC 2025 Trimestre précédent]]</f>
        <v>300</v>
      </c>
      <c r="AA42">
        <f>Portefeuille_ProgPropose4[[#This Row],[TR 2025]]-Portefeuille_ProgPropose4[[#This Row],[TR 2025 Trimestre précédent]]</f>
        <v>1000</v>
      </c>
      <c r="AB42">
        <f>Portefeuille_ProgPropose4[[#This Row],[Écart AC 2025]]+Portefeuille_ProgPropose4[[#This Row],[Écart TR 2025]]</f>
        <v>1300</v>
      </c>
      <c r="AC42" t="s">
        <v>290</v>
      </c>
      <c r="AE42"/>
      <c r="AF42">
        <v>300</v>
      </c>
      <c r="AG42">
        <v>6704</v>
      </c>
      <c r="AH42">
        <f>Portefeuille_ProgPropose4[[#This Row],[AC 2026]]-Portefeuille_ProgPropose4[[#This Row],[AC 2026 Trimestre précédent]]</f>
        <v>-300</v>
      </c>
      <c r="AI42">
        <f>Portefeuille_ProgPropose4[[#This Row],[TR 2026]]-Portefeuille_ProgPropose4[[#This Row],[TR 2026 Trimestre précédent]]</f>
        <v>-6704</v>
      </c>
      <c r="AJ42">
        <f>Portefeuille_ProgPropose4[[#This Row],[Écart AC 2026]]+Portefeuille_ProgPropose4[[#This Row],[Écart TR 2026]]</f>
        <v>-7004</v>
      </c>
      <c r="AR42"/>
      <c r="BA42" s="14">
        <f>SUM(Portefeuille_ProgPropose4[[#This Row],[AC ANT]:[TR 2025]],Portefeuille_ProgPropose4[[#This Row],[AC 2026]:[TR 2026]],Portefeuille_ProgPropose4[[#This Row],[AC 2027]:[TR 2034]])</f>
        <v>1322</v>
      </c>
    </row>
    <row r="43" spans="1:53" x14ac:dyDescent="0.3">
      <c r="A43" t="s">
        <v>11</v>
      </c>
      <c r="C43" t="s">
        <v>118</v>
      </c>
      <c r="D43" t="s">
        <v>102</v>
      </c>
      <c r="E43" t="s">
        <v>177</v>
      </c>
      <c r="F43" t="s">
        <v>104</v>
      </c>
      <c r="G43" t="s">
        <v>16</v>
      </c>
      <c r="H43" t="s">
        <v>16</v>
      </c>
      <c r="I43" t="s">
        <v>105</v>
      </c>
      <c r="J43" t="s">
        <v>198</v>
      </c>
      <c r="K43" t="s">
        <v>199</v>
      </c>
      <c r="L43" t="s">
        <v>108</v>
      </c>
      <c r="M43" s="2"/>
      <c r="N43" t="s">
        <v>164</v>
      </c>
      <c r="O43" s="1"/>
      <c r="P43" s="1"/>
      <c r="Q43" s="1">
        <v>45176</v>
      </c>
      <c r="R43">
        <v>269</v>
      </c>
      <c r="T43">
        <v>27</v>
      </c>
      <c r="U43" s="102"/>
      <c r="V43" s="102"/>
      <c r="W43" s="102"/>
      <c r="X43">
        <v>245</v>
      </c>
      <c r="Y43">
        <v>8040</v>
      </c>
      <c r="Z43">
        <f>Portefeuille_ProgPropose4[[#This Row],[AC 2025]]-Portefeuille_ProgPropose4[[#This Row],[AC 2025 Trimestre précédent]]</f>
        <v>-245</v>
      </c>
      <c r="AA43">
        <f>Portefeuille_ProgPropose4[[#This Row],[TR 2025]]-Portefeuille_ProgPropose4[[#This Row],[TR 2025 Trimestre précédent]]</f>
        <v>-8040</v>
      </c>
      <c r="AB43">
        <f>Portefeuille_ProgPropose4[[#This Row],[Écart AC 2025]]+Portefeuille_ProgPropose4[[#This Row],[Écart TR 2025]]</f>
        <v>-8285</v>
      </c>
      <c r="AC43" t="s">
        <v>292</v>
      </c>
      <c r="AE43"/>
      <c r="AH43">
        <f>Portefeuille_ProgPropose4[[#This Row],[AC 2026]]-Portefeuille_ProgPropose4[[#This Row],[AC 2026 Trimestre précédent]]</f>
        <v>0</v>
      </c>
      <c r="AI43">
        <f>Portefeuille_ProgPropose4[[#This Row],[TR 2026]]-Portefeuille_ProgPropose4[[#This Row],[TR 2026 Trimestre précédent]]</f>
        <v>0</v>
      </c>
      <c r="AJ43">
        <f>Portefeuille_ProgPropose4[[#This Row],[Écart AC 2026]]+Portefeuille_ProgPropose4[[#This Row],[Écart TR 2026]]</f>
        <v>0</v>
      </c>
      <c r="AK43" s="103">
        <v>245</v>
      </c>
      <c r="AL43" s="103">
        <v>9060</v>
      </c>
      <c r="AR43"/>
      <c r="BA43" s="14">
        <f>SUM(Portefeuille_ProgPropose4[[#This Row],[AC ANT]:[TR 2025]],Portefeuille_ProgPropose4[[#This Row],[AC 2026]:[TR 2026]],Portefeuille_ProgPropose4[[#This Row],[AC 2027]:[TR 2034]])</f>
        <v>9601</v>
      </c>
    </row>
    <row r="44" spans="1:53" x14ac:dyDescent="0.3">
      <c r="A44" t="s">
        <v>286</v>
      </c>
      <c r="B44">
        <v>1</v>
      </c>
      <c r="C44" t="s">
        <v>118</v>
      </c>
      <c r="D44" t="s">
        <v>102</v>
      </c>
      <c r="E44" t="s">
        <v>136</v>
      </c>
      <c r="F44" t="s">
        <v>129</v>
      </c>
      <c r="G44" t="s">
        <v>16</v>
      </c>
      <c r="H44" t="s">
        <v>130</v>
      </c>
      <c r="I44" t="s">
        <v>131</v>
      </c>
      <c r="J44" t="s">
        <v>218</v>
      </c>
      <c r="K44" t="s">
        <v>219</v>
      </c>
      <c r="L44" t="s">
        <v>152</v>
      </c>
      <c r="M44" t="s">
        <v>148</v>
      </c>
      <c r="N44" t="s">
        <v>110</v>
      </c>
      <c r="O44" s="1">
        <v>45370</v>
      </c>
      <c r="P44" s="1"/>
      <c r="Q44" s="1">
        <v>45627</v>
      </c>
      <c r="R44">
        <v>6</v>
      </c>
      <c r="T44">
        <v>60</v>
      </c>
      <c r="V44">
        <v>54</v>
      </c>
      <c r="W44">
        <v>610</v>
      </c>
      <c r="X44">
        <v>54</v>
      </c>
      <c r="Y44">
        <v>610</v>
      </c>
      <c r="Z44">
        <f>Portefeuille_ProgPropose4[[#This Row],[AC 2025]]-Portefeuille_ProgPropose4[[#This Row],[AC 2025 Trimestre précédent]]</f>
        <v>0</v>
      </c>
      <c r="AA44">
        <f>Portefeuille_ProgPropose4[[#This Row],[TR 2025]]-Portefeuille_ProgPropose4[[#This Row],[TR 2025 Trimestre précédent]]</f>
        <v>0</v>
      </c>
      <c r="AB44">
        <f>Portefeuille_ProgPropose4[[#This Row],[Écart AC 2025]]+Portefeuille_ProgPropose4[[#This Row],[Écart TR 2025]]</f>
        <v>0</v>
      </c>
      <c r="AE44"/>
      <c r="AH44">
        <f>Portefeuille_ProgPropose4[[#This Row],[AC 2026]]-Portefeuille_ProgPropose4[[#This Row],[AC 2026 Trimestre précédent]]</f>
        <v>0</v>
      </c>
      <c r="AI44">
        <f>Portefeuille_ProgPropose4[[#This Row],[TR 2026]]-Portefeuille_ProgPropose4[[#This Row],[TR 2026 Trimestre précédent]]</f>
        <v>0</v>
      </c>
      <c r="AJ44">
        <f>Portefeuille_ProgPropose4[[#This Row],[Écart AC 2026]]+Portefeuille_ProgPropose4[[#This Row],[Écart TR 2026]]</f>
        <v>0</v>
      </c>
      <c r="AR44"/>
      <c r="BA44" s="14">
        <f>SUM(Portefeuille_ProgPropose4[[#This Row],[AC ANT]:[TR 2025]],Portefeuille_ProgPropose4[[#This Row],[AC 2026]:[TR 2026]],Portefeuille_ProgPropose4[[#This Row],[AC 2027]:[TR 2034]])</f>
        <v>730</v>
      </c>
    </row>
    <row r="45" spans="1:53" x14ac:dyDescent="0.3">
      <c r="A45" t="s">
        <v>286</v>
      </c>
      <c r="B45">
        <v>2</v>
      </c>
      <c r="C45" t="s">
        <v>118</v>
      </c>
      <c r="D45" t="s">
        <v>102</v>
      </c>
      <c r="E45" t="s">
        <v>177</v>
      </c>
      <c r="F45" t="s">
        <v>129</v>
      </c>
      <c r="G45" t="s">
        <v>20</v>
      </c>
      <c r="H45" t="s">
        <v>20</v>
      </c>
      <c r="I45" t="s">
        <v>131</v>
      </c>
      <c r="J45" t="s">
        <v>293</v>
      </c>
      <c r="K45" t="s">
        <v>294</v>
      </c>
      <c r="L45" t="s">
        <v>134</v>
      </c>
      <c r="M45" t="s">
        <v>148</v>
      </c>
      <c r="N45" t="s">
        <v>291</v>
      </c>
      <c r="O45" s="1"/>
      <c r="P45" s="1"/>
      <c r="Q45" s="1"/>
      <c r="V45" s="103">
        <v>100</v>
      </c>
      <c r="W45" s="103">
        <v>4000</v>
      </c>
      <c r="Z45">
        <f>Portefeuille_ProgPropose4[[#This Row],[AC 2025]]-Portefeuille_ProgPropose4[[#This Row],[AC 2025 Trimestre précédent]]</f>
        <v>100</v>
      </c>
      <c r="AA45">
        <f>Portefeuille_ProgPropose4[[#This Row],[TR 2025]]-Portefeuille_ProgPropose4[[#This Row],[TR 2025 Trimestre précédent]]</f>
        <v>4000</v>
      </c>
      <c r="AB45">
        <f>Portefeuille_ProgPropose4[[#This Row],[Écart AC 2025]]+Portefeuille_ProgPropose4[[#This Row],[Écart TR 2025]]</f>
        <v>4100</v>
      </c>
      <c r="AC45" t="s">
        <v>295</v>
      </c>
      <c r="AE45"/>
      <c r="AH45">
        <f>Portefeuille_ProgPropose4[[#This Row],[AC 2026]]-Portefeuille_ProgPropose4[[#This Row],[AC 2026 Trimestre précédent]]</f>
        <v>0</v>
      </c>
      <c r="AI45">
        <f>Portefeuille_ProgPropose4[[#This Row],[TR 2026]]-Portefeuille_ProgPropose4[[#This Row],[TR 2026 Trimestre précédent]]</f>
        <v>0</v>
      </c>
      <c r="AJ45">
        <f>Portefeuille_ProgPropose4[[#This Row],[Écart AC 2026]]+Portefeuille_ProgPropose4[[#This Row],[Écart TR 2026]]</f>
        <v>0</v>
      </c>
      <c r="AR45"/>
      <c r="BA45" s="14">
        <f>SUM(Portefeuille_ProgPropose4[[#This Row],[AC ANT]:[TR 2025]],Portefeuille_ProgPropose4[[#This Row],[AC 2026]:[TR 2026]],Portefeuille_ProgPropose4[[#This Row],[AC 2027]:[TR 2034]])</f>
        <v>4100</v>
      </c>
    </row>
    <row r="46" spans="1:53" x14ac:dyDescent="0.3">
      <c r="A46" t="s">
        <v>286</v>
      </c>
      <c r="C46" t="s">
        <v>118</v>
      </c>
      <c r="D46" t="s">
        <v>102</v>
      </c>
      <c r="E46" t="s">
        <v>119</v>
      </c>
      <c r="F46" t="s">
        <v>206</v>
      </c>
      <c r="G46" t="s">
        <v>16</v>
      </c>
      <c r="H46" t="s">
        <v>130</v>
      </c>
      <c r="I46" t="s">
        <v>131</v>
      </c>
      <c r="J46" t="s">
        <v>207</v>
      </c>
      <c r="K46" t="s">
        <v>208</v>
      </c>
      <c r="L46" t="s">
        <v>209</v>
      </c>
      <c r="M46" t="s">
        <v>173</v>
      </c>
      <c r="N46" t="s">
        <v>155</v>
      </c>
      <c r="O46" s="1">
        <v>45672</v>
      </c>
      <c r="P46" s="1">
        <v>46006</v>
      </c>
      <c r="Q46" s="1">
        <v>46310</v>
      </c>
      <c r="R46">
        <v>196</v>
      </c>
      <c r="V46">
        <v>40</v>
      </c>
      <c r="X46">
        <v>40</v>
      </c>
      <c r="Z46">
        <f>Portefeuille_ProgPropose4[[#This Row],[AC 2025]]-Portefeuille_ProgPropose4[[#This Row],[AC 2025 Trimestre précédent]]</f>
        <v>0</v>
      </c>
      <c r="AA46">
        <f>Portefeuille_ProgPropose4[[#This Row],[TR 2025]]-Portefeuille_ProgPropose4[[#This Row],[TR 2025 Trimestre précédent]]</f>
        <v>0</v>
      </c>
      <c r="AB46">
        <f>Portefeuille_ProgPropose4[[#This Row],[Écart AC 2025]]+Portefeuille_ProgPropose4[[#This Row],[Écart TR 2025]]</f>
        <v>0</v>
      </c>
      <c r="AD46">
        <v>255</v>
      </c>
      <c r="AE46"/>
      <c r="AF46">
        <v>255</v>
      </c>
      <c r="AH46">
        <f>Portefeuille_ProgPropose4[[#This Row],[AC 2026]]-Portefeuille_ProgPropose4[[#This Row],[AC 2026 Trimestre précédent]]</f>
        <v>0</v>
      </c>
      <c r="AI46">
        <f>Portefeuille_ProgPropose4[[#This Row],[TR 2026]]-Portefeuille_ProgPropose4[[#This Row],[TR 2026 Trimestre précédent]]</f>
        <v>0</v>
      </c>
      <c r="AJ46">
        <f>Portefeuille_ProgPropose4[[#This Row],[Écart AC 2026]]+Portefeuille_ProgPropose4[[#This Row],[Écart TR 2026]]</f>
        <v>0</v>
      </c>
      <c r="AK46">
        <v>396</v>
      </c>
      <c r="AL46">
        <v>1500</v>
      </c>
      <c r="AR46"/>
      <c r="BA46" s="14">
        <f>SUM(Portefeuille_ProgPropose4[[#This Row],[AC ANT]:[TR 2025]],Portefeuille_ProgPropose4[[#This Row],[AC 2026]:[TR 2026]],Portefeuille_ProgPropose4[[#This Row],[AC 2027]:[TR 2034]])</f>
        <v>2387</v>
      </c>
    </row>
    <row r="47" spans="1:53" x14ac:dyDescent="0.3">
      <c r="A47" t="s">
        <v>286</v>
      </c>
      <c r="B47">
        <v>3</v>
      </c>
      <c r="C47" t="s">
        <v>118</v>
      </c>
      <c r="D47" t="s">
        <v>102</v>
      </c>
      <c r="E47" t="s">
        <v>177</v>
      </c>
      <c r="F47" t="s">
        <v>113</v>
      </c>
      <c r="G47" t="s">
        <v>130</v>
      </c>
      <c r="H47" t="s">
        <v>20</v>
      </c>
      <c r="I47" t="s">
        <v>131</v>
      </c>
      <c r="J47" t="s">
        <v>240</v>
      </c>
      <c r="K47" t="s">
        <v>241</v>
      </c>
      <c r="L47" t="s">
        <v>187</v>
      </c>
      <c r="M47" t="s">
        <v>173</v>
      </c>
      <c r="N47" t="s">
        <v>155</v>
      </c>
      <c r="O47" s="1">
        <v>45611</v>
      </c>
      <c r="P47" s="1">
        <v>45945</v>
      </c>
      <c r="Q47" s="1">
        <v>46310</v>
      </c>
      <c r="V47">
        <v>100</v>
      </c>
      <c r="X47">
        <v>100</v>
      </c>
      <c r="Z47">
        <f>Portefeuille_ProgPropose4[[#This Row],[AC 2025]]-Portefeuille_ProgPropose4[[#This Row],[AC 2025 Trimestre précédent]]</f>
        <v>0</v>
      </c>
      <c r="AA47">
        <f>Portefeuille_ProgPropose4[[#This Row],[TR 2025]]-Portefeuille_ProgPropose4[[#This Row],[TR 2025 Trimestre précédent]]</f>
        <v>0</v>
      </c>
      <c r="AB47">
        <f>Portefeuille_ProgPropose4[[#This Row],[Écart AC 2025]]+Portefeuille_ProgPropose4[[#This Row],[Écart TR 2025]]</f>
        <v>0</v>
      </c>
      <c r="AD47">
        <v>100</v>
      </c>
      <c r="AE47"/>
      <c r="AF47">
        <v>100</v>
      </c>
      <c r="AH47">
        <f>Portefeuille_ProgPropose4[[#This Row],[AC 2026]]-Portefeuille_ProgPropose4[[#This Row],[AC 2026 Trimestre précédent]]</f>
        <v>0</v>
      </c>
      <c r="AI47">
        <f>Portefeuille_ProgPropose4[[#This Row],[TR 2026]]-Portefeuille_ProgPropose4[[#This Row],[TR 2026 Trimestre précédent]]</f>
        <v>0</v>
      </c>
      <c r="AJ47">
        <f>Portefeuille_ProgPropose4[[#This Row],[Écart AC 2026]]+Portefeuille_ProgPropose4[[#This Row],[Écart TR 2026]]</f>
        <v>0</v>
      </c>
      <c r="AK47">
        <v>400</v>
      </c>
      <c r="AL47">
        <v>7500</v>
      </c>
      <c r="AR47"/>
      <c r="BA47" s="14">
        <f>SUM(Portefeuille_ProgPropose4[[#This Row],[AC ANT]:[TR 2025]],Portefeuille_ProgPropose4[[#This Row],[AC 2026]:[TR 2026]],Portefeuille_ProgPropose4[[#This Row],[AC 2027]:[TR 2034]])</f>
        <v>8100</v>
      </c>
    </row>
    <row r="48" spans="1:53" x14ac:dyDescent="0.3">
      <c r="A48" t="s">
        <v>286</v>
      </c>
      <c r="C48" t="s">
        <v>118</v>
      </c>
      <c r="D48" t="s">
        <v>102</v>
      </c>
      <c r="E48" t="s">
        <v>188</v>
      </c>
      <c r="F48" t="s">
        <v>113</v>
      </c>
      <c r="G48" t="s">
        <v>16</v>
      </c>
      <c r="H48" t="s">
        <v>130</v>
      </c>
      <c r="I48" t="s">
        <v>131</v>
      </c>
      <c r="J48" t="s">
        <v>189</v>
      </c>
      <c r="K48" t="s">
        <v>190</v>
      </c>
      <c r="L48" t="s">
        <v>191</v>
      </c>
      <c r="M48" t="s">
        <v>173</v>
      </c>
      <c r="N48" t="s">
        <v>155</v>
      </c>
      <c r="O48" s="1">
        <v>45672</v>
      </c>
      <c r="P48" s="1">
        <v>45884</v>
      </c>
      <c r="Q48" s="1">
        <v>45945</v>
      </c>
      <c r="T48">
        <v>10</v>
      </c>
      <c r="V48" s="102">
        <v>167</v>
      </c>
      <c r="X48">
        <v>141</v>
      </c>
      <c r="Z48">
        <f>Portefeuille_ProgPropose4[[#This Row],[AC 2025]]-Portefeuille_ProgPropose4[[#This Row],[AC 2025 Trimestre précédent]]</f>
        <v>26</v>
      </c>
      <c r="AA48">
        <f>Portefeuille_ProgPropose4[[#This Row],[TR 2025]]-Portefeuille_ProgPropose4[[#This Row],[TR 2025 Trimestre précédent]]</f>
        <v>0</v>
      </c>
      <c r="AB48">
        <f>Portefeuille_ProgPropose4[[#This Row],[Écart AC 2025]]+Portefeuille_ProgPropose4[[#This Row],[Écart TR 2025]]</f>
        <v>26</v>
      </c>
      <c r="AD48" s="102">
        <v>227</v>
      </c>
      <c r="AE48" s="86"/>
      <c r="AF48">
        <v>50</v>
      </c>
      <c r="AH48">
        <f>Portefeuille_ProgPropose4[[#This Row],[AC 2026]]-Portefeuille_ProgPropose4[[#This Row],[AC 2026 Trimestre précédent]]</f>
        <v>177</v>
      </c>
      <c r="AI48">
        <f>Portefeuille_ProgPropose4[[#This Row],[TR 2026]]-Portefeuille_ProgPropose4[[#This Row],[TR 2026 Trimestre précédent]]</f>
        <v>0</v>
      </c>
      <c r="AJ48">
        <f>Portefeuille_ProgPropose4[[#This Row],[Écart AC 2026]]+Portefeuille_ProgPropose4[[#This Row],[Écart TR 2026]]</f>
        <v>177</v>
      </c>
      <c r="AL48">
        <v>1595</v>
      </c>
      <c r="AR48"/>
      <c r="BA48" s="14">
        <f>SUM(Portefeuille_ProgPropose4[[#This Row],[AC ANT]:[TR 2025]],Portefeuille_ProgPropose4[[#This Row],[AC 2026]:[TR 2026]],Portefeuille_ProgPropose4[[#This Row],[AC 2027]:[TR 2034]])</f>
        <v>1999</v>
      </c>
    </row>
    <row r="49" spans="1:53" x14ac:dyDescent="0.3">
      <c r="A49" t="s">
        <v>286</v>
      </c>
      <c r="C49" t="s">
        <v>126</v>
      </c>
      <c r="D49" t="s">
        <v>127</v>
      </c>
      <c r="E49" t="s">
        <v>103</v>
      </c>
      <c r="F49" t="s">
        <v>104</v>
      </c>
      <c r="G49" t="s">
        <v>16</v>
      </c>
      <c r="H49" t="s">
        <v>130</v>
      </c>
      <c r="I49" t="s">
        <v>131</v>
      </c>
      <c r="J49" t="s">
        <v>220</v>
      </c>
      <c r="K49" t="s">
        <v>221</v>
      </c>
      <c r="L49" t="s">
        <v>159</v>
      </c>
      <c r="M49" t="s">
        <v>173</v>
      </c>
      <c r="N49" t="s">
        <v>155</v>
      </c>
      <c r="O49" s="1">
        <v>45731</v>
      </c>
      <c r="P49" s="1">
        <v>46127</v>
      </c>
      <c r="Q49" s="1">
        <v>46433</v>
      </c>
      <c r="T49">
        <v>5</v>
      </c>
      <c r="V49">
        <v>5</v>
      </c>
      <c r="X49">
        <v>5</v>
      </c>
      <c r="Z49">
        <f>Portefeuille_ProgPropose4[[#This Row],[AC 2025]]-Portefeuille_ProgPropose4[[#This Row],[AC 2025 Trimestre précédent]]</f>
        <v>0</v>
      </c>
      <c r="AA49">
        <f>Portefeuille_ProgPropose4[[#This Row],[TR 2025]]-Portefeuille_ProgPropose4[[#This Row],[TR 2025 Trimestre précédent]]</f>
        <v>0</v>
      </c>
      <c r="AB49">
        <f>Portefeuille_ProgPropose4[[#This Row],[Écart AC 2025]]+Portefeuille_ProgPropose4[[#This Row],[Écart TR 2025]]</f>
        <v>0</v>
      </c>
      <c r="AD49">
        <v>170</v>
      </c>
      <c r="AE49"/>
      <c r="AF49">
        <v>170</v>
      </c>
      <c r="AH49">
        <f>Portefeuille_ProgPropose4[[#This Row],[AC 2026]]-Portefeuille_ProgPropose4[[#This Row],[AC 2026 Trimestre précédent]]</f>
        <v>0</v>
      </c>
      <c r="AI49">
        <f>Portefeuille_ProgPropose4[[#This Row],[TR 2026]]-Portefeuille_ProgPropose4[[#This Row],[TR 2026 Trimestre précédent]]</f>
        <v>0</v>
      </c>
      <c r="AJ49">
        <f>Portefeuille_ProgPropose4[[#This Row],[Écart AC 2026]]+Portefeuille_ProgPropose4[[#This Row],[Écart TR 2026]]</f>
        <v>0</v>
      </c>
      <c r="AK49">
        <v>100</v>
      </c>
      <c r="AL49">
        <v>12180</v>
      </c>
      <c r="AM49">
        <v>100</v>
      </c>
      <c r="AN49">
        <v>7570</v>
      </c>
      <c r="AO49">
        <v>100</v>
      </c>
      <c r="AP49">
        <v>10250</v>
      </c>
      <c r="AR49"/>
      <c r="BA49" s="14">
        <f>SUM(Portefeuille_ProgPropose4[[#This Row],[AC ANT]:[TR 2025]],Portefeuille_ProgPropose4[[#This Row],[AC 2026]:[TR 2026]],Portefeuille_ProgPropose4[[#This Row],[AC 2027]:[TR 2034]])</f>
        <v>30480</v>
      </c>
    </row>
    <row r="50" spans="1:53" x14ac:dyDescent="0.3">
      <c r="A50" t="s">
        <v>286</v>
      </c>
      <c r="C50" t="s">
        <v>126</v>
      </c>
      <c r="D50" t="s">
        <v>127</v>
      </c>
      <c r="E50" t="s">
        <v>177</v>
      </c>
      <c r="F50" t="s">
        <v>222</v>
      </c>
      <c r="G50" t="s">
        <v>16</v>
      </c>
      <c r="H50" t="s">
        <v>130</v>
      </c>
      <c r="I50" t="s">
        <v>223</v>
      </c>
      <c r="J50" t="s">
        <v>224</v>
      </c>
      <c r="K50" t="s">
        <v>225</v>
      </c>
      <c r="L50" t="s">
        <v>180</v>
      </c>
      <c r="M50" t="s">
        <v>173</v>
      </c>
      <c r="N50" t="s">
        <v>110</v>
      </c>
      <c r="O50" s="1">
        <v>44623</v>
      </c>
      <c r="P50" s="1">
        <v>45731</v>
      </c>
      <c r="Q50" s="1">
        <v>46006</v>
      </c>
      <c r="R50">
        <v>180.00000000000006</v>
      </c>
      <c r="T50">
        <v>102</v>
      </c>
      <c r="V50">
        <v>283</v>
      </c>
      <c r="W50" s="103">
        <v>364</v>
      </c>
      <c r="X50">
        <v>283</v>
      </c>
      <c r="Z50">
        <f>Portefeuille_ProgPropose4[[#This Row],[AC 2025]]-Portefeuille_ProgPropose4[[#This Row],[AC 2025 Trimestre précédent]]</f>
        <v>0</v>
      </c>
      <c r="AA50">
        <f>Portefeuille_ProgPropose4[[#This Row],[TR 2025]]-Portefeuille_ProgPropose4[[#This Row],[TR 2025 Trimestre précédent]]</f>
        <v>364</v>
      </c>
      <c r="AB50">
        <f>Portefeuille_ProgPropose4[[#This Row],[Écart AC 2025]]+Portefeuille_ProgPropose4[[#This Row],[Écart TR 2025]]</f>
        <v>364</v>
      </c>
      <c r="AC50" t="s">
        <v>295</v>
      </c>
      <c r="AD50">
        <v>53</v>
      </c>
      <c r="AE50" s="103">
        <v>1462</v>
      </c>
      <c r="AF50">
        <v>53.000000000000014</v>
      </c>
      <c r="AH50">
        <f>Portefeuille_ProgPropose4[[#This Row],[AC 2026]]-Portefeuille_ProgPropose4[[#This Row],[AC 2026 Trimestre précédent]]</f>
        <v>0</v>
      </c>
      <c r="AI50">
        <f>Portefeuille_ProgPropose4[[#This Row],[TR 2026]]-Portefeuille_ProgPropose4[[#This Row],[TR 2026 Trimestre précédent]]</f>
        <v>1462</v>
      </c>
      <c r="AJ50">
        <f>Portefeuille_ProgPropose4[[#This Row],[Écart AC 2026]]+Portefeuille_ProgPropose4[[#This Row],[Écart TR 2026]]</f>
        <v>1462</v>
      </c>
      <c r="AK50">
        <v>159</v>
      </c>
      <c r="AL50" s="103">
        <v>2986</v>
      </c>
      <c r="AM50">
        <v>212</v>
      </c>
      <c r="AN50" s="103">
        <v>4571</v>
      </c>
      <c r="AO50">
        <v>212</v>
      </c>
      <c r="AP50" s="103">
        <v>4666</v>
      </c>
      <c r="AQ50">
        <v>100</v>
      </c>
      <c r="AR50" s="103">
        <v>4762</v>
      </c>
      <c r="AT50" s="103"/>
      <c r="BA50" s="14">
        <f>SUM(Portefeuille_ProgPropose4[[#This Row],[AC ANT]:[TR 2025]],Portefeuille_ProgPropose4[[#This Row],[AC 2026]:[TR 2026]],Portefeuille_ProgPropose4[[#This Row],[AC 2027]:[TR 2034]])</f>
        <v>20112</v>
      </c>
    </row>
    <row r="51" spans="1:53" x14ac:dyDescent="0.3">
      <c r="A51" t="s">
        <v>286</v>
      </c>
      <c r="C51" t="s">
        <v>126</v>
      </c>
      <c r="D51" t="s">
        <v>127</v>
      </c>
      <c r="E51" t="s">
        <v>136</v>
      </c>
      <c r="F51" t="s">
        <v>113</v>
      </c>
      <c r="G51" t="s">
        <v>16</v>
      </c>
      <c r="H51" t="s">
        <v>20</v>
      </c>
      <c r="I51" t="s">
        <v>131</v>
      </c>
      <c r="J51" t="s">
        <v>226</v>
      </c>
      <c r="K51" t="s">
        <v>227</v>
      </c>
      <c r="L51" t="s">
        <v>139</v>
      </c>
      <c r="M51" t="s">
        <v>184</v>
      </c>
      <c r="N51" t="s">
        <v>110</v>
      </c>
      <c r="O51" s="1">
        <v>45330</v>
      </c>
      <c r="P51" s="1">
        <v>45960</v>
      </c>
      <c r="Q51" s="1">
        <v>46625</v>
      </c>
      <c r="R51">
        <v>44</v>
      </c>
      <c r="T51">
        <v>45</v>
      </c>
      <c r="V51">
        <v>100</v>
      </c>
      <c r="X51">
        <v>100</v>
      </c>
      <c r="Z51">
        <f>Portefeuille_ProgPropose4[[#This Row],[AC 2025]]-Portefeuille_ProgPropose4[[#This Row],[AC 2025 Trimestre précédent]]</f>
        <v>0</v>
      </c>
      <c r="AA51">
        <f>Portefeuille_ProgPropose4[[#This Row],[TR 2025]]-Portefeuille_ProgPropose4[[#This Row],[TR 2025 Trimestre précédent]]</f>
        <v>0</v>
      </c>
      <c r="AB51">
        <f>Portefeuille_ProgPropose4[[#This Row],[Écart AC 2025]]+Portefeuille_ProgPropose4[[#This Row],[Écart TR 2025]]</f>
        <v>0</v>
      </c>
      <c r="AD51">
        <v>288</v>
      </c>
      <c r="AE51"/>
      <c r="AF51">
        <v>288</v>
      </c>
      <c r="AH51">
        <f>Portefeuille_ProgPropose4[[#This Row],[AC 2026]]-Portefeuille_ProgPropose4[[#This Row],[AC 2026 Trimestre précédent]]</f>
        <v>0</v>
      </c>
      <c r="AI51">
        <f>Portefeuille_ProgPropose4[[#This Row],[TR 2026]]-Portefeuille_ProgPropose4[[#This Row],[TR 2026 Trimestre précédent]]</f>
        <v>0</v>
      </c>
      <c r="AJ51">
        <f>Portefeuille_ProgPropose4[[#This Row],[Écart AC 2026]]+Portefeuille_ProgPropose4[[#This Row],[Écart TR 2026]]</f>
        <v>0</v>
      </c>
      <c r="AK51">
        <v>475</v>
      </c>
      <c r="AM51">
        <v>475</v>
      </c>
      <c r="AO51">
        <v>573</v>
      </c>
      <c r="AQ51">
        <v>1000</v>
      </c>
      <c r="AR51">
        <v>4362</v>
      </c>
      <c r="AS51">
        <v>1077</v>
      </c>
      <c r="AT51">
        <v>12800</v>
      </c>
      <c r="BA51" s="14">
        <f>SUM(Portefeuille_ProgPropose4[[#This Row],[AC ANT]:[TR 2025]],Portefeuille_ProgPropose4[[#This Row],[AC 2026]:[TR 2026]],Portefeuille_ProgPropose4[[#This Row],[AC 2027]:[TR 2034]])</f>
        <v>21239</v>
      </c>
    </row>
    <row r="52" spans="1:53" x14ac:dyDescent="0.3">
      <c r="A52" t="s">
        <v>286</v>
      </c>
      <c r="C52" t="s">
        <v>126</v>
      </c>
      <c r="D52" t="s">
        <v>127</v>
      </c>
      <c r="E52" t="s">
        <v>136</v>
      </c>
      <c r="F52" t="s">
        <v>144</v>
      </c>
      <c r="G52" t="s">
        <v>16</v>
      </c>
      <c r="H52" t="s">
        <v>20</v>
      </c>
      <c r="I52" t="s">
        <v>131</v>
      </c>
      <c r="J52" t="s">
        <v>231</v>
      </c>
      <c r="K52" t="s">
        <v>232</v>
      </c>
      <c r="L52" t="s">
        <v>147</v>
      </c>
      <c r="M52" t="s">
        <v>173</v>
      </c>
      <c r="N52" t="s">
        <v>110</v>
      </c>
      <c r="O52" s="1">
        <v>45099</v>
      </c>
      <c r="P52" s="1">
        <v>45945</v>
      </c>
      <c r="Q52" s="1">
        <v>46371</v>
      </c>
      <c r="R52">
        <v>9</v>
      </c>
      <c r="T52">
        <v>180</v>
      </c>
      <c r="V52">
        <v>503</v>
      </c>
      <c r="X52">
        <v>503</v>
      </c>
      <c r="Z52">
        <f>Portefeuille_ProgPropose4[[#This Row],[AC 2025]]-Portefeuille_ProgPropose4[[#This Row],[AC 2025 Trimestre précédent]]</f>
        <v>0</v>
      </c>
      <c r="AA52">
        <f>Portefeuille_ProgPropose4[[#This Row],[TR 2025]]-Portefeuille_ProgPropose4[[#This Row],[TR 2025 Trimestre précédent]]</f>
        <v>0</v>
      </c>
      <c r="AB52">
        <f>Portefeuille_ProgPropose4[[#This Row],[Écart AC 2025]]+Portefeuille_ProgPropose4[[#This Row],[Écart TR 2025]]</f>
        <v>0</v>
      </c>
      <c r="AD52">
        <v>553</v>
      </c>
      <c r="AE52"/>
      <c r="AF52">
        <v>553</v>
      </c>
      <c r="AH52">
        <f>Portefeuille_ProgPropose4[[#This Row],[AC 2026]]-Portefeuille_ProgPropose4[[#This Row],[AC 2026 Trimestre précédent]]</f>
        <v>0</v>
      </c>
      <c r="AI52">
        <f>Portefeuille_ProgPropose4[[#This Row],[TR 2026]]-Portefeuille_ProgPropose4[[#This Row],[TR 2026 Trimestre précédent]]</f>
        <v>0</v>
      </c>
      <c r="AJ52">
        <f>Portefeuille_ProgPropose4[[#This Row],[Écart AC 2026]]+Portefeuille_ProgPropose4[[#This Row],[Écart TR 2026]]</f>
        <v>0</v>
      </c>
      <c r="AK52">
        <v>1185</v>
      </c>
      <c r="AL52">
        <v>6475</v>
      </c>
      <c r="AM52">
        <v>1602</v>
      </c>
      <c r="AN52">
        <v>6677</v>
      </c>
      <c r="AR52"/>
      <c r="BA52" s="14">
        <f>SUM(Portefeuille_ProgPropose4[[#This Row],[AC ANT]:[TR 2025]],Portefeuille_ProgPropose4[[#This Row],[AC 2026]:[TR 2026]],Portefeuille_ProgPropose4[[#This Row],[AC 2027]:[TR 2034]])</f>
        <v>17184</v>
      </c>
    </row>
    <row r="53" spans="1:53" x14ac:dyDescent="0.3">
      <c r="A53" t="s">
        <v>286</v>
      </c>
      <c r="B53">
        <v>8</v>
      </c>
      <c r="C53" t="s">
        <v>101</v>
      </c>
      <c r="D53" t="s">
        <v>102</v>
      </c>
      <c r="E53" t="s">
        <v>103</v>
      </c>
      <c r="F53" t="s">
        <v>149</v>
      </c>
      <c r="G53" t="s">
        <v>20</v>
      </c>
      <c r="H53" t="s">
        <v>20</v>
      </c>
      <c r="I53" t="s">
        <v>105</v>
      </c>
      <c r="J53" t="s">
        <v>235</v>
      </c>
      <c r="K53" t="s">
        <v>236</v>
      </c>
      <c r="L53" t="s">
        <v>205</v>
      </c>
      <c r="M53" t="s">
        <v>173</v>
      </c>
      <c r="N53" t="s">
        <v>155</v>
      </c>
      <c r="O53" s="1">
        <v>45641</v>
      </c>
      <c r="P53" s="1">
        <v>46006</v>
      </c>
      <c r="Q53" s="1">
        <v>46371</v>
      </c>
      <c r="V53">
        <v>75</v>
      </c>
      <c r="X53">
        <v>75</v>
      </c>
      <c r="Z53">
        <f>Portefeuille_ProgPropose4[[#This Row],[AC 2025]]-Portefeuille_ProgPropose4[[#This Row],[AC 2025 Trimestre précédent]]</f>
        <v>0</v>
      </c>
      <c r="AA53">
        <f>Portefeuille_ProgPropose4[[#This Row],[TR 2025]]-Portefeuille_ProgPropose4[[#This Row],[TR 2025 Trimestre précédent]]</f>
        <v>0</v>
      </c>
      <c r="AB53">
        <f>Portefeuille_ProgPropose4[[#This Row],[Écart AC 2025]]+Portefeuille_ProgPropose4[[#This Row],[Écart TR 2025]]</f>
        <v>0</v>
      </c>
      <c r="AD53">
        <v>300</v>
      </c>
      <c r="AE53"/>
      <c r="AF53">
        <v>300</v>
      </c>
      <c r="AH53">
        <f>Portefeuille_ProgPropose4[[#This Row],[AC 2026]]-Portefeuille_ProgPropose4[[#This Row],[AC 2026 Trimestre précédent]]</f>
        <v>0</v>
      </c>
      <c r="AI53">
        <f>Portefeuille_ProgPropose4[[#This Row],[TR 2026]]-Portefeuille_ProgPropose4[[#This Row],[TR 2026 Trimestre précédent]]</f>
        <v>0</v>
      </c>
      <c r="AJ53">
        <f>Portefeuille_ProgPropose4[[#This Row],[Écart AC 2026]]+Portefeuille_ProgPropose4[[#This Row],[Écart TR 2026]]</f>
        <v>0</v>
      </c>
      <c r="AK53">
        <v>475</v>
      </c>
      <c r="AL53">
        <v>14500</v>
      </c>
      <c r="AR53"/>
      <c r="BA53" s="14">
        <f>SUM(Portefeuille_ProgPropose4[[#This Row],[AC ANT]:[TR 2025]],Portefeuille_ProgPropose4[[#This Row],[AC 2026]:[TR 2026]],Portefeuille_ProgPropose4[[#This Row],[AC 2027]:[TR 2034]])</f>
        <v>15350</v>
      </c>
    </row>
    <row r="54" spans="1:53" x14ac:dyDescent="0.3">
      <c r="A54" t="s">
        <v>286</v>
      </c>
      <c r="B54">
        <v>11</v>
      </c>
      <c r="C54" t="s">
        <v>101</v>
      </c>
      <c r="D54" t="s">
        <v>102</v>
      </c>
      <c r="E54" t="s">
        <v>128</v>
      </c>
      <c r="F54" t="s">
        <v>140</v>
      </c>
      <c r="G54" t="s">
        <v>20</v>
      </c>
      <c r="H54" t="s">
        <v>20</v>
      </c>
      <c r="I54" t="s">
        <v>131</v>
      </c>
      <c r="J54" t="s">
        <v>246</v>
      </c>
      <c r="K54" t="s">
        <v>247</v>
      </c>
      <c r="L54" t="s">
        <v>180</v>
      </c>
      <c r="M54" t="s">
        <v>173</v>
      </c>
      <c r="N54" t="s">
        <v>155</v>
      </c>
      <c r="O54" s="1">
        <v>45641</v>
      </c>
      <c r="P54" s="1">
        <v>46006</v>
      </c>
      <c r="Q54" s="1">
        <v>46371</v>
      </c>
      <c r="V54">
        <v>50</v>
      </c>
      <c r="X54">
        <v>50</v>
      </c>
      <c r="Z54">
        <f>Portefeuille_ProgPropose4[[#This Row],[AC 2025]]-Portefeuille_ProgPropose4[[#This Row],[AC 2025 Trimestre précédent]]</f>
        <v>0</v>
      </c>
      <c r="AA54">
        <f>Portefeuille_ProgPropose4[[#This Row],[TR 2025]]-Portefeuille_ProgPropose4[[#This Row],[TR 2025 Trimestre précédent]]</f>
        <v>0</v>
      </c>
      <c r="AB54">
        <f>Portefeuille_ProgPropose4[[#This Row],[Écart AC 2025]]+Portefeuille_ProgPropose4[[#This Row],[Écart TR 2025]]</f>
        <v>0</v>
      </c>
      <c r="AD54">
        <v>100</v>
      </c>
      <c r="AE54"/>
      <c r="AF54">
        <v>100</v>
      </c>
      <c r="AH54">
        <f>Portefeuille_ProgPropose4[[#This Row],[AC 2026]]-Portefeuille_ProgPropose4[[#This Row],[AC 2026 Trimestre précédent]]</f>
        <v>0</v>
      </c>
      <c r="AI54">
        <f>Portefeuille_ProgPropose4[[#This Row],[TR 2026]]-Portefeuille_ProgPropose4[[#This Row],[TR 2026 Trimestre précédent]]</f>
        <v>0</v>
      </c>
      <c r="AJ54">
        <f>Portefeuille_ProgPropose4[[#This Row],[Écart AC 2026]]+Portefeuille_ProgPropose4[[#This Row],[Écart TR 2026]]</f>
        <v>0</v>
      </c>
      <c r="AK54">
        <v>200</v>
      </c>
      <c r="AL54">
        <v>2000</v>
      </c>
      <c r="AR54"/>
      <c r="BA54" s="14">
        <f>SUM(Portefeuille_ProgPropose4[[#This Row],[AC ANT]:[TR 2025]],Portefeuille_ProgPropose4[[#This Row],[AC 2026]:[TR 2026]],Portefeuille_ProgPropose4[[#This Row],[AC 2027]:[TR 2034]])</f>
        <v>2350</v>
      </c>
    </row>
    <row r="55" spans="1:53" x14ac:dyDescent="0.3">
      <c r="A55" t="s">
        <v>286</v>
      </c>
      <c r="B55">
        <v>2</v>
      </c>
      <c r="C55" t="s">
        <v>126</v>
      </c>
      <c r="D55" t="s">
        <v>127</v>
      </c>
      <c r="E55" t="s">
        <v>103</v>
      </c>
      <c r="F55" t="s">
        <v>149</v>
      </c>
      <c r="G55" t="s">
        <v>20</v>
      </c>
      <c r="H55" t="s">
        <v>20</v>
      </c>
      <c r="I55" t="s">
        <v>131</v>
      </c>
      <c r="J55" t="s">
        <v>233</v>
      </c>
      <c r="K55" t="s">
        <v>234</v>
      </c>
      <c r="L55" t="s">
        <v>152</v>
      </c>
      <c r="M55" t="s">
        <v>173</v>
      </c>
      <c r="N55" t="s">
        <v>155</v>
      </c>
      <c r="O55" s="1">
        <v>45657</v>
      </c>
      <c r="P55" s="1">
        <v>45945</v>
      </c>
      <c r="Q55" s="1">
        <v>46310</v>
      </c>
      <c r="V55">
        <v>100</v>
      </c>
      <c r="X55">
        <v>100</v>
      </c>
      <c r="Z55">
        <f>Portefeuille_ProgPropose4[[#This Row],[AC 2025]]-Portefeuille_ProgPropose4[[#This Row],[AC 2025 Trimestre précédent]]</f>
        <v>0</v>
      </c>
      <c r="AA55">
        <f>Portefeuille_ProgPropose4[[#This Row],[TR 2025]]-Portefeuille_ProgPropose4[[#This Row],[TR 2025 Trimestre précédent]]</f>
        <v>0</v>
      </c>
      <c r="AB55">
        <f>Portefeuille_ProgPropose4[[#This Row],[Écart AC 2025]]+Portefeuille_ProgPropose4[[#This Row],[Écart TR 2025]]</f>
        <v>0</v>
      </c>
      <c r="AD55">
        <v>150</v>
      </c>
      <c r="AE55"/>
      <c r="AF55">
        <v>150</v>
      </c>
      <c r="AH55">
        <f>Portefeuille_ProgPropose4[[#This Row],[AC 2026]]-Portefeuille_ProgPropose4[[#This Row],[AC 2026 Trimestre précédent]]</f>
        <v>0</v>
      </c>
      <c r="AI55">
        <f>Portefeuille_ProgPropose4[[#This Row],[TR 2026]]-Portefeuille_ProgPropose4[[#This Row],[TR 2026 Trimestre précédent]]</f>
        <v>0</v>
      </c>
      <c r="AJ55">
        <f>Portefeuille_ProgPropose4[[#This Row],[Écart AC 2026]]+Portefeuille_ProgPropose4[[#This Row],[Écart TR 2026]]</f>
        <v>0</v>
      </c>
      <c r="AK55">
        <v>500</v>
      </c>
      <c r="AL55">
        <v>7500</v>
      </c>
      <c r="AR55"/>
      <c r="BA55" s="14">
        <f>SUM(Portefeuille_ProgPropose4[[#This Row],[AC ANT]:[TR 2025]],Portefeuille_ProgPropose4[[#This Row],[AC 2026]:[TR 2026]],Portefeuille_ProgPropose4[[#This Row],[AC 2027]:[TR 2034]])</f>
        <v>8250</v>
      </c>
    </row>
    <row r="56" spans="1:53" x14ac:dyDescent="0.3">
      <c r="A56" t="s">
        <v>286</v>
      </c>
      <c r="B56">
        <v>4</v>
      </c>
      <c r="C56" t="s">
        <v>118</v>
      </c>
      <c r="D56" t="s">
        <v>102</v>
      </c>
      <c r="E56" t="s">
        <v>242</v>
      </c>
      <c r="F56" t="s">
        <v>113</v>
      </c>
      <c r="G56" t="s">
        <v>20</v>
      </c>
      <c r="H56" t="s">
        <v>20</v>
      </c>
      <c r="I56" t="s">
        <v>131</v>
      </c>
      <c r="J56" t="s">
        <v>243</v>
      </c>
      <c r="K56" t="s">
        <v>244</v>
      </c>
      <c r="L56" t="s">
        <v>245</v>
      </c>
      <c r="M56" t="s">
        <v>173</v>
      </c>
      <c r="N56" t="s">
        <v>155</v>
      </c>
      <c r="O56" s="1">
        <v>45672</v>
      </c>
      <c r="P56" s="1">
        <v>45976</v>
      </c>
      <c r="Q56" s="1">
        <v>46341</v>
      </c>
      <c r="V56">
        <v>50</v>
      </c>
      <c r="X56">
        <v>50</v>
      </c>
      <c r="Z56">
        <f>Portefeuille_ProgPropose4[[#This Row],[AC 2025]]-Portefeuille_ProgPropose4[[#This Row],[AC 2025 Trimestre précédent]]</f>
        <v>0</v>
      </c>
      <c r="AA56">
        <f>Portefeuille_ProgPropose4[[#This Row],[TR 2025]]-Portefeuille_ProgPropose4[[#This Row],[TR 2025 Trimestre précédent]]</f>
        <v>0</v>
      </c>
      <c r="AB56">
        <f>Portefeuille_ProgPropose4[[#This Row],[Écart AC 2025]]+Portefeuille_ProgPropose4[[#This Row],[Écart TR 2025]]</f>
        <v>0</v>
      </c>
      <c r="AD56">
        <v>150</v>
      </c>
      <c r="AE56"/>
      <c r="AF56">
        <v>150</v>
      </c>
      <c r="AH56">
        <f>Portefeuille_ProgPropose4[[#This Row],[AC 2026]]-Portefeuille_ProgPropose4[[#This Row],[AC 2026 Trimestre précédent]]</f>
        <v>0</v>
      </c>
      <c r="AI56">
        <f>Portefeuille_ProgPropose4[[#This Row],[TR 2026]]-Portefeuille_ProgPropose4[[#This Row],[TR 2026 Trimestre précédent]]</f>
        <v>0</v>
      </c>
      <c r="AJ56">
        <f>Portefeuille_ProgPropose4[[#This Row],[Écart AC 2026]]+Portefeuille_ProgPropose4[[#This Row],[Écart TR 2026]]</f>
        <v>0</v>
      </c>
      <c r="AK56">
        <v>150</v>
      </c>
      <c r="AL56">
        <v>2000</v>
      </c>
      <c r="AR56"/>
      <c r="BA56" s="14">
        <f>SUM(Portefeuille_ProgPropose4[[#This Row],[AC ANT]:[TR 2025]],Portefeuille_ProgPropose4[[#This Row],[AC 2026]:[TR 2026]],Portefeuille_ProgPropose4[[#This Row],[AC 2027]:[TR 2034]])</f>
        <v>2350</v>
      </c>
    </row>
    <row r="57" spans="1:53" x14ac:dyDescent="0.3">
      <c r="A57" t="s">
        <v>286</v>
      </c>
      <c r="B57">
        <v>5</v>
      </c>
      <c r="C57" t="s">
        <v>101</v>
      </c>
      <c r="D57" t="s">
        <v>102</v>
      </c>
      <c r="E57" t="s">
        <v>136</v>
      </c>
      <c r="F57" t="s">
        <v>149</v>
      </c>
      <c r="G57" t="s">
        <v>20</v>
      </c>
      <c r="H57" t="s">
        <v>20</v>
      </c>
      <c r="I57" t="s">
        <v>105</v>
      </c>
      <c r="J57" t="s">
        <v>203</v>
      </c>
      <c r="K57" t="s">
        <v>204</v>
      </c>
      <c r="L57" t="s">
        <v>205</v>
      </c>
      <c r="M57" t="s">
        <v>173</v>
      </c>
      <c r="N57" t="s">
        <v>155</v>
      </c>
      <c r="O57" s="1">
        <v>45703</v>
      </c>
      <c r="P57" s="1">
        <v>45915</v>
      </c>
      <c r="Q57" s="1">
        <v>46295</v>
      </c>
      <c r="V57">
        <v>85</v>
      </c>
      <c r="X57">
        <v>85</v>
      </c>
      <c r="Z57">
        <f>Portefeuille_ProgPropose4[[#This Row],[AC 2025]]-Portefeuille_ProgPropose4[[#This Row],[AC 2025 Trimestre précédent]]</f>
        <v>0</v>
      </c>
      <c r="AA57">
        <f>Portefeuille_ProgPropose4[[#This Row],[TR 2025]]-Portefeuille_ProgPropose4[[#This Row],[TR 2025 Trimestre précédent]]</f>
        <v>0</v>
      </c>
      <c r="AB57">
        <f>Portefeuille_ProgPropose4[[#This Row],[Écart AC 2025]]+Portefeuille_ProgPropose4[[#This Row],[Écart TR 2025]]</f>
        <v>0</v>
      </c>
      <c r="AD57">
        <v>85</v>
      </c>
      <c r="AE57"/>
      <c r="AF57">
        <v>85</v>
      </c>
      <c r="AH57">
        <f>Portefeuille_ProgPropose4[[#This Row],[AC 2026]]-Portefeuille_ProgPropose4[[#This Row],[AC 2026 Trimestre précédent]]</f>
        <v>0</v>
      </c>
      <c r="AI57">
        <f>Portefeuille_ProgPropose4[[#This Row],[TR 2026]]-Portefeuille_ProgPropose4[[#This Row],[TR 2026 Trimestre précédent]]</f>
        <v>0</v>
      </c>
      <c r="AJ57">
        <f>Portefeuille_ProgPropose4[[#This Row],[Écart AC 2026]]+Portefeuille_ProgPropose4[[#This Row],[Écart TR 2026]]</f>
        <v>0</v>
      </c>
      <c r="AK57">
        <v>170</v>
      </c>
      <c r="AL57">
        <v>2000</v>
      </c>
      <c r="AR57"/>
      <c r="BA57" s="14">
        <f>SUM(Portefeuille_ProgPropose4[[#This Row],[AC ANT]:[TR 2025]],Portefeuille_ProgPropose4[[#This Row],[AC 2026]:[TR 2026]],Portefeuille_ProgPropose4[[#This Row],[AC 2027]:[TR 2034]])</f>
        <v>2340</v>
      </c>
    </row>
    <row r="58" spans="1:53" x14ac:dyDescent="0.3">
      <c r="A58" t="s">
        <v>286</v>
      </c>
      <c r="B58">
        <v>9</v>
      </c>
      <c r="C58" t="s">
        <v>101</v>
      </c>
      <c r="D58" t="s">
        <v>102</v>
      </c>
      <c r="E58" t="s">
        <v>103</v>
      </c>
      <c r="F58" t="s">
        <v>149</v>
      </c>
      <c r="G58" t="s">
        <v>20</v>
      </c>
      <c r="H58" t="s">
        <v>20</v>
      </c>
      <c r="I58" t="s">
        <v>105</v>
      </c>
      <c r="J58" t="s">
        <v>237</v>
      </c>
      <c r="K58" t="s">
        <v>238</v>
      </c>
      <c r="L58" t="s">
        <v>239</v>
      </c>
      <c r="M58" t="s">
        <v>173</v>
      </c>
      <c r="N58" t="s">
        <v>155</v>
      </c>
      <c r="O58" s="1">
        <v>45703</v>
      </c>
      <c r="P58" s="1">
        <v>46022</v>
      </c>
      <c r="Q58" s="1">
        <v>46295</v>
      </c>
      <c r="V58">
        <v>100</v>
      </c>
      <c r="X58">
        <v>100</v>
      </c>
      <c r="Z58">
        <f>Portefeuille_ProgPropose4[[#This Row],[AC 2025]]-Portefeuille_ProgPropose4[[#This Row],[AC 2025 Trimestre précédent]]</f>
        <v>0</v>
      </c>
      <c r="AA58">
        <f>Portefeuille_ProgPropose4[[#This Row],[TR 2025]]-Portefeuille_ProgPropose4[[#This Row],[TR 2025 Trimestre précédent]]</f>
        <v>0</v>
      </c>
      <c r="AB58">
        <f>Portefeuille_ProgPropose4[[#This Row],[Écart AC 2025]]+Portefeuille_ProgPropose4[[#This Row],[Écart TR 2025]]</f>
        <v>0</v>
      </c>
      <c r="AD58">
        <v>200</v>
      </c>
      <c r="AE58"/>
      <c r="AF58">
        <v>200</v>
      </c>
      <c r="AH58">
        <f>Portefeuille_ProgPropose4[[#This Row],[AC 2026]]-Portefeuille_ProgPropose4[[#This Row],[AC 2026 Trimestre précédent]]</f>
        <v>0</v>
      </c>
      <c r="AI58">
        <f>Portefeuille_ProgPropose4[[#This Row],[TR 2026]]-Portefeuille_ProgPropose4[[#This Row],[TR 2026 Trimestre précédent]]</f>
        <v>0</v>
      </c>
      <c r="AJ58">
        <f>Portefeuille_ProgPropose4[[#This Row],[Écart AC 2026]]+Portefeuille_ProgPropose4[[#This Row],[Écart TR 2026]]</f>
        <v>0</v>
      </c>
      <c r="AK58">
        <v>475</v>
      </c>
      <c r="AL58">
        <v>11000</v>
      </c>
      <c r="AR58"/>
      <c r="BA58" s="14">
        <f>SUM(Portefeuille_ProgPropose4[[#This Row],[AC ANT]:[TR 2025]],Portefeuille_ProgPropose4[[#This Row],[AC 2026]:[TR 2026]],Portefeuille_ProgPropose4[[#This Row],[AC 2027]:[TR 2034]])</f>
        <v>11775</v>
      </c>
    </row>
    <row r="59" spans="1:53" x14ac:dyDescent="0.3">
      <c r="A59" t="s">
        <v>286</v>
      </c>
      <c r="C59" t="s">
        <v>118</v>
      </c>
      <c r="D59" t="s">
        <v>102</v>
      </c>
      <c r="E59" t="s">
        <v>103</v>
      </c>
      <c r="F59" t="s">
        <v>206</v>
      </c>
      <c r="G59" t="s">
        <v>16</v>
      </c>
      <c r="H59" t="s">
        <v>20</v>
      </c>
      <c r="I59" t="s">
        <v>131</v>
      </c>
      <c r="J59" t="s">
        <v>210</v>
      </c>
      <c r="K59" t="s">
        <v>211</v>
      </c>
      <c r="L59" t="s">
        <v>209</v>
      </c>
      <c r="M59" t="s">
        <v>197</v>
      </c>
      <c r="N59" t="s">
        <v>155</v>
      </c>
      <c r="O59" s="1">
        <v>45731</v>
      </c>
      <c r="P59" s="1">
        <v>46310</v>
      </c>
      <c r="Q59" s="1">
        <v>46675</v>
      </c>
      <c r="R59">
        <v>8</v>
      </c>
      <c r="V59">
        <v>100</v>
      </c>
      <c r="X59">
        <v>100</v>
      </c>
      <c r="Z59">
        <f>Portefeuille_ProgPropose4[[#This Row],[AC 2025]]-Portefeuille_ProgPropose4[[#This Row],[AC 2025 Trimestre précédent]]</f>
        <v>0</v>
      </c>
      <c r="AA59">
        <f>Portefeuille_ProgPropose4[[#This Row],[TR 2025]]-Portefeuille_ProgPropose4[[#This Row],[TR 2025 Trimestre précédent]]</f>
        <v>0</v>
      </c>
      <c r="AB59">
        <f>Portefeuille_ProgPropose4[[#This Row],[Écart AC 2025]]+Portefeuille_ProgPropose4[[#This Row],[Écart TR 2025]]</f>
        <v>0</v>
      </c>
      <c r="AD59">
        <v>100</v>
      </c>
      <c r="AE59"/>
      <c r="AF59">
        <v>100</v>
      </c>
      <c r="AH59">
        <f>Portefeuille_ProgPropose4[[#This Row],[AC 2026]]-Portefeuille_ProgPropose4[[#This Row],[AC 2026 Trimestre précédent]]</f>
        <v>0</v>
      </c>
      <c r="AI59">
        <f>Portefeuille_ProgPropose4[[#This Row],[TR 2026]]-Portefeuille_ProgPropose4[[#This Row],[TR 2026 Trimestre précédent]]</f>
        <v>0</v>
      </c>
      <c r="AJ59">
        <f>Portefeuille_ProgPropose4[[#This Row],[Écart AC 2026]]+Portefeuille_ProgPropose4[[#This Row],[Écart TR 2026]]</f>
        <v>0</v>
      </c>
      <c r="AK59">
        <v>100</v>
      </c>
      <c r="AM59">
        <v>250</v>
      </c>
      <c r="AN59">
        <v>7500</v>
      </c>
      <c r="AR59"/>
      <c r="BA59" s="14">
        <f>SUM(Portefeuille_ProgPropose4[[#This Row],[AC ANT]:[TR 2025]],Portefeuille_ProgPropose4[[#This Row],[AC 2026]:[TR 2026]],Portefeuille_ProgPropose4[[#This Row],[AC 2027]:[TR 2034]])</f>
        <v>8058</v>
      </c>
    </row>
    <row r="60" spans="1:53" x14ac:dyDescent="0.3">
      <c r="A60" t="s">
        <v>286</v>
      </c>
      <c r="C60" t="s">
        <v>101</v>
      </c>
      <c r="D60" t="s">
        <v>102</v>
      </c>
      <c r="E60" t="s">
        <v>136</v>
      </c>
      <c r="F60" t="s">
        <v>113</v>
      </c>
      <c r="G60" t="s">
        <v>16</v>
      </c>
      <c r="H60" t="s">
        <v>20</v>
      </c>
      <c r="I60" t="s">
        <v>105</v>
      </c>
      <c r="J60" t="s">
        <v>166</v>
      </c>
      <c r="K60" t="s">
        <v>167</v>
      </c>
      <c r="L60" t="s">
        <v>168</v>
      </c>
      <c r="M60" t="s">
        <v>169</v>
      </c>
      <c r="N60" t="s">
        <v>155</v>
      </c>
      <c r="O60" s="1">
        <v>45884</v>
      </c>
      <c r="P60" s="1">
        <v>46402</v>
      </c>
      <c r="Q60" s="1">
        <v>46980</v>
      </c>
      <c r="R60">
        <v>71</v>
      </c>
      <c r="T60">
        <v>5</v>
      </c>
      <c r="V60">
        <v>120</v>
      </c>
      <c r="X60">
        <v>120</v>
      </c>
      <c r="Z60">
        <f>Portefeuille_ProgPropose4[[#This Row],[AC 2025]]-Portefeuille_ProgPropose4[[#This Row],[AC 2025 Trimestre précédent]]</f>
        <v>0</v>
      </c>
      <c r="AA60">
        <f>Portefeuille_ProgPropose4[[#This Row],[TR 2025]]-Portefeuille_ProgPropose4[[#This Row],[TR 2025 Trimestre précédent]]</f>
        <v>0</v>
      </c>
      <c r="AB60">
        <f>Portefeuille_ProgPropose4[[#This Row],[Écart AC 2025]]+Portefeuille_ProgPropose4[[#This Row],[Écart TR 2025]]</f>
        <v>0</v>
      </c>
      <c r="AD60">
        <v>210</v>
      </c>
      <c r="AE60"/>
      <c r="AF60">
        <v>210</v>
      </c>
      <c r="AH60">
        <f>Portefeuille_ProgPropose4[[#This Row],[AC 2026]]-Portefeuille_ProgPropose4[[#This Row],[AC 2026 Trimestre précédent]]</f>
        <v>0</v>
      </c>
      <c r="AI60">
        <f>Portefeuille_ProgPropose4[[#This Row],[TR 2026]]-Portefeuille_ProgPropose4[[#This Row],[TR 2026 Trimestre précédent]]</f>
        <v>0</v>
      </c>
      <c r="AJ60">
        <f>Portefeuille_ProgPropose4[[#This Row],[Écart AC 2026]]+Portefeuille_ProgPropose4[[#This Row],[Écart TR 2026]]</f>
        <v>0</v>
      </c>
      <c r="AK60">
        <v>310</v>
      </c>
      <c r="AM60">
        <v>310</v>
      </c>
      <c r="AO60">
        <v>395</v>
      </c>
      <c r="AP60">
        <v>2000</v>
      </c>
      <c r="AQ60">
        <v>395</v>
      </c>
      <c r="AR60">
        <v>2000</v>
      </c>
      <c r="AS60">
        <v>395</v>
      </c>
      <c r="AT60">
        <v>18319</v>
      </c>
      <c r="BA60" s="14">
        <f>SUM(Portefeuille_ProgPropose4[[#This Row],[AC ANT]:[TR 2025]],Portefeuille_ProgPropose4[[#This Row],[AC 2026]:[TR 2026]],Portefeuille_ProgPropose4[[#This Row],[AC 2027]:[TR 2034]])</f>
        <v>24530</v>
      </c>
    </row>
    <row r="61" spans="1:53" x14ac:dyDescent="0.3">
      <c r="A61" t="s">
        <v>286</v>
      </c>
      <c r="C61" t="s">
        <v>101</v>
      </c>
      <c r="D61" t="s">
        <v>102</v>
      </c>
      <c r="E61" t="s">
        <v>136</v>
      </c>
      <c r="F61" t="s">
        <v>149</v>
      </c>
      <c r="G61" t="s">
        <v>16</v>
      </c>
      <c r="H61" t="s">
        <v>20</v>
      </c>
      <c r="I61" t="s">
        <v>131</v>
      </c>
      <c r="J61" t="s">
        <v>212</v>
      </c>
      <c r="K61" t="s">
        <v>213</v>
      </c>
      <c r="L61" t="s">
        <v>214</v>
      </c>
      <c r="M61" t="s">
        <v>184</v>
      </c>
      <c r="N61" t="s">
        <v>155</v>
      </c>
      <c r="O61" s="1">
        <v>45792</v>
      </c>
      <c r="P61" s="1">
        <v>46157</v>
      </c>
      <c r="Q61" s="1">
        <v>46522</v>
      </c>
      <c r="R61">
        <v>47</v>
      </c>
      <c r="T61">
        <v>174</v>
      </c>
      <c r="V61">
        <v>150</v>
      </c>
      <c r="X61">
        <v>150</v>
      </c>
      <c r="Z61">
        <f>Portefeuille_ProgPropose4[[#This Row],[AC 2025]]-Portefeuille_ProgPropose4[[#This Row],[AC 2025 Trimestre précédent]]</f>
        <v>0</v>
      </c>
      <c r="AA61">
        <f>Portefeuille_ProgPropose4[[#This Row],[TR 2025]]-Portefeuille_ProgPropose4[[#This Row],[TR 2025 Trimestre précédent]]</f>
        <v>0</v>
      </c>
      <c r="AB61">
        <f>Portefeuille_ProgPropose4[[#This Row],[Écart AC 2025]]+Portefeuille_ProgPropose4[[#This Row],[Écart TR 2025]]</f>
        <v>0</v>
      </c>
      <c r="AD61">
        <v>125</v>
      </c>
      <c r="AE61"/>
      <c r="AF61">
        <v>125</v>
      </c>
      <c r="AH61">
        <f>Portefeuille_ProgPropose4[[#This Row],[AC 2026]]-Portefeuille_ProgPropose4[[#This Row],[AC 2026 Trimestre précédent]]</f>
        <v>0</v>
      </c>
      <c r="AI61">
        <f>Portefeuille_ProgPropose4[[#This Row],[TR 2026]]-Portefeuille_ProgPropose4[[#This Row],[TR 2026 Trimestre précédent]]</f>
        <v>0</v>
      </c>
      <c r="AJ61">
        <f>Portefeuille_ProgPropose4[[#This Row],[Écart AC 2026]]+Portefeuille_ProgPropose4[[#This Row],[Écart TR 2026]]</f>
        <v>0</v>
      </c>
      <c r="AK61">
        <v>125</v>
      </c>
      <c r="AM61">
        <v>125</v>
      </c>
      <c r="AO61">
        <v>125</v>
      </c>
      <c r="AQ61">
        <v>300</v>
      </c>
      <c r="AR61">
        <v>5000</v>
      </c>
      <c r="AS61">
        <v>350</v>
      </c>
      <c r="AT61">
        <v>10000</v>
      </c>
      <c r="BA61" s="14">
        <f>SUM(Portefeuille_ProgPropose4[[#This Row],[AC ANT]:[TR 2025]],Portefeuille_ProgPropose4[[#This Row],[AC 2026]:[TR 2026]],Portefeuille_ProgPropose4[[#This Row],[AC 2027]:[TR 2034]])</f>
        <v>16521</v>
      </c>
    </row>
    <row r="62" spans="1:53" x14ac:dyDescent="0.3">
      <c r="A62" t="s">
        <v>286</v>
      </c>
      <c r="B62">
        <v>12</v>
      </c>
      <c r="C62" t="s">
        <v>101</v>
      </c>
      <c r="D62" t="s">
        <v>102</v>
      </c>
      <c r="E62" t="s">
        <v>128</v>
      </c>
      <c r="F62" t="s">
        <v>129</v>
      </c>
      <c r="G62" t="s">
        <v>20</v>
      </c>
      <c r="H62" t="s">
        <v>20</v>
      </c>
      <c r="I62" t="s">
        <v>131</v>
      </c>
      <c r="J62" t="s">
        <v>250</v>
      </c>
      <c r="K62" t="s">
        <v>251</v>
      </c>
      <c r="L62" t="s">
        <v>214</v>
      </c>
      <c r="M62" t="s">
        <v>197</v>
      </c>
      <c r="N62" t="s">
        <v>110</v>
      </c>
      <c r="O62" s="1">
        <v>45490</v>
      </c>
      <c r="P62" s="1"/>
      <c r="Q62" s="1">
        <v>46447</v>
      </c>
      <c r="V62">
        <v>37</v>
      </c>
      <c r="X62">
        <v>37</v>
      </c>
      <c r="Z62">
        <f>Portefeuille_ProgPropose4[[#This Row],[AC 2025]]-Portefeuille_ProgPropose4[[#This Row],[AC 2025 Trimestre précédent]]</f>
        <v>0</v>
      </c>
      <c r="AA62">
        <f>Portefeuille_ProgPropose4[[#This Row],[TR 2025]]-Portefeuille_ProgPropose4[[#This Row],[TR 2025 Trimestre précédent]]</f>
        <v>0</v>
      </c>
      <c r="AB62">
        <f>Portefeuille_ProgPropose4[[#This Row],[Écart AC 2025]]+Portefeuille_ProgPropose4[[#This Row],[Écart TR 2025]]</f>
        <v>0</v>
      </c>
      <c r="AD62">
        <v>10</v>
      </c>
      <c r="AE62"/>
      <c r="AF62">
        <v>10</v>
      </c>
      <c r="AH62">
        <f>Portefeuille_ProgPropose4[[#This Row],[AC 2026]]-Portefeuille_ProgPropose4[[#This Row],[AC 2026 Trimestre précédent]]</f>
        <v>0</v>
      </c>
      <c r="AI62">
        <f>Portefeuille_ProgPropose4[[#This Row],[TR 2026]]-Portefeuille_ProgPropose4[[#This Row],[TR 2026 Trimestre précédent]]</f>
        <v>0</v>
      </c>
      <c r="AJ62">
        <f>Portefeuille_ProgPropose4[[#This Row],[Écart AC 2026]]+Portefeuille_ProgPropose4[[#This Row],[Écart TR 2026]]</f>
        <v>0</v>
      </c>
      <c r="AK62">
        <v>12</v>
      </c>
      <c r="AM62">
        <v>30</v>
      </c>
      <c r="AN62">
        <v>194</v>
      </c>
      <c r="AR62"/>
      <c r="BA62" s="14">
        <f>SUM(Portefeuille_ProgPropose4[[#This Row],[AC ANT]:[TR 2025]],Portefeuille_ProgPropose4[[#This Row],[AC 2026]:[TR 2026]],Portefeuille_ProgPropose4[[#This Row],[AC 2027]:[TR 2034]])</f>
        <v>283</v>
      </c>
    </row>
    <row r="63" spans="1:53" x14ac:dyDescent="0.3">
      <c r="A63" t="s">
        <v>286</v>
      </c>
      <c r="C63" t="s">
        <v>101</v>
      </c>
      <c r="D63" t="s">
        <v>102</v>
      </c>
      <c r="E63" t="s">
        <v>136</v>
      </c>
      <c r="F63" t="s">
        <v>144</v>
      </c>
      <c r="G63" t="s">
        <v>16</v>
      </c>
      <c r="H63" t="s">
        <v>20</v>
      </c>
      <c r="I63" t="s">
        <v>131</v>
      </c>
      <c r="J63" t="s">
        <v>195</v>
      </c>
      <c r="K63" t="s">
        <v>196</v>
      </c>
      <c r="L63" t="s">
        <v>180</v>
      </c>
      <c r="M63" t="s">
        <v>197</v>
      </c>
      <c r="N63" t="s">
        <v>110</v>
      </c>
      <c r="O63" s="1">
        <v>44889</v>
      </c>
      <c r="P63" s="1">
        <v>46068</v>
      </c>
      <c r="Q63" s="1">
        <v>46583</v>
      </c>
      <c r="R63">
        <v>336.99999999999994</v>
      </c>
      <c r="T63">
        <v>1201</v>
      </c>
      <c r="V63">
        <v>1230</v>
      </c>
      <c r="X63">
        <v>1230</v>
      </c>
      <c r="Z63">
        <f>Portefeuille_ProgPropose4[[#This Row],[AC 2025]]-Portefeuille_ProgPropose4[[#This Row],[AC 2025 Trimestre précédent]]</f>
        <v>0</v>
      </c>
      <c r="AA63">
        <f>Portefeuille_ProgPropose4[[#This Row],[TR 2025]]-Portefeuille_ProgPropose4[[#This Row],[TR 2025 Trimestre précédent]]</f>
        <v>0</v>
      </c>
      <c r="AB63">
        <f>Portefeuille_ProgPropose4[[#This Row],[Écart AC 2025]]+Portefeuille_ProgPropose4[[#This Row],[Écart TR 2025]]</f>
        <v>0</v>
      </c>
      <c r="AD63">
        <v>1600</v>
      </c>
      <c r="AE63"/>
      <c r="AF63">
        <v>1600</v>
      </c>
      <c r="AH63">
        <f>Portefeuille_ProgPropose4[[#This Row],[AC 2026]]-Portefeuille_ProgPropose4[[#This Row],[AC 2026 Trimestre précédent]]</f>
        <v>0</v>
      </c>
      <c r="AI63">
        <f>Portefeuille_ProgPropose4[[#This Row],[TR 2026]]-Portefeuille_ProgPropose4[[#This Row],[TR 2026 Trimestre précédent]]</f>
        <v>0</v>
      </c>
      <c r="AJ63">
        <f>Portefeuille_ProgPropose4[[#This Row],[Écart AC 2026]]+Portefeuille_ProgPropose4[[#This Row],[Écart TR 2026]]</f>
        <v>0</v>
      </c>
      <c r="AK63">
        <v>1600</v>
      </c>
      <c r="AM63">
        <v>800</v>
      </c>
      <c r="AN63">
        <v>7500</v>
      </c>
      <c r="AO63">
        <v>800</v>
      </c>
      <c r="AP63">
        <v>9500</v>
      </c>
      <c r="AQ63">
        <v>525</v>
      </c>
      <c r="AR63">
        <v>18000</v>
      </c>
      <c r="BA63" s="14">
        <f>SUM(Portefeuille_ProgPropose4[[#This Row],[AC ANT]:[TR 2025]],Portefeuille_ProgPropose4[[#This Row],[AC 2026]:[TR 2026]],Portefeuille_ProgPropose4[[#This Row],[AC 2027]:[TR 2034]])</f>
        <v>43093</v>
      </c>
    </row>
    <row r="64" spans="1:53" x14ac:dyDescent="0.3">
      <c r="A64" t="s">
        <v>286</v>
      </c>
      <c r="C64" t="s">
        <v>101</v>
      </c>
      <c r="D64" t="s">
        <v>102</v>
      </c>
      <c r="E64" t="s">
        <v>136</v>
      </c>
      <c r="F64" t="s">
        <v>140</v>
      </c>
      <c r="G64" t="s">
        <v>16</v>
      </c>
      <c r="H64" t="s">
        <v>20</v>
      </c>
      <c r="I64" t="s">
        <v>131</v>
      </c>
      <c r="J64" t="s">
        <v>181</v>
      </c>
      <c r="K64" t="s">
        <v>296</v>
      </c>
      <c r="L64" t="s">
        <v>183</v>
      </c>
      <c r="M64" t="s">
        <v>173</v>
      </c>
      <c r="N64" t="s">
        <v>110</v>
      </c>
      <c r="O64" s="1">
        <v>45590</v>
      </c>
      <c r="P64" s="1">
        <v>46157</v>
      </c>
      <c r="Q64" s="1">
        <v>46157</v>
      </c>
      <c r="V64" s="102">
        <v>466</v>
      </c>
      <c r="X64">
        <v>50</v>
      </c>
      <c r="Z64">
        <f>Portefeuille_ProgPropose4[[#This Row],[AC 2025]]-Portefeuille_ProgPropose4[[#This Row],[AC 2025 Trimestre précédent]]</f>
        <v>416</v>
      </c>
      <c r="AA64">
        <f>Portefeuille_ProgPropose4[[#This Row],[TR 2025]]-Portefeuille_ProgPropose4[[#This Row],[TR 2025 Trimestre précédent]]</f>
        <v>0</v>
      </c>
      <c r="AB64">
        <f>Portefeuille_ProgPropose4[[#This Row],[Écart AC 2025]]+Portefeuille_ProgPropose4[[#This Row],[Écart TR 2025]]</f>
        <v>416</v>
      </c>
      <c r="AD64" s="102">
        <v>475</v>
      </c>
      <c r="AE64"/>
      <c r="AF64">
        <v>50</v>
      </c>
      <c r="AH64">
        <f>Portefeuille_ProgPropose4[[#This Row],[AC 2026]]-Portefeuille_ProgPropose4[[#This Row],[AC 2026 Trimestre précédent]]</f>
        <v>425</v>
      </c>
      <c r="AI64">
        <f>Portefeuille_ProgPropose4[[#This Row],[TR 2026]]-Portefeuille_ProgPropose4[[#This Row],[TR 2026 Trimestre précédent]]</f>
        <v>0</v>
      </c>
      <c r="AJ64">
        <f>Portefeuille_ProgPropose4[[#This Row],[Écart AC 2026]]+Portefeuille_ProgPropose4[[#This Row],[Écart TR 2026]]</f>
        <v>425</v>
      </c>
      <c r="AK64" s="102">
        <v>468</v>
      </c>
      <c r="AL64">
        <v>1461</v>
      </c>
      <c r="AR64"/>
      <c r="BA64" s="14">
        <f>SUM(Portefeuille_ProgPropose4[[#This Row],[AC ANT]:[TR 2025]],Portefeuille_ProgPropose4[[#This Row],[AC 2026]:[TR 2026]],Portefeuille_ProgPropose4[[#This Row],[AC 2027]:[TR 2034]])</f>
        <v>2870</v>
      </c>
    </row>
    <row r="65" spans="2:58" x14ac:dyDescent="0.3">
      <c r="B65">
        <f>SUBTOTAL(103,Portefeuille_ProgPropose4[NUM_PRIRT_DG])</f>
        <v>25</v>
      </c>
      <c r="J65">
        <f>SUBTOTAL(103,Portefeuille_ProgPropose4[Numéro projet])</f>
        <v>47</v>
      </c>
      <c r="R65" s="14">
        <f>SUBTOTAL(109,Portefeuille_ProgPropose4[AC ANT])</f>
        <v>8998</v>
      </c>
      <c r="S65" s="14">
        <f>SUBTOTAL(109,Portefeuille_ProgPropose4[TR ANT])</f>
        <v>33295</v>
      </c>
      <c r="T65" s="14">
        <f>SUBTOTAL(109,Portefeuille_ProgPropose4[AC 2024])</f>
        <v>5380</v>
      </c>
      <c r="U65" s="14">
        <f>SUBTOTAL(109,Portefeuille_ProgPropose4[TR 2024])</f>
        <v>32420</v>
      </c>
      <c r="V65" s="14">
        <f>SUBTOTAL(109,Portefeuille_ProgPropose4[AC 2025])</f>
        <v>9060</v>
      </c>
      <c r="W65" s="14">
        <f>SUBTOTAL(109,Portefeuille_ProgPropose4[TR 2025])</f>
        <v>55357</v>
      </c>
      <c r="X65" s="14">
        <f>SUBTOTAL(109,Portefeuille_ProgPropose4[AC 2025 Trimestre précédent])</f>
        <v>8125</v>
      </c>
      <c r="Y65" s="14">
        <f>SUBTOTAL(109,Portefeuille_ProgPropose4[TR 2025 Trimestre précédent])</f>
        <v>67375</v>
      </c>
      <c r="Z65" s="14">
        <f>SUBTOTAL(109,Portefeuille_ProgPropose4[Écart AC 2025])</f>
        <v>935</v>
      </c>
      <c r="AA65" s="14">
        <f>SUBTOTAL(109,Portefeuille_ProgPropose4[Écart TR 2025])</f>
        <v>-12018</v>
      </c>
      <c r="AB65" s="14">
        <f>SUBTOTAL(109,Portefeuille_ProgPropose4[Écart 2025 Total])</f>
        <v>-11083</v>
      </c>
      <c r="AC65" s="14"/>
      <c r="AD65" s="14">
        <f>SUBTOTAL(109,Portefeuille_ProgPropose4[AC 2026])</f>
        <v>10792</v>
      </c>
      <c r="AE65" s="14">
        <f>SUBTOTAL(109,Portefeuille_ProgPropose4[TR 2026])</f>
        <v>61399</v>
      </c>
      <c r="AF65" s="14">
        <f>SUBTOTAL(109,Portefeuille_ProgPropose4[AC 2026 Trimestre précédent])</f>
        <v>10189</v>
      </c>
      <c r="AG65" s="14">
        <f>SUBTOTAL(109,Portefeuille_ProgPropose4[TR 2026 Trimestre précédent])</f>
        <v>61097</v>
      </c>
      <c r="AH65" s="14">
        <f>SUBTOTAL(109,Portefeuille_ProgPropose4[Écart AC 2026])</f>
        <v>603</v>
      </c>
      <c r="AI65" s="14">
        <f>SUBTOTAL(109,Portefeuille_ProgPropose4[Écart TR 2026])</f>
        <v>302</v>
      </c>
      <c r="AJ65" s="14">
        <f>SUBTOTAL(109,Portefeuille_ProgPropose4[Écart 2026 Total])</f>
        <v>905</v>
      </c>
      <c r="AK65" s="14">
        <f>SUBTOTAL(109,Portefeuille_ProgPropose4[AC 2027])</f>
        <v>9343</v>
      </c>
      <c r="AL65" s="14">
        <f>SUBTOTAL(109,Portefeuille_ProgPropose4[TR 2027])</f>
        <v>100715</v>
      </c>
      <c r="AM65" s="14">
        <f>SUBTOTAL(109,Portefeuille_ProgPropose4[AC 2028])</f>
        <v>6795</v>
      </c>
      <c r="AN65" s="14">
        <f>SUBTOTAL(109,Portefeuille_ProgPropose4[TR 2028])</f>
        <v>45411</v>
      </c>
      <c r="AO65" s="14">
        <f>SUBTOTAL(109,Portefeuille_ProgPropose4[AC 2029])</f>
        <v>2430</v>
      </c>
      <c r="AP65" s="14">
        <f>SUBTOTAL(109,Portefeuille_ProgPropose4[TR 2029])</f>
        <v>35416</v>
      </c>
      <c r="AQ65" s="14">
        <f>SUBTOTAL(109,Portefeuille_ProgPropose4[AC 2030])</f>
        <v>2320</v>
      </c>
      <c r="AR65" s="14">
        <f>SUBTOTAL(109,Portefeuille_ProgPropose4[TR 2030])</f>
        <v>34124</v>
      </c>
      <c r="AS65" s="14">
        <f>SUBTOTAL(109,Portefeuille_ProgPropose4[AC 2031])</f>
        <v>1822</v>
      </c>
      <c r="AT65" s="14">
        <f>SUBTOTAL(109,Portefeuille_ProgPropose4[TR 2031])</f>
        <v>41119</v>
      </c>
      <c r="AU65" s="14">
        <f>SUBTOTAL(109,Portefeuille_ProgPropose4[AC 2032])</f>
        <v>0</v>
      </c>
      <c r="AV65" s="14">
        <f>SUBTOTAL(109,Portefeuille_ProgPropose4[TR 2032])</f>
        <v>0</v>
      </c>
      <c r="AW65" s="14">
        <f>SUBTOTAL(109,Portefeuille_ProgPropose4[AC 2033])</f>
        <v>0</v>
      </c>
      <c r="AX65" s="14">
        <f>SUBTOTAL(109,Portefeuille_ProgPropose4[TR 2033])</f>
        <v>0</v>
      </c>
      <c r="AY65" s="14">
        <f>SUBTOTAL(109,Portefeuille_ProgPropose4[AC 2034])</f>
        <v>0</v>
      </c>
      <c r="AZ65" s="14">
        <f>SUBTOTAL(109,Portefeuille_ProgPropose4[TR 2034])</f>
        <v>0</v>
      </c>
      <c r="BA65" s="14">
        <f>SUBTOTAL(109,Portefeuille_ProgPropose4[Total Projet])</f>
        <v>496196</v>
      </c>
    </row>
    <row r="67" spans="2:58" x14ac:dyDescent="0.3"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</row>
    <row r="147" spans="59:60" x14ac:dyDescent="0.3">
      <c r="BG147" s="57"/>
      <c r="BH147" s="57"/>
    </row>
  </sheetData>
  <mergeCells count="211">
    <mergeCell ref="AS3:AT3"/>
    <mergeCell ref="AU3:AV3"/>
    <mergeCell ref="AW3:AX3"/>
    <mergeCell ref="AY3:AZ3"/>
    <mergeCell ref="R4:S4"/>
    <mergeCell ref="T4:U4"/>
    <mergeCell ref="V4:W4"/>
    <mergeCell ref="X4:Y4"/>
    <mergeCell ref="AD4:AE4"/>
    <mergeCell ref="AF4:AG4"/>
    <mergeCell ref="AF3:AG3"/>
    <mergeCell ref="AH3:AJ3"/>
    <mergeCell ref="AK3:AL3"/>
    <mergeCell ref="AM3:AN3"/>
    <mergeCell ref="AO3:AP3"/>
    <mergeCell ref="AQ3:AR3"/>
    <mergeCell ref="R3:S3"/>
    <mergeCell ref="T3:U3"/>
    <mergeCell ref="V3:W3"/>
    <mergeCell ref="X3:Y3"/>
    <mergeCell ref="AD3:AE3"/>
    <mergeCell ref="AW4:AX4"/>
    <mergeCell ref="AY4:AZ4"/>
    <mergeCell ref="AM4:AN4"/>
    <mergeCell ref="AQ4:AR4"/>
    <mergeCell ref="AS4:AT4"/>
    <mergeCell ref="AU4:AV4"/>
    <mergeCell ref="AW5:AX5"/>
    <mergeCell ref="AY5:AZ5"/>
    <mergeCell ref="R6:S6"/>
    <mergeCell ref="T6:U6"/>
    <mergeCell ref="V6:W6"/>
    <mergeCell ref="X6:Y6"/>
    <mergeCell ref="Z6:AB6"/>
    <mergeCell ref="AD6:AE6"/>
    <mergeCell ref="AF6:AG6"/>
    <mergeCell ref="AH6:AJ6"/>
    <mergeCell ref="AK5:AL5"/>
    <mergeCell ref="AM5:AN5"/>
    <mergeCell ref="AO5:AP5"/>
    <mergeCell ref="AQ5:AR5"/>
    <mergeCell ref="AS5:AT5"/>
    <mergeCell ref="AU5:AV5"/>
    <mergeCell ref="AW6:AX6"/>
    <mergeCell ref="AY6:AZ6"/>
    <mergeCell ref="AM6:AN6"/>
    <mergeCell ref="AO6:AP6"/>
    <mergeCell ref="R5:S5"/>
    <mergeCell ref="T7:U7"/>
    <mergeCell ref="V7:W7"/>
    <mergeCell ref="X7:Y7"/>
    <mergeCell ref="Z7:AB7"/>
    <mergeCell ref="AD7:AE7"/>
    <mergeCell ref="AF7:AG7"/>
    <mergeCell ref="AH7:AJ7"/>
    <mergeCell ref="AK6:AL6"/>
    <mergeCell ref="AO4:AP4"/>
    <mergeCell ref="T5:U5"/>
    <mergeCell ref="V5:W5"/>
    <mergeCell ref="X5:Y5"/>
    <mergeCell ref="Z5:AB5"/>
    <mergeCell ref="AD5:AE5"/>
    <mergeCell ref="AF5:AG5"/>
    <mergeCell ref="AH5:AJ5"/>
    <mergeCell ref="AK4:AL4"/>
    <mergeCell ref="AQ6:AR6"/>
    <mergeCell ref="AS6:AT6"/>
    <mergeCell ref="AU6:AV6"/>
    <mergeCell ref="AW7:AX7"/>
    <mergeCell ref="AY7:AZ7"/>
    <mergeCell ref="R8:S8"/>
    <mergeCell ref="T8:U8"/>
    <mergeCell ref="V8:W8"/>
    <mergeCell ref="X8:Y8"/>
    <mergeCell ref="Z8:AB8"/>
    <mergeCell ref="AD8:AE8"/>
    <mergeCell ref="AF8:AG8"/>
    <mergeCell ref="AH8:AJ8"/>
    <mergeCell ref="AK7:AL7"/>
    <mergeCell ref="AM7:AN7"/>
    <mergeCell ref="AO7:AP7"/>
    <mergeCell ref="AQ7:AR7"/>
    <mergeCell ref="AS7:AT7"/>
    <mergeCell ref="AU7:AV7"/>
    <mergeCell ref="AW8:AX8"/>
    <mergeCell ref="AY8:AZ8"/>
    <mergeCell ref="AM8:AN8"/>
    <mergeCell ref="AO8:AP8"/>
    <mergeCell ref="R7:S7"/>
    <mergeCell ref="R9:S9"/>
    <mergeCell ref="T9:U9"/>
    <mergeCell ref="V9:W9"/>
    <mergeCell ref="X9:Y9"/>
    <mergeCell ref="Z9:AB9"/>
    <mergeCell ref="AD9:AE9"/>
    <mergeCell ref="AF9:AG9"/>
    <mergeCell ref="AH9:AJ9"/>
    <mergeCell ref="AK8:AL8"/>
    <mergeCell ref="AK10:AL10"/>
    <mergeCell ref="AQ8:AR8"/>
    <mergeCell ref="AS8:AT8"/>
    <mergeCell ref="AU8:AV8"/>
    <mergeCell ref="AW9:AX9"/>
    <mergeCell ref="AY9:AZ9"/>
    <mergeCell ref="R10:S10"/>
    <mergeCell ref="T10:U10"/>
    <mergeCell ref="V10:W10"/>
    <mergeCell ref="X10:Y10"/>
    <mergeCell ref="Z10:AB10"/>
    <mergeCell ref="AD10:AE10"/>
    <mergeCell ref="AF10:AG10"/>
    <mergeCell ref="AH10:AJ10"/>
    <mergeCell ref="AK9:AL9"/>
    <mergeCell ref="AM9:AN9"/>
    <mergeCell ref="AO9:AP9"/>
    <mergeCell ref="AQ9:AR9"/>
    <mergeCell ref="AS9:AT9"/>
    <mergeCell ref="AU9:AV9"/>
    <mergeCell ref="AW10:AX10"/>
    <mergeCell ref="AY10:AZ10"/>
    <mergeCell ref="AM10:AN10"/>
    <mergeCell ref="AO10:AP10"/>
    <mergeCell ref="AS10:AT10"/>
    <mergeCell ref="AU10:AV10"/>
    <mergeCell ref="AO12:AP12"/>
    <mergeCell ref="AQ12:AR12"/>
    <mergeCell ref="AS12:AT12"/>
    <mergeCell ref="AU12:AV12"/>
    <mergeCell ref="AW12:AX12"/>
    <mergeCell ref="AY12:AZ12"/>
    <mergeCell ref="AW11:AX11"/>
    <mergeCell ref="AY11:AZ11"/>
    <mergeCell ref="AO11:AP11"/>
    <mergeCell ref="AQ11:AR11"/>
    <mergeCell ref="AS11:AT11"/>
    <mergeCell ref="AU11:AV11"/>
    <mergeCell ref="AQ10:AR10"/>
    <mergeCell ref="R12:S12"/>
    <mergeCell ref="T12:U12"/>
    <mergeCell ref="V12:W12"/>
    <mergeCell ref="X12:Y12"/>
    <mergeCell ref="AD12:AE12"/>
    <mergeCell ref="AF12:AG12"/>
    <mergeCell ref="AK12:AL12"/>
    <mergeCell ref="AM12:AN12"/>
    <mergeCell ref="AK11:AL11"/>
    <mergeCell ref="AM11:AN11"/>
    <mergeCell ref="R11:S11"/>
    <mergeCell ref="T11:U11"/>
    <mergeCell ref="V11:W11"/>
    <mergeCell ref="X11:Y11"/>
    <mergeCell ref="Z11:AB11"/>
    <mergeCell ref="AD11:AE11"/>
    <mergeCell ref="AF11:AG11"/>
    <mergeCell ref="AH11:AJ11"/>
    <mergeCell ref="AW13:AX13"/>
    <mergeCell ref="T13:U13"/>
    <mergeCell ref="V13:W13"/>
    <mergeCell ref="X13:Y13"/>
    <mergeCell ref="AD13:AE13"/>
    <mergeCell ref="AF13:AG13"/>
    <mergeCell ref="AK13:AL13"/>
    <mergeCell ref="AQ14:AR14"/>
    <mergeCell ref="AS14:AT14"/>
    <mergeCell ref="AY16:AZ16"/>
    <mergeCell ref="AM16:AN16"/>
    <mergeCell ref="AO16:AP16"/>
    <mergeCell ref="AQ16:AR16"/>
    <mergeCell ref="AS16:AT16"/>
    <mergeCell ref="AU16:AV16"/>
    <mergeCell ref="AW16:AX16"/>
    <mergeCell ref="AU15:AV15"/>
    <mergeCell ref="AW15:AX15"/>
    <mergeCell ref="AY15:AZ15"/>
    <mergeCell ref="AM15:AN15"/>
    <mergeCell ref="AO15:AP15"/>
    <mergeCell ref="AQ15:AR15"/>
    <mergeCell ref="AS15:AT15"/>
    <mergeCell ref="R16:S16"/>
    <mergeCell ref="T16:U16"/>
    <mergeCell ref="V16:W16"/>
    <mergeCell ref="X16:Y16"/>
    <mergeCell ref="AD16:AE16"/>
    <mergeCell ref="AF16:AG16"/>
    <mergeCell ref="AK16:AL16"/>
    <mergeCell ref="AF15:AG15"/>
    <mergeCell ref="AK15:AL15"/>
    <mergeCell ref="Z3:AC3"/>
    <mergeCell ref="AU14:AV14"/>
    <mergeCell ref="AW14:AX14"/>
    <mergeCell ref="AY14:AZ14"/>
    <mergeCell ref="R15:S15"/>
    <mergeCell ref="T15:U15"/>
    <mergeCell ref="V15:W15"/>
    <mergeCell ref="X15:Y15"/>
    <mergeCell ref="AD15:AE15"/>
    <mergeCell ref="AY13:AZ13"/>
    <mergeCell ref="R14:S14"/>
    <mergeCell ref="T14:U14"/>
    <mergeCell ref="V14:W14"/>
    <mergeCell ref="X14:Y14"/>
    <mergeCell ref="AD14:AE14"/>
    <mergeCell ref="AF14:AG14"/>
    <mergeCell ref="AK14:AL14"/>
    <mergeCell ref="AM14:AN14"/>
    <mergeCell ref="AO14:AP14"/>
    <mergeCell ref="AM13:AN13"/>
    <mergeCell ref="AO13:AP13"/>
    <mergeCell ref="AQ13:AR13"/>
    <mergeCell ref="AS13:AT13"/>
    <mergeCell ref="AU13:AV1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38BB-8DCE-4E5D-AD61-DBA446740684}">
  <dimension ref="A1:BG148"/>
  <sheetViews>
    <sheetView topLeftCell="G1" workbookViewId="0"/>
  </sheetViews>
  <sheetFormatPr baseColWidth="10" defaultColWidth="11.44140625" defaultRowHeight="14.4" outlineLevelCol="1" x14ac:dyDescent="0.3"/>
  <cols>
    <col min="1" max="1" width="14.6640625" hidden="1" customWidth="1" outlineLevel="1"/>
    <col min="2" max="2" width="11.44140625" hidden="1" customWidth="1" outlineLevel="1"/>
    <col min="3" max="3" width="18.109375" hidden="1" customWidth="1" outlineLevel="1"/>
    <col min="4" max="4" width="18.6640625" hidden="1" customWidth="1" outlineLevel="1"/>
    <col min="5" max="5" width="15.88671875" hidden="1" customWidth="1" outlineLevel="1"/>
    <col min="6" max="6" width="16" hidden="1" customWidth="1" outlineLevel="1"/>
    <col min="7" max="7" width="15.88671875" customWidth="1" collapsed="1"/>
    <col min="8" max="8" width="13.33203125" customWidth="1"/>
    <col min="9" max="9" width="18.44140625" customWidth="1"/>
    <col min="10" max="10" width="98" customWidth="1"/>
    <col min="11" max="11" width="23.33203125" customWidth="1"/>
    <col min="12" max="12" width="13.6640625" customWidth="1" collapsed="1"/>
    <col min="13" max="13" width="21.5546875" customWidth="1"/>
    <col min="14" max="14" width="13.6640625" customWidth="1"/>
    <col min="15" max="15" width="14.5546875" customWidth="1"/>
    <col min="16" max="16" width="17.44140625" customWidth="1"/>
    <col min="17" max="17" width="17.33203125" hidden="1" customWidth="1" outlineLevel="1"/>
    <col min="18" max="18" width="17.44140625" hidden="1" customWidth="1" outlineLevel="1"/>
    <col min="19" max="19" width="17.33203125" hidden="1" customWidth="1" outlineLevel="1"/>
    <col min="20" max="20" width="17.44140625" hidden="1" customWidth="1" outlineLevel="1"/>
    <col min="21" max="21" width="17.33203125" hidden="1" customWidth="1" outlineLevel="1"/>
    <col min="22" max="22" width="14.6640625" customWidth="1" collapsed="1"/>
    <col min="23" max="23" width="12.88671875" customWidth="1"/>
    <col min="24" max="24" width="16.109375" customWidth="1"/>
    <col min="25" max="25" width="18.109375" customWidth="1"/>
    <col min="26" max="26" width="15.109375" customWidth="1"/>
    <col min="27" max="27" width="21" customWidth="1"/>
    <col min="28" max="31" width="9.88671875" customWidth="1" outlineLevel="1"/>
    <col min="32" max="32" width="9.88671875" style="25" customWidth="1"/>
    <col min="33" max="33" width="9.88671875" customWidth="1"/>
    <col min="34" max="34" width="9.88671875" customWidth="1" collapsed="1"/>
    <col min="35" max="35" width="11.109375" customWidth="1"/>
    <col min="36" max="36" width="12.33203125" customWidth="1"/>
    <col min="37" max="37" width="11" customWidth="1"/>
    <col min="38" max="41" width="9.88671875" customWidth="1"/>
    <col min="42" max="42" width="9.88671875" style="8" customWidth="1"/>
    <col min="43" max="51" width="9.88671875" customWidth="1"/>
    <col min="52" max="52" width="16.109375" customWidth="1"/>
    <col min="53" max="53" width="17" customWidth="1"/>
    <col min="54" max="64" width="11.33203125" customWidth="1"/>
    <col min="65" max="65" width="12.5546875" customWidth="1"/>
    <col min="66" max="66" width="13.44140625" customWidth="1"/>
    <col min="67" max="67" width="13.109375" customWidth="1"/>
    <col min="68" max="68" width="14" customWidth="1"/>
    <col min="69" max="74" width="17.33203125" customWidth="1"/>
    <col min="75" max="75" width="18.109375" customWidth="1"/>
    <col min="76" max="76" width="17.5546875" customWidth="1"/>
  </cols>
  <sheetData>
    <row r="1" spans="1:59" ht="21" x14ac:dyDescent="0.4">
      <c r="A1" s="32"/>
      <c r="B1" s="32"/>
      <c r="C1" s="32"/>
      <c r="D1" s="32"/>
      <c r="E1" s="32"/>
      <c r="F1" s="32"/>
      <c r="G1" s="32" t="s">
        <v>298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7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</row>
    <row r="2" spans="1:59" x14ac:dyDescent="0.3">
      <c r="X2" s="25"/>
      <c r="Y2" s="25"/>
      <c r="Z2" s="25"/>
      <c r="AA2" s="25"/>
      <c r="AB2" s="25"/>
      <c r="AC2" s="25"/>
      <c r="AD2" s="25"/>
      <c r="AE2" s="8"/>
      <c r="AF2"/>
      <c r="AP2"/>
    </row>
    <row r="3" spans="1:59" ht="26.4" customHeight="1" x14ac:dyDescent="0.3">
      <c r="G3" s="306" t="s">
        <v>2</v>
      </c>
      <c r="H3" s="307"/>
      <c r="N3" s="65"/>
      <c r="P3" s="65"/>
      <c r="Q3" s="33"/>
      <c r="R3" s="33"/>
      <c r="S3" s="33"/>
      <c r="T3" s="33"/>
      <c r="U3" s="33"/>
      <c r="V3" s="33"/>
      <c r="W3" s="33"/>
      <c r="X3" s="4" t="s">
        <v>3</v>
      </c>
      <c r="Y3" s="80" t="s">
        <v>4</v>
      </c>
      <c r="Z3" s="160"/>
      <c r="AA3" s="128" t="s">
        <v>5</v>
      </c>
      <c r="AB3" s="265" t="s">
        <v>6</v>
      </c>
      <c r="AC3" s="264"/>
      <c r="AD3" s="263">
        <v>2024</v>
      </c>
      <c r="AE3" s="264"/>
      <c r="AF3" s="263">
        <v>2025</v>
      </c>
      <c r="AG3" s="264"/>
      <c r="AH3" s="263">
        <v>2026</v>
      </c>
      <c r="AI3" s="264"/>
      <c r="AJ3" s="263">
        <v>2027</v>
      </c>
      <c r="AK3" s="264"/>
      <c r="AL3" s="263">
        <v>2028</v>
      </c>
      <c r="AM3" s="264"/>
      <c r="AN3" s="263">
        <v>2029</v>
      </c>
      <c r="AO3" s="264"/>
      <c r="AP3" s="263">
        <v>2030</v>
      </c>
      <c r="AQ3" s="264"/>
      <c r="AR3" s="263">
        <v>2031</v>
      </c>
      <c r="AS3" s="264"/>
      <c r="AT3" s="263">
        <v>2032</v>
      </c>
      <c r="AU3" s="264"/>
      <c r="AV3" s="263">
        <v>2033</v>
      </c>
      <c r="AW3" s="264"/>
      <c r="AX3" s="263">
        <v>2034</v>
      </c>
      <c r="AY3" s="264"/>
      <c r="AZ3" s="80"/>
      <c r="BA3" s="26" t="s">
        <v>7</v>
      </c>
      <c r="BB3" s="26" t="s">
        <v>8</v>
      </c>
    </row>
    <row r="4" spans="1:59" x14ac:dyDescent="0.3">
      <c r="G4" s="27" t="s">
        <v>9</v>
      </c>
      <c r="H4" s="28" t="s">
        <v>10</v>
      </c>
      <c r="N4" s="65"/>
      <c r="P4" s="65"/>
      <c r="Q4" s="34"/>
      <c r="R4" s="34"/>
      <c r="S4" s="34"/>
      <c r="T4" s="34"/>
      <c r="U4" s="34"/>
      <c r="V4" s="34"/>
      <c r="W4" s="34"/>
      <c r="X4" s="66"/>
      <c r="Y4" s="138"/>
      <c r="Z4" s="161"/>
      <c r="AA4" s="104" t="s">
        <v>11</v>
      </c>
      <c r="AB4" s="260"/>
      <c r="AC4" s="260"/>
      <c r="AD4" s="260">
        <f>SUMIFS(Portefeuille_MNT_PPS_Access8[AC 2024],Portefeuille_MNT_PPS_Access8[Numéro projet],"=154951716")+SUMIFS(Portefeuille_MNT_PPS_Access8[TR 2024],Portefeuille_MNT_PPS_Access8[Numéro projet],"=154951716")</f>
        <v>1047</v>
      </c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78"/>
      <c r="BA4" s="16">
        <f t="shared" ref="BA4:BA10" si="0">SUM(AF4:AO4)</f>
        <v>0</v>
      </c>
      <c r="BB4" s="18">
        <f xml:space="preserve"> SUM(AF4:AY4)</f>
        <v>0</v>
      </c>
    </row>
    <row r="5" spans="1:59" x14ac:dyDescent="0.3">
      <c r="G5" s="27" t="s">
        <v>12</v>
      </c>
      <c r="H5" s="28" t="s">
        <v>13</v>
      </c>
      <c r="X5" s="67"/>
      <c r="Y5" s="139" t="s">
        <v>299</v>
      </c>
      <c r="Z5" s="162"/>
      <c r="AA5" s="104" t="s">
        <v>15</v>
      </c>
      <c r="AB5" s="260">
        <f>SUMIFS(Portefeuille_MNT_PPS_Access8[AC ANT],Portefeuille_MNT_PPS_Access8[État Composante AC],"=PR")</f>
        <v>23914</v>
      </c>
      <c r="AC5" s="260"/>
      <c r="AD5" s="260">
        <f>SUMIFS(Portefeuille_MNT_PPS_Access8[AC 2024],Portefeuille_MNT_PPS_Access8[État Composante AC],"=PR")</f>
        <v>8994</v>
      </c>
      <c r="AE5" s="260"/>
      <c r="AF5" s="260">
        <f>SUMIFS(Portefeuille_MNT_PPS_Access8[AC 2025],Portefeuille_MNT_PPS_Access8[État Composante AC],"=PR")</f>
        <v>7171</v>
      </c>
      <c r="AG5" s="260"/>
      <c r="AH5" s="260">
        <f>SUMIFS(Portefeuille_MNT_PPS_Access8[AC 2026],Portefeuille_MNT_PPS_Access8[État Composante AC],"=PR")</f>
        <v>8384</v>
      </c>
      <c r="AI5" s="260"/>
      <c r="AJ5" s="260">
        <f>SUMIFS(Portefeuille_MNT_PPS_Access8[AC 2027],Portefeuille_MNT_PPS_Access8[État Composante AC],"=PR")</f>
        <v>6135</v>
      </c>
      <c r="AK5" s="260"/>
      <c r="AL5" s="260">
        <f>SUMIFS(Portefeuille_MNT_PPS_Access8[AC 2028],Portefeuille_MNT_PPS_Access8[État Composante AC],"=PR")</f>
        <v>6709</v>
      </c>
      <c r="AM5" s="260"/>
      <c r="AN5" s="260">
        <f>SUMIFS(Portefeuille_MNT_PPS_Access8[AC 2029],Portefeuille_MNT_PPS_Access8[État Composante AC],"=PR")</f>
        <v>2427</v>
      </c>
      <c r="AO5" s="260"/>
      <c r="AP5" s="260">
        <f>SUMIFS(Portefeuille_MNT_PPS_Access8[AC 2030],Portefeuille_MNT_PPS_Access8[État Composante AC],"=PR")</f>
        <v>2470</v>
      </c>
      <c r="AQ5" s="260"/>
      <c r="AR5" s="260">
        <f>SUMIFS(Portefeuille_MNT_PPS_Access8[AC 2031],Portefeuille_MNT_PPS_Access8[État Composante AC],"=PR")</f>
        <v>1922</v>
      </c>
      <c r="AS5" s="260"/>
      <c r="AT5" s="260">
        <f>SUMIFS(Portefeuille_MNT_PPS_Access8[AC 2032],Portefeuille_MNT_PPS_Access8[État Composante AC],"=PR")</f>
        <v>0</v>
      </c>
      <c r="AU5" s="260"/>
      <c r="AV5" s="260">
        <f>SUMIFS(Portefeuille_MNT_PPS_Access8[AC 2033],Portefeuille_MNT_PPS_Access8[État Composante AC],"=PR")</f>
        <v>0</v>
      </c>
      <c r="AW5" s="260"/>
      <c r="AX5" s="260">
        <f>SUMIFS(Portefeuille_MNT_PPS_Access8[AC 2034],Portefeuille_MNT_PPS_Access8[État Composante AC],"=PR")</f>
        <v>0</v>
      </c>
      <c r="AY5" s="260"/>
      <c r="AZ5" s="78"/>
      <c r="BA5" s="16">
        <f t="shared" si="0"/>
        <v>30826</v>
      </c>
      <c r="BB5" s="18">
        <f t="shared" ref="BB5:BB10" si="1" xml:space="preserve"> SUM(AF5:AY5)</f>
        <v>35218</v>
      </c>
    </row>
    <row r="6" spans="1:59" x14ac:dyDescent="0.3">
      <c r="G6" s="29" t="s">
        <v>16</v>
      </c>
      <c r="H6" s="28" t="s">
        <v>17</v>
      </c>
      <c r="X6" s="35" t="s">
        <v>18</v>
      </c>
      <c r="Y6" s="140">
        <v>1</v>
      </c>
      <c r="Z6" s="163"/>
      <c r="AA6" s="83" t="s">
        <v>19</v>
      </c>
      <c r="AB6" s="260">
        <f>SUMIFS(Portefeuille_MNT_PPS_Access8[TR ANT],Portefeuille_MNT_PPS_Access8[État Composante TR],"=PR")</f>
        <v>149199</v>
      </c>
      <c r="AC6" s="260"/>
      <c r="AD6" s="260">
        <f>SUMIFS(Portefeuille_MNT_PPS_Access8[TR 2024],Portefeuille_MNT_PPS_Access8[État Composante TR],"=PR")</f>
        <v>66863</v>
      </c>
      <c r="AE6" s="260"/>
      <c r="AF6" s="260">
        <f>SUMIFS(Portefeuille_MNT_PPS_Access8[TR 2025],Portefeuille_MNT_PPS_Access8[État Composante TR],"=PR")</f>
        <v>35110</v>
      </c>
      <c r="AG6" s="260"/>
      <c r="AH6" s="260">
        <f>SUMIFS(Portefeuille_MNT_PPS_Access8[TR 2026],Portefeuille_MNT_PPS_Access8[État Composante TR],"=PR")</f>
        <v>15531</v>
      </c>
      <c r="AI6" s="260"/>
      <c r="AJ6" s="260">
        <f>SUMIFS(Portefeuille_MNT_PPS_Access8[TR 2027],Portefeuille_MNT_PPS_Access8[État Composante TR],"=PR")</f>
        <v>0</v>
      </c>
      <c r="AK6" s="260"/>
      <c r="AL6" s="260">
        <f>SUMIFS(Portefeuille_MNT_PPS_Access8[TR 2028],Portefeuille_MNT_PPS_Access8[État Composante TR],"=PR")</f>
        <v>0</v>
      </c>
      <c r="AM6" s="260"/>
      <c r="AN6" s="260">
        <f>SUMIFS(Portefeuille_MNT_PPS_Access8[TR 2029],Portefeuille_MNT_PPS_Access8[État Composante TR],"=PR")</f>
        <v>0</v>
      </c>
      <c r="AO6" s="260"/>
      <c r="AP6" s="260">
        <f>SUMIFS(Portefeuille_MNT_PPS_Access8[TR 2030],Portefeuille_MNT_PPS_Access8[État Composante TR],"=PR")</f>
        <v>0</v>
      </c>
      <c r="AQ6" s="260"/>
      <c r="AR6" s="260">
        <f>SUMIFS(Portefeuille_MNT_PPS_Access8[TR 2031],Portefeuille_MNT_PPS_Access8[État Composante TR],"=PR")</f>
        <v>0</v>
      </c>
      <c r="AS6" s="260"/>
      <c r="AT6" s="260">
        <f>SUMIFS(Portefeuille_MNT_PPS_Access8[TR 2032],Portefeuille_MNT_PPS_Access8[État Composante TR],"=PR")</f>
        <v>0</v>
      </c>
      <c r="AU6" s="260"/>
      <c r="AV6" s="260">
        <f>SUMIFS(Portefeuille_MNT_PPS_Access8[TR 2033],Portefeuille_MNT_PPS_Access8[État Composante TR],"=PR")</f>
        <v>0</v>
      </c>
      <c r="AW6" s="260"/>
      <c r="AX6" s="260">
        <f>SUMIFS(Portefeuille_MNT_PPS_Access8[TR 2034],Portefeuille_MNT_PPS_Access8[État Composante TR],"=PR")</f>
        <v>0</v>
      </c>
      <c r="AY6" s="260"/>
      <c r="AZ6" s="78"/>
      <c r="BA6" s="16">
        <f t="shared" si="0"/>
        <v>50641</v>
      </c>
      <c r="BB6" s="18">
        <f t="shared" si="1"/>
        <v>50641</v>
      </c>
    </row>
    <row r="7" spans="1:59" x14ac:dyDescent="0.3">
      <c r="G7" s="30" t="s">
        <v>20</v>
      </c>
      <c r="H7" s="31" t="s">
        <v>21</v>
      </c>
      <c r="X7" s="35" t="s">
        <v>22</v>
      </c>
      <c r="Y7" s="140">
        <v>0.25</v>
      </c>
      <c r="Z7" s="163"/>
      <c r="AA7" s="116" t="s">
        <v>23</v>
      </c>
      <c r="AB7" s="262">
        <f>AB5+AB6</f>
        <v>173113</v>
      </c>
      <c r="AC7" s="262"/>
      <c r="AD7" s="262">
        <f>AD5+AD6</f>
        <v>75857</v>
      </c>
      <c r="AE7" s="262"/>
      <c r="AF7" s="262">
        <f>AF5+AF6</f>
        <v>42281</v>
      </c>
      <c r="AG7" s="262"/>
      <c r="AH7" s="262">
        <f>AH5+AH6</f>
        <v>23915</v>
      </c>
      <c r="AI7" s="262"/>
      <c r="AJ7" s="262">
        <f>AJ5+AJ6</f>
        <v>6135</v>
      </c>
      <c r="AK7" s="262"/>
      <c r="AL7" s="262">
        <f>AL5+AL6</f>
        <v>6709</v>
      </c>
      <c r="AM7" s="262"/>
      <c r="AN7" s="262">
        <f>AN5+AN6</f>
        <v>2427</v>
      </c>
      <c r="AO7" s="262"/>
      <c r="AP7" s="262">
        <f>AP5+AP6</f>
        <v>2470</v>
      </c>
      <c r="AQ7" s="262"/>
      <c r="AR7" s="262">
        <f>AR5+AR6</f>
        <v>1922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/>
      <c r="BA7" s="20">
        <f t="shared" si="0"/>
        <v>81467</v>
      </c>
      <c r="BB7" s="20">
        <f t="shared" si="1"/>
        <v>85859</v>
      </c>
    </row>
    <row r="8" spans="1:59" x14ac:dyDescent="0.3">
      <c r="X8" s="35" t="s">
        <v>24</v>
      </c>
      <c r="Y8" s="140">
        <v>0.25</v>
      </c>
      <c r="Z8" s="163"/>
      <c r="AA8" s="83" t="s">
        <v>25</v>
      </c>
      <c r="AB8" s="260">
        <f>SUMIFS(Portefeuille_MNT_PPS_Access8[AC ANT],Portefeuille_MNT_PPS_Access8[État Composante AC],"&lt;&gt;PR")</f>
        <v>0</v>
      </c>
      <c r="AC8" s="260"/>
      <c r="AD8" s="260">
        <f>SUMIFS(Portefeuille_MNT_PPS_Access8[AC 2024],Portefeuille_MNT_PPS_Access8[État Composante AC],"&lt;&gt;PR")</f>
        <v>0</v>
      </c>
      <c r="AE8" s="260"/>
      <c r="AF8" s="260">
        <f>SUMIFS(Portefeuille_MNT_PPS_Access8[AC 2025],Portefeuille_MNT_PPS_Access8[État Composante AC],"&lt;&gt;PR")</f>
        <v>1299</v>
      </c>
      <c r="AG8" s="260"/>
      <c r="AH8" s="260">
        <f>SUMIFS(Portefeuille_MNT_PPS_Access8[AC 2026],Portefeuille_MNT_PPS_Access8[État Composante AC],"&lt;&gt;PR")</f>
        <v>2810</v>
      </c>
      <c r="AI8" s="260"/>
      <c r="AJ8" s="260">
        <f>SUMIFS(Portefeuille_MNT_PPS_Access8[AC 2027],Portefeuille_MNT_PPS_Access8[État Composante AC],"&lt;&gt;PR")</f>
        <v>5272</v>
      </c>
      <c r="AK8" s="260"/>
      <c r="AL8" s="260">
        <f>SUMIFS(Portefeuille_MNT_PPS_Access8[AC 2028],Portefeuille_MNT_PPS_Access8[État Composante AC],"&lt;&gt;PR")</f>
        <v>6750</v>
      </c>
      <c r="AM8" s="260"/>
      <c r="AN8" s="260">
        <f>SUMIFS(Portefeuille_MNT_PPS_Access8[AC 2029],Portefeuille_MNT_PPS_Access8[État Composante AC],"&lt;&gt;PR")</f>
        <v>6270</v>
      </c>
      <c r="AO8" s="260"/>
      <c r="AP8" s="260">
        <f>SUMIFS(Portefeuille_MNT_PPS_Access8[AC 2030],Portefeuille_MNT_PPS_Access8[État Composante AC],"&lt;&gt;PR")</f>
        <v>6150</v>
      </c>
      <c r="AQ8" s="260"/>
      <c r="AR8" s="260">
        <f>SUMIFS(Portefeuille_MNT_PPS_Access8[AC 2031],Portefeuille_MNT_PPS_Access8[État Composante AC],"&lt;&gt;PR")</f>
        <v>4775</v>
      </c>
      <c r="AS8" s="260"/>
      <c r="AT8" s="260">
        <f>SUMIFS(Portefeuille_MNT_PPS_Access8[AC 2032],Portefeuille_MNT_PPS_Access8[État Composante AC],"&lt;&gt;PR")</f>
        <v>7275</v>
      </c>
      <c r="AU8" s="260"/>
      <c r="AV8" s="260">
        <f>SUMIFS(Portefeuille_MNT_PPS_Access8[AC 2033],Portefeuille_MNT_PPS_Access8[État Composante AC],"&lt;&gt;PR")</f>
        <v>3500</v>
      </c>
      <c r="AW8" s="260"/>
      <c r="AX8" s="260">
        <f>SUMIFS(Portefeuille_MNT_PPS_Access8[AC 2034],Portefeuille_MNT_PPS_Access8[État Composante AC],"&lt;&gt;PR")</f>
        <v>3700</v>
      </c>
      <c r="AY8" s="260"/>
      <c r="AZ8" s="78"/>
      <c r="BA8" s="16">
        <f t="shared" si="0"/>
        <v>22401</v>
      </c>
      <c r="BB8" s="18">
        <f t="shared" si="1"/>
        <v>47801</v>
      </c>
    </row>
    <row r="9" spans="1:59" x14ac:dyDescent="0.3">
      <c r="X9" s="35" t="s">
        <v>26</v>
      </c>
      <c r="Y9" s="140">
        <v>0.25</v>
      </c>
      <c r="Z9" s="163"/>
      <c r="AA9" s="83" t="s">
        <v>27</v>
      </c>
      <c r="AB9" s="260">
        <f>SUMIFS(Portefeuille_MNT_PPS_Access8[TR ANT],Portefeuille_MNT_PPS_Access8[État Composante TR],"&lt;&gt;PR")</f>
        <v>3593</v>
      </c>
      <c r="AC9" s="260"/>
      <c r="AD9" s="260">
        <f>SUMIFS(Portefeuille_MNT_PPS_Access8[TR 2024],Portefeuille_MNT_PPS_Access8[État Composante TR],"&lt;&gt;PR")</f>
        <v>0</v>
      </c>
      <c r="AE9" s="260"/>
      <c r="AF9" s="260">
        <f>SUMIFS(Portefeuille_MNT_PPS_Access8[TR 2025],Portefeuille_MNT_PPS_Access8[État Composante TR],"&lt;&gt;PR")</f>
        <v>37503</v>
      </c>
      <c r="AG9" s="260"/>
      <c r="AH9" s="260">
        <f>SUMIFS(Portefeuille_MNT_PPS_Access8[TR 2026],Portefeuille_MNT_PPS_Access8[État Composante TR],"&lt;&gt;PR")</f>
        <v>41416</v>
      </c>
      <c r="AI9" s="260"/>
      <c r="AJ9" s="260">
        <f>SUMIFS(Portefeuille_MNT_PPS_Access8[TR 2027],Portefeuille_MNT_PPS_Access8[État Composante TR],"&lt;&gt;PR")</f>
        <v>91905</v>
      </c>
      <c r="AK9" s="260"/>
      <c r="AL9" s="260">
        <f>SUMIFS(Portefeuille_MNT_PPS_Access8[TR 2028],Portefeuille_MNT_PPS_Access8[État Composante TR],"&lt;&gt;PR")</f>
        <v>90911</v>
      </c>
      <c r="AM9" s="260"/>
      <c r="AN9" s="260">
        <f>SUMIFS(Portefeuille_MNT_PPS_Access8[TR 2029],Portefeuille_MNT_PPS_Access8[État Composante TR],"&lt;&gt;PR")</f>
        <v>93416</v>
      </c>
      <c r="AO9" s="260"/>
      <c r="AP9" s="260">
        <f>SUMIFS(Portefeuille_MNT_PPS_Access8[TR 2030],Portefeuille_MNT_PPS_Access8[État Composante TR],"&lt;&gt;PR")</f>
        <v>88624</v>
      </c>
      <c r="AQ9" s="260"/>
      <c r="AR9" s="260">
        <f>SUMIFS(Portefeuille_MNT_PPS_Access8[TR 2031],Portefeuille_MNT_PPS_Access8[État Composante TR],"&lt;&gt;PR")</f>
        <v>92119</v>
      </c>
      <c r="AS9" s="260"/>
      <c r="AT9" s="260">
        <f>SUMIFS(Portefeuille_MNT_PPS_Access8[TR 2032],Portefeuille_MNT_PPS_Access8[État Composante TR],"&lt;&gt;PR")</f>
        <v>93600</v>
      </c>
      <c r="AU9" s="260"/>
      <c r="AV9" s="260">
        <f>SUMIFS(Portefeuille_MNT_PPS_Access8[TR 2033],Portefeuille_MNT_PPS_Access8[État Composante TR],"&lt;&gt;PR")</f>
        <v>96700</v>
      </c>
      <c r="AW9" s="260"/>
      <c r="AX9" s="260">
        <f>SUMIFS(Portefeuille_MNT_PPS_Access8[TR 2034],Portefeuille_MNT_PPS_Access8[État Composante TR],"&lt;&gt;PR")</f>
        <v>105400</v>
      </c>
      <c r="AY9" s="260"/>
      <c r="AZ9" s="78"/>
      <c r="BA9" s="16">
        <f t="shared" si="0"/>
        <v>355151</v>
      </c>
      <c r="BB9" s="18">
        <f t="shared" si="1"/>
        <v>831594</v>
      </c>
    </row>
    <row r="10" spans="1:59" x14ac:dyDescent="0.3">
      <c r="Q10" s="36"/>
      <c r="R10" s="36"/>
      <c r="S10" s="36"/>
      <c r="T10" s="36"/>
      <c r="U10" s="36"/>
      <c r="X10" s="35" t="s">
        <v>28</v>
      </c>
      <c r="Y10" s="140">
        <v>0.25</v>
      </c>
      <c r="Z10" s="164"/>
      <c r="AA10" s="117" t="s">
        <v>29</v>
      </c>
      <c r="AB10" s="262">
        <f>AB8+AB9</f>
        <v>3593</v>
      </c>
      <c r="AC10" s="262"/>
      <c r="AD10" s="262">
        <f>AD8+AD9</f>
        <v>0</v>
      </c>
      <c r="AE10" s="262"/>
      <c r="AF10" s="262">
        <f>AF8+AF9</f>
        <v>38802</v>
      </c>
      <c r="AG10" s="262"/>
      <c r="AH10" s="262">
        <f>AH8+AH9</f>
        <v>44226</v>
      </c>
      <c r="AI10" s="262"/>
      <c r="AJ10" s="262">
        <f>AJ8+AJ9</f>
        <v>97177</v>
      </c>
      <c r="AK10" s="262"/>
      <c r="AL10" s="262">
        <f>AL8+AL9</f>
        <v>97661</v>
      </c>
      <c r="AM10" s="262"/>
      <c r="AN10" s="262">
        <f>AN8+AN9</f>
        <v>99686</v>
      </c>
      <c r="AO10" s="262"/>
      <c r="AP10" s="262">
        <f>AP8+AP9</f>
        <v>94774</v>
      </c>
      <c r="AQ10" s="262"/>
      <c r="AR10" s="262">
        <f>AR8+AR9</f>
        <v>96894</v>
      </c>
      <c r="AS10" s="262"/>
      <c r="AT10" s="262">
        <f>AT8+AT9</f>
        <v>100875</v>
      </c>
      <c r="AU10" s="262"/>
      <c r="AV10" s="262">
        <f>AV8+AV9</f>
        <v>100200</v>
      </c>
      <c r="AW10" s="262"/>
      <c r="AX10" s="262">
        <f>AX8+AX9</f>
        <v>109100</v>
      </c>
      <c r="AY10" s="262"/>
      <c r="AZ10" s="20"/>
      <c r="BA10" s="20">
        <f t="shared" si="0"/>
        <v>377552</v>
      </c>
      <c r="BB10" s="20">
        <f t="shared" si="1"/>
        <v>879395</v>
      </c>
    </row>
    <row r="11" spans="1:59" ht="15.6" x14ac:dyDescent="0.3">
      <c r="X11" s="70" t="s">
        <v>30</v>
      </c>
      <c r="Y11" s="141">
        <f>SUM(Y7:Y10)</f>
        <v>1</v>
      </c>
      <c r="Z11" s="164"/>
      <c r="AA11" s="143" t="s">
        <v>31</v>
      </c>
      <c r="AB11" s="261">
        <f>AB10+AB7</f>
        <v>176706</v>
      </c>
      <c r="AC11" s="259"/>
      <c r="AD11" s="258">
        <f>AD10+AD7</f>
        <v>75857</v>
      </c>
      <c r="AE11" s="259"/>
      <c r="AF11" s="258">
        <f>AF10+AF7-AF4</f>
        <v>81083</v>
      </c>
      <c r="AG11" s="259"/>
      <c r="AH11" s="258">
        <f t="shared" ref="AH11" si="2">AH10+AH7-AH4</f>
        <v>68141</v>
      </c>
      <c r="AI11" s="259"/>
      <c r="AJ11" s="258">
        <f t="shared" ref="AJ11" si="3">AJ10+AJ7-AJ4</f>
        <v>103312</v>
      </c>
      <c r="AK11" s="259"/>
      <c r="AL11" s="258">
        <f t="shared" ref="AL11" si="4">AL10+AL7-AL4</f>
        <v>104370</v>
      </c>
      <c r="AM11" s="259"/>
      <c r="AN11" s="258">
        <f t="shared" ref="AN11" si="5">AN10+AN7-AN4</f>
        <v>102113</v>
      </c>
      <c r="AO11" s="259"/>
      <c r="AP11" s="258">
        <f t="shared" ref="AP11" si="6">AP10+AP7-AP4</f>
        <v>97244</v>
      </c>
      <c r="AQ11" s="259"/>
      <c r="AR11" s="258">
        <f t="shared" ref="AR11" si="7">AR10+AR7-AR4</f>
        <v>98816</v>
      </c>
      <c r="AS11" s="259"/>
      <c r="AT11" s="258">
        <f t="shared" ref="AT11" si="8">AT10+AT7-AT4</f>
        <v>100875</v>
      </c>
      <c r="AU11" s="259"/>
      <c r="AV11" s="258">
        <f t="shared" ref="AV11" si="9">AV10+AV7-AV4</f>
        <v>100200</v>
      </c>
      <c r="AW11" s="259"/>
      <c r="AX11" s="258">
        <f t="shared" ref="AX11" si="10">AX10+AX7-AX4</f>
        <v>109100</v>
      </c>
      <c r="AY11" s="259"/>
      <c r="AZ11" s="167"/>
      <c r="BA11" s="21">
        <f>SUM(AF11:AO11)</f>
        <v>459019</v>
      </c>
      <c r="BB11" s="21">
        <f xml:space="preserve"> SUM(AF11:AY11)</f>
        <v>965254</v>
      </c>
    </row>
    <row r="12" spans="1:59" ht="15.6" x14ac:dyDescent="0.3">
      <c r="X12" s="24"/>
      <c r="Y12" s="7"/>
      <c r="Z12" s="163"/>
      <c r="AA12" s="83" t="s">
        <v>32</v>
      </c>
      <c r="AB12" s="260"/>
      <c r="AC12" s="260"/>
      <c r="AD12" s="260">
        <v>8614</v>
      </c>
      <c r="AE12" s="260"/>
      <c r="AF12" s="260">
        <v>-16666</v>
      </c>
      <c r="AG12" s="280"/>
      <c r="AH12" s="260">
        <v>5840</v>
      </c>
      <c r="AI12" s="260"/>
      <c r="AJ12" s="260">
        <v>663</v>
      </c>
      <c r="AK12" s="260"/>
      <c r="AL12" s="260">
        <v>-50</v>
      </c>
      <c r="AM12" s="260"/>
      <c r="AN12" s="260">
        <v>-50</v>
      </c>
      <c r="AO12" s="260"/>
      <c r="AP12" s="260">
        <v>-50</v>
      </c>
      <c r="AQ12" s="260"/>
      <c r="AR12" s="260">
        <v>-50</v>
      </c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/>
      <c r="BA12" s="76">
        <v>0</v>
      </c>
      <c r="BB12" s="77">
        <v>0</v>
      </c>
    </row>
    <row r="13" spans="1:59" ht="15.6" x14ac:dyDescent="0.3">
      <c r="X13" s="24"/>
      <c r="Y13" s="158"/>
      <c r="Z13" s="142"/>
      <c r="AA13" s="159" t="s">
        <v>33</v>
      </c>
      <c r="AB13" s="21"/>
      <c r="AC13" s="64"/>
      <c r="AD13" s="258">
        <f>AD12+AD11</f>
        <v>84471</v>
      </c>
      <c r="AE13" s="259"/>
      <c r="AF13" s="258">
        <f t="shared" ref="AF13" si="11">AF12+AF11</f>
        <v>64417</v>
      </c>
      <c r="AG13" s="259"/>
      <c r="AH13" s="258">
        <f t="shared" ref="AH13" si="12">AH12+AH11</f>
        <v>73981</v>
      </c>
      <c r="AI13" s="259"/>
      <c r="AJ13" s="258">
        <f t="shared" ref="AJ13" si="13">AJ12+AJ11</f>
        <v>103975</v>
      </c>
      <c r="AK13" s="259"/>
      <c r="AL13" s="258">
        <f t="shared" ref="AL13" si="14">AL12+AL11</f>
        <v>104320</v>
      </c>
      <c r="AM13" s="259"/>
      <c r="AN13" s="258">
        <f t="shared" ref="AN13" si="15">AN12+AN11</f>
        <v>102063</v>
      </c>
      <c r="AO13" s="259"/>
      <c r="AP13" s="258">
        <f t="shared" ref="AP13" si="16">AP12+AP11</f>
        <v>97194</v>
      </c>
      <c r="AQ13" s="259"/>
      <c r="AR13" s="258">
        <f t="shared" ref="AR13" si="17">AR12+AR11</f>
        <v>98766</v>
      </c>
      <c r="AS13" s="259"/>
      <c r="AT13" s="258">
        <f t="shared" ref="AT13" si="18">AT12+AT11</f>
        <v>100875</v>
      </c>
      <c r="AU13" s="259"/>
      <c r="AV13" s="258">
        <f t="shared" ref="AV13" si="19">AV12+AV11</f>
        <v>100200</v>
      </c>
      <c r="AW13" s="259"/>
      <c r="AX13" s="258">
        <f t="shared" ref="AX13" si="20">AX12+AX11</f>
        <v>109100</v>
      </c>
      <c r="AY13" s="259"/>
      <c r="AZ13" s="167"/>
      <c r="BA13" s="21">
        <f>BA12+BA11</f>
        <v>459019</v>
      </c>
      <c r="BB13" s="21">
        <f>BB12+BB11</f>
        <v>965254</v>
      </c>
    </row>
    <row r="14" spans="1:59" ht="15.6" x14ac:dyDescent="0.3">
      <c r="Z14" s="165"/>
      <c r="AA14" s="144" t="s">
        <v>34</v>
      </c>
      <c r="AB14" s="256"/>
      <c r="AC14" s="257"/>
      <c r="AD14" s="256">
        <v>61550</v>
      </c>
      <c r="AE14" s="257"/>
      <c r="AF14" s="256">
        <v>75500</v>
      </c>
      <c r="AG14" s="257"/>
      <c r="AH14" s="256">
        <v>75500</v>
      </c>
      <c r="AI14" s="257"/>
      <c r="AJ14" s="256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81"/>
      <c r="BA14" s="17">
        <f>SUM(AF14:AO14)</f>
        <v>377500</v>
      </c>
      <c r="BB14" s="19">
        <f xml:space="preserve"> SUM(AF14:AY14)</f>
        <v>755000</v>
      </c>
    </row>
    <row r="15" spans="1:59" ht="15.6" x14ac:dyDescent="0.3">
      <c r="Z15" s="165"/>
      <c r="AA15" s="84" t="s">
        <v>35</v>
      </c>
      <c r="AB15" s="252"/>
      <c r="AC15" s="253"/>
      <c r="AD15" s="252">
        <f>AD14-AD13</f>
        <v>-22921</v>
      </c>
      <c r="AE15" s="253"/>
      <c r="AF15" s="252">
        <f>AF14-AF13</f>
        <v>11083</v>
      </c>
      <c r="AG15" s="253"/>
      <c r="AH15" s="252">
        <f>AH14-AH13</f>
        <v>1519</v>
      </c>
      <c r="AI15" s="253"/>
      <c r="AJ15" s="252">
        <f t="shared" ref="AJ15" si="21">AJ14-AJ13</f>
        <v>-28475</v>
      </c>
      <c r="AK15" s="253"/>
      <c r="AL15" s="252">
        <f t="shared" ref="AL15" si="22">AL14-AL13</f>
        <v>-28820</v>
      </c>
      <c r="AM15" s="253"/>
      <c r="AN15" s="252">
        <f t="shared" ref="AN15" si="23">AN14-AN13</f>
        <v>-26563</v>
      </c>
      <c r="AO15" s="253"/>
      <c r="AP15" s="252">
        <f t="shared" ref="AP15" si="24">AP14-AP13</f>
        <v>-21694</v>
      </c>
      <c r="AQ15" s="253"/>
      <c r="AR15" s="252">
        <f t="shared" ref="AR15" si="25">AR14-AR13</f>
        <v>-23266</v>
      </c>
      <c r="AS15" s="253"/>
      <c r="AT15" s="252">
        <f t="shared" ref="AT15" si="26">AT14-AT13</f>
        <v>-25375</v>
      </c>
      <c r="AU15" s="253"/>
      <c r="AV15" s="252">
        <f t="shared" ref="AV15" si="27">AV14-AV13</f>
        <v>-24700</v>
      </c>
      <c r="AW15" s="253"/>
      <c r="AX15" s="252">
        <f t="shared" ref="AX15" si="28">AX14-AX13</f>
        <v>-33600</v>
      </c>
      <c r="AY15" s="253"/>
      <c r="AZ15" s="79"/>
      <c r="BA15" s="23">
        <f>BA14-BA13</f>
        <v>-81519</v>
      </c>
      <c r="BB15" s="23">
        <f>BB14-BB13</f>
        <v>-210254</v>
      </c>
    </row>
    <row r="16" spans="1:59" ht="15.6" x14ac:dyDescent="0.3">
      <c r="Z16" s="166"/>
      <c r="AA16" s="145" t="s">
        <v>36</v>
      </c>
      <c r="AB16" s="254"/>
      <c r="AC16" s="255"/>
      <c r="AD16" s="254">
        <f>(AD13-AD14)/AD14</f>
        <v>0.37239642567018683</v>
      </c>
      <c r="AE16" s="255"/>
      <c r="AF16" s="254">
        <f t="shared" ref="AF16" si="29">(AF13-AF14)/AF14</f>
        <v>-0.14679470198675496</v>
      </c>
      <c r="AG16" s="255"/>
      <c r="AH16" s="254">
        <f>(AH14-AH13)/AH14</f>
        <v>2.0119205298013244E-2</v>
      </c>
      <c r="AI16" s="255"/>
      <c r="AJ16" s="254">
        <f t="shared" ref="AJ16" si="30">(AJ14-AJ13)/AJ14</f>
        <v>-0.37715231788079473</v>
      </c>
      <c r="AK16" s="255"/>
      <c r="AL16" s="254">
        <f t="shared" ref="AL16" si="31">(AL14-AL13)/AL14</f>
        <v>-0.38172185430463579</v>
      </c>
      <c r="AM16" s="255"/>
      <c r="AN16" s="254">
        <f t="shared" ref="AN16" si="32">(AN14-AN13)/AN14</f>
        <v>-0.35182781456953643</v>
      </c>
      <c r="AO16" s="255"/>
      <c r="AP16" s="254">
        <f t="shared" ref="AP16" si="33">(AP14-AP13)/AP14</f>
        <v>-0.28733774834437087</v>
      </c>
      <c r="AQ16" s="255"/>
      <c r="AR16" s="254">
        <f t="shared" ref="AR16" si="34">(AR14-AR13)/AR14</f>
        <v>-0.30815894039735098</v>
      </c>
      <c r="AS16" s="255"/>
      <c r="AT16" s="254">
        <f t="shared" ref="AT16" si="35">(AT14-AT13)/AT14</f>
        <v>-0.33609271523178808</v>
      </c>
      <c r="AU16" s="255"/>
      <c r="AV16" s="254">
        <f t="shared" ref="AV16" si="36">(AV14-AV13)/AV14</f>
        <v>-0.32715231788079469</v>
      </c>
      <c r="AW16" s="255"/>
      <c r="AX16" s="254">
        <f t="shared" ref="AX16" si="37">(AX14-AX13)/AX14</f>
        <v>-0.44503311258278144</v>
      </c>
      <c r="AY16" s="255"/>
      <c r="AZ16" s="22"/>
      <c r="BA16" s="22">
        <f>(BA13-BA14)/BA14</f>
        <v>0.21594437086092716</v>
      </c>
      <c r="BB16" s="22">
        <f>(BB13-BB14)/BB14</f>
        <v>0.27848211920529803</v>
      </c>
    </row>
    <row r="17" spans="1:52" ht="13.95" customHeight="1" thickBot="1" x14ac:dyDescent="0.35">
      <c r="AE17" s="8"/>
      <c r="AF17"/>
      <c r="AP17"/>
    </row>
    <row r="18" spans="1:52" s="11" customFormat="1" ht="75.599999999999994" customHeight="1" x14ac:dyDescent="0.3">
      <c r="A18" t="s">
        <v>274</v>
      </c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  <c r="H18" s="11" t="s">
        <v>44</v>
      </c>
      <c r="I18" s="11" t="s">
        <v>45</v>
      </c>
      <c r="J18" s="11" t="s">
        <v>46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51</v>
      </c>
      <c r="P18" s="11" t="s">
        <v>52</v>
      </c>
      <c r="Q18" s="9" t="s">
        <v>53</v>
      </c>
      <c r="R18" s="9" t="s">
        <v>54</v>
      </c>
      <c r="S18" s="9" t="s">
        <v>55</v>
      </c>
      <c r="T18" s="9" t="s">
        <v>56</v>
      </c>
      <c r="U18" s="9" t="s">
        <v>69</v>
      </c>
      <c r="V18" s="9" t="s">
        <v>72</v>
      </c>
      <c r="W18" s="9" t="s">
        <v>26</v>
      </c>
      <c r="X18" s="9" t="s">
        <v>73</v>
      </c>
      <c r="Y18" s="9" t="s">
        <v>74</v>
      </c>
      <c r="Z18" s="9" t="s">
        <v>71</v>
      </c>
      <c r="AA18" s="10" t="s">
        <v>75</v>
      </c>
      <c r="AB18" s="9" t="s">
        <v>76</v>
      </c>
      <c r="AC18" s="9" t="s">
        <v>77</v>
      </c>
      <c r="AD18" s="9" t="s">
        <v>78</v>
      </c>
      <c r="AE18" s="9" t="s">
        <v>79</v>
      </c>
      <c r="AF18" s="9" t="s">
        <v>80</v>
      </c>
      <c r="AG18" s="9" t="s">
        <v>81</v>
      </c>
      <c r="AH18" s="9" t="s">
        <v>82</v>
      </c>
      <c r="AI18" s="9" t="s">
        <v>83</v>
      </c>
      <c r="AJ18" s="9" t="s">
        <v>84</v>
      </c>
      <c r="AK18" s="9" t="s">
        <v>85</v>
      </c>
      <c r="AL18" s="9" t="s">
        <v>86</v>
      </c>
      <c r="AM18" s="9" t="s">
        <v>87</v>
      </c>
      <c r="AN18" s="9" t="s">
        <v>88</v>
      </c>
      <c r="AO18" s="9" t="s">
        <v>89</v>
      </c>
      <c r="AP18" s="9" t="s">
        <v>90</v>
      </c>
      <c r="AQ18" s="9" t="s">
        <v>91</v>
      </c>
      <c r="AR18" s="9" t="s">
        <v>92</v>
      </c>
      <c r="AS18" s="9" t="s">
        <v>93</v>
      </c>
      <c r="AT18" s="9" t="s">
        <v>94</v>
      </c>
      <c r="AU18" s="9" t="s">
        <v>95</v>
      </c>
      <c r="AV18" s="9" t="s">
        <v>96</v>
      </c>
      <c r="AW18" s="9" t="s">
        <v>97</v>
      </c>
      <c r="AX18" s="9" t="s">
        <v>98</v>
      </c>
      <c r="AY18" s="9" t="s">
        <v>99</v>
      </c>
      <c r="AZ18" s="9" t="s">
        <v>100</v>
      </c>
    </row>
    <row r="19" spans="1:52" x14ac:dyDescent="0.3">
      <c r="B19" t="s">
        <v>101</v>
      </c>
      <c r="C19" t="s">
        <v>102</v>
      </c>
      <c r="D19" t="s">
        <v>177</v>
      </c>
      <c r="E19" t="s">
        <v>129</v>
      </c>
      <c r="F19" t="s">
        <v>16</v>
      </c>
      <c r="G19" t="s">
        <v>16</v>
      </c>
      <c r="H19" t="s">
        <v>131</v>
      </c>
      <c r="I19" t="s">
        <v>178</v>
      </c>
      <c r="J19" t="s">
        <v>179</v>
      </c>
      <c r="K19" t="s">
        <v>180</v>
      </c>
      <c r="L19" t="s">
        <v>176</v>
      </c>
      <c r="M19" t="s">
        <v>164</v>
      </c>
      <c r="N19" s="1"/>
      <c r="O19" s="1"/>
      <c r="P19" s="1">
        <v>45195</v>
      </c>
      <c r="Q19">
        <v>5</v>
      </c>
      <c r="R19">
        <v>5</v>
      </c>
      <c r="U19" t="s">
        <v>165</v>
      </c>
      <c r="V19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19" s="12" t="e">
        <f>_xlfn.XLOOKUP(Portefeuille_MNT_PPS_Access8[[#This Row],[Numéro projet]],Tableau5[Numéro projet],Tableau5[IND_Site_Prioritaire])</f>
        <v>#N/A</v>
      </c>
      <c r="X19" s="2" t="e">
        <f>_xlfn.XLOOKUP(Portefeuille_MNT_PPS_Access8[[#This Row],[Numéro projet]],Tableau5[Numéro projet],Tableau5[Critère Etat Infrastructure])</f>
        <v>#N/A</v>
      </c>
      <c r="Y19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19" s="2">
        <v>5</v>
      </c>
      <c r="AA19" s="63"/>
      <c r="AB19">
        <v>75</v>
      </c>
      <c r="AC19">
        <v>101.00000000000001</v>
      </c>
      <c r="AD19">
        <v>83</v>
      </c>
      <c r="AE19">
        <v>1096</v>
      </c>
      <c r="AF19">
        <v>15</v>
      </c>
      <c r="AG19">
        <v>548</v>
      </c>
      <c r="AP19"/>
      <c r="AZ19" s="14">
        <f>SUM(Portefeuille_MNT_PPS_Access8[[#This Row],[AC ANT]:[TR 2034]])</f>
        <v>1918</v>
      </c>
    </row>
    <row r="20" spans="1:52" hidden="1" x14ac:dyDescent="0.3">
      <c r="B20" t="s">
        <v>101</v>
      </c>
      <c r="C20" t="s">
        <v>102</v>
      </c>
      <c r="D20" t="s">
        <v>103</v>
      </c>
      <c r="E20" t="s">
        <v>140</v>
      </c>
      <c r="F20" t="s">
        <v>16</v>
      </c>
      <c r="G20" t="s">
        <v>16</v>
      </c>
      <c r="H20" t="s">
        <v>105</v>
      </c>
      <c r="I20" t="s">
        <v>174</v>
      </c>
      <c r="J20" t="s">
        <v>175</v>
      </c>
      <c r="K20" t="s">
        <v>143</v>
      </c>
      <c r="L20" t="s">
        <v>176</v>
      </c>
      <c r="M20" t="s">
        <v>164</v>
      </c>
      <c r="N20" s="1">
        <v>44014</v>
      </c>
      <c r="O20" s="1">
        <v>44294</v>
      </c>
      <c r="P20" s="1">
        <v>45239</v>
      </c>
      <c r="Q20">
        <v>5</v>
      </c>
      <c r="R20">
        <v>5</v>
      </c>
      <c r="S20">
        <v>5</v>
      </c>
      <c r="T20">
        <v>5</v>
      </c>
      <c r="U20" t="s">
        <v>165</v>
      </c>
      <c r="V20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0" s="12" t="e">
        <f>_xlfn.XLOOKUP(Portefeuille_MNT_PPS_Access8[[#This Row],[Numéro projet]],Tableau5[Numéro projet],Tableau5[IND_Site_Prioritaire])</f>
        <v>#N/A</v>
      </c>
      <c r="X20" s="2" t="e">
        <f>_xlfn.XLOOKUP(Portefeuille_MNT_PPS_Access8[[#This Row],[Numéro projet]],Tableau5[Numéro projet],Tableau5[Critère Etat Infrastructure])</f>
        <v>#N/A</v>
      </c>
      <c r="Y20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0" s="2">
        <v>5</v>
      </c>
      <c r="AA20" s="62"/>
      <c r="AB20">
        <v>389</v>
      </c>
      <c r="AC20">
        <v>4986</v>
      </c>
      <c r="AD20">
        <v>926</v>
      </c>
      <c r="AE20">
        <v>19912</v>
      </c>
      <c r="AF20">
        <v>300</v>
      </c>
      <c r="AG20">
        <v>16142</v>
      </c>
      <c r="AP20"/>
      <c r="AZ20" s="14">
        <f>SUM(Portefeuille_MNT_PPS_Access8[[#This Row],[AC ANT]:[TR 2034]])</f>
        <v>42655</v>
      </c>
    </row>
    <row r="21" spans="1:52" x14ac:dyDescent="0.3">
      <c r="B21" t="s">
        <v>118</v>
      </c>
      <c r="C21" t="s">
        <v>102</v>
      </c>
      <c r="D21" t="s">
        <v>136</v>
      </c>
      <c r="E21" t="s">
        <v>340</v>
      </c>
      <c r="F21" t="s">
        <v>16</v>
      </c>
      <c r="G21" t="s">
        <v>16</v>
      </c>
      <c r="H21" t="s">
        <v>105</v>
      </c>
      <c r="I21" t="s">
        <v>352</v>
      </c>
      <c r="J21" t="s">
        <v>353</v>
      </c>
      <c r="K21" t="s">
        <v>180</v>
      </c>
      <c r="L21" t="s">
        <v>176</v>
      </c>
      <c r="M21" t="s">
        <v>164</v>
      </c>
      <c r="N21" s="1"/>
      <c r="O21" s="1">
        <v>44965</v>
      </c>
      <c r="P21" s="1">
        <v>45113</v>
      </c>
      <c r="Q21">
        <v>1</v>
      </c>
      <c r="R21">
        <v>5</v>
      </c>
      <c r="S21">
        <v>5</v>
      </c>
      <c r="U21" t="s">
        <v>165</v>
      </c>
      <c r="V21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1" s="12" t="e">
        <f>_xlfn.XLOOKUP(Portefeuille_MNT_PPS_Access8[[#This Row],[Numéro projet]],Tableau5[Numéro projet],Tableau5[IND_Site_Prioritaire])</f>
        <v>#N/A</v>
      </c>
      <c r="X21" s="2" t="e">
        <f>_xlfn.XLOOKUP(Portefeuille_MNT_PPS_Access8[[#This Row],[Numéro projet]],Tableau5[Numéro projet],Tableau5[Critère Etat Infrastructure])</f>
        <v>#N/A</v>
      </c>
      <c r="Y21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1" s="2">
        <v>5</v>
      </c>
      <c r="AA21" s="63"/>
      <c r="AB21">
        <v>87</v>
      </c>
      <c r="AC21">
        <v>304</v>
      </c>
      <c r="AD21">
        <v>40</v>
      </c>
      <c r="AE21">
        <v>918</v>
      </c>
      <c r="AF21"/>
      <c r="AP21"/>
      <c r="AZ21" s="14">
        <f>SUM(Portefeuille_MNT_PPS_Access8[[#This Row],[AC ANT]:[TR 2034]])</f>
        <v>1349</v>
      </c>
    </row>
    <row r="22" spans="1:52" hidden="1" x14ac:dyDescent="0.3">
      <c r="B22" t="s">
        <v>118</v>
      </c>
      <c r="C22" t="s">
        <v>102</v>
      </c>
      <c r="D22" t="s">
        <v>177</v>
      </c>
      <c r="E22" t="s">
        <v>104</v>
      </c>
      <c r="F22" t="s">
        <v>16</v>
      </c>
      <c r="G22" t="s">
        <v>16</v>
      </c>
      <c r="H22" t="s">
        <v>105</v>
      </c>
      <c r="I22">
        <v>154951716</v>
      </c>
      <c r="J22" t="s">
        <v>199</v>
      </c>
      <c r="K22" t="s">
        <v>108</v>
      </c>
      <c r="L22" t="s">
        <v>176</v>
      </c>
      <c r="M22" t="s">
        <v>297</v>
      </c>
      <c r="N22" s="1"/>
      <c r="O22" s="1"/>
      <c r="P22" s="1">
        <v>45176</v>
      </c>
      <c r="Q22">
        <v>5</v>
      </c>
      <c r="R22">
        <v>5</v>
      </c>
      <c r="U22" t="s">
        <v>349</v>
      </c>
      <c r="V22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2" s="12">
        <f>_xlfn.XLOOKUP(Portefeuille_MNT_PPS_Access8[[#This Row],[Numéro projet]],Tableau5[Numéro projet],Tableau5[IND_Site_Prioritaire])</f>
        <v>4</v>
      </c>
      <c r="X22" s="2">
        <f>_xlfn.XLOOKUP(Portefeuille_MNT_PPS_Access8[[#This Row],[Numéro projet]],Tableau5[Numéro projet],Tableau5[Critère Etat Infrastructure])</f>
        <v>0</v>
      </c>
      <c r="Y22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2" s="2">
        <v>5</v>
      </c>
      <c r="AA22" s="62"/>
      <c r="AB22">
        <v>269</v>
      </c>
      <c r="AD22">
        <v>27</v>
      </c>
      <c r="AE22">
        <v>1020</v>
      </c>
      <c r="AF22">
        <v>245</v>
      </c>
      <c r="AG22">
        <v>8040</v>
      </c>
      <c r="AP22"/>
      <c r="AZ22" s="14">
        <f>SUM(Portefeuille_MNT_PPS_Access8[[#This Row],[AC ANT]:[TR 2034]])</f>
        <v>9601</v>
      </c>
    </row>
    <row r="23" spans="1:52" hidden="1" x14ac:dyDescent="0.3">
      <c r="B23" t="s">
        <v>118</v>
      </c>
      <c r="C23" t="s">
        <v>102</v>
      </c>
      <c r="D23" t="s">
        <v>103</v>
      </c>
      <c r="E23" t="s">
        <v>149</v>
      </c>
      <c r="F23" t="s">
        <v>16</v>
      </c>
      <c r="G23" t="s">
        <v>16</v>
      </c>
      <c r="H23" t="s">
        <v>131</v>
      </c>
      <c r="I23" t="s">
        <v>192</v>
      </c>
      <c r="J23" t="s">
        <v>193</v>
      </c>
      <c r="K23" t="s">
        <v>194</v>
      </c>
      <c r="L23" t="s">
        <v>176</v>
      </c>
      <c r="M23" t="s">
        <v>164</v>
      </c>
      <c r="N23" s="1">
        <v>44547</v>
      </c>
      <c r="O23" s="1">
        <v>45091</v>
      </c>
      <c r="P23" s="1">
        <v>45375</v>
      </c>
      <c r="Q23">
        <v>5</v>
      </c>
      <c r="R23">
        <v>5</v>
      </c>
      <c r="S23">
        <v>5</v>
      </c>
      <c r="T23">
        <v>5</v>
      </c>
      <c r="U23" t="s">
        <v>165</v>
      </c>
      <c r="V23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3" s="12" t="e">
        <f>_xlfn.XLOOKUP(Portefeuille_MNT_PPS_Access8[[#This Row],[Numéro projet]],Tableau5[Numéro projet],Tableau5[IND_Site_Prioritaire])</f>
        <v>#N/A</v>
      </c>
      <c r="X23" s="2" t="e">
        <f>_xlfn.XLOOKUP(Portefeuille_MNT_PPS_Access8[[#This Row],[Numéro projet]],Tableau5[Numéro projet],Tableau5[Critère Etat Infrastructure])</f>
        <v>#N/A</v>
      </c>
      <c r="Y23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3" s="2">
        <v>5</v>
      </c>
      <c r="AA23" s="62"/>
      <c r="AB23">
        <v>7</v>
      </c>
      <c r="AD23">
        <v>25</v>
      </c>
      <c r="AE23">
        <v>1600</v>
      </c>
      <c r="AF23">
        <v>185</v>
      </c>
      <c r="AG23">
        <v>5471</v>
      </c>
      <c r="AP23"/>
      <c r="AZ23" s="14">
        <f>SUM(Portefeuille_MNT_PPS_Access8[[#This Row],[AC ANT]:[TR 2034]])</f>
        <v>7288</v>
      </c>
    </row>
    <row r="24" spans="1:52" hidden="1" x14ac:dyDescent="0.3">
      <c r="B24" t="s">
        <v>101</v>
      </c>
      <c r="C24" t="s">
        <v>102</v>
      </c>
      <c r="D24" t="s">
        <v>136</v>
      </c>
      <c r="E24" t="s">
        <v>140</v>
      </c>
      <c r="F24" t="s">
        <v>16</v>
      </c>
      <c r="G24" t="s">
        <v>16</v>
      </c>
      <c r="H24" t="s">
        <v>131</v>
      </c>
      <c r="I24" t="s">
        <v>360</v>
      </c>
      <c r="J24" t="s">
        <v>361</v>
      </c>
      <c r="K24" t="s">
        <v>134</v>
      </c>
      <c r="L24" t="s">
        <v>176</v>
      </c>
      <c r="M24" t="s">
        <v>164</v>
      </c>
      <c r="N24" s="1">
        <v>43390</v>
      </c>
      <c r="O24" s="1"/>
      <c r="P24" s="1">
        <v>44890</v>
      </c>
      <c r="Q24">
        <v>5</v>
      </c>
      <c r="R24">
        <v>5</v>
      </c>
      <c r="T24">
        <v>5</v>
      </c>
      <c r="U24" t="s">
        <v>165</v>
      </c>
      <c r="V24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4" s="12" t="e">
        <f>_xlfn.XLOOKUP(Portefeuille_MNT_PPS_Access8[[#This Row],[Numéro projet]],Tableau5[Numéro projet],Tableau5[IND_Site_Prioritaire])</f>
        <v>#N/A</v>
      </c>
      <c r="X24" s="2" t="e">
        <f>_xlfn.XLOOKUP(Portefeuille_MNT_PPS_Access8[[#This Row],[Numéro projet]],Tableau5[Numéro projet],Tableau5[Critère Etat Infrastructure])</f>
        <v>#N/A</v>
      </c>
      <c r="Y24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4" s="2">
        <v>5</v>
      </c>
      <c r="AA24" s="63"/>
      <c r="AB24">
        <v>37</v>
      </c>
      <c r="AD24">
        <v>18</v>
      </c>
      <c r="AE24">
        <v>288</v>
      </c>
      <c r="AF24"/>
      <c r="AP24"/>
      <c r="AZ24" s="14">
        <f>SUM(Portefeuille_MNT_PPS_Access8[[#This Row],[AC ANT]:[TR 2034]])</f>
        <v>343</v>
      </c>
    </row>
    <row r="25" spans="1:52" x14ac:dyDescent="0.3">
      <c r="B25" t="s">
        <v>101</v>
      </c>
      <c r="C25" t="s">
        <v>102</v>
      </c>
      <c r="D25" t="s">
        <v>200</v>
      </c>
      <c r="E25" t="s">
        <v>113</v>
      </c>
      <c r="F25" t="s">
        <v>16</v>
      </c>
      <c r="G25" t="s">
        <v>16</v>
      </c>
      <c r="H25" t="s">
        <v>131</v>
      </c>
      <c r="I25" t="s">
        <v>336</v>
      </c>
      <c r="J25" t="s">
        <v>337</v>
      </c>
      <c r="K25" t="s">
        <v>180</v>
      </c>
      <c r="L25" t="s">
        <v>176</v>
      </c>
      <c r="M25" t="s">
        <v>164</v>
      </c>
      <c r="N25" s="1"/>
      <c r="O25" s="1">
        <v>44518</v>
      </c>
      <c r="P25" s="1">
        <v>44657</v>
      </c>
      <c r="Q25">
        <v>5</v>
      </c>
      <c r="R25">
        <v>5</v>
      </c>
      <c r="S25">
        <v>5</v>
      </c>
      <c r="U25" t="s">
        <v>165</v>
      </c>
      <c r="V25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5" s="12" t="e">
        <f>_xlfn.XLOOKUP(Portefeuille_MNT_PPS_Access8[[#This Row],[Numéro projet]],Tableau5[Numéro projet],Tableau5[IND_Site_Prioritaire])</f>
        <v>#N/A</v>
      </c>
      <c r="X25" s="2" t="e">
        <f>_xlfn.XLOOKUP(Portefeuille_MNT_PPS_Access8[[#This Row],[Numéro projet]],Tableau5[Numéro projet],Tableau5[Critère Etat Infrastructure])</f>
        <v>#N/A</v>
      </c>
      <c r="Y25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5" s="2">
        <v>5</v>
      </c>
      <c r="AA25" s="63"/>
      <c r="AB25">
        <v>594</v>
      </c>
      <c r="AC25">
        <v>3359</v>
      </c>
      <c r="AD25">
        <v>327</v>
      </c>
      <c r="AE25">
        <v>3179</v>
      </c>
      <c r="AF25"/>
      <c r="AP25"/>
      <c r="AZ25" s="14">
        <f>SUM(Portefeuille_MNT_PPS_Access8[[#This Row],[AC ANT]:[TR 2034]])</f>
        <v>7459</v>
      </c>
    </row>
    <row r="26" spans="1:52" x14ac:dyDescent="0.3">
      <c r="B26" t="s">
        <v>101</v>
      </c>
      <c r="C26" t="s">
        <v>102</v>
      </c>
      <c r="D26" t="s">
        <v>200</v>
      </c>
      <c r="E26" t="s">
        <v>104</v>
      </c>
      <c r="F26" t="s">
        <v>16</v>
      </c>
      <c r="G26" t="s">
        <v>16</v>
      </c>
      <c r="H26" t="s">
        <v>105</v>
      </c>
      <c r="I26" t="s">
        <v>330</v>
      </c>
      <c r="J26" t="s">
        <v>331</v>
      </c>
      <c r="K26" t="s">
        <v>180</v>
      </c>
      <c r="L26" t="s">
        <v>176</v>
      </c>
      <c r="M26" t="s">
        <v>164</v>
      </c>
      <c r="N26" s="1">
        <v>43360</v>
      </c>
      <c r="O26" s="1">
        <v>43671</v>
      </c>
      <c r="P26" s="1">
        <v>44217</v>
      </c>
      <c r="Q26">
        <v>1</v>
      </c>
      <c r="R26">
        <v>5</v>
      </c>
      <c r="S26">
        <v>5</v>
      </c>
      <c r="T26">
        <v>5</v>
      </c>
      <c r="U26" t="s">
        <v>165</v>
      </c>
      <c r="V26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6" s="12" t="e">
        <f>_xlfn.XLOOKUP(Portefeuille_MNT_PPS_Access8[[#This Row],[Numéro projet]],Tableau5[Numéro projet],Tableau5[IND_Site_Prioritaire])</f>
        <v>#N/A</v>
      </c>
      <c r="X26" s="2" t="e">
        <f>_xlfn.XLOOKUP(Portefeuille_MNT_PPS_Access8[[#This Row],[Numéro projet]],Tableau5[Numéro projet],Tableau5[Critère Etat Infrastructure])</f>
        <v>#N/A</v>
      </c>
      <c r="Y26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6" s="2">
        <v>5</v>
      </c>
      <c r="AA26" s="63"/>
      <c r="AB26">
        <v>432</v>
      </c>
      <c r="AC26">
        <v>3057</v>
      </c>
      <c r="AD26">
        <v>260</v>
      </c>
      <c r="AE26">
        <v>306</v>
      </c>
      <c r="AF26"/>
      <c r="AP26"/>
      <c r="AZ26" s="14">
        <f>SUM(Portefeuille_MNT_PPS_Access8[[#This Row],[AC ANT]:[TR 2034]])</f>
        <v>4055</v>
      </c>
    </row>
    <row r="27" spans="1:52" x14ac:dyDescent="0.3">
      <c r="B27" t="s">
        <v>101</v>
      </c>
      <c r="C27" t="s">
        <v>102</v>
      </c>
      <c r="D27" t="s">
        <v>200</v>
      </c>
      <c r="E27" t="s">
        <v>104</v>
      </c>
      <c r="F27" t="s">
        <v>16</v>
      </c>
      <c r="G27" t="s">
        <v>16</v>
      </c>
      <c r="H27" t="s">
        <v>105</v>
      </c>
      <c r="I27" t="s">
        <v>338</v>
      </c>
      <c r="J27" t="s">
        <v>339</v>
      </c>
      <c r="K27" t="s">
        <v>180</v>
      </c>
      <c r="L27" t="s">
        <v>176</v>
      </c>
      <c r="M27" t="s">
        <v>164</v>
      </c>
      <c r="N27" s="1">
        <v>43360</v>
      </c>
      <c r="O27" s="1">
        <v>43671</v>
      </c>
      <c r="P27" s="1">
        <v>44217</v>
      </c>
      <c r="Q27">
        <v>1</v>
      </c>
      <c r="R27">
        <v>5</v>
      </c>
      <c r="S27">
        <v>5</v>
      </c>
      <c r="T27">
        <v>5</v>
      </c>
      <c r="U27" t="s">
        <v>165</v>
      </c>
      <c r="V27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7" s="12" t="e">
        <f>_xlfn.XLOOKUP(Portefeuille_MNT_PPS_Access8[[#This Row],[Numéro projet]],Tableau5[Numéro projet],Tableau5[IND_Site_Prioritaire])</f>
        <v>#N/A</v>
      </c>
      <c r="X27" s="2" t="e">
        <f>_xlfn.XLOOKUP(Portefeuille_MNT_PPS_Access8[[#This Row],[Numéro projet]],Tableau5[Numéro projet],Tableau5[Critère Etat Infrastructure])</f>
        <v>#N/A</v>
      </c>
      <c r="Y27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7" s="2">
        <v>5</v>
      </c>
      <c r="AA27" s="63"/>
      <c r="AB27">
        <v>128</v>
      </c>
      <c r="AC27">
        <v>2061</v>
      </c>
      <c r="AD27">
        <v>88</v>
      </c>
      <c r="AE27">
        <v>169</v>
      </c>
      <c r="AF27"/>
      <c r="AP27"/>
      <c r="AZ27" s="14">
        <f>SUM(Portefeuille_MNT_PPS_Access8[[#This Row],[AC ANT]:[TR 2034]])</f>
        <v>2446</v>
      </c>
    </row>
    <row r="28" spans="1:52" hidden="1" x14ac:dyDescent="0.3">
      <c r="B28" t="s">
        <v>101</v>
      </c>
      <c r="C28" t="s">
        <v>102</v>
      </c>
      <c r="D28" t="s">
        <v>103</v>
      </c>
      <c r="E28" t="s">
        <v>206</v>
      </c>
      <c r="F28" t="s">
        <v>16</v>
      </c>
      <c r="G28" t="s">
        <v>16</v>
      </c>
      <c r="H28" t="s">
        <v>105</v>
      </c>
      <c r="I28" t="s">
        <v>314</v>
      </c>
      <c r="J28" t="s">
        <v>315</v>
      </c>
      <c r="K28" t="s">
        <v>316</v>
      </c>
      <c r="L28" t="s">
        <v>176</v>
      </c>
      <c r="M28" t="s">
        <v>164</v>
      </c>
      <c r="N28" s="1">
        <v>43882</v>
      </c>
      <c r="O28" s="1">
        <v>44033</v>
      </c>
      <c r="P28" s="1">
        <v>45225</v>
      </c>
      <c r="Q28">
        <v>5</v>
      </c>
      <c r="R28">
        <v>5</v>
      </c>
      <c r="S28">
        <v>5</v>
      </c>
      <c r="T28">
        <v>5</v>
      </c>
      <c r="U28" t="s">
        <v>165</v>
      </c>
      <c r="V28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8" s="12" t="e">
        <f>_xlfn.XLOOKUP(Portefeuille_MNT_PPS_Access8[[#This Row],[Numéro projet]],Tableau5[Numéro projet],Tableau5[IND_Site_Prioritaire])</f>
        <v>#N/A</v>
      </c>
      <c r="X28" s="2" t="e">
        <f>_xlfn.XLOOKUP(Portefeuille_MNT_PPS_Access8[[#This Row],[Numéro projet]],Tableau5[Numéro projet],Tableau5[Critère Etat Infrastructure])</f>
        <v>#N/A</v>
      </c>
      <c r="Y28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8" s="2">
        <v>5</v>
      </c>
      <c r="AA28" s="63"/>
      <c r="AB28">
        <v>257</v>
      </c>
      <c r="AC28">
        <v>2407</v>
      </c>
      <c r="AD28">
        <v>518</v>
      </c>
      <c r="AE28">
        <v>8136</v>
      </c>
      <c r="AF28"/>
      <c r="AP28"/>
      <c r="AZ28" s="14">
        <f>SUM(Portefeuille_MNT_PPS_Access8[[#This Row],[AC ANT]:[TR 2034]])</f>
        <v>11318</v>
      </c>
    </row>
    <row r="29" spans="1:52" hidden="1" x14ac:dyDescent="0.3">
      <c r="B29" t="s">
        <v>101</v>
      </c>
      <c r="C29" t="s">
        <v>102</v>
      </c>
      <c r="D29" t="s">
        <v>103</v>
      </c>
      <c r="E29" t="s">
        <v>129</v>
      </c>
      <c r="F29" t="s">
        <v>16</v>
      </c>
      <c r="G29" t="s">
        <v>16</v>
      </c>
      <c r="H29" t="s">
        <v>105</v>
      </c>
      <c r="I29" t="s">
        <v>356</v>
      </c>
      <c r="J29" t="s">
        <v>357</v>
      </c>
      <c r="K29" t="s">
        <v>116</v>
      </c>
      <c r="L29" t="s">
        <v>176</v>
      </c>
      <c r="M29" t="s">
        <v>164</v>
      </c>
      <c r="N29" s="1"/>
      <c r="O29" s="1">
        <v>44911</v>
      </c>
      <c r="P29" s="1">
        <v>45167</v>
      </c>
      <c r="Q29">
        <v>5</v>
      </c>
      <c r="R29">
        <v>5</v>
      </c>
      <c r="S29">
        <v>5</v>
      </c>
      <c r="U29" t="s">
        <v>165</v>
      </c>
      <c r="V29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29" s="12" t="e">
        <f>_xlfn.XLOOKUP(Portefeuille_MNT_PPS_Access8[[#This Row],[Numéro projet]],Tableau5[Numéro projet],Tableau5[IND_Site_Prioritaire])</f>
        <v>#N/A</v>
      </c>
      <c r="X29" s="2" t="e">
        <f>_xlfn.XLOOKUP(Portefeuille_MNT_PPS_Access8[[#This Row],[Numéro projet]],Tableau5[Numéro projet],Tableau5[Critère Etat Infrastructure])</f>
        <v>#N/A</v>
      </c>
      <c r="Y29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29" s="2">
        <v>5</v>
      </c>
      <c r="AA29" s="63"/>
      <c r="AB29">
        <v>16</v>
      </c>
      <c r="AD29">
        <v>14</v>
      </c>
      <c r="AE29">
        <v>1900</v>
      </c>
      <c r="AF29"/>
      <c r="AP29"/>
      <c r="AZ29" s="14">
        <f>SUM(Portefeuille_MNT_PPS_Access8[[#This Row],[AC ANT]:[TR 2034]])</f>
        <v>1930</v>
      </c>
    </row>
    <row r="30" spans="1:52" hidden="1" x14ac:dyDescent="0.3">
      <c r="B30" t="s">
        <v>101</v>
      </c>
      <c r="C30" t="s">
        <v>102</v>
      </c>
      <c r="D30" t="s">
        <v>103</v>
      </c>
      <c r="E30" t="s">
        <v>113</v>
      </c>
      <c r="F30" t="s">
        <v>16</v>
      </c>
      <c r="G30" t="s">
        <v>16</v>
      </c>
      <c r="H30" t="s">
        <v>105</v>
      </c>
      <c r="I30" t="s">
        <v>362</v>
      </c>
      <c r="J30" t="s">
        <v>363</v>
      </c>
      <c r="K30" t="s">
        <v>122</v>
      </c>
      <c r="L30" t="s">
        <v>176</v>
      </c>
      <c r="M30" t="s">
        <v>164</v>
      </c>
      <c r="N30" s="1">
        <v>44316</v>
      </c>
      <c r="O30" s="1">
        <v>44636</v>
      </c>
      <c r="P30" s="1">
        <v>45084</v>
      </c>
      <c r="Q30">
        <v>5</v>
      </c>
      <c r="R30">
        <v>5</v>
      </c>
      <c r="S30">
        <v>5</v>
      </c>
      <c r="T30">
        <v>5</v>
      </c>
      <c r="U30" t="s">
        <v>165</v>
      </c>
      <c r="V30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0" s="12" t="e">
        <f>_xlfn.XLOOKUP(Portefeuille_MNT_PPS_Access8[[#This Row],[Numéro projet]],Tableau5[Numéro projet],Tableau5[IND_Site_Prioritaire])</f>
        <v>#N/A</v>
      </c>
      <c r="X30" s="2" t="e">
        <f>_xlfn.XLOOKUP(Portefeuille_MNT_PPS_Access8[[#This Row],[Numéro projet]],Tableau5[Numéro projet],Tableau5[Critère Etat Infrastructure])</f>
        <v>#N/A</v>
      </c>
      <c r="Y30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0" s="2">
        <v>5</v>
      </c>
      <c r="AA30" s="63"/>
      <c r="AB30">
        <v>123</v>
      </c>
      <c r="AD30">
        <v>259</v>
      </c>
      <c r="AE30">
        <v>10778</v>
      </c>
      <c r="AF30"/>
      <c r="AP30"/>
      <c r="AZ30" s="14">
        <f>SUM(Portefeuille_MNT_PPS_Access8[[#This Row],[AC ANT]:[TR 2034]])</f>
        <v>11160</v>
      </c>
    </row>
    <row r="31" spans="1:52" hidden="1" x14ac:dyDescent="0.3">
      <c r="B31" t="s">
        <v>126</v>
      </c>
      <c r="C31" t="s">
        <v>127</v>
      </c>
      <c r="D31" t="s">
        <v>128</v>
      </c>
      <c r="E31" t="s">
        <v>129</v>
      </c>
      <c r="F31" t="s">
        <v>16</v>
      </c>
      <c r="G31" t="s">
        <v>16</v>
      </c>
      <c r="H31" t="s">
        <v>131</v>
      </c>
      <c r="I31" t="s">
        <v>323</v>
      </c>
      <c r="J31" t="s">
        <v>324</v>
      </c>
      <c r="K31" t="s">
        <v>214</v>
      </c>
      <c r="L31" t="s">
        <v>176</v>
      </c>
      <c r="M31" t="s">
        <v>164</v>
      </c>
      <c r="N31" s="1">
        <v>44644</v>
      </c>
      <c r="O31" s="1">
        <v>44995</v>
      </c>
      <c r="P31" s="1">
        <v>45061</v>
      </c>
      <c r="Q31">
        <v>5</v>
      </c>
      <c r="R31">
        <v>5</v>
      </c>
      <c r="S31">
        <v>5</v>
      </c>
      <c r="T31">
        <v>5</v>
      </c>
      <c r="U31" t="s">
        <v>165</v>
      </c>
      <c r="V31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1" s="12" t="e">
        <f>_xlfn.XLOOKUP(Portefeuille_MNT_PPS_Access8[[#This Row],[Numéro projet]],Tableau5[Numéro projet],Tableau5[IND_Site_Prioritaire])</f>
        <v>#N/A</v>
      </c>
      <c r="X31" s="2" t="e">
        <f>_xlfn.XLOOKUP(Portefeuille_MNT_PPS_Access8[[#This Row],[Numéro projet]],Tableau5[Numéro projet],Tableau5[Critère Etat Infrastructure])</f>
        <v>#N/A</v>
      </c>
      <c r="Y31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1" s="2">
        <v>5</v>
      </c>
      <c r="AA31" s="63"/>
      <c r="AB31">
        <v>80</v>
      </c>
      <c r="AC31">
        <v>347</v>
      </c>
      <c r="AD31">
        <v>36</v>
      </c>
      <c r="AE31">
        <v>235</v>
      </c>
      <c r="AF31"/>
      <c r="AP31"/>
      <c r="AZ31" s="14">
        <f>SUM(Portefeuille_MNT_PPS_Access8[[#This Row],[AC ANT]:[TR 2034]])</f>
        <v>698</v>
      </c>
    </row>
    <row r="32" spans="1:52" hidden="1" x14ac:dyDescent="0.3">
      <c r="B32" t="s">
        <v>118</v>
      </c>
      <c r="C32" t="s">
        <v>102</v>
      </c>
      <c r="D32" t="s">
        <v>136</v>
      </c>
      <c r="E32" t="s">
        <v>129</v>
      </c>
      <c r="F32" t="s">
        <v>325</v>
      </c>
      <c r="G32" t="s">
        <v>16</v>
      </c>
      <c r="H32" t="s">
        <v>131</v>
      </c>
      <c r="I32" t="s">
        <v>347</v>
      </c>
      <c r="J32" t="s">
        <v>348</v>
      </c>
      <c r="K32" t="s">
        <v>214</v>
      </c>
      <c r="L32" t="s">
        <v>176</v>
      </c>
      <c r="M32" t="s">
        <v>297</v>
      </c>
      <c r="N32" s="1"/>
      <c r="O32" s="1"/>
      <c r="P32" s="1">
        <v>45037</v>
      </c>
      <c r="Q32">
        <v>1</v>
      </c>
      <c r="R32">
        <v>5</v>
      </c>
      <c r="U32" t="s">
        <v>349</v>
      </c>
      <c r="V32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2" s="12" t="e">
        <f>_xlfn.XLOOKUP(Portefeuille_MNT_PPS_Access8[[#This Row],[Numéro projet]],Tableau5[Numéro projet],Tableau5[IND_Site_Prioritaire])</f>
        <v>#N/A</v>
      </c>
      <c r="X32" s="2" t="e">
        <f>_xlfn.XLOOKUP(Portefeuille_MNT_PPS_Access8[[#This Row],[Numéro projet]],Tableau5[Numéro projet],Tableau5[Critère Etat Infrastructure])</f>
        <v>#N/A</v>
      </c>
      <c r="Y32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2" s="2">
        <v>5</v>
      </c>
      <c r="AA32" s="63"/>
      <c r="AC32">
        <v>36</v>
      </c>
      <c r="AE32">
        <v>4</v>
      </c>
      <c r="AF32"/>
      <c r="AP32"/>
      <c r="AZ32" s="14">
        <f>SUM(Portefeuille_MNT_PPS_Access8[[#This Row],[AC ANT]:[TR 2034]])</f>
        <v>40</v>
      </c>
    </row>
    <row r="33" spans="1:52" hidden="1" x14ac:dyDescent="0.3">
      <c r="B33" t="s">
        <v>101</v>
      </c>
      <c r="C33" t="s">
        <v>102</v>
      </c>
      <c r="D33" t="s">
        <v>177</v>
      </c>
      <c r="E33" t="s">
        <v>149</v>
      </c>
      <c r="F33" t="s">
        <v>16</v>
      </c>
      <c r="G33" t="s">
        <v>16</v>
      </c>
      <c r="H33" t="s">
        <v>131</v>
      </c>
      <c r="I33" t="s">
        <v>350</v>
      </c>
      <c r="J33" t="s">
        <v>351</v>
      </c>
      <c r="K33" t="s">
        <v>152</v>
      </c>
      <c r="L33" t="s">
        <v>176</v>
      </c>
      <c r="M33" t="s">
        <v>164</v>
      </c>
      <c r="N33" s="1"/>
      <c r="O33" s="1">
        <v>44880</v>
      </c>
      <c r="P33" s="1">
        <v>44914</v>
      </c>
      <c r="Q33">
        <v>1</v>
      </c>
      <c r="R33">
        <v>5</v>
      </c>
      <c r="S33">
        <v>5</v>
      </c>
      <c r="U33" t="s">
        <v>165</v>
      </c>
      <c r="V33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3" s="12" t="e">
        <f>_xlfn.XLOOKUP(Portefeuille_MNT_PPS_Access8[[#This Row],[Numéro projet]],Tableau5[Numéro projet],Tableau5[IND_Site_Prioritaire])</f>
        <v>#N/A</v>
      </c>
      <c r="X33" s="2" t="e">
        <f>_xlfn.XLOOKUP(Portefeuille_MNT_PPS_Access8[[#This Row],[Numéro projet]],Tableau5[Numéro projet],Tableau5[Critère Etat Infrastructure])</f>
        <v>#N/A</v>
      </c>
      <c r="Y33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3" s="2">
        <v>5</v>
      </c>
      <c r="AA33" s="63"/>
      <c r="AB33">
        <v>14</v>
      </c>
      <c r="AC33">
        <v>2970</v>
      </c>
      <c r="AE33">
        <v>25</v>
      </c>
      <c r="AF33"/>
      <c r="AP33"/>
      <c r="AZ33" s="14">
        <f>SUM(Portefeuille_MNT_PPS_Access8[[#This Row],[AC ANT]:[TR 2034]])</f>
        <v>3009</v>
      </c>
    </row>
    <row r="34" spans="1:52" hidden="1" x14ac:dyDescent="0.3">
      <c r="B34" t="s">
        <v>101</v>
      </c>
      <c r="C34" t="s">
        <v>102</v>
      </c>
      <c r="D34" t="s">
        <v>200</v>
      </c>
      <c r="E34" t="s">
        <v>149</v>
      </c>
      <c r="F34" t="s">
        <v>16</v>
      </c>
      <c r="G34" t="s">
        <v>16</v>
      </c>
      <c r="H34" t="s">
        <v>105</v>
      </c>
      <c r="I34" t="s">
        <v>334</v>
      </c>
      <c r="J34" t="s">
        <v>335</v>
      </c>
      <c r="K34" t="s">
        <v>205</v>
      </c>
      <c r="L34" t="s">
        <v>176</v>
      </c>
      <c r="M34" t="s">
        <v>164</v>
      </c>
      <c r="N34" s="1">
        <v>44228</v>
      </c>
      <c r="O34" s="1">
        <v>44579</v>
      </c>
      <c r="P34" s="1">
        <v>44865</v>
      </c>
      <c r="Q34">
        <v>5</v>
      </c>
      <c r="R34">
        <v>5</v>
      </c>
      <c r="S34">
        <v>5</v>
      </c>
      <c r="T34">
        <v>5</v>
      </c>
      <c r="U34" t="s">
        <v>165</v>
      </c>
      <c r="V34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4" s="12" t="e">
        <f>_xlfn.XLOOKUP(Portefeuille_MNT_PPS_Access8[[#This Row],[Numéro projet]],Tableau5[Numéro projet],Tableau5[IND_Site_Prioritaire])</f>
        <v>#N/A</v>
      </c>
      <c r="X34" s="2" t="e">
        <f>_xlfn.XLOOKUP(Portefeuille_MNT_PPS_Access8[[#This Row],[Numéro projet]],Tableau5[Numéro projet],Tableau5[Critère Etat Infrastructure])</f>
        <v>#N/A</v>
      </c>
      <c r="Y34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4" s="2">
        <v>5</v>
      </c>
      <c r="AA34" s="63"/>
      <c r="AB34">
        <v>262</v>
      </c>
      <c r="AC34">
        <v>16</v>
      </c>
      <c r="AD34">
        <v>448</v>
      </c>
      <c r="AE34">
        <v>6487</v>
      </c>
      <c r="AF34"/>
      <c r="AP34"/>
      <c r="AZ34" s="14">
        <f>SUM(Portefeuille_MNT_PPS_Access8[[#This Row],[AC ANT]:[TR 2034]])</f>
        <v>7213</v>
      </c>
    </row>
    <row r="35" spans="1:52" hidden="1" x14ac:dyDescent="0.3">
      <c r="B35" t="s">
        <v>101</v>
      </c>
      <c r="C35" t="s">
        <v>102</v>
      </c>
      <c r="D35" t="s">
        <v>188</v>
      </c>
      <c r="E35" t="s">
        <v>113</v>
      </c>
      <c r="F35" t="s">
        <v>16</v>
      </c>
      <c r="G35" t="s">
        <v>16</v>
      </c>
      <c r="H35" t="s">
        <v>131</v>
      </c>
      <c r="I35" t="s">
        <v>343</v>
      </c>
      <c r="J35" t="s">
        <v>344</v>
      </c>
      <c r="K35" t="s">
        <v>139</v>
      </c>
      <c r="L35" t="s">
        <v>176</v>
      </c>
      <c r="M35" t="s">
        <v>164</v>
      </c>
      <c r="N35" s="1"/>
      <c r="O35" s="1"/>
      <c r="P35" s="1">
        <v>44672</v>
      </c>
      <c r="Q35">
        <v>1</v>
      </c>
      <c r="R35">
        <v>5</v>
      </c>
      <c r="U35" t="s">
        <v>165</v>
      </c>
      <c r="V35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5" s="12" t="e">
        <f>_xlfn.XLOOKUP(Portefeuille_MNT_PPS_Access8[[#This Row],[Numéro projet]],Tableau5[Numéro projet],Tableau5[IND_Site_Prioritaire])</f>
        <v>#N/A</v>
      </c>
      <c r="X35" s="2" t="e">
        <f>_xlfn.XLOOKUP(Portefeuille_MNT_PPS_Access8[[#This Row],[Numéro projet]],Tableau5[Numéro projet],Tableau5[Critère Etat Infrastructure])</f>
        <v>#N/A</v>
      </c>
      <c r="Y35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5" s="2">
        <v>5</v>
      </c>
      <c r="AA35" s="63"/>
      <c r="AB35">
        <v>84</v>
      </c>
      <c r="AC35">
        <v>819</v>
      </c>
      <c r="AD35">
        <v>3</v>
      </c>
      <c r="AE35">
        <v>9</v>
      </c>
      <c r="AF35"/>
      <c r="AP35"/>
      <c r="AZ35" s="14">
        <f>SUM(Portefeuille_MNT_PPS_Access8[[#This Row],[AC ANT]:[TR 2034]])</f>
        <v>915</v>
      </c>
    </row>
    <row r="36" spans="1:52" hidden="1" x14ac:dyDescent="0.3">
      <c r="B36" t="s">
        <v>101</v>
      </c>
      <c r="C36" t="s">
        <v>102</v>
      </c>
      <c r="D36" t="s">
        <v>119</v>
      </c>
      <c r="E36" t="s">
        <v>113</v>
      </c>
      <c r="F36" t="s">
        <v>16</v>
      </c>
      <c r="G36" t="s">
        <v>16</v>
      </c>
      <c r="H36" t="s">
        <v>105</v>
      </c>
      <c r="I36" t="s">
        <v>332</v>
      </c>
      <c r="J36" t="s">
        <v>333</v>
      </c>
      <c r="K36" t="s">
        <v>122</v>
      </c>
      <c r="L36" t="s">
        <v>176</v>
      </c>
      <c r="M36" t="s">
        <v>164</v>
      </c>
      <c r="N36" s="1">
        <v>44162</v>
      </c>
      <c r="O36" s="1">
        <v>44489</v>
      </c>
      <c r="P36" s="1">
        <v>44608</v>
      </c>
      <c r="Q36">
        <v>5</v>
      </c>
      <c r="R36">
        <v>5</v>
      </c>
      <c r="S36">
        <v>5</v>
      </c>
      <c r="T36">
        <v>5</v>
      </c>
      <c r="U36" t="s">
        <v>165</v>
      </c>
      <c r="V36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6" s="12" t="e">
        <f>_xlfn.XLOOKUP(Portefeuille_MNT_PPS_Access8[[#This Row],[Numéro projet]],Tableau5[Numéro projet],Tableau5[IND_Site_Prioritaire])</f>
        <v>#N/A</v>
      </c>
      <c r="X36" s="2" t="e">
        <f>_xlfn.XLOOKUP(Portefeuille_MNT_PPS_Access8[[#This Row],[Numéro projet]],Tableau5[Numéro projet],Tableau5[Critère Etat Infrastructure])</f>
        <v>#N/A</v>
      </c>
      <c r="Y36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6" s="2">
        <v>5</v>
      </c>
      <c r="AA36" s="63"/>
      <c r="AB36">
        <v>183</v>
      </c>
      <c r="AC36">
        <v>33</v>
      </c>
      <c r="AD36">
        <v>459</v>
      </c>
      <c r="AE36">
        <v>6249</v>
      </c>
      <c r="AF36"/>
      <c r="AP36"/>
      <c r="AZ36" s="14">
        <f>SUM(Portefeuille_MNT_PPS_Access8[[#This Row],[AC ANT]:[TR 2034]])</f>
        <v>6924</v>
      </c>
    </row>
    <row r="37" spans="1:52" hidden="1" x14ac:dyDescent="0.3">
      <c r="B37" t="s">
        <v>101</v>
      </c>
      <c r="C37" t="s">
        <v>102</v>
      </c>
      <c r="D37" t="s">
        <v>103</v>
      </c>
      <c r="E37" t="s">
        <v>113</v>
      </c>
      <c r="F37" t="s">
        <v>16</v>
      </c>
      <c r="G37" t="s">
        <v>16</v>
      </c>
      <c r="H37" t="s">
        <v>105</v>
      </c>
      <c r="I37" t="s">
        <v>312</v>
      </c>
      <c r="J37" t="s">
        <v>313</v>
      </c>
      <c r="K37" t="s">
        <v>168</v>
      </c>
      <c r="L37" t="s">
        <v>176</v>
      </c>
      <c r="M37" t="s">
        <v>164</v>
      </c>
      <c r="N37" s="1">
        <v>44055</v>
      </c>
      <c r="O37" s="1">
        <v>44315</v>
      </c>
      <c r="P37" s="1">
        <v>44589</v>
      </c>
      <c r="Q37">
        <v>5</v>
      </c>
      <c r="R37">
        <v>5</v>
      </c>
      <c r="S37">
        <v>5</v>
      </c>
      <c r="T37">
        <v>5</v>
      </c>
      <c r="U37" t="s">
        <v>165</v>
      </c>
      <c r="V37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7" s="12" t="e">
        <f>_xlfn.XLOOKUP(Portefeuille_MNT_PPS_Access8[[#This Row],[Numéro projet]],Tableau5[Numéro projet],Tableau5[IND_Site_Prioritaire])</f>
        <v>#N/A</v>
      </c>
      <c r="X37" s="2" t="e">
        <f>_xlfn.XLOOKUP(Portefeuille_MNT_PPS_Access8[[#This Row],[Numéro projet]],Tableau5[Numéro projet],Tableau5[Critère Etat Infrastructure])</f>
        <v>#N/A</v>
      </c>
      <c r="Y37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7" s="2">
        <v>5</v>
      </c>
      <c r="AA37" s="63"/>
      <c r="AB37">
        <v>448</v>
      </c>
      <c r="AC37">
        <v>5849</v>
      </c>
      <c r="AD37">
        <v>371</v>
      </c>
      <c r="AE37">
        <v>3585</v>
      </c>
      <c r="AF37"/>
      <c r="AP37"/>
      <c r="AZ37" s="14">
        <f>SUM(Portefeuille_MNT_PPS_Access8[[#This Row],[AC ANT]:[TR 2034]])</f>
        <v>10253</v>
      </c>
    </row>
    <row r="38" spans="1:52" hidden="1" x14ac:dyDescent="0.3">
      <c r="B38" t="s">
        <v>118</v>
      </c>
      <c r="C38" t="s">
        <v>102</v>
      </c>
      <c r="D38" t="s">
        <v>103</v>
      </c>
      <c r="E38" t="s">
        <v>340</v>
      </c>
      <c r="F38" t="s">
        <v>16</v>
      </c>
      <c r="G38" t="s">
        <v>16</v>
      </c>
      <c r="H38" t="s">
        <v>131</v>
      </c>
      <c r="I38" t="s">
        <v>341</v>
      </c>
      <c r="J38" t="s">
        <v>342</v>
      </c>
      <c r="K38" t="s">
        <v>147</v>
      </c>
      <c r="L38" t="s">
        <v>176</v>
      </c>
      <c r="M38" t="s">
        <v>164</v>
      </c>
      <c r="N38" s="1">
        <v>44245</v>
      </c>
      <c r="O38" s="1">
        <v>44469</v>
      </c>
      <c r="P38" s="1">
        <v>44538</v>
      </c>
      <c r="Q38">
        <v>1</v>
      </c>
      <c r="R38">
        <v>5</v>
      </c>
      <c r="S38">
        <v>5</v>
      </c>
      <c r="T38">
        <v>5</v>
      </c>
      <c r="U38" t="s">
        <v>165</v>
      </c>
      <c r="V38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38" s="12" t="e">
        <f>_xlfn.XLOOKUP(Portefeuille_MNT_PPS_Access8[[#This Row],[Numéro projet]],Tableau5[Numéro projet],Tableau5[IND_Site_Prioritaire])</f>
        <v>#N/A</v>
      </c>
      <c r="X38" s="2" t="e">
        <f>_xlfn.XLOOKUP(Portefeuille_MNT_PPS_Access8[[#This Row],[Numéro projet]],Tableau5[Numéro projet],Tableau5[Critère Etat Infrastructure])</f>
        <v>#N/A</v>
      </c>
      <c r="Y3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38" s="2"/>
      <c r="AA38" s="63"/>
      <c r="AB38">
        <v>603</v>
      </c>
      <c r="AC38">
        <v>10120</v>
      </c>
      <c r="AD38">
        <v>73</v>
      </c>
      <c r="AE38">
        <v>150</v>
      </c>
      <c r="AF38"/>
      <c r="AP38"/>
      <c r="AZ38" s="14">
        <f>SUM(Portefeuille_MNT_PPS_Access8[[#This Row],[AC ANT]:[TR 2034]])</f>
        <v>10946</v>
      </c>
    </row>
    <row r="39" spans="1:52" x14ac:dyDescent="0.3">
      <c r="B39" t="s">
        <v>118</v>
      </c>
      <c r="C39" t="s">
        <v>102</v>
      </c>
      <c r="D39" t="s">
        <v>103</v>
      </c>
      <c r="E39" t="s">
        <v>252</v>
      </c>
      <c r="F39" t="s">
        <v>20</v>
      </c>
      <c r="G39" t="s">
        <v>16</v>
      </c>
      <c r="H39" t="s">
        <v>131</v>
      </c>
      <c r="I39" t="s">
        <v>387</v>
      </c>
      <c r="J39" t="s">
        <v>388</v>
      </c>
      <c r="K39" t="s">
        <v>180</v>
      </c>
      <c r="L39" t="s">
        <v>176</v>
      </c>
      <c r="M39" t="s">
        <v>297</v>
      </c>
      <c r="N39" s="1"/>
      <c r="O39" s="1"/>
      <c r="P39" s="1"/>
      <c r="Q39">
        <v>1</v>
      </c>
      <c r="U39" t="s">
        <v>349</v>
      </c>
      <c r="V3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6</v>
      </c>
      <c r="W39" s="12" t="e">
        <f>_xlfn.XLOOKUP(Portefeuille_MNT_PPS_Access8[[#This Row],[Numéro projet]],Tableau5[Numéro projet],Tableau5[IND_Site_Prioritaire])</f>
        <v>#N/A</v>
      </c>
      <c r="X39" s="2" t="e">
        <f>_xlfn.XLOOKUP(Portefeuille_MNT_PPS_Access8[[#This Row],[Numéro projet]],Tableau5[Numéro projet],Tableau5[Critère Etat Infrastructure])</f>
        <v>#N/A</v>
      </c>
      <c r="Y39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39" s="2">
        <v>5</v>
      </c>
      <c r="AA39" s="63"/>
      <c r="AE39">
        <v>311</v>
      </c>
      <c r="AF39"/>
      <c r="AP39"/>
      <c r="AZ39" s="14">
        <f>SUM(Portefeuille_MNT_PPS_Access8[[#This Row],[AC ANT]:[TR 2034]])</f>
        <v>311</v>
      </c>
    </row>
    <row r="40" spans="1:52" hidden="1" x14ac:dyDescent="0.3">
      <c r="B40" t="s">
        <v>126</v>
      </c>
      <c r="C40" t="s">
        <v>127</v>
      </c>
      <c r="D40" t="s">
        <v>136</v>
      </c>
      <c r="E40" t="s">
        <v>104</v>
      </c>
      <c r="F40" t="s">
        <v>16</v>
      </c>
      <c r="G40" t="s">
        <v>16</v>
      </c>
      <c r="H40" t="s">
        <v>131</v>
      </c>
      <c r="I40" t="s">
        <v>303</v>
      </c>
      <c r="J40" t="s">
        <v>304</v>
      </c>
      <c r="K40" t="s">
        <v>194</v>
      </c>
      <c r="L40" t="s">
        <v>176</v>
      </c>
      <c r="M40" t="s">
        <v>164</v>
      </c>
      <c r="N40" s="1">
        <v>43270</v>
      </c>
      <c r="O40" s="1">
        <v>44222</v>
      </c>
      <c r="P40" s="1">
        <v>44356</v>
      </c>
      <c r="Q40">
        <v>1</v>
      </c>
      <c r="R40">
        <v>5</v>
      </c>
      <c r="S40">
        <v>5</v>
      </c>
      <c r="T40">
        <v>5</v>
      </c>
      <c r="U40" t="s">
        <v>165</v>
      </c>
      <c r="V40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0" s="12" t="e">
        <f>_xlfn.XLOOKUP(Portefeuille_MNT_PPS_Access8[[#This Row],[Numéro projet]],Tableau5[Numéro projet],Tableau5[IND_Site_Prioritaire])</f>
        <v>#N/A</v>
      </c>
      <c r="X40" s="2" t="e">
        <f>_xlfn.XLOOKUP(Portefeuille_MNT_PPS_Access8[[#This Row],[Numéro projet]],Tableau5[Numéro projet],Tableau5[Critère Etat Infrastructure])</f>
        <v>#N/A</v>
      </c>
      <c r="Y40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40" s="2">
        <v>5</v>
      </c>
      <c r="AA40" s="63"/>
      <c r="AB40">
        <v>569</v>
      </c>
      <c r="AC40">
        <v>2223</v>
      </c>
      <c r="AD40">
        <v>48</v>
      </c>
      <c r="AE40">
        <v>50</v>
      </c>
      <c r="AF40"/>
      <c r="AP40"/>
      <c r="AZ40" s="14">
        <f>SUM(Portefeuille_MNT_PPS_Access8[[#This Row],[AC ANT]:[TR 2034]])</f>
        <v>2890</v>
      </c>
    </row>
    <row r="41" spans="1:52" hidden="1" x14ac:dyDescent="0.3">
      <c r="B41" t="s">
        <v>126</v>
      </c>
      <c r="C41" t="s">
        <v>127</v>
      </c>
      <c r="D41" t="s">
        <v>136</v>
      </c>
      <c r="E41" t="s">
        <v>104</v>
      </c>
      <c r="F41" t="s">
        <v>16</v>
      </c>
      <c r="G41" t="s">
        <v>16</v>
      </c>
      <c r="H41" t="s">
        <v>105</v>
      </c>
      <c r="I41">
        <v>154061991</v>
      </c>
      <c r="J41" t="s">
        <v>301</v>
      </c>
      <c r="K41" t="s">
        <v>302</v>
      </c>
      <c r="L41" t="s">
        <v>176</v>
      </c>
      <c r="M41" t="s">
        <v>164</v>
      </c>
      <c r="N41" s="1">
        <v>41907</v>
      </c>
      <c r="O41" s="1">
        <v>41968</v>
      </c>
      <c r="P41" s="1">
        <v>42045</v>
      </c>
      <c r="Q41">
        <v>1</v>
      </c>
      <c r="R41">
        <v>5</v>
      </c>
      <c r="S41">
        <v>5</v>
      </c>
      <c r="T41">
        <v>5</v>
      </c>
      <c r="U41" t="s">
        <v>165</v>
      </c>
      <c r="V41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1" s="12">
        <f>_xlfn.XLOOKUP(Portefeuille_MNT_PPS_Access8[[#This Row],[Numéro projet]],Tableau5[Numéro projet],Tableau5[IND_Site_Prioritaire])</f>
        <v>4</v>
      </c>
      <c r="X41" s="2">
        <f>_xlfn.XLOOKUP(Portefeuille_MNT_PPS_Access8[[#This Row],[Numéro projet]],Tableau5[Numéro projet],Tableau5[Critère Etat Infrastructure])</f>
        <v>0</v>
      </c>
      <c r="Y41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50</v>
      </c>
      <c r="Z41" s="2"/>
      <c r="AA41" s="63"/>
      <c r="AB41">
        <v>2582</v>
      </c>
      <c r="AC41">
        <v>17091</v>
      </c>
      <c r="AD41">
        <v>35</v>
      </c>
      <c r="AE41">
        <v>96</v>
      </c>
      <c r="AF41"/>
      <c r="AP41"/>
      <c r="AZ41" s="14">
        <f>SUM(Portefeuille_MNT_PPS_Access8[[#This Row],[AC ANT]:[TR 2034]])</f>
        <v>19804</v>
      </c>
    </row>
    <row r="42" spans="1:52" hidden="1" x14ac:dyDescent="0.3">
      <c r="B42" t="s">
        <v>118</v>
      </c>
      <c r="C42" t="s">
        <v>102</v>
      </c>
      <c r="D42" t="s">
        <v>136</v>
      </c>
      <c r="E42" t="s">
        <v>129</v>
      </c>
      <c r="F42" t="s">
        <v>16</v>
      </c>
      <c r="G42" t="s">
        <v>16</v>
      </c>
      <c r="H42" t="s">
        <v>131</v>
      </c>
      <c r="I42" t="s">
        <v>345</v>
      </c>
      <c r="J42" t="s">
        <v>346</v>
      </c>
      <c r="K42" t="s">
        <v>147</v>
      </c>
      <c r="L42" t="s">
        <v>176</v>
      </c>
      <c r="M42" t="s">
        <v>164</v>
      </c>
      <c r="N42" s="1"/>
      <c r="O42" s="1"/>
      <c r="P42" s="1"/>
      <c r="Q42">
        <v>1</v>
      </c>
      <c r="U42" t="s">
        <v>165</v>
      </c>
      <c r="V4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42" s="12" t="e">
        <f>_xlfn.XLOOKUP(Portefeuille_MNT_PPS_Access8[[#This Row],[Numéro projet]],Tableau5[Numéro projet],Tableau5[IND_Site_Prioritaire])</f>
        <v>#N/A</v>
      </c>
      <c r="X42" s="2" t="e">
        <f>_xlfn.XLOOKUP(Portefeuille_MNT_PPS_Access8[[#This Row],[Numéro projet]],Tableau5[Numéro projet],Tableau5[Critère Etat Infrastructure])</f>
        <v>#N/A</v>
      </c>
      <c r="Y42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42" s="2">
        <v>5</v>
      </c>
      <c r="AA42" s="63"/>
      <c r="AC42">
        <v>151</v>
      </c>
      <c r="AE42">
        <v>41</v>
      </c>
      <c r="AF42"/>
      <c r="AP42"/>
      <c r="AZ42" s="14">
        <f>SUM(Portefeuille_MNT_PPS_Access8[[#This Row],[AC ANT]:[TR 2034]])</f>
        <v>192</v>
      </c>
    </row>
    <row r="43" spans="1:52" hidden="1" x14ac:dyDescent="0.3">
      <c r="B43" t="s">
        <v>118</v>
      </c>
      <c r="C43" t="s">
        <v>102</v>
      </c>
      <c r="D43" t="s">
        <v>103</v>
      </c>
      <c r="E43" t="s">
        <v>340</v>
      </c>
      <c r="F43" t="s">
        <v>16</v>
      </c>
      <c r="G43" t="s">
        <v>16</v>
      </c>
      <c r="H43" t="s">
        <v>105</v>
      </c>
      <c r="I43" t="s">
        <v>354</v>
      </c>
      <c r="J43" t="s">
        <v>355</v>
      </c>
      <c r="K43" t="s">
        <v>143</v>
      </c>
      <c r="L43" t="s">
        <v>176</v>
      </c>
      <c r="M43" t="s">
        <v>164</v>
      </c>
      <c r="N43" s="1"/>
      <c r="O43" s="1"/>
      <c r="P43" s="1"/>
      <c r="Q43">
        <v>1</v>
      </c>
      <c r="U43" t="s">
        <v>165</v>
      </c>
      <c r="V4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43" s="12" t="e">
        <f>_xlfn.XLOOKUP(Portefeuille_MNT_PPS_Access8[[#This Row],[Numéro projet]],Tableau5[Numéro projet],Tableau5[IND_Site_Prioritaire])</f>
        <v>#N/A</v>
      </c>
      <c r="X43" s="2" t="e">
        <f>_xlfn.XLOOKUP(Portefeuille_MNT_PPS_Access8[[#This Row],[Numéro projet]],Tableau5[Numéro projet],Tableau5[Critère Etat Infrastructure])</f>
        <v>#N/A</v>
      </c>
      <c r="Y4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3" s="2"/>
      <c r="AA43" s="63"/>
      <c r="AB43">
        <v>173</v>
      </c>
      <c r="AC43">
        <v>7850</v>
      </c>
      <c r="AD43">
        <v>22</v>
      </c>
      <c r="AE43">
        <v>173</v>
      </c>
      <c r="AF43"/>
      <c r="AP43"/>
      <c r="AZ43" s="14">
        <f>SUM(Portefeuille_MNT_PPS_Access8[[#This Row],[AC ANT]:[TR 2034]])</f>
        <v>8218</v>
      </c>
    </row>
    <row r="44" spans="1:52" hidden="1" x14ac:dyDescent="0.3">
      <c r="A44">
        <v>1</v>
      </c>
      <c r="B44" t="s">
        <v>101</v>
      </c>
      <c r="C44" t="s">
        <v>102</v>
      </c>
      <c r="D44" t="s">
        <v>103</v>
      </c>
      <c r="E44" t="s">
        <v>104</v>
      </c>
      <c r="F44" t="s">
        <v>16</v>
      </c>
      <c r="G44" t="s">
        <v>130</v>
      </c>
      <c r="H44" t="s">
        <v>105</v>
      </c>
      <c r="I44" t="s">
        <v>215</v>
      </c>
      <c r="J44" t="s">
        <v>216</v>
      </c>
      <c r="K44" t="s">
        <v>217</v>
      </c>
      <c r="L44" t="s">
        <v>148</v>
      </c>
      <c r="M44" t="s">
        <v>123</v>
      </c>
      <c r="N44" s="1">
        <v>44838</v>
      </c>
      <c r="O44" s="1">
        <v>45441</v>
      </c>
      <c r="P44" s="1">
        <v>45583</v>
      </c>
      <c r="Q44">
        <v>1</v>
      </c>
      <c r="R44">
        <v>5</v>
      </c>
      <c r="S44">
        <v>5</v>
      </c>
      <c r="T44">
        <v>5</v>
      </c>
      <c r="U44" t="s">
        <v>125</v>
      </c>
      <c r="V44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4" s="12" t="e">
        <f>_xlfn.XLOOKUP(Portefeuille_MNT_PPS_Access8[[#This Row],[Numéro projet]],Tableau5[Numéro projet],Tableau5[IND_Site_Prioritaire])</f>
        <v>#N/A</v>
      </c>
      <c r="X44" s="2" t="e">
        <f>_xlfn.XLOOKUP(Portefeuille_MNT_PPS_Access8[[#This Row],[Numéro projet]],Tableau5[Numéro projet],Tableau5[Critère Etat Infrastructure])</f>
        <v>#N/A</v>
      </c>
      <c r="Y4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4" s="2"/>
      <c r="AA44" s="63"/>
      <c r="AB44">
        <v>218</v>
      </c>
      <c r="AC44">
        <v>3</v>
      </c>
      <c r="AD44">
        <v>82</v>
      </c>
      <c r="AF44">
        <v>641</v>
      </c>
      <c r="AG44">
        <v>14787</v>
      </c>
      <c r="AP44"/>
      <c r="AZ44" s="14">
        <f>SUM(Portefeuille_MNT_PPS_Access8[[#This Row],[AC ANT]:[TR 2034]])</f>
        <v>15731</v>
      </c>
    </row>
    <row r="45" spans="1:52" hidden="1" x14ac:dyDescent="0.3">
      <c r="A45">
        <v>7</v>
      </c>
      <c r="B45" t="s">
        <v>101</v>
      </c>
      <c r="C45" t="s">
        <v>102</v>
      </c>
      <c r="D45" t="s">
        <v>103</v>
      </c>
      <c r="E45" t="s">
        <v>149</v>
      </c>
      <c r="F45" t="s">
        <v>16</v>
      </c>
      <c r="G45" t="s">
        <v>20</v>
      </c>
      <c r="H45" t="s">
        <v>105</v>
      </c>
      <c r="I45" t="s">
        <v>228</v>
      </c>
      <c r="J45" t="s">
        <v>229</v>
      </c>
      <c r="K45" t="s">
        <v>230</v>
      </c>
      <c r="L45" t="s">
        <v>148</v>
      </c>
      <c r="M45" t="s">
        <v>297</v>
      </c>
      <c r="N45" s="1">
        <v>45022</v>
      </c>
      <c r="O45" s="1">
        <v>45463</v>
      </c>
      <c r="P45" s="1">
        <v>45590</v>
      </c>
      <c r="Q45">
        <v>1</v>
      </c>
      <c r="R45">
        <v>5</v>
      </c>
      <c r="S45">
        <v>5</v>
      </c>
      <c r="T45">
        <v>5</v>
      </c>
      <c r="U45" t="s">
        <v>349</v>
      </c>
      <c r="V45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5" s="12" t="e">
        <f>_xlfn.XLOOKUP(Portefeuille_MNT_PPS_Access8[[#This Row],[Numéro projet]],Tableau5[Numéro projet],Tableau5[IND_Site_Prioritaire])</f>
        <v>#N/A</v>
      </c>
      <c r="X45" s="2" t="e">
        <f>_xlfn.XLOOKUP(Portefeuille_MNT_PPS_Access8[[#This Row],[Numéro projet]],Tableau5[Numéro projet],Tableau5[Critère Etat Infrastructure])</f>
        <v>#N/A</v>
      </c>
      <c r="Y4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5" s="2"/>
      <c r="AA45" s="63"/>
      <c r="AB45">
        <v>61</v>
      </c>
      <c r="AD45">
        <v>21</v>
      </c>
      <c r="AF45">
        <v>580</v>
      </c>
      <c r="AG45">
        <v>11581</v>
      </c>
      <c r="AP45"/>
      <c r="AZ45" s="14">
        <f>SUM(Portefeuille_MNT_PPS_Access8[[#This Row],[AC ANT]:[TR 2034]])</f>
        <v>12243</v>
      </c>
    </row>
    <row r="46" spans="1:52" hidden="1" x14ac:dyDescent="0.3">
      <c r="A46">
        <v>4</v>
      </c>
      <c r="B46" t="s">
        <v>101</v>
      </c>
      <c r="C46" t="s">
        <v>102</v>
      </c>
      <c r="D46" t="s">
        <v>128</v>
      </c>
      <c r="E46" t="s">
        <v>113</v>
      </c>
      <c r="F46" t="s">
        <v>16</v>
      </c>
      <c r="G46" t="s">
        <v>130</v>
      </c>
      <c r="H46" t="s">
        <v>105</v>
      </c>
      <c r="I46" t="s">
        <v>160</v>
      </c>
      <c r="J46" t="s">
        <v>161</v>
      </c>
      <c r="K46" t="s">
        <v>122</v>
      </c>
      <c r="L46" t="s">
        <v>148</v>
      </c>
      <c r="M46" t="s">
        <v>123</v>
      </c>
      <c r="N46" s="1">
        <v>44956</v>
      </c>
      <c r="O46" s="1">
        <v>45321</v>
      </c>
      <c r="P46" s="1">
        <v>45672</v>
      </c>
      <c r="Q46">
        <v>1</v>
      </c>
      <c r="R46">
        <v>1</v>
      </c>
      <c r="S46">
        <v>5</v>
      </c>
      <c r="T46">
        <v>5</v>
      </c>
      <c r="U46" t="s">
        <v>125</v>
      </c>
      <c r="V46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6" s="12" t="e">
        <f>_xlfn.XLOOKUP(Portefeuille_MNT_PPS_Access8[[#This Row],[Numéro projet]],Tableau5[Numéro projet],Tableau5[IND_Site_Prioritaire])</f>
        <v>#N/A</v>
      </c>
      <c r="X46" s="2" t="e">
        <f>_xlfn.XLOOKUP(Portefeuille_MNT_PPS_Access8[[#This Row],[Numéro projet]],Tableau5[Numéro projet],Tableau5[Critère Etat Infrastructure])</f>
        <v>#N/A</v>
      </c>
      <c r="Y4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6" s="2"/>
      <c r="AA46" s="63"/>
      <c r="AB46">
        <v>6</v>
      </c>
      <c r="AD46">
        <v>11</v>
      </c>
      <c r="AF46">
        <v>200</v>
      </c>
      <c r="AG46">
        <v>4422</v>
      </c>
      <c r="AH46">
        <v>69</v>
      </c>
      <c r="AI46">
        <v>216</v>
      </c>
      <c r="AP46"/>
      <c r="AZ46" s="14">
        <f>SUM(Portefeuille_MNT_PPS_Access8[[#This Row],[AC ANT]:[TR 2034]])</f>
        <v>4924</v>
      </c>
    </row>
    <row r="47" spans="1:52" hidden="1" x14ac:dyDescent="0.3">
      <c r="A47">
        <v>7</v>
      </c>
      <c r="B47" t="s">
        <v>118</v>
      </c>
      <c r="C47" t="s">
        <v>102</v>
      </c>
      <c r="D47" t="s">
        <v>119</v>
      </c>
      <c r="E47" t="s">
        <v>113</v>
      </c>
      <c r="F47" t="s">
        <v>20</v>
      </c>
      <c r="G47" t="s">
        <v>20</v>
      </c>
      <c r="H47" t="s">
        <v>105</v>
      </c>
      <c r="I47" t="s">
        <v>120</v>
      </c>
      <c r="J47" t="s">
        <v>289</v>
      </c>
      <c r="K47" t="s">
        <v>122</v>
      </c>
      <c r="L47" t="s">
        <v>148</v>
      </c>
      <c r="M47" t="s">
        <v>123</v>
      </c>
      <c r="N47" s="1">
        <v>45391</v>
      </c>
      <c r="O47" s="1">
        <v>45514</v>
      </c>
      <c r="P47" s="1">
        <v>45611</v>
      </c>
      <c r="Q47">
        <v>1</v>
      </c>
      <c r="R47">
        <v>5</v>
      </c>
      <c r="S47">
        <v>5</v>
      </c>
      <c r="T47">
        <v>5</v>
      </c>
      <c r="U47" t="s">
        <v>125</v>
      </c>
      <c r="V47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7" s="12" t="e">
        <f>_xlfn.XLOOKUP(Portefeuille_MNT_PPS_Access8[[#This Row],[Numéro projet]],Tableau5[Numéro projet],Tableau5[IND_Site_Prioritaire])</f>
        <v>#N/A</v>
      </c>
      <c r="X47" s="2" t="e">
        <f>_xlfn.XLOOKUP(Portefeuille_MNT_PPS_Access8[[#This Row],[Numéro projet]],Tableau5[Numéro projet],Tableau5[Critère Etat Infrastructure])</f>
        <v>#N/A</v>
      </c>
      <c r="Y4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7" s="2"/>
      <c r="AA47" s="63"/>
      <c r="AF47">
        <v>322</v>
      </c>
      <c r="AG47">
        <v>1000</v>
      </c>
      <c r="AP47"/>
      <c r="AZ47" s="14">
        <f>SUM(Portefeuille_MNT_PPS_Access8[[#This Row],[AC ANT]:[TR 2034]])</f>
        <v>1322</v>
      </c>
    </row>
    <row r="48" spans="1:52" hidden="1" x14ac:dyDescent="0.3">
      <c r="A48">
        <v>2</v>
      </c>
      <c r="B48" t="s">
        <v>118</v>
      </c>
      <c r="C48" t="s">
        <v>102</v>
      </c>
      <c r="D48" t="s">
        <v>177</v>
      </c>
      <c r="E48" t="s">
        <v>129</v>
      </c>
      <c r="F48" t="s">
        <v>20</v>
      </c>
      <c r="G48" t="s">
        <v>20</v>
      </c>
      <c r="H48" t="s">
        <v>131</v>
      </c>
      <c r="I48" t="s">
        <v>293</v>
      </c>
      <c r="J48" t="s">
        <v>294</v>
      </c>
      <c r="K48" t="s">
        <v>134</v>
      </c>
      <c r="L48" t="s">
        <v>148</v>
      </c>
      <c r="M48" t="s">
        <v>291</v>
      </c>
      <c r="N48" s="1"/>
      <c r="O48" s="1"/>
      <c r="P48" s="1"/>
      <c r="Q48">
        <v>1</v>
      </c>
      <c r="U48" t="s">
        <v>311</v>
      </c>
      <c r="V4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48" s="12" t="e">
        <f>_xlfn.XLOOKUP(Portefeuille_MNT_PPS_Access8[[#This Row],[Numéro projet]],Tableau5[Numéro projet],Tableau5[IND_Site_Prioritaire])</f>
        <v>#N/A</v>
      </c>
      <c r="X48" s="2" t="e">
        <f>_xlfn.XLOOKUP(Portefeuille_MNT_PPS_Access8[[#This Row],[Numéro projet]],Tableau5[Numéro projet],Tableau5[Critère Etat Infrastructure])</f>
        <v>#N/A</v>
      </c>
      <c r="Y4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8" s="2"/>
      <c r="AA48" s="62"/>
      <c r="AF48">
        <v>100</v>
      </c>
      <c r="AG48">
        <v>4000</v>
      </c>
      <c r="AP48"/>
      <c r="AZ48" s="14">
        <f>SUM(Portefeuille_MNT_PPS_Access8[[#This Row],[AC ANT]:[TR 2034]])</f>
        <v>4100</v>
      </c>
    </row>
    <row r="49" spans="1:52" hidden="1" x14ac:dyDescent="0.3">
      <c r="A49">
        <v>1</v>
      </c>
      <c r="B49" t="s">
        <v>118</v>
      </c>
      <c r="C49" t="s">
        <v>102</v>
      </c>
      <c r="D49" t="s">
        <v>136</v>
      </c>
      <c r="E49" t="s">
        <v>129</v>
      </c>
      <c r="F49" t="s">
        <v>16</v>
      </c>
      <c r="G49" t="s">
        <v>130</v>
      </c>
      <c r="H49" t="s">
        <v>131</v>
      </c>
      <c r="I49" t="s">
        <v>218</v>
      </c>
      <c r="J49" t="s">
        <v>219</v>
      </c>
      <c r="K49" t="s">
        <v>152</v>
      </c>
      <c r="L49" t="s">
        <v>148</v>
      </c>
      <c r="M49" t="s">
        <v>110</v>
      </c>
      <c r="N49" s="1">
        <v>45370</v>
      </c>
      <c r="O49" s="1"/>
      <c r="P49" s="1">
        <v>45627</v>
      </c>
      <c r="Q49">
        <v>1</v>
      </c>
      <c r="R49">
        <v>5</v>
      </c>
      <c r="T49">
        <v>5</v>
      </c>
      <c r="U49" t="s">
        <v>112</v>
      </c>
      <c r="V49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49" s="12" t="e">
        <f>_xlfn.XLOOKUP(Portefeuille_MNT_PPS_Access8[[#This Row],[Numéro projet]],Tableau5[Numéro projet],Tableau5[IND_Site_Prioritaire])</f>
        <v>#N/A</v>
      </c>
      <c r="X49" s="2" t="e">
        <f>_xlfn.XLOOKUP(Portefeuille_MNT_PPS_Access8[[#This Row],[Numéro projet]],Tableau5[Numéro projet],Tableau5[Critère Etat Infrastructure])</f>
        <v>#N/A</v>
      </c>
      <c r="Y4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49" s="2"/>
      <c r="AA49" s="63"/>
      <c r="AB49">
        <v>6</v>
      </c>
      <c r="AD49">
        <v>60</v>
      </c>
      <c r="AF49">
        <v>54</v>
      </c>
      <c r="AG49">
        <v>610</v>
      </c>
      <c r="AP49"/>
      <c r="AZ49" s="14">
        <f>SUM(Portefeuille_MNT_PPS_Access8[[#This Row],[AC ANT]:[TR 2034]])</f>
        <v>730</v>
      </c>
    </row>
    <row r="50" spans="1:52" hidden="1" x14ac:dyDescent="0.3">
      <c r="B50" t="s">
        <v>126</v>
      </c>
      <c r="C50" t="s">
        <v>127</v>
      </c>
      <c r="D50" t="s">
        <v>136</v>
      </c>
      <c r="E50" t="s">
        <v>104</v>
      </c>
      <c r="F50" t="s">
        <v>16</v>
      </c>
      <c r="G50" t="s">
        <v>16</v>
      </c>
      <c r="H50" t="s">
        <v>105</v>
      </c>
      <c r="I50" t="s">
        <v>162</v>
      </c>
      <c r="J50" t="s">
        <v>163</v>
      </c>
      <c r="K50" t="s">
        <v>122</v>
      </c>
      <c r="L50" t="s">
        <v>148</v>
      </c>
      <c r="M50" t="s">
        <v>164</v>
      </c>
      <c r="N50" s="1"/>
      <c r="O50" s="1"/>
      <c r="P50" s="1"/>
      <c r="Q50">
        <v>1</v>
      </c>
      <c r="U50" t="s">
        <v>165</v>
      </c>
      <c r="V5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50" s="12" t="e">
        <f>_xlfn.XLOOKUP(Portefeuille_MNT_PPS_Access8[[#This Row],[Numéro projet]],Tableau5[Numéro projet],Tableau5[IND_Site_Prioritaire])</f>
        <v>#N/A</v>
      </c>
      <c r="X50" s="2" t="e">
        <f>_xlfn.XLOOKUP(Portefeuille_MNT_PPS_Access8[[#This Row],[Numéro projet]],Tableau5[Numéro projet],Tableau5[Critère Etat Infrastructure])</f>
        <v>#N/A</v>
      </c>
      <c r="Y50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50" s="2">
        <v>5</v>
      </c>
      <c r="AA50" s="63"/>
      <c r="AB50">
        <v>5398</v>
      </c>
      <c r="AC50">
        <v>28152</v>
      </c>
      <c r="AD50">
        <v>429</v>
      </c>
      <c r="AF50">
        <v>49</v>
      </c>
      <c r="AG50">
        <v>67</v>
      </c>
      <c r="AH50">
        <v>30</v>
      </c>
      <c r="AP50"/>
      <c r="AZ50" s="14">
        <f>SUM(Portefeuille_MNT_PPS_Access8[[#This Row],[AC ANT]:[TR 2034]])</f>
        <v>34125</v>
      </c>
    </row>
    <row r="51" spans="1:52" hidden="1" x14ac:dyDescent="0.3">
      <c r="B51" t="s">
        <v>101</v>
      </c>
      <c r="C51" t="s">
        <v>102</v>
      </c>
      <c r="D51" t="s">
        <v>128</v>
      </c>
      <c r="E51" t="s">
        <v>140</v>
      </c>
      <c r="F51" t="s">
        <v>16</v>
      </c>
      <c r="G51" t="s">
        <v>16</v>
      </c>
      <c r="H51" t="s">
        <v>105</v>
      </c>
      <c r="I51" t="s">
        <v>141</v>
      </c>
      <c r="J51" t="s">
        <v>142</v>
      </c>
      <c r="K51" t="s">
        <v>143</v>
      </c>
      <c r="L51" t="s">
        <v>109</v>
      </c>
      <c r="M51" t="s">
        <v>123</v>
      </c>
      <c r="N51" s="1">
        <v>42900</v>
      </c>
      <c r="O51" s="1">
        <v>45323</v>
      </c>
      <c r="P51" s="1">
        <v>45884</v>
      </c>
      <c r="Q51">
        <v>5</v>
      </c>
      <c r="R51">
        <v>1</v>
      </c>
      <c r="S51">
        <v>5</v>
      </c>
      <c r="T51">
        <v>5</v>
      </c>
      <c r="U51" t="s">
        <v>125</v>
      </c>
      <c r="V51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51" s="12" t="e">
        <f>_xlfn.XLOOKUP(Portefeuille_MNT_PPS_Access8[[#This Row],[Numéro projet]],Tableau5[Numéro projet],Tableau5[IND_Site_Prioritaire])</f>
        <v>#N/A</v>
      </c>
      <c r="X51" s="2" t="e">
        <f>_xlfn.XLOOKUP(Portefeuille_MNT_PPS_Access8[[#This Row],[Numéro projet]],Tableau5[Numéro projet],Tableau5[Critère Etat Infrastructure])</f>
        <v>#N/A</v>
      </c>
      <c r="Y5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1" s="2"/>
      <c r="AA51" s="63"/>
      <c r="AB51">
        <v>61</v>
      </c>
      <c r="AF51"/>
      <c r="AH51">
        <v>370</v>
      </c>
      <c r="AI51">
        <v>4948</v>
      </c>
      <c r="AP51"/>
      <c r="AZ51" s="14">
        <f>SUM(Portefeuille_MNT_PPS_Access8[[#This Row],[AC ANT]:[TR 2034]])</f>
        <v>5379</v>
      </c>
    </row>
    <row r="52" spans="1:52" hidden="1" x14ac:dyDescent="0.3">
      <c r="A52">
        <v>6</v>
      </c>
      <c r="B52" t="s">
        <v>101</v>
      </c>
      <c r="C52" t="s">
        <v>102</v>
      </c>
      <c r="D52" t="s">
        <v>103</v>
      </c>
      <c r="E52" t="s">
        <v>113</v>
      </c>
      <c r="F52" t="s">
        <v>16</v>
      </c>
      <c r="G52" t="s">
        <v>20</v>
      </c>
      <c r="H52" t="s">
        <v>105</v>
      </c>
      <c r="I52" t="s">
        <v>114</v>
      </c>
      <c r="J52" t="s">
        <v>115</v>
      </c>
      <c r="K52" t="s">
        <v>116</v>
      </c>
      <c r="L52" t="s">
        <v>109</v>
      </c>
      <c r="M52" t="s">
        <v>110</v>
      </c>
      <c r="N52" s="1">
        <v>45105</v>
      </c>
      <c r="O52" s="1">
        <v>45672</v>
      </c>
      <c r="P52" s="1">
        <v>45940</v>
      </c>
      <c r="Q52">
        <v>1</v>
      </c>
      <c r="R52">
        <v>1</v>
      </c>
      <c r="S52">
        <v>1</v>
      </c>
      <c r="T52">
        <v>5</v>
      </c>
      <c r="U52" t="s">
        <v>112</v>
      </c>
      <c r="V5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52" s="12" t="e">
        <f>_xlfn.XLOOKUP(Portefeuille_MNT_PPS_Access8[[#This Row],[Numéro projet]],Tableau5[Numéro projet],Tableau5[IND_Site_Prioritaire])</f>
        <v>#N/A</v>
      </c>
      <c r="X52" s="2" t="e">
        <f>_xlfn.XLOOKUP(Portefeuille_MNT_PPS_Access8[[#This Row],[Numéro projet]],Tableau5[Numéro projet],Tableau5[Critère Etat Infrastructure])</f>
        <v>#N/A</v>
      </c>
      <c r="Y5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2" s="2"/>
      <c r="AA52" s="63"/>
      <c r="AB52">
        <v>25</v>
      </c>
      <c r="AD52">
        <v>13</v>
      </c>
      <c r="AF52">
        <v>48</v>
      </c>
      <c r="AH52">
        <v>855</v>
      </c>
      <c r="AI52">
        <v>11074</v>
      </c>
      <c r="AP52"/>
      <c r="AZ52" s="14">
        <f>SUM(Portefeuille_MNT_PPS_Access8[[#This Row],[AC ANT]:[TR 2034]])</f>
        <v>12015</v>
      </c>
    </row>
    <row r="53" spans="1:52" hidden="1" x14ac:dyDescent="0.3">
      <c r="A53">
        <v>10</v>
      </c>
      <c r="B53" t="s">
        <v>101</v>
      </c>
      <c r="C53" t="s">
        <v>102</v>
      </c>
      <c r="D53" t="s">
        <v>128</v>
      </c>
      <c r="E53" t="s">
        <v>149</v>
      </c>
      <c r="F53" t="s">
        <v>16</v>
      </c>
      <c r="G53" t="s">
        <v>20</v>
      </c>
      <c r="H53" t="s">
        <v>131</v>
      </c>
      <c r="I53" t="s">
        <v>150</v>
      </c>
      <c r="J53" t="s">
        <v>151</v>
      </c>
      <c r="K53" t="s">
        <v>152</v>
      </c>
      <c r="L53" t="s">
        <v>109</v>
      </c>
      <c r="M53" t="s">
        <v>110</v>
      </c>
      <c r="N53" s="1">
        <v>45079</v>
      </c>
      <c r="O53" s="1">
        <v>45687</v>
      </c>
      <c r="P53" s="1">
        <v>45762</v>
      </c>
      <c r="Q53">
        <v>1</v>
      </c>
      <c r="R53">
        <v>1</v>
      </c>
      <c r="S53">
        <v>1</v>
      </c>
      <c r="T53">
        <v>5</v>
      </c>
      <c r="U53" t="s">
        <v>112</v>
      </c>
      <c r="V5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53" s="12" t="e">
        <f>_xlfn.XLOOKUP(Portefeuille_MNT_PPS_Access8[[#This Row],[Numéro projet]],Tableau5[Numéro projet],Tableau5[IND_Site_Prioritaire])</f>
        <v>#N/A</v>
      </c>
      <c r="X53" s="2" t="e">
        <f>_xlfn.XLOOKUP(Portefeuille_MNT_PPS_Access8[[#This Row],[Numéro projet]],Tableau5[Numéro projet],Tableau5[Critère Etat Infrastructure])</f>
        <v>#N/A</v>
      </c>
      <c r="Y5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3" s="2"/>
      <c r="AA53" s="62"/>
      <c r="AB53">
        <v>12</v>
      </c>
      <c r="AD53">
        <v>255</v>
      </c>
      <c r="AF53">
        <v>144</v>
      </c>
      <c r="AH53">
        <v>43</v>
      </c>
      <c r="AI53">
        <v>5940</v>
      </c>
      <c r="AP53"/>
      <c r="AZ53" s="14">
        <f>SUM(Portefeuille_MNT_PPS_Access8[[#This Row],[AC ANT]:[TR 2034]])</f>
        <v>6394</v>
      </c>
    </row>
    <row r="54" spans="1:52" hidden="1" x14ac:dyDescent="0.3">
      <c r="A54">
        <v>1</v>
      </c>
      <c r="B54" t="s">
        <v>126</v>
      </c>
      <c r="C54" t="s">
        <v>127</v>
      </c>
      <c r="D54" t="s">
        <v>128</v>
      </c>
      <c r="E54" t="s">
        <v>129</v>
      </c>
      <c r="F54" t="s">
        <v>16</v>
      </c>
      <c r="G54" t="s">
        <v>130</v>
      </c>
      <c r="H54" t="s">
        <v>131</v>
      </c>
      <c r="I54" t="s">
        <v>132</v>
      </c>
      <c r="J54" t="s">
        <v>288</v>
      </c>
      <c r="K54" t="s">
        <v>134</v>
      </c>
      <c r="L54" t="s">
        <v>109</v>
      </c>
      <c r="M54" t="s">
        <v>110</v>
      </c>
      <c r="N54" s="1">
        <v>45218</v>
      </c>
      <c r="O54" s="1">
        <v>45688</v>
      </c>
      <c r="P54" s="1">
        <v>45945</v>
      </c>
      <c r="Q54">
        <v>1</v>
      </c>
      <c r="R54">
        <v>1</v>
      </c>
      <c r="S54">
        <v>1</v>
      </c>
      <c r="T54">
        <v>5</v>
      </c>
      <c r="U54" t="s">
        <v>112</v>
      </c>
      <c r="V5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54" s="12" t="e">
        <f>_xlfn.XLOOKUP(Portefeuille_MNT_PPS_Access8[[#This Row],[Numéro projet]],Tableau5[Numéro projet],Tableau5[IND_Site_Prioritaire])</f>
        <v>#N/A</v>
      </c>
      <c r="X54" s="2" t="e">
        <f>_xlfn.XLOOKUP(Portefeuille_MNT_PPS_Access8[[#This Row],[Numéro projet]],Tableau5[Numéro projet],Tableau5[Critère Etat Infrastructure])</f>
        <v>#N/A</v>
      </c>
      <c r="Y5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4" s="2"/>
      <c r="AA54" s="63"/>
      <c r="AD54">
        <v>10</v>
      </c>
      <c r="AF54">
        <v>10</v>
      </c>
      <c r="AH54">
        <v>100</v>
      </c>
      <c r="AI54">
        <v>4584</v>
      </c>
      <c r="AP54"/>
      <c r="AZ54" s="14">
        <f>SUM(Portefeuille_MNT_PPS_Access8[[#This Row],[AC ANT]:[TR 2034]])</f>
        <v>4704</v>
      </c>
    </row>
    <row r="55" spans="1:52" hidden="1" x14ac:dyDescent="0.3">
      <c r="B55" t="s">
        <v>101</v>
      </c>
      <c r="C55" t="s">
        <v>102</v>
      </c>
      <c r="D55" t="s">
        <v>136</v>
      </c>
      <c r="E55" t="s">
        <v>113</v>
      </c>
      <c r="F55" t="s">
        <v>16</v>
      </c>
      <c r="G55" t="s">
        <v>16</v>
      </c>
      <c r="H55" t="s">
        <v>131</v>
      </c>
      <c r="I55" t="s">
        <v>137</v>
      </c>
      <c r="J55" t="s">
        <v>138</v>
      </c>
      <c r="K55" t="s">
        <v>139</v>
      </c>
      <c r="L55" t="s">
        <v>109</v>
      </c>
      <c r="M55" t="s">
        <v>110</v>
      </c>
      <c r="N55" s="1">
        <v>45062</v>
      </c>
      <c r="O55" s="1">
        <v>45689</v>
      </c>
      <c r="P55" s="1">
        <v>45962</v>
      </c>
      <c r="Q55">
        <v>1</v>
      </c>
      <c r="R55">
        <v>1</v>
      </c>
      <c r="S55">
        <v>1</v>
      </c>
      <c r="T55">
        <v>5</v>
      </c>
      <c r="U55" t="s">
        <v>112</v>
      </c>
      <c r="V5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55" s="12" t="e">
        <f>_xlfn.XLOOKUP(Portefeuille_MNT_PPS_Access8[[#This Row],[Numéro projet]],Tableau5[Numéro projet],Tableau5[IND_Site_Prioritaire])</f>
        <v>#N/A</v>
      </c>
      <c r="X55" s="2" t="e">
        <f>_xlfn.XLOOKUP(Portefeuille_MNT_PPS_Access8[[#This Row],[Numéro projet]],Tableau5[Numéro projet],Tableau5[Critère Etat Infrastructure])</f>
        <v>#N/A</v>
      </c>
      <c r="Y5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5" s="2"/>
      <c r="AA55" s="63"/>
      <c r="AB55">
        <v>337</v>
      </c>
      <c r="AC55">
        <v>41</v>
      </c>
      <c r="AD55">
        <v>349</v>
      </c>
      <c r="AF55">
        <v>340</v>
      </c>
      <c r="AH55">
        <v>1377</v>
      </c>
      <c r="AI55">
        <v>5741</v>
      </c>
      <c r="AP55"/>
      <c r="AZ55" s="14">
        <f>SUM(Portefeuille_MNT_PPS_Access8[[#This Row],[AC ANT]:[TR 2034]])</f>
        <v>8185</v>
      </c>
    </row>
    <row r="56" spans="1:52" hidden="1" x14ac:dyDescent="0.3">
      <c r="A56">
        <v>2</v>
      </c>
      <c r="B56" t="s">
        <v>101</v>
      </c>
      <c r="C56" t="s">
        <v>102</v>
      </c>
      <c r="D56" t="s">
        <v>103</v>
      </c>
      <c r="E56" t="s">
        <v>104</v>
      </c>
      <c r="F56" t="s">
        <v>16</v>
      </c>
      <c r="G56" t="s">
        <v>20</v>
      </c>
      <c r="H56" t="s">
        <v>105</v>
      </c>
      <c r="I56" t="s">
        <v>106</v>
      </c>
      <c r="J56" t="s">
        <v>107</v>
      </c>
      <c r="K56" t="s">
        <v>108</v>
      </c>
      <c r="L56" t="s">
        <v>109</v>
      </c>
      <c r="M56" t="s">
        <v>110</v>
      </c>
      <c r="N56" s="1">
        <v>45014</v>
      </c>
      <c r="O56" s="1">
        <v>45731</v>
      </c>
      <c r="P56" s="1">
        <v>45840</v>
      </c>
      <c r="Q56">
        <v>1</v>
      </c>
      <c r="R56">
        <v>1</v>
      </c>
      <c r="S56">
        <v>5</v>
      </c>
      <c r="T56">
        <v>5</v>
      </c>
      <c r="U56" t="s">
        <v>112</v>
      </c>
      <c r="V56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56" s="12" t="e">
        <f>_xlfn.XLOOKUP(Portefeuille_MNT_PPS_Access8[[#This Row],[Numéro projet]],Tableau5[Numéro projet],Tableau5[IND_Site_Prioritaire])</f>
        <v>#N/A</v>
      </c>
      <c r="X56" s="2" t="e">
        <f>_xlfn.XLOOKUP(Portefeuille_MNT_PPS_Access8[[#This Row],[Numéro projet]],Tableau5[Numéro projet],Tableau5[Critère Etat Infrastructure])</f>
        <v>#N/A</v>
      </c>
      <c r="Y5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6" s="2"/>
      <c r="AA56" s="62"/>
      <c r="AB56">
        <v>69</v>
      </c>
      <c r="AD56">
        <v>303</v>
      </c>
      <c r="AF56">
        <v>130</v>
      </c>
      <c r="AH56">
        <v>853</v>
      </c>
      <c r="AI56">
        <v>16557</v>
      </c>
      <c r="AP56"/>
      <c r="AZ56" s="14">
        <f>SUM(Portefeuille_MNT_PPS_Access8[[#This Row],[AC ANT]:[TR 2034]])</f>
        <v>17912</v>
      </c>
    </row>
    <row r="57" spans="1:52" hidden="1" x14ac:dyDescent="0.3">
      <c r="B57" t="s">
        <v>126</v>
      </c>
      <c r="C57" t="s">
        <v>127</v>
      </c>
      <c r="D57" t="s">
        <v>128</v>
      </c>
      <c r="E57" t="s">
        <v>252</v>
      </c>
      <c r="F57" t="s">
        <v>16</v>
      </c>
      <c r="G57" t="s">
        <v>16</v>
      </c>
      <c r="H57" t="s">
        <v>131</v>
      </c>
      <c r="I57" t="s">
        <v>434</v>
      </c>
      <c r="J57" t="s">
        <v>435</v>
      </c>
      <c r="K57" t="s">
        <v>147</v>
      </c>
      <c r="L57" t="s">
        <v>176</v>
      </c>
      <c r="M57" t="s">
        <v>123</v>
      </c>
      <c r="N57" s="1"/>
      <c r="O57" s="1"/>
      <c r="P57" s="1">
        <v>45413</v>
      </c>
      <c r="Q57">
        <v>1</v>
      </c>
      <c r="R57">
        <v>5</v>
      </c>
      <c r="U57" t="s">
        <v>125</v>
      </c>
      <c r="V57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57" s="12" t="e">
        <f>_xlfn.XLOOKUP(Portefeuille_MNT_PPS_Access8[[#This Row],[Numéro projet]],Tableau5[Numéro projet],Tableau5[IND_Site_Prioritaire])</f>
        <v>#N/A</v>
      </c>
      <c r="X57" s="2" t="e">
        <f>_xlfn.XLOOKUP(Portefeuille_MNT_PPS_Access8[[#This Row],[Numéro projet]],Tableau5[Numéro projet],Tableau5[Critère Etat Infrastructure])</f>
        <v>#N/A</v>
      </c>
      <c r="Y57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100</v>
      </c>
      <c r="Z57" s="2">
        <v>5</v>
      </c>
      <c r="AA57" s="63"/>
      <c r="AD57">
        <v>5</v>
      </c>
      <c r="AE57">
        <v>146</v>
      </c>
      <c r="AF57"/>
      <c r="AP57"/>
      <c r="AZ57" s="14">
        <f>SUM(Portefeuille_MNT_PPS_Access8[[#This Row],[AC ANT]:[TR 2034]])</f>
        <v>151</v>
      </c>
    </row>
    <row r="58" spans="1:52" hidden="1" x14ac:dyDescent="0.3">
      <c r="B58" t="s">
        <v>126</v>
      </c>
      <c r="C58" t="s">
        <v>127</v>
      </c>
      <c r="D58" t="s">
        <v>103</v>
      </c>
      <c r="E58" t="s">
        <v>144</v>
      </c>
      <c r="F58" t="s">
        <v>16</v>
      </c>
      <c r="G58" t="s">
        <v>16</v>
      </c>
      <c r="H58" t="s">
        <v>131</v>
      </c>
      <c r="I58" t="s">
        <v>145</v>
      </c>
      <c r="J58" t="s">
        <v>146</v>
      </c>
      <c r="K58" t="s">
        <v>147</v>
      </c>
      <c r="L58">
        <v>2026</v>
      </c>
      <c r="M58" t="s">
        <v>110</v>
      </c>
      <c r="N58" s="1">
        <v>44609</v>
      </c>
      <c r="O58" s="1">
        <v>45731</v>
      </c>
      <c r="P58" s="1">
        <v>45853</v>
      </c>
      <c r="Q58">
        <v>5</v>
      </c>
      <c r="R58">
        <v>1</v>
      </c>
      <c r="S58">
        <v>1</v>
      </c>
      <c r="T58">
        <v>5</v>
      </c>
      <c r="U58" t="s">
        <v>112</v>
      </c>
      <c r="V5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58" s="12" t="e">
        <f>_xlfn.XLOOKUP(Portefeuille_MNT_PPS_Access8[[#This Row],[Numéro projet]],Tableau5[Numéro projet],Tableau5[IND_Site_Prioritaire])</f>
        <v>#N/A</v>
      </c>
      <c r="X58" s="2" t="e">
        <f>_xlfn.XLOOKUP(Portefeuille_MNT_PPS_Access8[[#This Row],[Numéro projet]],Tableau5[Numéro projet],Tableau5[Critère Etat Infrastructure])</f>
        <v>#N/A</v>
      </c>
      <c r="Y5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8" s="2"/>
      <c r="AA58" s="63"/>
      <c r="AB58">
        <v>117</v>
      </c>
      <c r="AD58">
        <v>246</v>
      </c>
      <c r="AF58">
        <v>230</v>
      </c>
      <c r="AG58">
        <v>4842</v>
      </c>
      <c r="AH58">
        <v>130</v>
      </c>
      <c r="AI58">
        <v>4842</v>
      </c>
      <c r="AP58"/>
      <c r="AZ58" s="14">
        <f>SUM(Portefeuille_MNT_PPS_Access8[[#This Row],[AC ANT]:[TR 2034]])</f>
        <v>10407</v>
      </c>
    </row>
    <row r="59" spans="1:52" hidden="1" x14ac:dyDescent="0.3">
      <c r="A59">
        <v>8</v>
      </c>
      <c r="B59" t="s">
        <v>118</v>
      </c>
      <c r="C59" t="s">
        <v>102</v>
      </c>
      <c r="D59" t="s">
        <v>136</v>
      </c>
      <c r="E59" t="s">
        <v>252</v>
      </c>
      <c r="F59" t="s">
        <v>20</v>
      </c>
      <c r="G59" t="s">
        <v>20</v>
      </c>
      <c r="H59" t="s">
        <v>131</v>
      </c>
      <c r="I59" t="s">
        <v>255</v>
      </c>
      <c r="J59" t="s">
        <v>256</v>
      </c>
      <c r="K59" t="s">
        <v>209</v>
      </c>
      <c r="L59" t="s">
        <v>148</v>
      </c>
      <c r="M59" t="s">
        <v>291</v>
      </c>
      <c r="N59" s="1"/>
      <c r="O59" s="1"/>
      <c r="P59" s="1"/>
      <c r="Q59">
        <v>1</v>
      </c>
      <c r="U59" t="s">
        <v>311</v>
      </c>
      <c r="V5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59" s="12" t="e">
        <f>_xlfn.XLOOKUP(Portefeuille_MNT_PPS_Access8[[#This Row],[Numéro projet]],Tableau5[Numéro projet],Tableau5[IND_Site_Prioritaire])</f>
        <v>#N/A</v>
      </c>
      <c r="X59" s="2" t="e">
        <f>_xlfn.XLOOKUP(Portefeuille_MNT_PPS_Access8[[#This Row],[Numéro projet]],Tableau5[Numéro projet],Tableau5[Critère Etat Infrastructure])</f>
        <v>#N/A</v>
      </c>
      <c r="Y5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59" s="2"/>
      <c r="AA59" s="63"/>
      <c r="AF59"/>
      <c r="AG59">
        <v>300</v>
      </c>
      <c r="AP59"/>
      <c r="AZ59" s="14">
        <f>SUM(Portefeuille_MNT_PPS_Access8[[#This Row],[AC ANT]:[TR 2034]])</f>
        <v>300</v>
      </c>
    </row>
    <row r="60" spans="1:52" hidden="1" x14ac:dyDescent="0.3">
      <c r="A60">
        <v>3</v>
      </c>
      <c r="B60" t="s">
        <v>101</v>
      </c>
      <c r="C60" t="s">
        <v>102</v>
      </c>
      <c r="D60" t="s">
        <v>119</v>
      </c>
      <c r="E60" t="s">
        <v>129</v>
      </c>
      <c r="F60" t="s">
        <v>20</v>
      </c>
      <c r="G60" t="s">
        <v>20</v>
      </c>
      <c r="H60" t="s">
        <v>131</v>
      </c>
      <c r="I60" t="s">
        <v>153</v>
      </c>
      <c r="J60" t="s">
        <v>154</v>
      </c>
      <c r="K60" t="s">
        <v>134</v>
      </c>
      <c r="L60" t="s">
        <v>109</v>
      </c>
      <c r="M60" t="s">
        <v>123</v>
      </c>
      <c r="N60" s="1">
        <v>45601</v>
      </c>
      <c r="O60" s="1">
        <v>45731</v>
      </c>
      <c r="P60" s="1">
        <v>45976</v>
      </c>
      <c r="Q60">
        <v>1</v>
      </c>
      <c r="R60">
        <v>1</v>
      </c>
      <c r="S60">
        <v>1</v>
      </c>
      <c r="T60">
        <v>5</v>
      </c>
      <c r="U60" t="s">
        <v>125</v>
      </c>
      <c r="V6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60" s="12" t="e">
        <f>_xlfn.XLOOKUP(Portefeuille_MNT_PPS_Access8[[#This Row],[Numéro projet]],Tableau5[Numéro projet],Tableau5[IND_Site_Prioritaire])</f>
        <v>#N/A</v>
      </c>
      <c r="X60" s="2" t="e">
        <f>_xlfn.XLOOKUP(Portefeuille_MNT_PPS_Access8[[#This Row],[Numéro projet]],Tableau5[Numéro projet],Tableau5[Critère Etat Infrastructure])</f>
        <v>#N/A</v>
      </c>
      <c r="Y6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0" s="2"/>
      <c r="AA60" s="63"/>
      <c r="AF60">
        <v>20</v>
      </c>
      <c r="AH60">
        <v>55</v>
      </c>
      <c r="AI60">
        <v>543</v>
      </c>
      <c r="AP60"/>
      <c r="AZ60" s="14">
        <f>SUM(Portefeuille_MNT_PPS_Access8[[#This Row],[AC ANT]:[TR 2034]])</f>
        <v>618</v>
      </c>
    </row>
    <row r="61" spans="1:52" hidden="1" x14ac:dyDescent="0.3">
      <c r="A61">
        <v>6</v>
      </c>
      <c r="B61" t="s">
        <v>118</v>
      </c>
      <c r="C61" t="s">
        <v>102</v>
      </c>
      <c r="D61" t="s">
        <v>136</v>
      </c>
      <c r="E61" t="s">
        <v>104</v>
      </c>
      <c r="F61" t="s">
        <v>20</v>
      </c>
      <c r="G61" t="s">
        <v>20</v>
      </c>
      <c r="H61" t="s">
        <v>131</v>
      </c>
      <c r="I61" t="s">
        <v>157</v>
      </c>
      <c r="J61" t="s">
        <v>158</v>
      </c>
      <c r="K61" t="s">
        <v>159</v>
      </c>
      <c r="L61" t="s">
        <v>109</v>
      </c>
      <c r="M61" t="s">
        <v>155</v>
      </c>
      <c r="N61" s="1">
        <v>45641</v>
      </c>
      <c r="O61" s="1"/>
      <c r="P61" s="1">
        <v>45884</v>
      </c>
      <c r="Q61">
        <v>1</v>
      </c>
      <c r="R61">
        <v>1</v>
      </c>
      <c r="T61">
        <v>5</v>
      </c>
      <c r="U61" t="s">
        <v>156</v>
      </c>
      <c r="V6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61" s="12" t="e">
        <f>_xlfn.XLOOKUP(Portefeuille_MNT_PPS_Access8[[#This Row],[Numéro projet]],Tableau5[Numéro projet],Tableau5[IND_Site_Prioritaire])</f>
        <v>#N/A</v>
      </c>
      <c r="X61" s="2" t="e">
        <f>_xlfn.XLOOKUP(Portefeuille_MNT_PPS_Access8[[#This Row],[Numéro projet]],Tableau5[Numéro projet],Tableau5[Critère Etat Infrastructure])</f>
        <v>#N/A</v>
      </c>
      <c r="Y6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1" s="2"/>
      <c r="AA61" s="63"/>
      <c r="AF61">
        <v>150</v>
      </c>
      <c r="AH61">
        <v>150</v>
      </c>
      <c r="AI61">
        <v>650</v>
      </c>
      <c r="AP61"/>
      <c r="AZ61" s="14">
        <f>SUM(Portefeuille_MNT_PPS_Access8[[#This Row],[AC ANT]:[TR 2034]])</f>
        <v>950</v>
      </c>
    </row>
    <row r="62" spans="1:52" hidden="1" x14ac:dyDescent="0.3">
      <c r="A62">
        <v>3</v>
      </c>
      <c r="B62" t="s">
        <v>126</v>
      </c>
      <c r="C62" t="s">
        <v>127</v>
      </c>
      <c r="D62" t="s">
        <v>128</v>
      </c>
      <c r="E62" t="s">
        <v>252</v>
      </c>
      <c r="F62" t="s">
        <v>20</v>
      </c>
      <c r="G62" t="s">
        <v>20</v>
      </c>
      <c r="H62" t="s">
        <v>131</v>
      </c>
      <c r="I62" t="s">
        <v>253</v>
      </c>
      <c r="J62" t="s">
        <v>254</v>
      </c>
      <c r="K62" t="s">
        <v>147</v>
      </c>
      <c r="L62" t="s">
        <v>148</v>
      </c>
      <c r="M62" t="s">
        <v>110</v>
      </c>
      <c r="N62" s="1">
        <v>45378</v>
      </c>
      <c r="O62" s="1"/>
      <c r="P62" s="1">
        <v>45611</v>
      </c>
      <c r="Q62">
        <v>1</v>
      </c>
      <c r="R62">
        <v>5</v>
      </c>
      <c r="T62">
        <v>5</v>
      </c>
      <c r="U62" t="s">
        <v>112</v>
      </c>
      <c r="V62" s="2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5</v>
      </c>
      <c r="W62" s="12" t="e">
        <f>_xlfn.XLOOKUP(Portefeuille_MNT_PPS_Access8[[#This Row],[Numéro projet]],Tableau5[Numéro projet],Tableau5[IND_Site_Prioritaire])</f>
        <v>#N/A</v>
      </c>
      <c r="X62" s="2" t="e">
        <f>_xlfn.XLOOKUP(Portefeuille_MNT_PPS_Access8[[#This Row],[Numéro projet]],Tableau5[Numéro projet],Tableau5[Critère Etat Infrastructure])</f>
        <v>#N/A</v>
      </c>
      <c r="Y6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2" s="2"/>
      <c r="AA62" s="63"/>
      <c r="AF62">
        <v>10</v>
      </c>
      <c r="AG62">
        <v>39</v>
      </c>
      <c r="AP62"/>
      <c r="AZ62" s="14">
        <f>SUM(Portefeuille_MNT_PPS_Access8[[#This Row],[AC ANT]:[TR 2034]])</f>
        <v>49</v>
      </c>
    </row>
    <row r="63" spans="1:52" x14ac:dyDescent="0.3">
      <c r="A63">
        <v>9</v>
      </c>
      <c r="B63" t="s">
        <v>118</v>
      </c>
      <c r="C63" t="s">
        <v>102</v>
      </c>
      <c r="D63" t="s">
        <v>103</v>
      </c>
      <c r="E63" t="s">
        <v>252</v>
      </c>
      <c r="F63" t="s">
        <v>20</v>
      </c>
      <c r="G63" t="s">
        <v>20</v>
      </c>
      <c r="H63" t="s">
        <v>131</v>
      </c>
      <c r="I63" t="s">
        <v>257</v>
      </c>
      <c r="J63" t="s">
        <v>258</v>
      </c>
      <c r="K63" t="s">
        <v>180</v>
      </c>
      <c r="L63" t="s">
        <v>148</v>
      </c>
      <c r="M63" t="s">
        <v>291</v>
      </c>
      <c r="N63" s="1"/>
      <c r="O63" s="1"/>
      <c r="P63" s="1"/>
      <c r="Q63">
        <v>1</v>
      </c>
      <c r="U63" t="s">
        <v>311</v>
      </c>
      <c r="V6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63" s="12" t="e">
        <f>_xlfn.XLOOKUP(Portefeuille_MNT_PPS_Access8[[#This Row],[Numéro projet]],Tableau5[Numéro projet],Tableau5[IND_Site_Prioritaire])</f>
        <v>#N/A</v>
      </c>
      <c r="X63" s="2" t="e">
        <f>_xlfn.XLOOKUP(Portefeuille_MNT_PPS_Access8[[#This Row],[Numéro projet]],Tableau5[Numéro projet],Tableau5[Critère Etat Infrastructure])</f>
        <v>#N/A</v>
      </c>
      <c r="Y6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3" s="2"/>
      <c r="AA63" s="63"/>
      <c r="AF63"/>
      <c r="AG63">
        <v>300</v>
      </c>
      <c r="AP63"/>
      <c r="AZ63" s="14">
        <f>SUM(Portefeuille_MNT_PPS_Access8[[#This Row],[AC ANT]:[TR 2034]])</f>
        <v>300</v>
      </c>
    </row>
    <row r="64" spans="1:52" hidden="1" x14ac:dyDescent="0.3">
      <c r="B64" t="s">
        <v>101</v>
      </c>
      <c r="C64" t="s">
        <v>102</v>
      </c>
      <c r="D64" t="s">
        <v>136</v>
      </c>
      <c r="E64" t="s">
        <v>113</v>
      </c>
      <c r="F64" t="s">
        <v>16</v>
      </c>
      <c r="G64" t="s">
        <v>20</v>
      </c>
      <c r="H64" t="s">
        <v>131</v>
      </c>
      <c r="I64" t="s">
        <v>185</v>
      </c>
      <c r="J64" t="s">
        <v>186</v>
      </c>
      <c r="K64" t="s">
        <v>187</v>
      </c>
      <c r="L64" t="s">
        <v>173</v>
      </c>
      <c r="M64" t="s">
        <v>110</v>
      </c>
      <c r="N64" s="1">
        <v>44823</v>
      </c>
      <c r="O64" s="1">
        <v>46096</v>
      </c>
      <c r="P64" s="1">
        <v>46461</v>
      </c>
      <c r="Q64">
        <v>1</v>
      </c>
      <c r="R64">
        <v>1</v>
      </c>
      <c r="S64">
        <v>1</v>
      </c>
      <c r="T64">
        <v>5</v>
      </c>
      <c r="U64" t="s">
        <v>112</v>
      </c>
      <c r="V6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64" s="12" t="e">
        <f>_xlfn.XLOOKUP(Portefeuille_MNT_PPS_Access8[[#This Row],[Numéro projet]],Tableau5[Numéro projet],Tableau5[IND_Site_Prioritaire])</f>
        <v>#N/A</v>
      </c>
      <c r="X64" s="2" t="e">
        <f>_xlfn.XLOOKUP(Portefeuille_MNT_PPS_Access8[[#This Row],[Numéro projet]],Tableau5[Numéro projet],Tableau5[Critère Etat Infrastructure])</f>
        <v>#N/A</v>
      </c>
      <c r="Y6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4" s="2"/>
      <c r="AA64" s="63"/>
      <c r="AB64">
        <v>282</v>
      </c>
      <c r="AD64">
        <v>452</v>
      </c>
      <c r="AF64">
        <v>835</v>
      </c>
      <c r="AH64">
        <v>630</v>
      </c>
      <c r="AJ64">
        <v>225</v>
      </c>
      <c r="AK64">
        <v>1806</v>
      </c>
      <c r="AL64">
        <v>225</v>
      </c>
      <c r="AM64">
        <v>5369</v>
      </c>
      <c r="AN64">
        <v>225</v>
      </c>
      <c r="AO64">
        <v>9000</v>
      </c>
      <c r="AP64"/>
      <c r="AZ64" s="14">
        <f>SUM(Portefeuille_MNT_PPS_Access8[[#This Row],[AC ANT]:[TR 2034]])</f>
        <v>19049</v>
      </c>
    </row>
    <row r="65" spans="1:52" hidden="1" x14ac:dyDescent="0.3">
      <c r="A65">
        <v>4</v>
      </c>
      <c r="B65" t="s">
        <v>126</v>
      </c>
      <c r="C65" t="s">
        <v>127</v>
      </c>
      <c r="D65" t="s">
        <v>128</v>
      </c>
      <c r="E65" t="s">
        <v>252</v>
      </c>
      <c r="F65" t="s">
        <v>20</v>
      </c>
      <c r="G65" t="s">
        <v>20</v>
      </c>
      <c r="H65" t="s">
        <v>131</v>
      </c>
      <c r="I65" t="s">
        <v>259</v>
      </c>
      <c r="J65" t="s">
        <v>260</v>
      </c>
      <c r="K65" t="s">
        <v>159</v>
      </c>
      <c r="L65" t="s">
        <v>148</v>
      </c>
      <c r="M65" t="s">
        <v>291</v>
      </c>
      <c r="N65" s="1"/>
      <c r="O65" s="1"/>
      <c r="P65" s="1"/>
      <c r="Q65">
        <v>1</v>
      </c>
      <c r="U65" t="s">
        <v>311</v>
      </c>
      <c r="V6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65" s="12" t="e">
        <f>_xlfn.XLOOKUP(Portefeuille_MNT_PPS_Access8[[#This Row],[Numéro projet]],Tableau5[Numéro projet],Tableau5[IND_Site_Prioritaire])</f>
        <v>#N/A</v>
      </c>
      <c r="X65" s="2" t="e">
        <f>_xlfn.XLOOKUP(Portefeuille_MNT_PPS_Access8[[#This Row],[Numéro projet]],Tableau5[Numéro projet],Tableau5[Critère Etat Infrastructure])</f>
        <v>#N/A</v>
      </c>
      <c r="Y6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5" s="2"/>
      <c r="AA65" s="63"/>
      <c r="AF65"/>
      <c r="AG65">
        <v>100</v>
      </c>
      <c r="AP65"/>
      <c r="AZ65" s="14">
        <f>SUM(Portefeuille_MNT_PPS_Access8[[#This Row],[AC ANT]:[TR 2034]])</f>
        <v>100</v>
      </c>
    </row>
    <row r="66" spans="1:52" hidden="1" x14ac:dyDescent="0.3">
      <c r="B66" t="s">
        <v>118</v>
      </c>
      <c r="C66" t="s">
        <v>102</v>
      </c>
      <c r="D66" t="s">
        <v>177</v>
      </c>
      <c r="E66" t="s">
        <v>252</v>
      </c>
      <c r="F66" t="s">
        <v>20</v>
      </c>
      <c r="G66" t="s">
        <v>20</v>
      </c>
      <c r="H66" t="s">
        <v>131</v>
      </c>
      <c r="I66" t="s">
        <v>448</v>
      </c>
      <c r="J66" t="s">
        <v>449</v>
      </c>
      <c r="K66" t="s">
        <v>159</v>
      </c>
      <c r="L66" t="s">
        <v>109</v>
      </c>
      <c r="M66" t="s">
        <v>291</v>
      </c>
      <c r="N66" s="1"/>
      <c r="O66" s="1"/>
      <c r="P66" s="1"/>
      <c r="Q66">
        <v>1</v>
      </c>
      <c r="U66" t="s">
        <v>311</v>
      </c>
      <c r="V6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66" s="12" t="e">
        <f>_xlfn.XLOOKUP(Portefeuille_MNT_PPS_Access8[[#This Row],[Numéro projet]],Tableau5[Numéro projet],Tableau5[IND_Site_Prioritaire])</f>
        <v>#N/A</v>
      </c>
      <c r="X66" s="2" t="e">
        <f>_xlfn.XLOOKUP(Portefeuille_MNT_PPS_Access8[[#This Row],[Numéro projet]],Tableau5[Numéro projet],Tableau5[Critère Etat Infrastructure])</f>
        <v>#N/A</v>
      </c>
      <c r="Y6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6" s="2"/>
      <c r="AA66" s="63"/>
      <c r="AF66"/>
      <c r="AI66">
        <v>100</v>
      </c>
      <c r="AP66"/>
      <c r="AZ66" s="14">
        <f>SUM(Portefeuille_MNT_PPS_Access8[[#This Row],[AC ANT]:[TR 2034]])</f>
        <v>100</v>
      </c>
    </row>
    <row r="67" spans="1:52" hidden="1" x14ac:dyDescent="0.3">
      <c r="B67" t="s">
        <v>118</v>
      </c>
      <c r="C67" t="s">
        <v>102</v>
      </c>
      <c r="D67" t="s">
        <v>119</v>
      </c>
      <c r="E67" t="s">
        <v>252</v>
      </c>
      <c r="F67" t="s">
        <v>20</v>
      </c>
      <c r="G67" t="s">
        <v>20</v>
      </c>
      <c r="H67" t="s">
        <v>131</v>
      </c>
      <c r="I67" t="s">
        <v>450</v>
      </c>
      <c r="J67" t="s">
        <v>451</v>
      </c>
      <c r="K67" t="s">
        <v>214</v>
      </c>
      <c r="L67" t="s">
        <v>109</v>
      </c>
      <c r="M67" t="s">
        <v>291</v>
      </c>
      <c r="N67" s="1"/>
      <c r="O67" s="1"/>
      <c r="P67" s="1"/>
      <c r="Q67">
        <v>1</v>
      </c>
      <c r="U67" t="s">
        <v>311</v>
      </c>
      <c r="V6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67" s="12" t="e">
        <f>_xlfn.XLOOKUP(Portefeuille_MNT_PPS_Access8[[#This Row],[Numéro projet]],Tableau5[Numéro projet],Tableau5[IND_Site_Prioritaire])</f>
        <v>#N/A</v>
      </c>
      <c r="X67" s="2" t="e">
        <f>_xlfn.XLOOKUP(Portefeuille_MNT_PPS_Access8[[#This Row],[Numéro projet]],Tableau5[Numéro projet],Tableau5[Critère Etat Infrastructure])</f>
        <v>#N/A</v>
      </c>
      <c r="Y6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7" s="2"/>
      <c r="AA67" s="63"/>
      <c r="AF67"/>
      <c r="AI67">
        <v>40</v>
      </c>
      <c r="AP67"/>
      <c r="AZ67" s="14">
        <f>SUM(Portefeuille_MNT_PPS_Access8[[#This Row],[AC ANT]:[TR 2034]])</f>
        <v>40</v>
      </c>
    </row>
    <row r="68" spans="1:52" hidden="1" x14ac:dyDescent="0.3">
      <c r="B68" t="s">
        <v>126</v>
      </c>
      <c r="C68" t="s">
        <v>127</v>
      </c>
      <c r="D68" t="s">
        <v>136</v>
      </c>
      <c r="E68" t="s">
        <v>144</v>
      </c>
      <c r="F68" t="s">
        <v>16</v>
      </c>
      <c r="G68" t="s">
        <v>20</v>
      </c>
      <c r="H68" t="s">
        <v>131</v>
      </c>
      <c r="I68" t="s">
        <v>231</v>
      </c>
      <c r="J68" t="s">
        <v>232</v>
      </c>
      <c r="K68" t="s">
        <v>147</v>
      </c>
      <c r="L68" t="s">
        <v>173</v>
      </c>
      <c r="M68" t="s">
        <v>110</v>
      </c>
      <c r="N68" s="1">
        <v>45099</v>
      </c>
      <c r="O68" s="1">
        <v>45945</v>
      </c>
      <c r="P68" s="1">
        <v>46371</v>
      </c>
      <c r="Q68">
        <v>1</v>
      </c>
      <c r="R68">
        <v>1</v>
      </c>
      <c r="S68">
        <v>1</v>
      </c>
      <c r="T68">
        <v>5</v>
      </c>
      <c r="U68" t="s">
        <v>112</v>
      </c>
      <c r="V6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68" s="12" t="e">
        <f>_xlfn.XLOOKUP(Portefeuille_MNT_PPS_Access8[[#This Row],[Numéro projet]],Tableau5[Numéro projet],Tableau5[IND_Site_Prioritaire])</f>
        <v>#N/A</v>
      </c>
      <c r="X68" s="2" t="e">
        <f>_xlfn.XLOOKUP(Portefeuille_MNT_PPS_Access8[[#This Row],[Numéro projet]],Tableau5[Numéro projet],Tableau5[Critère Etat Infrastructure])</f>
        <v>#N/A</v>
      </c>
      <c r="Y6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8" s="2"/>
      <c r="AA68" s="63"/>
      <c r="AB68">
        <v>9</v>
      </c>
      <c r="AD68">
        <v>180</v>
      </c>
      <c r="AF68">
        <v>503</v>
      </c>
      <c r="AH68">
        <v>553</v>
      </c>
      <c r="AJ68">
        <v>1185</v>
      </c>
      <c r="AK68">
        <v>6475</v>
      </c>
      <c r="AL68">
        <v>1602</v>
      </c>
      <c r="AM68">
        <v>6677</v>
      </c>
      <c r="AP68"/>
      <c r="AZ68" s="14">
        <f>SUM(Portefeuille_MNT_PPS_Access8[[#This Row],[AC ANT]:[TR 2034]])</f>
        <v>17184</v>
      </c>
    </row>
    <row r="69" spans="1:52" hidden="1" x14ac:dyDescent="0.3">
      <c r="B69" t="s">
        <v>101</v>
      </c>
      <c r="C69" t="s">
        <v>102</v>
      </c>
      <c r="D69" t="s">
        <v>136</v>
      </c>
      <c r="E69" t="s">
        <v>104</v>
      </c>
      <c r="F69" t="s">
        <v>16</v>
      </c>
      <c r="G69" t="s">
        <v>20</v>
      </c>
      <c r="H69" t="s">
        <v>105</v>
      </c>
      <c r="I69" t="s">
        <v>170</v>
      </c>
      <c r="J69" t="s">
        <v>171</v>
      </c>
      <c r="K69" t="s">
        <v>172</v>
      </c>
      <c r="L69" t="s">
        <v>173</v>
      </c>
      <c r="M69" t="s">
        <v>110</v>
      </c>
      <c r="N69" s="1">
        <v>44833</v>
      </c>
      <c r="O69" s="1">
        <v>45976</v>
      </c>
      <c r="P69" s="1">
        <v>46280</v>
      </c>
      <c r="Q69">
        <v>1</v>
      </c>
      <c r="R69">
        <v>1</v>
      </c>
      <c r="S69">
        <v>1</v>
      </c>
      <c r="T69">
        <v>5</v>
      </c>
      <c r="U69" t="s">
        <v>112</v>
      </c>
      <c r="V6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69" s="12" t="e">
        <f>_xlfn.XLOOKUP(Portefeuille_MNT_PPS_Access8[[#This Row],[Numéro projet]],Tableau5[Numéro projet],Tableau5[IND_Site_Prioritaire])</f>
        <v>#N/A</v>
      </c>
      <c r="X69" s="2" t="e">
        <f>_xlfn.XLOOKUP(Portefeuille_MNT_PPS_Access8[[#This Row],[Numéro projet]],Tableau5[Numéro projet],Tableau5[Critère Etat Infrastructure])</f>
        <v>#N/A</v>
      </c>
      <c r="Y6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69" s="2"/>
      <c r="AA69" s="63"/>
      <c r="AB69">
        <v>497</v>
      </c>
      <c r="AC69">
        <v>8</v>
      </c>
      <c r="AD69">
        <v>557</v>
      </c>
      <c r="AF69">
        <v>443</v>
      </c>
      <c r="AH69">
        <v>346</v>
      </c>
      <c r="AJ69">
        <v>1338</v>
      </c>
      <c r="AK69">
        <v>15737</v>
      </c>
      <c r="AL69">
        <v>2195</v>
      </c>
      <c r="AM69">
        <v>4000</v>
      </c>
      <c r="AP69"/>
      <c r="AZ69" s="14">
        <f>SUM(Portefeuille_MNT_PPS_Access8[[#This Row],[AC ANT]:[TR 2034]])</f>
        <v>25121</v>
      </c>
    </row>
    <row r="70" spans="1:52" hidden="1" x14ac:dyDescent="0.3">
      <c r="B70" t="s">
        <v>101</v>
      </c>
      <c r="C70" t="s">
        <v>102</v>
      </c>
      <c r="D70" t="s">
        <v>389</v>
      </c>
      <c r="E70" t="s">
        <v>252</v>
      </c>
      <c r="F70" t="s">
        <v>20</v>
      </c>
      <c r="G70" t="s">
        <v>20</v>
      </c>
      <c r="H70" t="s">
        <v>131</v>
      </c>
      <c r="I70" t="s">
        <v>452</v>
      </c>
      <c r="J70" t="s">
        <v>453</v>
      </c>
      <c r="K70" t="s">
        <v>159</v>
      </c>
      <c r="L70" t="s">
        <v>109</v>
      </c>
      <c r="M70" t="s">
        <v>291</v>
      </c>
      <c r="N70" s="1"/>
      <c r="O70" s="1"/>
      <c r="P70" s="1"/>
      <c r="Q70">
        <v>1</v>
      </c>
      <c r="U70" t="s">
        <v>311</v>
      </c>
      <c r="V7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70" s="12" t="e">
        <f>_xlfn.XLOOKUP(Portefeuille_MNT_PPS_Access8[[#This Row],[Numéro projet]],Tableau5[Numéro projet],Tableau5[IND_Site_Prioritaire])</f>
        <v>#N/A</v>
      </c>
      <c r="X70" s="2" t="e">
        <f>_xlfn.XLOOKUP(Portefeuille_MNT_PPS_Access8[[#This Row],[Numéro projet]],Tableau5[Numéro projet],Tableau5[Critère Etat Infrastructure])</f>
        <v>#N/A</v>
      </c>
      <c r="Y7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0" s="2"/>
      <c r="AA70" s="63"/>
      <c r="AF70"/>
      <c r="AI70">
        <v>250</v>
      </c>
      <c r="AP70"/>
      <c r="AZ70" s="14">
        <f>SUM(Portefeuille_MNT_PPS_Access8[[#This Row],[AC ANT]:[TR 2034]])</f>
        <v>250</v>
      </c>
    </row>
    <row r="71" spans="1:52" x14ac:dyDescent="0.3">
      <c r="B71" t="s">
        <v>126</v>
      </c>
      <c r="C71" t="s">
        <v>127</v>
      </c>
      <c r="D71" t="s">
        <v>177</v>
      </c>
      <c r="E71" t="s">
        <v>222</v>
      </c>
      <c r="F71" t="s">
        <v>16</v>
      </c>
      <c r="G71" t="s">
        <v>130</v>
      </c>
      <c r="H71" t="s">
        <v>223</v>
      </c>
      <c r="I71" t="s">
        <v>224</v>
      </c>
      <c r="J71" t="s">
        <v>225</v>
      </c>
      <c r="K71" t="s">
        <v>180</v>
      </c>
      <c r="L71" t="s">
        <v>173</v>
      </c>
      <c r="M71" t="s">
        <v>110</v>
      </c>
      <c r="N71" s="1">
        <v>44623</v>
      </c>
      <c r="O71" s="1">
        <v>45731</v>
      </c>
      <c r="P71" s="1">
        <v>46006</v>
      </c>
      <c r="Q71">
        <v>1</v>
      </c>
      <c r="R71">
        <v>1</v>
      </c>
      <c r="S71">
        <v>1</v>
      </c>
      <c r="T71">
        <v>5</v>
      </c>
      <c r="U71" t="s">
        <v>112</v>
      </c>
      <c r="V7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71" s="12" t="e">
        <f>_xlfn.XLOOKUP(Portefeuille_MNT_PPS_Access8[[#This Row],[Numéro projet]],Tableau5[Numéro projet],Tableau5[IND_Site_Prioritaire])</f>
        <v>#N/A</v>
      </c>
      <c r="X71" s="2">
        <v>5</v>
      </c>
      <c r="Y7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1" s="2"/>
      <c r="AA71" s="63"/>
      <c r="AB71">
        <v>180.00000000000003</v>
      </c>
      <c r="AD71">
        <v>102</v>
      </c>
      <c r="AF71">
        <v>283</v>
      </c>
      <c r="AG71">
        <v>364</v>
      </c>
      <c r="AH71">
        <v>53.000000000000007</v>
      </c>
      <c r="AI71">
        <v>1462</v>
      </c>
      <c r="AJ71">
        <v>106.00000000000003</v>
      </c>
      <c r="AK71">
        <v>2986</v>
      </c>
      <c r="AL71">
        <v>106</v>
      </c>
      <c r="AM71">
        <v>4571</v>
      </c>
      <c r="AN71">
        <v>159</v>
      </c>
      <c r="AO71">
        <v>4666</v>
      </c>
      <c r="AP71">
        <v>100</v>
      </c>
      <c r="AQ71">
        <v>4762</v>
      </c>
      <c r="AR71">
        <v>100</v>
      </c>
      <c r="AZ71" s="14">
        <f>SUM(Portefeuille_MNT_PPS_Access8[[#This Row],[AC ANT]:[TR 2034]])</f>
        <v>20000</v>
      </c>
    </row>
    <row r="72" spans="1:52" hidden="1" x14ac:dyDescent="0.3">
      <c r="A72">
        <v>5</v>
      </c>
      <c r="B72" t="s">
        <v>101</v>
      </c>
      <c r="C72" t="s">
        <v>102</v>
      </c>
      <c r="D72" t="s">
        <v>136</v>
      </c>
      <c r="E72" t="s">
        <v>149</v>
      </c>
      <c r="F72" t="s">
        <v>20</v>
      </c>
      <c r="G72" t="s">
        <v>20</v>
      </c>
      <c r="H72" t="s">
        <v>105</v>
      </c>
      <c r="I72" t="s">
        <v>203</v>
      </c>
      <c r="J72" t="s">
        <v>204</v>
      </c>
      <c r="K72" t="s">
        <v>205</v>
      </c>
      <c r="L72" t="s">
        <v>173</v>
      </c>
      <c r="M72" t="s">
        <v>155</v>
      </c>
      <c r="N72" s="1">
        <v>45703</v>
      </c>
      <c r="O72" s="1">
        <v>45915</v>
      </c>
      <c r="P72" s="1">
        <v>46295</v>
      </c>
      <c r="Q72">
        <v>1</v>
      </c>
      <c r="R72">
        <v>1</v>
      </c>
      <c r="S72">
        <v>1</v>
      </c>
      <c r="T72">
        <v>1</v>
      </c>
      <c r="U72" t="s">
        <v>156</v>
      </c>
      <c r="V7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2" s="12" t="e">
        <f>_xlfn.XLOOKUP(Portefeuille_MNT_PPS_Access8[[#This Row],[Numéro projet]],Tableau5[Numéro projet],Tableau5[IND_Site_Prioritaire])</f>
        <v>#N/A</v>
      </c>
      <c r="X72" s="2" t="e">
        <f>_xlfn.XLOOKUP(Portefeuille_MNT_PPS_Access8[[#This Row],[Numéro projet]],Tableau5[Numéro projet],Tableau5[Critère Etat Infrastructure])</f>
        <v>#N/A</v>
      </c>
      <c r="Y7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2" s="2"/>
      <c r="AA72" s="63"/>
      <c r="AF72">
        <v>85</v>
      </c>
      <c r="AH72">
        <v>85</v>
      </c>
      <c r="AJ72">
        <v>170</v>
      </c>
      <c r="AK72">
        <v>2000</v>
      </c>
      <c r="AP72"/>
      <c r="AZ72" s="14">
        <f>SUM(Portefeuille_MNT_PPS_Access8[[#This Row],[AC ANT]:[TR 2034]])</f>
        <v>2340</v>
      </c>
    </row>
    <row r="73" spans="1:52" hidden="1" x14ac:dyDescent="0.3">
      <c r="B73" t="s">
        <v>118</v>
      </c>
      <c r="C73" t="s">
        <v>102</v>
      </c>
      <c r="D73" t="s">
        <v>188</v>
      </c>
      <c r="E73" t="s">
        <v>113</v>
      </c>
      <c r="F73" t="s">
        <v>16</v>
      </c>
      <c r="G73" t="s">
        <v>130</v>
      </c>
      <c r="H73" t="s">
        <v>131</v>
      </c>
      <c r="I73" t="s">
        <v>189</v>
      </c>
      <c r="J73" t="s">
        <v>190</v>
      </c>
      <c r="K73" t="s">
        <v>191</v>
      </c>
      <c r="L73" t="s">
        <v>173</v>
      </c>
      <c r="M73" t="s">
        <v>155</v>
      </c>
      <c r="N73" s="1">
        <v>45672</v>
      </c>
      <c r="O73" s="1">
        <v>45884</v>
      </c>
      <c r="P73" s="1">
        <v>45945</v>
      </c>
      <c r="Q73">
        <v>1</v>
      </c>
      <c r="R73">
        <v>1</v>
      </c>
      <c r="S73">
        <v>1</v>
      </c>
      <c r="T73">
        <v>1</v>
      </c>
      <c r="U73" t="s">
        <v>156</v>
      </c>
      <c r="V7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3" s="12" t="e">
        <f>_xlfn.XLOOKUP(Portefeuille_MNT_PPS_Access8[[#This Row],[Numéro projet]],Tableau5[Numéro projet],Tableau5[IND_Site_Prioritaire])</f>
        <v>#N/A</v>
      </c>
      <c r="X73" s="2" t="e">
        <f>_xlfn.XLOOKUP(Portefeuille_MNT_PPS_Access8[[#This Row],[Numéro projet]],Tableau5[Numéro projet],Tableau5[Critère Etat Infrastructure])</f>
        <v>#N/A</v>
      </c>
      <c r="Y7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3" s="2"/>
      <c r="AA73" s="63"/>
      <c r="AD73">
        <v>10</v>
      </c>
      <c r="AF73">
        <v>141</v>
      </c>
      <c r="AH73">
        <v>50</v>
      </c>
      <c r="AK73">
        <v>1595</v>
      </c>
      <c r="AP73"/>
      <c r="AZ73" s="14">
        <f>SUM(Portefeuille_MNT_PPS_Access8[[#This Row],[AC ANT]:[TR 2034]])</f>
        <v>1796</v>
      </c>
    </row>
    <row r="74" spans="1:52" hidden="1" x14ac:dyDescent="0.3">
      <c r="A74">
        <v>8</v>
      </c>
      <c r="B74" t="s">
        <v>101</v>
      </c>
      <c r="C74" t="s">
        <v>102</v>
      </c>
      <c r="D74" t="s">
        <v>103</v>
      </c>
      <c r="E74" t="s">
        <v>149</v>
      </c>
      <c r="F74" t="s">
        <v>20</v>
      </c>
      <c r="G74" t="s">
        <v>20</v>
      </c>
      <c r="H74" t="s">
        <v>105</v>
      </c>
      <c r="I74" t="s">
        <v>235</v>
      </c>
      <c r="J74" t="s">
        <v>236</v>
      </c>
      <c r="K74" t="s">
        <v>205</v>
      </c>
      <c r="L74" t="s">
        <v>173</v>
      </c>
      <c r="M74" t="s">
        <v>155</v>
      </c>
      <c r="N74" s="1">
        <v>45641</v>
      </c>
      <c r="O74" s="1">
        <v>46006</v>
      </c>
      <c r="P74" s="1">
        <v>46371</v>
      </c>
      <c r="Q74">
        <v>1</v>
      </c>
      <c r="R74">
        <v>1</v>
      </c>
      <c r="S74">
        <v>1</v>
      </c>
      <c r="T74">
        <v>5</v>
      </c>
      <c r="U74" t="s">
        <v>156</v>
      </c>
      <c r="V7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4" s="12" t="e">
        <f>_xlfn.XLOOKUP(Portefeuille_MNT_PPS_Access8[[#This Row],[Numéro projet]],Tableau5[Numéro projet],Tableau5[IND_Site_Prioritaire])</f>
        <v>#N/A</v>
      </c>
      <c r="X74" s="2" t="e">
        <f>_xlfn.XLOOKUP(Portefeuille_MNT_PPS_Access8[[#This Row],[Numéro projet]],Tableau5[Numéro projet],Tableau5[Critère Etat Infrastructure])</f>
        <v>#N/A</v>
      </c>
      <c r="Y7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4" s="2"/>
      <c r="AA74" s="63"/>
      <c r="AF74">
        <v>75</v>
      </c>
      <c r="AH74">
        <v>300</v>
      </c>
      <c r="AJ74">
        <v>475</v>
      </c>
      <c r="AK74">
        <v>14500</v>
      </c>
      <c r="AP74"/>
      <c r="AZ74" s="14">
        <f>SUM(Portefeuille_MNT_PPS_Access8[[#This Row],[AC ANT]:[TR 2034]])</f>
        <v>15350</v>
      </c>
    </row>
    <row r="75" spans="1:52" x14ac:dyDescent="0.3">
      <c r="A75">
        <v>11</v>
      </c>
      <c r="B75" t="s">
        <v>101</v>
      </c>
      <c r="C75" t="s">
        <v>102</v>
      </c>
      <c r="D75" t="s">
        <v>128</v>
      </c>
      <c r="E75" t="s">
        <v>140</v>
      </c>
      <c r="F75" t="s">
        <v>20</v>
      </c>
      <c r="G75" t="s">
        <v>20</v>
      </c>
      <c r="H75" t="s">
        <v>131</v>
      </c>
      <c r="I75" t="s">
        <v>246</v>
      </c>
      <c r="J75" t="s">
        <v>247</v>
      </c>
      <c r="K75" t="s">
        <v>180</v>
      </c>
      <c r="L75" t="s">
        <v>173</v>
      </c>
      <c r="M75" t="s">
        <v>155</v>
      </c>
      <c r="N75" s="1">
        <v>45641</v>
      </c>
      <c r="O75" s="1">
        <v>46006</v>
      </c>
      <c r="P75" s="1">
        <v>46371</v>
      </c>
      <c r="Q75">
        <v>1</v>
      </c>
      <c r="R75">
        <v>1</v>
      </c>
      <c r="S75">
        <v>1</v>
      </c>
      <c r="T75">
        <v>5</v>
      </c>
      <c r="U75" t="s">
        <v>156</v>
      </c>
      <c r="V7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5" s="12" t="e">
        <f>_xlfn.XLOOKUP(Portefeuille_MNT_PPS_Access8[[#This Row],[Numéro projet]],Tableau5[Numéro projet],Tableau5[IND_Site_Prioritaire])</f>
        <v>#N/A</v>
      </c>
      <c r="X75" s="2" t="e">
        <f>_xlfn.XLOOKUP(Portefeuille_MNT_PPS_Access8[[#This Row],[Numéro projet]],Tableau5[Numéro projet],Tableau5[Critère Etat Infrastructure])</f>
        <v>#N/A</v>
      </c>
      <c r="Y7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5" s="2"/>
      <c r="AA75" s="63"/>
      <c r="AF75">
        <v>50</v>
      </c>
      <c r="AH75">
        <v>100</v>
      </c>
      <c r="AJ75">
        <v>200</v>
      </c>
      <c r="AK75">
        <v>2000</v>
      </c>
      <c r="AP75"/>
      <c r="AZ75" s="14">
        <f>SUM(Portefeuille_MNT_PPS_Access8[[#This Row],[AC ANT]:[TR 2034]])</f>
        <v>2350</v>
      </c>
    </row>
    <row r="76" spans="1:52" hidden="1" x14ac:dyDescent="0.3">
      <c r="B76" t="s">
        <v>118</v>
      </c>
      <c r="C76" t="s">
        <v>102</v>
      </c>
      <c r="D76" t="s">
        <v>119</v>
      </c>
      <c r="E76" t="s">
        <v>206</v>
      </c>
      <c r="F76" t="s">
        <v>16</v>
      </c>
      <c r="G76" t="s">
        <v>130</v>
      </c>
      <c r="H76" t="s">
        <v>131</v>
      </c>
      <c r="I76" t="s">
        <v>207</v>
      </c>
      <c r="J76" t="s">
        <v>208</v>
      </c>
      <c r="K76" t="s">
        <v>209</v>
      </c>
      <c r="L76" t="s">
        <v>173</v>
      </c>
      <c r="M76" t="s">
        <v>155</v>
      </c>
      <c r="N76" s="1">
        <v>45731</v>
      </c>
      <c r="O76" s="1">
        <v>46006</v>
      </c>
      <c r="P76" s="1">
        <v>46310</v>
      </c>
      <c r="Q76">
        <v>1</v>
      </c>
      <c r="R76">
        <v>1</v>
      </c>
      <c r="S76">
        <v>1</v>
      </c>
      <c r="T76">
        <v>1</v>
      </c>
      <c r="U76" t="s">
        <v>156</v>
      </c>
      <c r="V7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6" s="12" t="e">
        <f>_xlfn.XLOOKUP(Portefeuille_MNT_PPS_Access8[[#This Row],[Numéro projet]],Tableau5[Numéro projet],Tableau5[IND_Site_Prioritaire])</f>
        <v>#N/A</v>
      </c>
      <c r="X76" s="2">
        <v>5</v>
      </c>
      <c r="Y7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6" s="2"/>
      <c r="AA76" s="63"/>
      <c r="AB76">
        <v>196</v>
      </c>
      <c r="AF76">
        <v>40</v>
      </c>
      <c r="AH76">
        <v>255</v>
      </c>
      <c r="AJ76">
        <v>396</v>
      </c>
      <c r="AK76">
        <v>1500</v>
      </c>
      <c r="AP76"/>
      <c r="AZ76" s="14">
        <f>SUM(Portefeuille_MNT_PPS_Access8[[#This Row],[AC ANT]:[TR 2034]])</f>
        <v>2387</v>
      </c>
    </row>
    <row r="77" spans="1:52" hidden="1" x14ac:dyDescent="0.3">
      <c r="A77">
        <v>2</v>
      </c>
      <c r="B77" t="s">
        <v>126</v>
      </c>
      <c r="C77" t="s">
        <v>127</v>
      </c>
      <c r="D77" t="s">
        <v>103</v>
      </c>
      <c r="E77" t="s">
        <v>149</v>
      </c>
      <c r="F77" t="s">
        <v>20</v>
      </c>
      <c r="G77" t="s">
        <v>20</v>
      </c>
      <c r="H77" t="s">
        <v>131</v>
      </c>
      <c r="I77" t="s">
        <v>233</v>
      </c>
      <c r="J77" t="s">
        <v>234</v>
      </c>
      <c r="K77" t="s">
        <v>152</v>
      </c>
      <c r="L77" t="s">
        <v>173</v>
      </c>
      <c r="M77" t="s">
        <v>155</v>
      </c>
      <c r="N77" s="1">
        <v>45657</v>
      </c>
      <c r="O77" s="1">
        <v>45945</v>
      </c>
      <c r="P77" s="1">
        <v>46310</v>
      </c>
      <c r="Q77">
        <v>1</v>
      </c>
      <c r="R77">
        <v>1</v>
      </c>
      <c r="S77">
        <v>1</v>
      </c>
      <c r="T77">
        <v>1</v>
      </c>
      <c r="U77" t="s">
        <v>156</v>
      </c>
      <c r="V7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7" s="12" t="e">
        <f>_xlfn.XLOOKUP(Portefeuille_MNT_PPS_Access8[[#This Row],[Numéro projet]],Tableau5[Numéro projet],Tableau5[IND_Site_Prioritaire])</f>
        <v>#N/A</v>
      </c>
      <c r="X77" s="2" t="e">
        <f>_xlfn.XLOOKUP(Portefeuille_MNT_PPS_Access8[[#This Row],[Numéro projet]],Tableau5[Numéro projet],Tableau5[Critère Etat Infrastructure])</f>
        <v>#N/A</v>
      </c>
      <c r="Y7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7" s="2"/>
      <c r="AA77" s="63"/>
      <c r="AF77">
        <v>100</v>
      </c>
      <c r="AH77">
        <v>150</v>
      </c>
      <c r="AJ77">
        <v>500</v>
      </c>
      <c r="AK77">
        <v>7500</v>
      </c>
      <c r="AP77"/>
      <c r="AZ77" s="14">
        <f>SUM(Portefeuille_MNT_PPS_Access8[[#This Row],[AC ANT]:[TR 2034]])</f>
        <v>8250</v>
      </c>
    </row>
    <row r="78" spans="1:52" hidden="1" x14ac:dyDescent="0.3">
      <c r="A78">
        <v>4</v>
      </c>
      <c r="B78" t="s">
        <v>118</v>
      </c>
      <c r="C78" t="s">
        <v>102</v>
      </c>
      <c r="D78" t="s">
        <v>242</v>
      </c>
      <c r="E78" t="s">
        <v>113</v>
      </c>
      <c r="F78" t="s">
        <v>20</v>
      </c>
      <c r="G78" t="s">
        <v>20</v>
      </c>
      <c r="H78" t="s">
        <v>131</v>
      </c>
      <c r="I78">
        <v>154210524</v>
      </c>
      <c r="J78" t="s">
        <v>244</v>
      </c>
      <c r="K78" t="s">
        <v>245</v>
      </c>
      <c r="L78" t="s">
        <v>173</v>
      </c>
      <c r="M78" t="s">
        <v>155</v>
      </c>
      <c r="N78" s="1">
        <v>45703</v>
      </c>
      <c r="O78" s="1">
        <v>45976</v>
      </c>
      <c r="P78" s="1">
        <v>46341</v>
      </c>
      <c r="Q78">
        <v>1</v>
      </c>
      <c r="R78">
        <v>1</v>
      </c>
      <c r="S78">
        <v>1</v>
      </c>
      <c r="T78">
        <v>1</v>
      </c>
      <c r="U78" t="s">
        <v>156</v>
      </c>
      <c r="V7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8" s="12">
        <f>_xlfn.XLOOKUP(Portefeuille_MNT_PPS_Access8[[#This Row],[Numéro projet]],Tableau5[Numéro projet],Tableau5[IND_Site_Prioritaire])</f>
        <v>1.6666666666666667</v>
      </c>
      <c r="X78" s="2">
        <f>_xlfn.XLOOKUP(Portefeuille_MNT_PPS_Access8[[#This Row],[Numéro projet]],Tableau5[Numéro projet],Tableau5[Critère Etat Infrastructure])</f>
        <v>5</v>
      </c>
      <c r="Y78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43.333333333333329</v>
      </c>
      <c r="Z78" s="2"/>
      <c r="AA78" s="62"/>
      <c r="AF78">
        <v>50</v>
      </c>
      <c r="AH78">
        <v>150</v>
      </c>
      <c r="AJ78">
        <v>150</v>
      </c>
      <c r="AK78">
        <v>2000</v>
      </c>
      <c r="AP78"/>
      <c r="AZ78" s="14">
        <f>SUM(Portefeuille_MNT_PPS_Access8[[#This Row],[AC ANT]:[TR 2034]])</f>
        <v>2350</v>
      </c>
    </row>
    <row r="79" spans="1:52" hidden="1" x14ac:dyDescent="0.3">
      <c r="A79">
        <v>9</v>
      </c>
      <c r="B79" t="s">
        <v>101</v>
      </c>
      <c r="C79" t="s">
        <v>102</v>
      </c>
      <c r="D79" t="s">
        <v>103</v>
      </c>
      <c r="E79" t="s">
        <v>149</v>
      </c>
      <c r="F79" t="s">
        <v>20</v>
      </c>
      <c r="G79" t="s">
        <v>20</v>
      </c>
      <c r="H79" t="s">
        <v>105</v>
      </c>
      <c r="I79" t="s">
        <v>237</v>
      </c>
      <c r="J79" t="s">
        <v>238</v>
      </c>
      <c r="K79" t="s">
        <v>239</v>
      </c>
      <c r="L79" t="s">
        <v>173</v>
      </c>
      <c r="M79" t="s">
        <v>155</v>
      </c>
      <c r="N79" s="1">
        <v>45703</v>
      </c>
      <c r="O79" s="1">
        <v>46022</v>
      </c>
      <c r="P79" s="1">
        <v>46295</v>
      </c>
      <c r="Q79">
        <v>1</v>
      </c>
      <c r="R79">
        <v>1</v>
      </c>
      <c r="S79">
        <v>1</v>
      </c>
      <c r="T79">
        <v>1</v>
      </c>
      <c r="U79" t="s">
        <v>156</v>
      </c>
      <c r="V7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79" s="12" t="e">
        <f>_xlfn.XLOOKUP(Portefeuille_MNT_PPS_Access8[[#This Row],[Numéro projet]],Tableau5[Numéro projet],Tableau5[IND_Site_Prioritaire])</f>
        <v>#N/A</v>
      </c>
      <c r="X79" s="2" t="e">
        <f>_xlfn.XLOOKUP(Portefeuille_MNT_PPS_Access8[[#This Row],[Numéro projet]],Tableau5[Numéro projet],Tableau5[Critère Etat Infrastructure])</f>
        <v>#N/A</v>
      </c>
      <c r="Y7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79" s="2"/>
      <c r="AA79" s="63"/>
      <c r="AF79">
        <v>100</v>
      </c>
      <c r="AH79">
        <v>200</v>
      </c>
      <c r="AJ79">
        <v>475</v>
      </c>
      <c r="AK79">
        <v>11000</v>
      </c>
      <c r="AP79"/>
      <c r="AZ79" s="14">
        <f>SUM(Portefeuille_MNT_PPS_Access8[[#This Row],[AC ANT]:[TR 2034]])</f>
        <v>11775</v>
      </c>
    </row>
    <row r="80" spans="1:52" hidden="1" x14ac:dyDescent="0.3">
      <c r="A80">
        <v>3</v>
      </c>
      <c r="B80" t="s">
        <v>118</v>
      </c>
      <c r="C80" t="s">
        <v>102</v>
      </c>
      <c r="D80" t="s">
        <v>177</v>
      </c>
      <c r="E80" t="s">
        <v>113</v>
      </c>
      <c r="F80" t="s">
        <v>130</v>
      </c>
      <c r="G80" t="s">
        <v>20</v>
      </c>
      <c r="H80" t="s">
        <v>131</v>
      </c>
      <c r="I80" t="s">
        <v>240</v>
      </c>
      <c r="J80" t="s">
        <v>241</v>
      </c>
      <c r="K80" t="s">
        <v>187</v>
      </c>
      <c r="L80" t="s">
        <v>173</v>
      </c>
      <c r="M80" t="s">
        <v>155</v>
      </c>
      <c r="N80" s="1">
        <v>45703</v>
      </c>
      <c r="O80" s="1">
        <v>46127</v>
      </c>
      <c r="P80" s="1">
        <v>46492</v>
      </c>
      <c r="Q80">
        <v>1</v>
      </c>
      <c r="R80">
        <v>1</v>
      </c>
      <c r="S80">
        <v>1</v>
      </c>
      <c r="T80">
        <v>1</v>
      </c>
      <c r="U80" t="s">
        <v>156</v>
      </c>
      <c r="V8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80" s="12" t="e">
        <f>_xlfn.XLOOKUP(Portefeuille_MNT_PPS_Access8[[#This Row],[Numéro projet]],Tableau5[Numéro projet],Tableau5[IND_Site_Prioritaire])</f>
        <v>#N/A</v>
      </c>
      <c r="X80" s="2">
        <v>5</v>
      </c>
      <c r="Y8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0" s="2"/>
      <c r="AA80" s="63"/>
      <c r="AF80">
        <v>100</v>
      </c>
      <c r="AH80">
        <v>100</v>
      </c>
      <c r="AJ80">
        <v>400</v>
      </c>
      <c r="AK80">
        <v>7500</v>
      </c>
      <c r="AP80"/>
      <c r="AZ80" s="14">
        <f>SUM(Portefeuille_MNT_PPS_Access8[[#This Row],[AC ANT]:[TR 2034]])</f>
        <v>8100</v>
      </c>
    </row>
    <row r="81" spans="1:52" hidden="1" x14ac:dyDescent="0.3">
      <c r="B81" t="s">
        <v>118</v>
      </c>
      <c r="C81" t="s">
        <v>102</v>
      </c>
      <c r="D81" t="s">
        <v>136</v>
      </c>
      <c r="E81" t="s">
        <v>149</v>
      </c>
      <c r="F81" t="s">
        <v>20</v>
      </c>
      <c r="G81" t="s">
        <v>20</v>
      </c>
      <c r="H81" t="s">
        <v>131</v>
      </c>
      <c r="I81" t="s">
        <v>381</v>
      </c>
      <c r="J81" t="s">
        <v>382</v>
      </c>
      <c r="K81" t="s">
        <v>194</v>
      </c>
      <c r="L81" t="s">
        <v>173</v>
      </c>
      <c r="M81" t="s">
        <v>291</v>
      </c>
      <c r="N81" s="1"/>
      <c r="O81" s="1"/>
      <c r="P81" s="1"/>
      <c r="Q81">
        <v>1</v>
      </c>
      <c r="U81" t="s">
        <v>311</v>
      </c>
      <c r="V8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81" s="12" t="e">
        <f>_xlfn.XLOOKUP(Portefeuille_MNT_PPS_Access8[[#This Row],[Numéro projet]],Tableau5[Numéro projet],Tableau5[IND_Site_Prioritaire])</f>
        <v>#N/A</v>
      </c>
      <c r="X81" s="2" t="e">
        <f>_xlfn.XLOOKUP(Portefeuille_MNT_PPS_Access8[[#This Row],[Numéro projet]],Tableau5[Numéro projet],Tableau5[Critère Etat Infrastructure])</f>
        <v>#N/A</v>
      </c>
      <c r="Y8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1" s="2"/>
      <c r="AA81" s="63"/>
      <c r="AF81"/>
      <c r="AH81">
        <v>50</v>
      </c>
      <c r="AJ81">
        <v>50</v>
      </c>
      <c r="AK81">
        <v>250</v>
      </c>
      <c r="AP81"/>
      <c r="AZ81" s="14">
        <f>SUM(Portefeuille_MNT_PPS_Access8[[#This Row],[AC ANT]:[TR 2034]])</f>
        <v>350</v>
      </c>
    </row>
    <row r="82" spans="1:52" hidden="1" x14ac:dyDescent="0.3">
      <c r="B82" t="s">
        <v>126</v>
      </c>
      <c r="C82" t="s">
        <v>127</v>
      </c>
      <c r="D82" t="s">
        <v>103</v>
      </c>
      <c r="E82" t="s">
        <v>104</v>
      </c>
      <c r="F82" t="s">
        <v>16</v>
      </c>
      <c r="G82" t="s">
        <v>130</v>
      </c>
      <c r="H82" t="s">
        <v>131</v>
      </c>
      <c r="I82" t="s">
        <v>220</v>
      </c>
      <c r="J82" t="s">
        <v>221</v>
      </c>
      <c r="K82" t="s">
        <v>159</v>
      </c>
      <c r="L82" t="s">
        <v>173</v>
      </c>
      <c r="M82" t="s">
        <v>155</v>
      </c>
      <c r="N82" s="1">
        <v>45731</v>
      </c>
      <c r="O82" s="1">
        <v>46127</v>
      </c>
      <c r="P82" s="1">
        <v>46433</v>
      </c>
      <c r="Q82">
        <v>1</v>
      </c>
      <c r="R82">
        <v>1</v>
      </c>
      <c r="S82">
        <v>1</v>
      </c>
      <c r="T82">
        <v>1</v>
      </c>
      <c r="U82" t="s">
        <v>156</v>
      </c>
      <c r="V8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82" s="12" t="e">
        <f>_xlfn.XLOOKUP(Portefeuille_MNT_PPS_Access8[[#This Row],[Numéro projet]],Tableau5[Numéro projet],Tableau5[IND_Site_Prioritaire])</f>
        <v>#N/A</v>
      </c>
      <c r="X82" s="2" t="e">
        <f>_xlfn.XLOOKUP(Portefeuille_MNT_PPS_Access8[[#This Row],[Numéro projet]],Tableau5[Numéro projet],Tableau5[Critère Etat Infrastructure])</f>
        <v>#N/A</v>
      </c>
      <c r="Y8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2" s="2"/>
      <c r="AA82" s="63"/>
      <c r="AD82">
        <v>5</v>
      </c>
      <c r="AF82">
        <v>5</v>
      </c>
      <c r="AH82">
        <v>170</v>
      </c>
      <c r="AJ82">
        <v>100</v>
      </c>
      <c r="AK82">
        <v>12180</v>
      </c>
      <c r="AL82">
        <v>100</v>
      </c>
      <c r="AM82">
        <v>7570</v>
      </c>
      <c r="AN82">
        <v>100</v>
      </c>
      <c r="AO82">
        <v>10250</v>
      </c>
      <c r="AP82"/>
      <c r="AZ82" s="14">
        <f>SUM(Portefeuille_MNT_PPS_Access8[[#This Row],[AC ANT]:[TR 2034]])</f>
        <v>30480</v>
      </c>
    </row>
    <row r="83" spans="1:52" x14ac:dyDescent="0.3">
      <c r="A83">
        <v>5</v>
      </c>
      <c r="B83" t="s">
        <v>118</v>
      </c>
      <c r="C83" t="s">
        <v>102</v>
      </c>
      <c r="D83" t="s">
        <v>136</v>
      </c>
      <c r="E83" t="s">
        <v>113</v>
      </c>
      <c r="F83" t="s">
        <v>20</v>
      </c>
      <c r="G83" t="s">
        <v>20</v>
      </c>
      <c r="H83" t="s">
        <v>105</v>
      </c>
      <c r="I83" t="s">
        <v>248</v>
      </c>
      <c r="J83" t="s">
        <v>249</v>
      </c>
      <c r="K83" t="s">
        <v>180</v>
      </c>
      <c r="L83" t="s">
        <v>173</v>
      </c>
      <c r="M83" t="s">
        <v>110</v>
      </c>
      <c r="N83" s="1">
        <v>45476</v>
      </c>
      <c r="O83" s="1">
        <v>45945</v>
      </c>
      <c r="P83" s="1">
        <v>46096</v>
      </c>
      <c r="Q83">
        <v>1</v>
      </c>
      <c r="R83">
        <v>1</v>
      </c>
      <c r="S83">
        <v>1</v>
      </c>
      <c r="T83">
        <v>5</v>
      </c>
      <c r="U83" t="s">
        <v>112</v>
      </c>
      <c r="V8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83" s="12" t="e">
        <f>_xlfn.XLOOKUP(Portefeuille_MNT_PPS_Access8[[#This Row],[Numéro projet]],Tableau5[Numéro projet],Tableau5[IND_Site_Prioritaire])</f>
        <v>#N/A</v>
      </c>
      <c r="X83" s="2" t="e">
        <f>_xlfn.XLOOKUP(Portefeuille_MNT_PPS_Access8[[#This Row],[Numéro projet]],Tableau5[Numéro projet],Tableau5[Critère Etat Infrastructure])</f>
        <v>#N/A</v>
      </c>
      <c r="Y8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3" s="2"/>
      <c r="AA83" s="63"/>
      <c r="AF83">
        <v>100</v>
      </c>
      <c r="AH83">
        <v>110</v>
      </c>
      <c r="AJ83">
        <v>110</v>
      </c>
      <c r="AK83">
        <v>1415</v>
      </c>
      <c r="AM83">
        <v>2030</v>
      </c>
      <c r="AP83"/>
      <c r="AZ83" s="14">
        <f>SUM(Portefeuille_MNT_PPS_Access8[[#This Row],[AC ANT]:[TR 2034]])</f>
        <v>3765</v>
      </c>
    </row>
    <row r="84" spans="1:52" hidden="1" x14ac:dyDescent="0.3">
      <c r="B84" t="s">
        <v>101</v>
      </c>
      <c r="C84" t="s">
        <v>102</v>
      </c>
      <c r="D84" t="s">
        <v>136</v>
      </c>
      <c r="E84" t="s">
        <v>140</v>
      </c>
      <c r="F84" t="s">
        <v>16</v>
      </c>
      <c r="G84" t="s">
        <v>20</v>
      </c>
      <c r="H84" t="s">
        <v>131</v>
      </c>
      <c r="I84" t="s">
        <v>181</v>
      </c>
      <c r="J84" t="s">
        <v>296</v>
      </c>
      <c r="K84" t="s">
        <v>183</v>
      </c>
      <c r="L84" t="s">
        <v>173</v>
      </c>
      <c r="M84" t="s">
        <v>110</v>
      </c>
      <c r="N84" s="1">
        <v>45590</v>
      </c>
      <c r="O84" s="1">
        <v>46157</v>
      </c>
      <c r="P84" s="1">
        <v>46157</v>
      </c>
      <c r="Q84">
        <v>1</v>
      </c>
      <c r="R84">
        <v>1</v>
      </c>
      <c r="S84">
        <v>1</v>
      </c>
      <c r="T84">
        <v>5</v>
      </c>
      <c r="U84" t="s">
        <v>112</v>
      </c>
      <c r="V8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84" s="12" t="e">
        <f>_xlfn.XLOOKUP(Portefeuille_MNT_PPS_Access8[[#This Row],[Numéro projet]],Tableau5[Numéro projet],Tableau5[IND_Site_Prioritaire])</f>
        <v>#N/A</v>
      </c>
      <c r="X84" s="2" t="e">
        <f>_xlfn.XLOOKUP(Portefeuille_MNT_PPS_Access8[[#This Row],[Numéro projet]],Tableau5[Numéro projet],Tableau5[Critère Etat Infrastructure])</f>
        <v>#N/A</v>
      </c>
      <c r="Y8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4" s="2"/>
      <c r="AA84" s="63"/>
      <c r="AF84">
        <v>50</v>
      </c>
      <c r="AH84">
        <v>50</v>
      </c>
      <c r="AJ84">
        <v>50</v>
      </c>
      <c r="AK84">
        <v>1461</v>
      </c>
      <c r="AL84">
        <v>50</v>
      </c>
      <c r="AN84">
        <v>50</v>
      </c>
      <c r="AP84">
        <v>150</v>
      </c>
      <c r="AZ84" s="14">
        <f>SUM(Portefeuille_MNT_PPS_Access8[[#This Row],[AC ANT]:[TR 2034]])</f>
        <v>1861</v>
      </c>
    </row>
    <row r="85" spans="1:52" hidden="1" x14ac:dyDescent="0.3">
      <c r="B85" t="s">
        <v>101</v>
      </c>
      <c r="C85" t="s">
        <v>102</v>
      </c>
      <c r="D85" t="s">
        <v>136</v>
      </c>
      <c r="E85" t="s">
        <v>206</v>
      </c>
      <c r="F85" t="s">
        <v>130</v>
      </c>
      <c r="G85" t="s">
        <v>20</v>
      </c>
      <c r="H85" t="s">
        <v>131</v>
      </c>
      <c r="I85" t="s">
        <v>375</v>
      </c>
      <c r="J85" t="s">
        <v>376</v>
      </c>
      <c r="K85" t="s">
        <v>209</v>
      </c>
      <c r="L85" t="s">
        <v>197</v>
      </c>
      <c r="M85" t="s">
        <v>155</v>
      </c>
      <c r="N85" s="1">
        <v>46006</v>
      </c>
      <c r="O85" s="1">
        <v>46371</v>
      </c>
      <c r="P85" s="1">
        <v>46736</v>
      </c>
      <c r="Q85">
        <v>1</v>
      </c>
      <c r="R85">
        <v>1</v>
      </c>
      <c r="S85">
        <v>1</v>
      </c>
      <c r="T85">
        <v>1</v>
      </c>
      <c r="U85" t="s">
        <v>156</v>
      </c>
      <c r="V8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85" s="12" t="e">
        <f>_xlfn.XLOOKUP(Portefeuille_MNT_PPS_Access8[[#This Row],[Numéro projet]],Tableau5[Numéro projet],Tableau5[IND_Site_Prioritaire])</f>
        <v>#N/A</v>
      </c>
      <c r="X85" s="2" t="e">
        <f>_xlfn.XLOOKUP(Portefeuille_MNT_PPS_Access8[[#This Row],[Numéro projet]],Tableau5[Numéro projet],Tableau5[Critère Etat Infrastructure])</f>
        <v>#N/A</v>
      </c>
      <c r="Y8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5" s="2"/>
      <c r="AA85" s="63"/>
      <c r="AF85"/>
      <c r="AH85">
        <v>250</v>
      </c>
      <c r="AJ85">
        <v>300</v>
      </c>
      <c r="AL85">
        <v>500</v>
      </c>
      <c r="AM85">
        <v>4000</v>
      </c>
      <c r="AN85">
        <v>800</v>
      </c>
      <c r="AO85">
        <v>15000</v>
      </c>
      <c r="AP85"/>
      <c r="AZ85" s="14">
        <f>SUM(Portefeuille_MNT_PPS_Access8[[#This Row],[AC ANT]:[TR 2034]])</f>
        <v>20850</v>
      </c>
    </row>
    <row r="86" spans="1:52" hidden="1" x14ac:dyDescent="0.3">
      <c r="A86">
        <v>12</v>
      </c>
      <c r="B86" t="s">
        <v>101</v>
      </c>
      <c r="C86" t="s">
        <v>102</v>
      </c>
      <c r="D86" t="s">
        <v>128</v>
      </c>
      <c r="E86" t="s">
        <v>129</v>
      </c>
      <c r="F86" t="s">
        <v>20</v>
      </c>
      <c r="G86" t="s">
        <v>20</v>
      </c>
      <c r="H86" t="s">
        <v>131</v>
      </c>
      <c r="I86" t="s">
        <v>250</v>
      </c>
      <c r="J86" t="s">
        <v>251</v>
      </c>
      <c r="K86" t="s">
        <v>214</v>
      </c>
      <c r="L86" t="s">
        <v>197</v>
      </c>
      <c r="M86" t="s">
        <v>110</v>
      </c>
      <c r="N86" s="1">
        <v>45490</v>
      </c>
      <c r="O86" s="1"/>
      <c r="P86" s="1">
        <v>46447</v>
      </c>
      <c r="Q86">
        <v>1</v>
      </c>
      <c r="R86">
        <v>1</v>
      </c>
      <c r="T86">
        <v>5</v>
      </c>
      <c r="U86" t="s">
        <v>112</v>
      </c>
      <c r="V8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86" s="12" t="e">
        <f>_xlfn.XLOOKUP(Portefeuille_MNT_PPS_Access8[[#This Row],[Numéro projet]],Tableau5[Numéro projet],Tableau5[IND_Site_Prioritaire])</f>
        <v>#N/A</v>
      </c>
      <c r="X86" s="2" t="e">
        <f>_xlfn.XLOOKUP(Portefeuille_MNT_PPS_Access8[[#This Row],[Numéro projet]],Tableau5[Numéro projet],Tableau5[Critère Etat Infrastructure])</f>
        <v>#N/A</v>
      </c>
      <c r="Y8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6" s="2"/>
      <c r="AA86" s="63"/>
      <c r="AF86">
        <v>37</v>
      </c>
      <c r="AH86">
        <v>10</v>
      </c>
      <c r="AJ86">
        <v>12</v>
      </c>
      <c r="AL86">
        <v>30</v>
      </c>
      <c r="AM86">
        <v>194</v>
      </c>
      <c r="AP86"/>
      <c r="AZ86" s="14">
        <f>SUM(Portefeuille_MNT_PPS_Access8[[#This Row],[AC ANT]:[TR 2034]])</f>
        <v>283</v>
      </c>
    </row>
    <row r="87" spans="1:52" hidden="1" x14ac:dyDescent="0.3">
      <c r="B87" t="s">
        <v>118</v>
      </c>
      <c r="C87" t="s">
        <v>102</v>
      </c>
      <c r="D87" t="s">
        <v>103</v>
      </c>
      <c r="E87" t="s">
        <v>206</v>
      </c>
      <c r="F87" t="s">
        <v>16</v>
      </c>
      <c r="G87" t="s">
        <v>20</v>
      </c>
      <c r="H87" t="s">
        <v>131</v>
      </c>
      <c r="I87" t="s">
        <v>210</v>
      </c>
      <c r="J87" t="s">
        <v>211</v>
      </c>
      <c r="K87" t="s">
        <v>209</v>
      </c>
      <c r="L87" t="s">
        <v>197</v>
      </c>
      <c r="M87" t="s">
        <v>155</v>
      </c>
      <c r="N87" s="1">
        <v>45792</v>
      </c>
      <c r="O87" s="1">
        <v>46310</v>
      </c>
      <c r="P87" s="1">
        <v>46675</v>
      </c>
      <c r="Q87">
        <v>1</v>
      </c>
      <c r="R87">
        <v>1</v>
      </c>
      <c r="S87">
        <v>1</v>
      </c>
      <c r="T87">
        <v>1</v>
      </c>
      <c r="U87" t="s">
        <v>156</v>
      </c>
      <c r="V8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87" s="12" t="e">
        <f>_xlfn.XLOOKUP(Portefeuille_MNT_PPS_Access8[[#This Row],[Numéro projet]],Tableau5[Numéro projet],Tableau5[IND_Site_Prioritaire])</f>
        <v>#N/A</v>
      </c>
      <c r="X87" s="2" t="e">
        <f>_xlfn.XLOOKUP(Portefeuille_MNT_PPS_Access8[[#This Row],[Numéro projet]],Tableau5[Numéro projet],Tableau5[Critère Etat Infrastructure])</f>
        <v>#N/A</v>
      </c>
      <c r="Y8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7" s="2"/>
      <c r="AA87" s="63"/>
      <c r="AB87">
        <v>8</v>
      </c>
      <c r="AF87">
        <v>100</v>
      </c>
      <c r="AH87">
        <v>100</v>
      </c>
      <c r="AJ87">
        <v>100</v>
      </c>
      <c r="AL87">
        <v>250</v>
      </c>
      <c r="AM87">
        <v>7500</v>
      </c>
      <c r="AP87"/>
      <c r="AZ87" s="14">
        <f>SUM(Portefeuille_MNT_PPS_Access8[[#This Row],[AC ANT]:[TR 2034]])</f>
        <v>8058</v>
      </c>
    </row>
    <row r="88" spans="1:52" hidden="1" x14ac:dyDescent="0.3">
      <c r="B88" t="s">
        <v>101</v>
      </c>
      <c r="C88" t="s">
        <v>102</v>
      </c>
      <c r="D88" t="s">
        <v>136</v>
      </c>
      <c r="F88" t="s">
        <v>130</v>
      </c>
      <c r="G88" t="s">
        <v>130</v>
      </c>
      <c r="H88" t="s">
        <v>105</v>
      </c>
      <c r="I88">
        <v>154200684</v>
      </c>
      <c r="J88" t="s">
        <v>408</v>
      </c>
      <c r="K88" t="s">
        <v>108</v>
      </c>
      <c r="L88" t="s">
        <v>197</v>
      </c>
      <c r="M88" t="s">
        <v>291</v>
      </c>
      <c r="N88" s="1"/>
      <c r="O88" s="1"/>
      <c r="P88" s="1"/>
      <c r="Q88">
        <v>1</v>
      </c>
      <c r="U88" t="s">
        <v>311</v>
      </c>
      <c r="V8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88" s="12">
        <f>_xlfn.XLOOKUP(Portefeuille_MNT_PPS_Access8[[#This Row],[Numéro projet]],Tableau5[Numéro projet],Tableau5[IND_Site_Prioritaire])</f>
        <v>4</v>
      </c>
      <c r="X88" s="2">
        <f>_xlfn.XLOOKUP(Portefeuille_MNT_PPS_Access8[[#This Row],[Numéro projet]],Tableau5[Numéro projet],Tableau5[Critère Etat Infrastructure])</f>
        <v>5</v>
      </c>
      <c r="Y88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50</v>
      </c>
      <c r="Z88" s="2"/>
      <c r="AA88" s="63"/>
      <c r="AF88"/>
      <c r="AH88">
        <v>150</v>
      </c>
      <c r="AJ88">
        <v>150</v>
      </c>
      <c r="AL88">
        <v>550</v>
      </c>
      <c r="AM88">
        <v>4000</v>
      </c>
      <c r="AP88"/>
      <c r="AZ88" s="14">
        <f>SUM(Portefeuille_MNT_PPS_Access8[[#This Row],[AC ANT]:[TR 2034]])</f>
        <v>4850</v>
      </c>
    </row>
    <row r="89" spans="1:52" x14ac:dyDescent="0.3">
      <c r="B89" t="s">
        <v>101</v>
      </c>
      <c r="C89" t="s">
        <v>102</v>
      </c>
      <c r="D89" t="s">
        <v>136</v>
      </c>
      <c r="E89" t="s">
        <v>144</v>
      </c>
      <c r="F89" t="s">
        <v>16</v>
      </c>
      <c r="G89" t="s">
        <v>20</v>
      </c>
      <c r="H89" t="s">
        <v>131</v>
      </c>
      <c r="I89" t="s">
        <v>195</v>
      </c>
      <c r="J89" t="s">
        <v>196</v>
      </c>
      <c r="K89" t="s">
        <v>180</v>
      </c>
      <c r="L89" t="s">
        <v>197</v>
      </c>
      <c r="M89" t="s">
        <v>110</v>
      </c>
      <c r="N89" s="1">
        <v>44889</v>
      </c>
      <c r="O89" s="1">
        <v>46068</v>
      </c>
      <c r="P89" s="1">
        <v>46583</v>
      </c>
      <c r="Q89">
        <v>1</v>
      </c>
      <c r="R89">
        <v>1</v>
      </c>
      <c r="S89">
        <v>1</v>
      </c>
      <c r="T89">
        <v>5</v>
      </c>
      <c r="U89" t="s">
        <v>112</v>
      </c>
      <c r="V8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89" s="12" t="e">
        <f>_xlfn.XLOOKUP(Portefeuille_MNT_PPS_Access8[[#This Row],[Numéro projet]],Tableau5[Numéro projet],Tableau5[IND_Site_Prioritaire])</f>
        <v>#N/A</v>
      </c>
      <c r="X89" s="2" t="e">
        <f>_xlfn.XLOOKUP(Portefeuille_MNT_PPS_Access8[[#This Row],[Numéro projet]],Tableau5[Numéro projet],Tableau5[Critère Etat Infrastructure])</f>
        <v>#N/A</v>
      </c>
      <c r="Y8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89" s="2"/>
      <c r="AA89" s="63"/>
      <c r="AB89">
        <v>337</v>
      </c>
      <c r="AD89">
        <v>1201</v>
      </c>
      <c r="AF89">
        <v>1230</v>
      </c>
      <c r="AH89">
        <v>1600</v>
      </c>
      <c r="AJ89">
        <v>1600</v>
      </c>
      <c r="AL89">
        <v>800</v>
      </c>
      <c r="AM89">
        <v>7500</v>
      </c>
      <c r="AN89">
        <v>800</v>
      </c>
      <c r="AO89">
        <v>9500</v>
      </c>
      <c r="AP89">
        <v>525</v>
      </c>
      <c r="AQ89">
        <v>18000</v>
      </c>
      <c r="AZ89" s="14">
        <f>SUM(Portefeuille_MNT_PPS_Access8[[#This Row],[AC ANT]:[TR 2034]])</f>
        <v>43093</v>
      </c>
    </row>
    <row r="90" spans="1:52" hidden="1" x14ac:dyDescent="0.3">
      <c r="B90" t="s">
        <v>118</v>
      </c>
      <c r="C90" t="s">
        <v>102</v>
      </c>
      <c r="D90" t="s">
        <v>242</v>
      </c>
      <c r="E90" t="s">
        <v>129</v>
      </c>
      <c r="F90" t="s">
        <v>20</v>
      </c>
      <c r="G90" t="s">
        <v>20</v>
      </c>
      <c r="H90" t="s">
        <v>131</v>
      </c>
      <c r="I90" t="s">
        <v>385</v>
      </c>
      <c r="J90" t="s">
        <v>386</v>
      </c>
      <c r="K90" t="s">
        <v>134</v>
      </c>
      <c r="L90" t="s">
        <v>197</v>
      </c>
      <c r="M90" t="s">
        <v>155</v>
      </c>
      <c r="N90" s="1">
        <v>45717</v>
      </c>
      <c r="O90" s="1">
        <v>46082</v>
      </c>
      <c r="P90" s="1">
        <v>46569</v>
      </c>
      <c r="Q90">
        <v>1</v>
      </c>
      <c r="R90">
        <v>1</v>
      </c>
      <c r="S90">
        <v>1</v>
      </c>
      <c r="T90">
        <v>1</v>
      </c>
      <c r="U90" t="s">
        <v>156</v>
      </c>
      <c r="V9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0" s="12" t="e">
        <f>_xlfn.XLOOKUP(Portefeuille_MNT_PPS_Access8[[#This Row],[Numéro projet]],Tableau5[Numéro projet],Tableau5[IND_Site_Prioritaire])</f>
        <v>#N/A</v>
      </c>
      <c r="X90" s="2" t="e">
        <f>_xlfn.XLOOKUP(Portefeuille_MNT_PPS_Access8[[#This Row],[Numéro projet]],Tableau5[Numéro projet],Tableau5[Critère Etat Infrastructure])</f>
        <v>#N/A</v>
      </c>
      <c r="Y9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0" s="2"/>
      <c r="AA90" s="63"/>
      <c r="AF90"/>
      <c r="AJ90">
        <v>100</v>
      </c>
      <c r="AL90">
        <v>200</v>
      </c>
      <c r="AM90">
        <v>2000</v>
      </c>
      <c r="AP90"/>
      <c r="AZ90" s="14">
        <f>SUM(Portefeuille_MNT_PPS_Access8[[#This Row],[AC ANT]:[TR 2034]])</f>
        <v>2300</v>
      </c>
    </row>
    <row r="91" spans="1:52" hidden="1" x14ac:dyDescent="0.3">
      <c r="B91" t="s">
        <v>101</v>
      </c>
      <c r="C91" t="s">
        <v>102</v>
      </c>
      <c r="D91" t="s">
        <v>103</v>
      </c>
      <c r="E91" t="s">
        <v>129</v>
      </c>
      <c r="F91" t="s">
        <v>20</v>
      </c>
      <c r="G91" t="s">
        <v>20</v>
      </c>
      <c r="H91" t="s">
        <v>105</v>
      </c>
      <c r="I91" t="s">
        <v>400</v>
      </c>
      <c r="J91" t="s">
        <v>401</v>
      </c>
      <c r="K91" t="s">
        <v>402</v>
      </c>
      <c r="L91" t="s">
        <v>197</v>
      </c>
      <c r="M91" t="s">
        <v>155</v>
      </c>
      <c r="N91" s="1">
        <v>45839</v>
      </c>
      <c r="O91" s="1">
        <v>46204</v>
      </c>
      <c r="P91" s="1">
        <v>46569</v>
      </c>
      <c r="Q91">
        <v>1</v>
      </c>
      <c r="R91">
        <v>1</v>
      </c>
      <c r="S91">
        <v>1</v>
      </c>
      <c r="T91">
        <v>1</v>
      </c>
      <c r="U91" t="s">
        <v>156</v>
      </c>
      <c r="V9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1" s="12" t="e">
        <f>_xlfn.XLOOKUP(Portefeuille_MNT_PPS_Access8[[#This Row],[Numéro projet]],Tableau5[Numéro projet],Tableau5[IND_Site_Prioritaire])</f>
        <v>#N/A</v>
      </c>
      <c r="X91" s="2" t="e">
        <f>_xlfn.XLOOKUP(Portefeuille_MNT_PPS_Access8[[#This Row],[Numéro projet]],Tableau5[Numéro projet],Tableau5[Critère Etat Infrastructure])</f>
        <v>#N/A</v>
      </c>
      <c r="Y9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1" s="2"/>
      <c r="AA91" s="62"/>
      <c r="AF91"/>
      <c r="AH91">
        <v>200</v>
      </c>
      <c r="AJ91">
        <v>200</v>
      </c>
      <c r="AL91">
        <v>800</v>
      </c>
      <c r="AM91">
        <v>16000</v>
      </c>
      <c r="AP91"/>
      <c r="AZ91" s="14">
        <f>SUM(Portefeuille_MNT_PPS_Access8[[#This Row],[AC ANT]:[TR 2034]])</f>
        <v>17200</v>
      </c>
    </row>
    <row r="92" spans="1:52" hidden="1" x14ac:dyDescent="0.3">
      <c r="B92" t="s">
        <v>101</v>
      </c>
      <c r="C92" t="s">
        <v>102</v>
      </c>
      <c r="D92" t="s">
        <v>119</v>
      </c>
      <c r="E92" t="s">
        <v>129</v>
      </c>
      <c r="F92" t="s">
        <v>20</v>
      </c>
      <c r="G92" t="s">
        <v>20</v>
      </c>
      <c r="H92" t="s">
        <v>131</v>
      </c>
      <c r="I92" t="s">
        <v>440</v>
      </c>
      <c r="J92" t="s">
        <v>441</v>
      </c>
      <c r="K92" t="s">
        <v>152</v>
      </c>
      <c r="L92" t="s">
        <v>197</v>
      </c>
      <c r="M92" t="s">
        <v>155</v>
      </c>
      <c r="N92" s="1">
        <v>45748</v>
      </c>
      <c r="O92" s="1">
        <v>46113</v>
      </c>
      <c r="P92" s="1">
        <v>46478</v>
      </c>
      <c r="Q92">
        <v>1</v>
      </c>
      <c r="R92">
        <v>1</v>
      </c>
      <c r="S92">
        <v>1</v>
      </c>
      <c r="T92">
        <v>1</v>
      </c>
      <c r="U92" t="s">
        <v>156</v>
      </c>
      <c r="V9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2" s="12" t="e">
        <f>_xlfn.XLOOKUP(Portefeuille_MNT_PPS_Access8[[#This Row],[Numéro projet]],Tableau5[Numéro projet],Tableau5[IND_Site_Prioritaire])</f>
        <v>#N/A</v>
      </c>
      <c r="X92" s="2" t="e">
        <f>_xlfn.XLOOKUP(Portefeuille_MNT_PPS_Access8[[#This Row],[Numéro projet]],Tableau5[Numéro projet],Tableau5[Critère Etat Infrastructure])</f>
        <v>#N/A</v>
      </c>
      <c r="Y9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2" s="2"/>
      <c r="AA92" s="63"/>
      <c r="AF92"/>
      <c r="AJ92">
        <v>150</v>
      </c>
      <c r="AL92">
        <v>150</v>
      </c>
      <c r="AM92">
        <v>1000</v>
      </c>
      <c r="AP92"/>
      <c r="AZ92" s="14">
        <f>SUM(Portefeuille_MNT_PPS_Access8[[#This Row],[AC ANT]:[TR 2034]])</f>
        <v>1300</v>
      </c>
    </row>
    <row r="93" spans="1:52" hidden="1" x14ac:dyDescent="0.3">
      <c r="B93" t="s">
        <v>118</v>
      </c>
      <c r="C93" t="s">
        <v>102</v>
      </c>
      <c r="D93" t="s">
        <v>103</v>
      </c>
      <c r="F93" t="s">
        <v>20</v>
      </c>
      <c r="G93" t="s">
        <v>20</v>
      </c>
      <c r="H93" t="s">
        <v>131</v>
      </c>
      <c r="I93" t="s">
        <v>396</v>
      </c>
      <c r="J93" t="s">
        <v>397</v>
      </c>
      <c r="K93" t="s">
        <v>194</v>
      </c>
      <c r="L93" t="s">
        <v>197</v>
      </c>
      <c r="M93" t="s">
        <v>291</v>
      </c>
      <c r="N93" s="1"/>
      <c r="O93" s="1"/>
      <c r="P93" s="1"/>
      <c r="Q93">
        <v>1</v>
      </c>
      <c r="U93" t="s">
        <v>311</v>
      </c>
      <c r="V9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93" s="12" t="e">
        <f>_xlfn.XLOOKUP(Portefeuille_MNT_PPS_Access8[[#This Row],[Numéro projet]],Tableau5[Numéro projet],Tableau5[IND_Site_Prioritaire])</f>
        <v>#N/A</v>
      </c>
      <c r="X93" s="2" t="e">
        <f>_xlfn.XLOOKUP(Portefeuille_MNT_PPS_Access8[[#This Row],[Numéro projet]],Tableau5[Numéro projet],Tableau5[Critère Etat Infrastructure])</f>
        <v>#N/A</v>
      </c>
      <c r="Y9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3" s="2"/>
      <c r="AA93" s="63"/>
      <c r="AF93"/>
      <c r="AH93">
        <v>150</v>
      </c>
      <c r="AJ93">
        <v>250</v>
      </c>
      <c r="AL93">
        <v>600</v>
      </c>
      <c r="AM93">
        <v>10500</v>
      </c>
      <c r="AP93"/>
      <c r="AZ93" s="14">
        <f>SUM(Portefeuille_MNT_PPS_Access8[[#This Row],[AC ANT]:[TR 2034]])</f>
        <v>11500</v>
      </c>
    </row>
    <row r="94" spans="1:52" hidden="1" x14ac:dyDescent="0.3">
      <c r="B94" t="s">
        <v>118</v>
      </c>
      <c r="C94" t="s">
        <v>102</v>
      </c>
      <c r="D94" t="s">
        <v>103</v>
      </c>
      <c r="E94" t="s">
        <v>113</v>
      </c>
      <c r="F94" t="s">
        <v>20</v>
      </c>
      <c r="G94" t="s">
        <v>20</v>
      </c>
      <c r="H94" t="s">
        <v>131</v>
      </c>
      <c r="I94" t="s">
        <v>377</v>
      </c>
      <c r="J94" t="s">
        <v>378</v>
      </c>
      <c r="K94" t="s">
        <v>191</v>
      </c>
      <c r="L94" t="s">
        <v>197</v>
      </c>
      <c r="M94" t="s">
        <v>291</v>
      </c>
      <c r="N94" s="1"/>
      <c r="O94" s="1"/>
      <c r="P94" s="1"/>
      <c r="Q94">
        <v>1</v>
      </c>
      <c r="U94" t="s">
        <v>311</v>
      </c>
      <c r="V9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94" s="12" t="e">
        <f>_xlfn.XLOOKUP(Portefeuille_MNT_PPS_Access8[[#This Row],[Numéro projet]],Tableau5[Numéro projet],Tableau5[IND_Site_Prioritaire])</f>
        <v>#N/A</v>
      </c>
      <c r="X94" s="2" t="e">
        <f>_xlfn.XLOOKUP(Portefeuille_MNT_PPS_Access8[[#This Row],[Numéro projet]],Tableau5[Numéro projet],Tableau5[Critère Etat Infrastructure])</f>
        <v>#N/A</v>
      </c>
      <c r="Y9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4" s="2"/>
      <c r="AA94" s="63"/>
      <c r="AF94"/>
      <c r="AH94">
        <v>100</v>
      </c>
      <c r="AJ94">
        <v>200</v>
      </c>
      <c r="AL94">
        <v>495</v>
      </c>
      <c r="AM94">
        <v>8000</v>
      </c>
      <c r="AP94"/>
      <c r="AZ94" s="14">
        <f>SUM(Portefeuille_MNT_PPS_Access8[[#This Row],[AC ANT]:[TR 2034]])</f>
        <v>8795</v>
      </c>
    </row>
    <row r="95" spans="1:52" hidden="1" x14ac:dyDescent="0.3">
      <c r="B95" t="s">
        <v>101</v>
      </c>
      <c r="C95" t="s">
        <v>102</v>
      </c>
      <c r="D95" t="s">
        <v>136</v>
      </c>
      <c r="E95" t="s">
        <v>113</v>
      </c>
      <c r="F95" t="s">
        <v>16</v>
      </c>
      <c r="G95" t="s">
        <v>20</v>
      </c>
      <c r="H95" t="s">
        <v>105</v>
      </c>
      <c r="I95" t="s">
        <v>166</v>
      </c>
      <c r="J95" t="s">
        <v>167</v>
      </c>
      <c r="K95" t="s">
        <v>168</v>
      </c>
      <c r="L95" t="s">
        <v>169</v>
      </c>
      <c r="M95" t="s">
        <v>155</v>
      </c>
      <c r="N95" s="1">
        <v>45884</v>
      </c>
      <c r="O95" s="1">
        <v>46402</v>
      </c>
      <c r="P95" s="1">
        <v>46980</v>
      </c>
      <c r="Q95">
        <v>1</v>
      </c>
      <c r="R95">
        <v>1</v>
      </c>
      <c r="S95">
        <v>1</v>
      </c>
      <c r="T95">
        <v>1</v>
      </c>
      <c r="U95" t="s">
        <v>156</v>
      </c>
      <c r="V9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5" s="12" t="e">
        <f>_xlfn.XLOOKUP(Portefeuille_MNT_PPS_Access8[[#This Row],[Numéro projet]],Tableau5[Numéro projet],Tableau5[IND_Site_Prioritaire])</f>
        <v>#N/A</v>
      </c>
      <c r="X95" s="2" t="e">
        <f>_xlfn.XLOOKUP(Portefeuille_MNT_PPS_Access8[[#This Row],[Numéro projet]],Tableau5[Numéro projet],Tableau5[Critère Etat Infrastructure])</f>
        <v>#N/A</v>
      </c>
      <c r="Y9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5" s="2"/>
      <c r="AA95" s="63"/>
      <c r="AB95">
        <v>71</v>
      </c>
      <c r="AD95">
        <v>5</v>
      </c>
      <c r="AF95">
        <v>120</v>
      </c>
      <c r="AH95">
        <v>210</v>
      </c>
      <c r="AJ95">
        <v>310</v>
      </c>
      <c r="AL95">
        <v>310</v>
      </c>
      <c r="AN95">
        <v>395</v>
      </c>
      <c r="AO95">
        <v>2000</v>
      </c>
      <c r="AP95">
        <v>395</v>
      </c>
      <c r="AQ95">
        <v>2000</v>
      </c>
      <c r="AR95">
        <v>395</v>
      </c>
      <c r="AS95">
        <v>18319</v>
      </c>
      <c r="AZ95" s="14">
        <f>SUM(Portefeuille_MNT_PPS_Access8[[#This Row],[AC ANT]:[TR 2034]])</f>
        <v>24530</v>
      </c>
    </row>
    <row r="96" spans="1:52" hidden="1" x14ac:dyDescent="0.3">
      <c r="B96" t="s">
        <v>118</v>
      </c>
      <c r="C96" t="s">
        <v>102</v>
      </c>
      <c r="D96" t="s">
        <v>136</v>
      </c>
      <c r="E96" t="s">
        <v>129</v>
      </c>
      <c r="F96" t="s">
        <v>130</v>
      </c>
      <c r="G96" t="s">
        <v>20</v>
      </c>
      <c r="H96" t="s">
        <v>131</v>
      </c>
      <c r="I96" t="s">
        <v>405</v>
      </c>
      <c r="J96" t="s">
        <v>406</v>
      </c>
      <c r="K96" t="s">
        <v>152</v>
      </c>
      <c r="L96" t="s">
        <v>169</v>
      </c>
      <c r="M96" t="s">
        <v>155</v>
      </c>
      <c r="N96" s="1">
        <v>45898</v>
      </c>
      <c r="O96" s="1">
        <v>46427</v>
      </c>
      <c r="P96" s="1">
        <v>46813</v>
      </c>
      <c r="Q96">
        <v>1</v>
      </c>
      <c r="R96">
        <v>1</v>
      </c>
      <c r="S96">
        <v>1</v>
      </c>
      <c r="T96">
        <v>1</v>
      </c>
      <c r="U96" t="s">
        <v>156</v>
      </c>
      <c r="V9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6" s="12" t="e">
        <f>_xlfn.XLOOKUP(Portefeuille_MNT_PPS_Access8[[#This Row],[Numéro projet]],Tableau5[Numéro projet],Tableau5[IND_Site_Prioritaire])</f>
        <v>#N/A</v>
      </c>
      <c r="X96" s="2" t="e">
        <f>_xlfn.XLOOKUP(Portefeuille_MNT_PPS_Access8[[#This Row],[Numéro projet]],Tableau5[Numéro projet],Tableau5[Critère Etat Infrastructure])</f>
        <v>#N/A</v>
      </c>
      <c r="Y9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6" s="2"/>
      <c r="AA96" s="63"/>
      <c r="AF96"/>
      <c r="AH96">
        <v>150</v>
      </c>
      <c r="AJ96">
        <v>200</v>
      </c>
      <c r="AL96">
        <v>200</v>
      </c>
      <c r="AN96">
        <v>500</v>
      </c>
      <c r="AO96">
        <v>2500</v>
      </c>
      <c r="AP96">
        <v>850</v>
      </c>
      <c r="AQ96">
        <v>13000</v>
      </c>
      <c r="AZ96" s="14">
        <f>SUM(Portefeuille_MNT_PPS_Access8[[#This Row],[AC ANT]:[TR 2034]])</f>
        <v>17400</v>
      </c>
    </row>
    <row r="97" spans="2:52" x14ac:dyDescent="0.3">
      <c r="B97" t="s">
        <v>101</v>
      </c>
      <c r="C97" t="s">
        <v>102</v>
      </c>
      <c r="D97" t="s">
        <v>177</v>
      </c>
      <c r="E97" t="s">
        <v>129</v>
      </c>
      <c r="F97" t="s">
        <v>20</v>
      </c>
      <c r="G97" t="s">
        <v>20</v>
      </c>
      <c r="H97" t="s">
        <v>131</v>
      </c>
      <c r="I97" t="s">
        <v>438</v>
      </c>
      <c r="J97" t="s">
        <v>439</v>
      </c>
      <c r="K97" t="s">
        <v>180</v>
      </c>
      <c r="L97" t="s">
        <v>169</v>
      </c>
      <c r="M97" t="s">
        <v>291</v>
      </c>
      <c r="N97" s="1"/>
      <c r="O97" s="1"/>
      <c r="P97" s="1"/>
      <c r="Q97">
        <v>1</v>
      </c>
      <c r="U97" t="s">
        <v>311</v>
      </c>
      <c r="V9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97" s="12" t="e">
        <f>_xlfn.XLOOKUP(Portefeuille_MNT_PPS_Access8[[#This Row],[Numéro projet]],Tableau5[Numéro projet],Tableau5[IND_Site_Prioritaire])</f>
        <v>#N/A</v>
      </c>
      <c r="X97" s="2" t="e">
        <f>_xlfn.XLOOKUP(Portefeuille_MNT_PPS_Access8[[#This Row],[Numéro projet]],Tableau5[Numéro projet],Tableau5[Critère Etat Infrastructure])</f>
        <v>#N/A</v>
      </c>
      <c r="Y9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7" s="2"/>
      <c r="AA97" s="63"/>
      <c r="AF97"/>
      <c r="AL97">
        <v>100</v>
      </c>
      <c r="AN97">
        <v>175.00000000000003</v>
      </c>
      <c r="AO97">
        <v>1500</v>
      </c>
      <c r="AP97"/>
      <c r="AZ97" s="14">
        <f>SUM(Portefeuille_MNT_PPS_Access8[[#This Row],[AC ANT]:[TR 2034]])</f>
        <v>1775</v>
      </c>
    </row>
    <row r="98" spans="2:52" hidden="1" x14ac:dyDescent="0.3">
      <c r="B98" t="s">
        <v>118</v>
      </c>
      <c r="C98" t="s">
        <v>102</v>
      </c>
      <c r="D98" t="s">
        <v>136</v>
      </c>
      <c r="E98" t="s">
        <v>104</v>
      </c>
      <c r="F98" t="s">
        <v>130</v>
      </c>
      <c r="G98" t="s">
        <v>20</v>
      </c>
      <c r="H98" t="s">
        <v>131</v>
      </c>
      <c r="I98" t="s">
        <v>373</v>
      </c>
      <c r="J98" t="s">
        <v>374</v>
      </c>
      <c r="K98" t="s">
        <v>159</v>
      </c>
      <c r="L98" t="s">
        <v>169</v>
      </c>
      <c r="M98" t="s">
        <v>155</v>
      </c>
      <c r="N98" s="1">
        <v>45915</v>
      </c>
      <c r="O98" s="1">
        <v>46280</v>
      </c>
      <c r="P98" s="1">
        <v>46645</v>
      </c>
      <c r="Q98">
        <v>1</v>
      </c>
      <c r="R98">
        <v>1</v>
      </c>
      <c r="S98">
        <v>1</v>
      </c>
      <c r="T98">
        <v>1</v>
      </c>
      <c r="U98" t="s">
        <v>156</v>
      </c>
      <c r="V9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8" s="12" t="e">
        <f>_xlfn.XLOOKUP(Portefeuille_MNT_PPS_Access8[[#This Row],[Numéro projet]],Tableau5[Numéro projet],Tableau5[IND_Site_Prioritaire])</f>
        <v>#N/A</v>
      </c>
      <c r="X98" s="2" t="e">
        <f>_xlfn.XLOOKUP(Portefeuille_MNT_PPS_Access8[[#This Row],[Numéro projet]],Tableau5[Numéro projet],Tableau5[Critère Etat Infrastructure])</f>
        <v>#N/A</v>
      </c>
      <c r="Y9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8" s="2"/>
      <c r="AA98" s="63"/>
      <c r="AF98"/>
      <c r="AH98">
        <v>50</v>
      </c>
      <c r="AJ98">
        <v>50</v>
      </c>
      <c r="AL98">
        <v>100</v>
      </c>
      <c r="AN98">
        <v>200</v>
      </c>
      <c r="AO98">
        <v>3000</v>
      </c>
      <c r="AP98"/>
      <c r="AZ98" s="14">
        <f>SUM(Portefeuille_MNT_PPS_Access8[[#This Row],[AC ANT]:[TR 2034]])</f>
        <v>3400</v>
      </c>
    </row>
    <row r="99" spans="2:52" hidden="1" x14ac:dyDescent="0.3">
      <c r="B99" t="s">
        <v>118</v>
      </c>
      <c r="C99" t="s">
        <v>102</v>
      </c>
      <c r="D99" t="s">
        <v>103</v>
      </c>
      <c r="E99" t="s">
        <v>113</v>
      </c>
      <c r="F99" t="s">
        <v>20</v>
      </c>
      <c r="G99" t="s">
        <v>20</v>
      </c>
      <c r="H99" t="s">
        <v>105</v>
      </c>
      <c r="I99" t="s">
        <v>426</v>
      </c>
      <c r="J99" t="s">
        <v>427</v>
      </c>
      <c r="K99" t="s">
        <v>122</v>
      </c>
      <c r="L99" t="s">
        <v>169</v>
      </c>
      <c r="M99" t="s">
        <v>155</v>
      </c>
      <c r="N99" s="1">
        <v>45823</v>
      </c>
      <c r="O99" s="1">
        <v>46249</v>
      </c>
      <c r="P99" s="1">
        <v>46583</v>
      </c>
      <c r="Q99">
        <v>1</v>
      </c>
      <c r="R99">
        <v>1</v>
      </c>
      <c r="S99">
        <v>1</v>
      </c>
      <c r="T99">
        <v>1</v>
      </c>
      <c r="U99" t="s">
        <v>156</v>
      </c>
      <c r="V9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99" s="12" t="e">
        <f>_xlfn.XLOOKUP(Portefeuille_MNT_PPS_Access8[[#This Row],[Numéro projet]],Tableau5[Numéro projet],Tableau5[IND_Site_Prioritaire])</f>
        <v>#N/A</v>
      </c>
      <c r="X99" s="2" t="e">
        <f>_xlfn.XLOOKUP(Portefeuille_MNT_PPS_Access8[[#This Row],[Numéro projet]],Tableau5[Numéro projet],Tableau5[Critère Etat Infrastructure])</f>
        <v>#N/A</v>
      </c>
      <c r="Y9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99" s="2"/>
      <c r="AA99" s="63"/>
      <c r="AF99"/>
      <c r="AL99">
        <v>300</v>
      </c>
      <c r="AN99">
        <v>500</v>
      </c>
      <c r="AO99">
        <v>5000</v>
      </c>
      <c r="AP99"/>
      <c r="AZ99" s="14">
        <f>SUM(Portefeuille_MNT_PPS_Access8[[#This Row],[AC ANT]:[TR 2034]])</f>
        <v>5800</v>
      </c>
    </row>
    <row r="100" spans="2:52" hidden="1" x14ac:dyDescent="0.3">
      <c r="B100" t="s">
        <v>118</v>
      </c>
      <c r="C100" t="s">
        <v>102</v>
      </c>
      <c r="D100" t="s">
        <v>103</v>
      </c>
      <c r="E100" t="s">
        <v>113</v>
      </c>
      <c r="F100" t="s">
        <v>20</v>
      </c>
      <c r="G100" t="s">
        <v>20</v>
      </c>
      <c r="H100" t="s">
        <v>131</v>
      </c>
      <c r="I100" t="s">
        <v>422</v>
      </c>
      <c r="J100" t="s">
        <v>423</v>
      </c>
      <c r="K100" t="s">
        <v>139</v>
      </c>
      <c r="L100" t="s">
        <v>169</v>
      </c>
      <c r="M100" t="s">
        <v>291</v>
      </c>
      <c r="N100" s="1"/>
      <c r="O100" s="1"/>
      <c r="P100" s="1"/>
      <c r="Q100">
        <v>1</v>
      </c>
      <c r="U100" t="s">
        <v>311</v>
      </c>
      <c r="V10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0" s="12" t="e">
        <f>_xlfn.XLOOKUP(Portefeuille_MNT_PPS_Access8[[#This Row],[Numéro projet]],Tableau5[Numéro projet],Tableau5[IND_Site_Prioritaire])</f>
        <v>#N/A</v>
      </c>
      <c r="X100" s="2" t="e">
        <f>_xlfn.XLOOKUP(Portefeuille_MNT_PPS_Access8[[#This Row],[Numéro projet]],Tableau5[Numéro projet],Tableau5[Critère Etat Infrastructure])</f>
        <v>#N/A</v>
      </c>
      <c r="Y10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0" s="2"/>
      <c r="AA100" s="63"/>
      <c r="AF100"/>
      <c r="AJ100">
        <v>100</v>
      </c>
      <c r="AL100">
        <v>200</v>
      </c>
      <c r="AN100">
        <v>250</v>
      </c>
      <c r="AO100">
        <v>7500</v>
      </c>
      <c r="AP100"/>
      <c r="AZ100" s="14">
        <f>SUM(Portefeuille_MNT_PPS_Access8[[#This Row],[AC ANT]:[TR 2034]])</f>
        <v>8050</v>
      </c>
    </row>
    <row r="101" spans="2:52" hidden="1" x14ac:dyDescent="0.3">
      <c r="B101" t="s">
        <v>118</v>
      </c>
      <c r="C101" t="s">
        <v>102</v>
      </c>
      <c r="D101" t="s">
        <v>103</v>
      </c>
      <c r="F101" t="s">
        <v>20</v>
      </c>
      <c r="G101" t="s">
        <v>20</v>
      </c>
      <c r="H101" t="s">
        <v>131</v>
      </c>
      <c r="I101" t="s">
        <v>403</v>
      </c>
      <c r="J101" t="s">
        <v>404</v>
      </c>
      <c r="K101" t="s">
        <v>214</v>
      </c>
      <c r="L101" t="s">
        <v>169</v>
      </c>
      <c r="M101" t="s">
        <v>291</v>
      </c>
      <c r="N101" s="1"/>
      <c r="O101" s="1"/>
      <c r="P101" s="1"/>
      <c r="Q101">
        <v>1</v>
      </c>
      <c r="U101" t="s">
        <v>311</v>
      </c>
      <c r="V10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1" s="12" t="e">
        <f>_xlfn.XLOOKUP(Portefeuille_MNT_PPS_Access8[[#This Row],[Numéro projet]],Tableau5[Numéro projet],Tableau5[IND_Site_Prioritaire])</f>
        <v>#N/A</v>
      </c>
      <c r="X101" s="2" t="e">
        <f>_xlfn.XLOOKUP(Portefeuille_MNT_PPS_Access8[[#This Row],[Numéro projet]],Tableau5[Numéro projet],Tableau5[Critère Etat Infrastructure])</f>
        <v>#N/A</v>
      </c>
      <c r="Y10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1" s="2"/>
      <c r="AA101" s="63"/>
      <c r="AF101"/>
      <c r="AL101">
        <v>200</v>
      </c>
      <c r="AN101">
        <v>200</v>
      </c>
      <c r="AO101">
        <v>10500</v>
      </c>
      <c r="AP101"/>
      <c r="AZ101" s="14">
        <f>SUM(Portefeuille_MNT_PPS_Access8[[#This Row],[AC ANT]:[TR 2034]])</f>
        <v>10900</v>
      </c>
    </row>
    <row r="102" spans="2:52" hidden="1" x14ac:dyDescent="0.3">
      <c r="B102" t="s">
        <v>101</v>
      </c>
      <c r="C102" t="s">
        <v>102</v>
      </c>
      <c r="D102" t="s">
        <v>103</v>
      </c>
      <c r="F102" t="s">
        <v>20</v>
      </c>
      <c r="G102" t="s">
        <v>20</v>
      </c>
      <c r="H102" t="s">
        <v>105</v>
      </c>
      <c r="I102" t="s">
        <v>398</v>
      </c>
      <c r="J102" t="s">
        <v>399</v>
      </c>
      <c r="K102" t="s">
        <v>172</v>
      </c>
      <c r="L102" t="s">
        <v>169</v>
      </c>
      <c r="M102" t="s">
        <v>291</v>
      </c>
      <c r="N102" s="1"/>
      <c r="O102" s="1"/>
      <c r="P102" s="1"/>
      <c r="Q102">
        <v>1</v>
      </c>
      <c r="U102" t="s">
        <v>311</v>
      </c>
      <c r="V10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2" s="12" t="e">
        <f>_xlfn.XLOOKUP(Portefeuille_MNT_PPS_Access8[[#This Row],[Numéro projet]],Tableau5[Numéro projet],Tableau5[IND_Site_Prioritaire])</f>
        <v>#N/A</v>
      </c>
      <c r="X102" s="2" t="e">
        <f>_xlfn.XLOOKUP(Portefeuille_MNT_PPS_Access8[[#This Row],[Numéro projet]],Tableau5[Numéro projet],Tableau5[Critère Etat Infrastructure])</f>
        <v>#N/A</v>
      </c>
      <c r="Y10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2" s="2"/>
      <c r="AA102" s="63"/>
      <c r="AF102"/>
      <c r="AL102">
        <v>100</v>
      </c>
      <c r="AN102">
        <v>250</v>
      </c>
      <c r="AO102">
        <v>5000</v>
      </c>
      <c r="AP102"/>
      <c r="AZ102" s="14">
        <f>SUM(Portefeuille_MNT_PPS_Access8[[#This Row],[AC ANT]:[TR 2034]])</f>
        <v>5350</v>
      </c>
    </row>
    <row r="103" spans="2:52" hidden="1" x14ac:dyDescent="0.3">
      <c r="B103" t="s">
        <v>118</v>
      </c>
      <c r="C103" t="s">
        <v>102</v>
      </c>
      <c r="D103" t="s">
        <v>242</v>
      </c>
      <c r="E103" t="s">
        <v>129</v>
      </c>
      <c r="F103" t="s">
        <v>20</v>
      </c>
      <c r="G103" t="s">
        <v>20</v>
      </c>
      <c r="H103" t="s">
        <v>131</v>
      </c>
      <c r="I103" t="s">
        <v>409</v>
      </c>
      <c r="J103" t="s">
        <v>410</v>
      </c>
      <c r="K103" t="s">
        <v>411</v>
      </c>
      <c r="L103" t="s">
        <v>169</v>
      </c>
      <c r="M103" t="s">
        <v>291</v>
      </c>
      <c r="N103" s="1"/>
      <c r="O103" s="1"/>
      <c r="P103" s="1"/>
      <c r="Q103">
        <v>1</v>
      </c>
      <c r="U103" t="s">
        <v>311</v>
      </c>
      <c r="V10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3" s="12" t="e">
        <f>_xlfn.XLOOKUP(Portefeuille_MNT_PPS_Access8[[#This Row],[Numéro projet]],Tableau5[Numéro projet],Tableau5[IND_Site_Prioritaire])</f>
        <v>#N/A</v>
      </c>
      <c r="X103" s="2" t="e">
        <f>_xlfn.XLOOKUP(Portefeuille_MNT_PPS_Access8[[#This Row],[Numéro projet]],Tableau5[Numéro projet],Tableau5[Critère Etat Infrastructure])</f>
        <v>#N/A</v>
      </c>
      <c r="Y10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3" s="2"/>
      <c r="AA103" s="63"/>
      <c r="AF103"/>
      <c r="AJ103">
        <v>150</v>
      </c>
      <c r="AL103">
        <v>150</v>
      </c>
      <c r="AN103">
        <v>250</v>
      </c>
      <c r="AO103">
        <v>2000</v>
      </c>
      <c r="AP103"/>
      <c r="AZ103" s="14">
        <f>SUM(Portefeuille_MNT_PPS_Access8[[#This Row],[AC ANT]:[TR 2034]])</f>
        <v>2550</v>
      </c>
    </row>
    <row r="104" spans="2:52" hidden="1" x14ac:dyDescent="0.3">
      <c r="B104" t="s">
        <v>118</v>
      </c>
      <c r="C104" t="s">
        <v>102</v>
      </c>
      <c r="D104" t="s">
        <v>242</v>
      </c>
      <c r="E104" t="s">
        <v>129</v>
      </c>
      <c r="F104" t="s">
        <v>20</v>
      </c>
      <c r="G104" t="s">
        <v>20</v>
      </c>
      <c r="H104" t="s">
        <v>131</v>
      </c>
      <c r="I104" t="s">
        <v>415</v>
      </c>
      <c r="J104" t="s">
        <v>416</v>
      </c>
      <c r="K104" t="s">
        <v>417</v>
      </c>
      <c r="L104" t="s">
        <v>169</v>
      </c>
      <c r="M104" t="s">
        <v>291</v>
      </c>
      <c r="N104" s="1"/>
      <c r="O104" s="1"/>
      <c r="P104" s="1"/>
      <c r="Q104">
        <v>1</v>
      </c>
      <c r="U104" t="s">
        <v>311</v>
      </c>
      <c r="V10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4" s="12" t="e">
        <f>_xlfn.XLOOKUP(Portefeuille_MNT_PPS_Access8[[#This Row],[Numéro projet]],Tableau5[Numéro projet],Tableau5[IND_Site_Prioritaire])</f>
        <v>#N/A</v>
      </c>
      <c r="X104" s="2" t="e">
        <f>_xlfn.XLOOKUP(Portefeuille_MNT_PPS_Access8[[#This Row],[Numéro projet]],Tableau5[Numéro projet],Tableau5[Critère Etat Infrastructure])</f>
        <v>#N/A</v>
      </c>
      <c r="Y10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4" s="2"/>
      <c r="AA104" s="63"/>
      <c r="AF104"/>
      <c r="AJ104">
        <v>150</v>
      </c>
      <c r="AL104">
        <v>150</v>
      </c>
      <c r="AN104">
        <v>250</v>
      </c>
      <c r="AO104">
        <v>2000</v>
      </c>
      <c r="AP104"/>
      <c r="AZ104" s="14">
        <f>SUM(Portefeuille_MNT_PPS_Access8[[#This Row],[AC ANT]:[TR 2034]])</f>
        <v>2550</v>
      </c>
    </row>
    <row r="105" spans="2:52" hidden="1" x14ac:dyDescent="0.3">
      <c r="B105" t="s">
        <v>118</v>
      </c>
      <c r="C105" t="s">
        <v>102</v>
      </c>
      <c r="D105" t="s">
        <v>389</v>
      </c>
      <c r="F105" t="s">
        <v>20</v>
      </c>
      <c r="G105" t="s">
        <v>20</v>
      </c>
      <c r="H105" t="s">
        <v>131</v>
      </c>
      <c r="I105" t="s">
        <v>430</v>
      </c>
      <c r="J105" t="s">
        <v>431</v>
      </c>
      <c r="K105" t="s">
        <v>147</v>
      </c>
      <c r="L105" t="s">
        <v>169</v>
      </c>
      <c r="M105" t="s">
        <v>291</v>
      </c>
      <c r="N105" s="1"/>
      <c r="O105" s="1"/>
      <c r="P105" s="1"/>
      <c r="Q105">
        <v>1</v>
      </c>
      <c r="U105" t="s">
        <v>311</v>
      </c>
      <c r="V10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5" s="12" t="e">
        <f>_xlfn.XLOOKUP(Portefeuille_MNT_PPS_Access8[[#This Row],[Numéro projet]],Tableau5[Numéro projet],Tableau5[IND_Site_Prioritaire])</f>
        <v>#N/A</v>
      </c>
      <c r="X105" s="2" t="e">
        <f>_xlfn.XLOOKUP(Portefeuille_MNT_PPS_Access8[[#This Row],[Numéro projet]],Tableau5[Numéro projet],Tableau5[Critère Etat Infrastructure])</f>
        <v>#N/A</v>
      </c>
      <c r="Y10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5" s="2"/>
      <c r="AA105" s="63"/>
      <c r="AF105"/>
      <c r="AL105">
        <v>50</v>
      </c>
      <c r="AN105">
        <v>100</v>
      </c>
      <c r="AO105">
        <v>1000</v>
      </c>
      <c r="AP105"/>
      <c r="AZ105" s="14">
        <f>SUM(Portefeuille_MNT_PPS_Access8[[#This Row],[AC ANT]:[TR 2034]])</f>
        <v>1150</v>
      </c>
    </row>
    <row r="106" spans="2:52" hidden="1" x14ac:dyDescent="0.3">
      <c r="B106" t="s">
        <v>101</v>
      </c>
      <c r="C106" t="s">
        <v>102</v>
      </c>
      <c r="D106" t="s">
        <v>200</v>
      </c>
      <c r="E106" t="s">
        <v>113</v>
      </c>
      <c r="F106" t="s">
        <v>20</v>
      </c>
      <c r="G106" t="s">
        <v>20</v>
      </c>
      <c r="H106" t="s">
        <v>131</v>
      </c>
      <c r="I106" t="s">
        <v>436</v>
      </c>
      <c r="J106" s="82" t="s">
        <v>437</v>
      </c>
      <c r="K106" t="s">
        <v>139</v>
      </c>
      <c r="L106" t="s">
        <v>169</v>
      </c>
      <c r="M106" t="s">
        <v>291</v>
      </c>
      <c r="N106" s="1"/>
      <c r="O106" s="1"/>
      <c r="P106" s="1"/>
      <c r="Q106">
        <v>1</v>
      </c>
      <c r="U106" t="s">
        <v>311</v>
      </c>
      <c r="V10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6" s="12" t="e">
        <f>_xlfn.XLOOKUP(Portefeuille_MNT_PPS_Access8[[#This Row],[Numéro projet]],Tableau5[Numéro projet],Tableau5[IND_Site_Prioritaire])</f>
        <v>#N/A</v>
      </c>
      <c r="X106" s="2" t="e">
        <f>_xlfn.XLOOKUP(Portefeuille_MNT_PPS_Access8[[#This Row],[Numéro projet]],Tableau5[Numéro projet],Tableau5[Critère Etat Infrastructure])</f>
        <v>#N/A</v>
      </c>
      <c r="Y10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6" s="2"/>
      <c r="AA106" s="62"/>
      <c r="AF106"/>
      <c r="AH106">
        <v>50</v>
      </c>
      <c r="AJ106">
        <v>50</v>
      </c>
      <c r="AL106">
        <v>150</v>
      </c>
      <c r="AN106">
        <v>300</v>
      </c>
      <c r="AO106">
        <v>3000</v>
      </c>
      <c r="AP106"/>
      <c r="AZ106" s="14">
        <f>SUM(Portefeuille_MNT_PPS_Access8[[#This Row],[AC ANT]:[TR 2034]])</f>
        <v>3550</v>
      </c>
    </row>
    <row r="107" spans="2:52" hidden="1" x14ac:dyDescent="0.3">
      <c r="B107" t="s">
        <v>101</v>
      </c>
      <c r="C107" t="s">
        <v>102</v>
      </c>
      <c r="D107" t="s">
        <v>136</v>
      </c>
      <c r="E107" t="s">
        <v>149</v>
      </c>
      <c r="F107" t="s">
        <v>16</v>
      </c>
      <c r="G107" t="s">
        <v>20</v>
      </c>
      <c r="H107" t="s">
        <v>131</v>
      </c>
      <c r="I107" t="s">
        <v>212</v>
      </c>
      <c r="J107" t="s">
        <v>213</v>
      </c>
      <c r="K107" t="s">
        <v>214</v>
      </c>
      <c r="L107" t="s">
        <v>184</v>
      </c>
      <c r="M107" t="s">
        <v>155</v>
      </c>
      <c r="N107" s="1">
        <v>45792</v>
      </c>
      <c r="O107" s="1">
        <v>46157</v>
      </c>
      <c r="P107" s="1">
        <v>46522</v>
      </c>
      <c r="Q107">
        <v>1</v>
      </c>
      <c r="R107">
        <v>1</v>
      </c>
      <c r="S107">
        <v>1</v>
      </c>
      <c r="T107">
        <v>1</v>
      </c>
      <c r="U107" t="s">
        <v>156</v>
      </c>
      <c r="V10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107" s="12" t="e">
        <f>_xlfn.XLOOKUP(Portefeuille_MNT_PPS_Access8[[#This Row],[Numéro projet]],Tableau5[Numéro projet],Tableau5[IND_Site_Prioritaire])</f>
        <v>#N/A</v>
      </c>
      <c r="X107" s="2" t="e">
        <f>_xlfn.XLOOKUP(Portefeuille_MNT_PPS_Access8[[#This Row],[Numéro projet]],Tableau5[Numéro projet],Tableau5[Critère Etat Infrastructure])</f>
        <v>#N/A</v>
      </c>
      <c r="Y10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7" s="2"/>
      <c r="AA107" s="63"/>
      <c r="AB107">
        <v>47</v>
      </c>
      <c r="AD107">
        <v>174</v>
      </c>
      <c r="AF107">
        <v>150</v>
      </c>
      <c r="AH107">
        <v>125</v>
      </c>
      <c r="AJ107">
        <v>125</v>
      </c>
      <c r="AL107">
        <v>125</v>
      </c>
      <c r="AN107">
        <v>125</v>
      </c>
      <c r="AP107">
        <v>300</v>
      </c>
      <c r="AQ107">
        <v>5000</v>
      </c>
      <c r="AR107">
        <v>350</v>
      </c>
      <c r="AS107">
        <v>10000</v>
      </c>
      <c r="AZ107" s="14">
        <f>SUM(Portefeuille_MNT_PPS_Access8[[#This Row],[AC ANT]:[TR 2034]])</f>
        <v>16521</v>
      </c>
    </row>
    <row r="108" spans="2:52" hidden="1" x14ac:dyDescent="0.3">
      <c r="B108" t="s">
        <v>126</v>
      </c>
      <c r="C108" t="s">
        <v>127</v>
      </c>
      <c r="D108" t="s">
        <v>136</v>
      </c>
      <c r="E108" t="s">
        <v>113</v>
      </c>
      <c r="F108" t="s">
        <v>16</v>
      </c>
      <c r="G108" t="s">
        <v>20</v>
      </c>
      <c r="H108" t="s">
        <v>131</v>
      </c>
      <c r="I108" t="s">
        <v>226</v>
      </c>
      <c r="J108" t="s">
        <v>227</v>
      </c>
      <c r="K108" t="s">
        <v>139</v>
      </c>
      <c r="L108" s="2" t="s">
        <v>184</v>
      </c>
      <c r="M108" t="s">
        <v>110</v>
      </c>
      <c r="N108" s="1">
        <v>45330</v>
      </c>
      <c r="O108" s="1">
        <v>45960</v>
      </c>
      <c r="P108" s="1">
        <v>46625</v>
      </c>
      <c r="Q108">
        <v>1</v>
      </c>
      <c r="R108">
        <v>1</v>
      </c>
      <c r="S108">
        <v>1</v>
      </c>
      <c r="T108">
        <v>5</v>
      </c>
      <c r="U108" t="s">
        <v>112</v>
      </c>
      <c r="V10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3</v>
      </c>
      <c r="W108" s="12" t="e">
        <f>_xlfn.XLOOKUP(Portefeuille_MNT_PPS_Access8[[#This Row],[Numéro projet]],Tableau5[Numéro projet],Tableau5[IND_Site_Prioritaire])</f>
        <v>#N/A</v>
      </c>
      <c r="X108" s="2" t="e">
        <f>_xlfn.XLOOKUP(Portefeuille_MNT_PPS_Access8[[#This Row],[Numéro projet]],Tableau5[Numéro projet],Tableau5[Critère Etat Infrastructure])</f>
        <v>#N/A</v>
      </c>
      <c r="Y10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8" s="2"/>
      <c r="AA108" s="63"/>
      <c r="AB108">
        <v>44</v>
      </c>
      <c r="AD108">
        <v>45</v>
      </c>
      <c r="AF108">
        <v>100</v>
      </c>
      <c r="AH108">
        <v>288</v>
      </c>
      <c r="AJ108">
        <v>475</v>
      </c>
      <c r="AL108">
        <v>475</v>
      </c>
      <c r="AN108">
        <v>573</v>
      </c>
      <c r="AP108">
        <v>1000</v>
      </c>
      <c r="AQ108">
        <v>4362</v>
      </c>
      <c r="AR108">
        <v>1077</v>
      </c>
      <c r="AS108">
        <v>12800</v>
      </c>
      <c r="AZ108" s="14">
        <f>SUM(Portefeuille_MNT_PPS_Access8[[#This Row],[AC ANT]:[TR 2034]])</f>
        <v>21239</v>
      </c>
    </row>
    <row r="109" spans="2:52" hidden="1" x14ac:dyDescent="0.3">
      <c r="B109" t="s">
        <v>101</v>
      </c>
      <c r="C109" t="s">
        <v>102</v>
      </c>
      <c r="D109" t="s">
        <v>103</v>
      </c>
      <c r="F109" t="s">
        <v>20</v>
      </c>
      <c r="G109" t="s">
        <v>20</v>
      </c>
      <c r="H109" t="s">
        <v>131</v>
      </c>
      <c r="I109" t="s">
        <v>383</v>
      </c>
      <c r="J109" t="s">
        <v>384</v>
      </c>
      <c r="K109" t="s">
        <v>183</v>
      </c>
      <c r="L109" t="s">
        <v>184</v>
      </c>
      <c r="M109" t="s">
        <v>291</v>
      </c>
      <c r="N109" s="1"/>
      <c r="O109" s="1"/>
      <c r="P109" s="1"/>
      <c r="Q109">
        <v>1</v>
      </c>
      <c r="U109" t="s">
        <v>311</v>
      </c>
      <c r="V10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09" s="12" t="e">
        <f>_xlfn.XLOOKUP(Portefeuille_MNT_PPS_Access8[[#This Row],[Numéro projet]],Tableau5[Numéro projet],Tableau5[IND_Site_Prioritaire])</f>
        <v>#N/A</v>
      </c>
      <c r="X109" s="2" t="e">
        <f>_xlfn.XLOOKUP(Portefeuille_MNT_PPS_Access8[[#This Row],[Numéro projet]],Tableau5[Numéro projet],Tableau5[Critère Etat Infrastructure])</f>
        <v>#N/A</v>
      </c>
      <c r="Y10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09" s="2"/>
      <c r="AA109" s="63"/>
      <c r="AF109"/>
      <c r="AN109">
        <v>150</v>
      </c>
      <c r="AP109">
        <v>250</v>
      </c>
      <c r="AQ109">
        <v>5000</v>
      </c>
      <c r="AZ109" s="14">
        <f>SUM(Portefeuille_MNT_PPS_Access8[[#This Row],[AC ANT]:[TR 2034]])</f>
        <v>5400</v>
      </c>
    </row>
    <row r="110" spans="2:52" hidden="1" x14ac:dyDescent="0.3">
      <c r="B110" t="s">
        <v>101</v>
      </c>
      <c r="C110" t="s">
        <v>102</v>
      </c>
      <c r="D110" t="s">
        <v>136</v>
      </c>
      <c r="E110" t="s">
        <v>149</v>
      </c>
      <c r="F110" t="s">
        <v>130</v>
      </c>
      <c r="G110" t="s">
        <v>20</v>
      </c>
      <c r="H110" t="s">
        <v>105</v>
      </c>
      <c r="I110" t="s">
        <v>366</v>
      </c>
      <c r="J110" t="s">
        <v>367</v>
      </c>
      <c r="K110" t="s">
        <v>316</v>
      </c>
      <c r="L110" t="s">
        <v>184</v>
      </c>
      <c r="M110" t="s">
        <v>155</v>
      </c>
      <c r="N110" s="1">
        <v>46157</v>
      </c>
      <c r="O110" s="1">
        <v>46645</v>
      </c>
      <c r="P110" s="1">
        <v>47011</v>
      </c>
      <c r="Q110">
        <v>1</v>
      </c>
      <c r="R110">
        <v>1</v>
      </c>
      <c r="S110">
        <v>1</v>
      </c>
      <c r="T110">
        <v>1</v>
      </c>
      <c r="U110" t="s">
        <v>156</v>
      </c>
      <c r="V11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110" s="12" t="e">
        <f>_xlfn.XLOOKUP(Portefeuille_MNT_PPS_Access8[[#This Row],[Numéro projet]],Tableau5[Numéro projet],Tableau5[IND_Site_Prioritaire])</f>
        <v>#N/A</v>
      </c>
      <c r="X110" s="2" t="e">
        <f>_xlfn.XLOOKUP(Portefeuille_MNT_PPS_Access8[[#This Row],[Numéro projet]],Tableau5[Numéro projet],Tableau5[Critère Etat Infrastructure])</f>
        <v>#N/A</v>
      </c>
      <c r="Y11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0" s="2"/>
      <c r="AA110" s="63"/>
      <c r="AF110"/>
      <c r="AJ110">
        <v>430</v>
      </c>
      <c r="AL110">
        <v>600</v>
      </c>
      <c r="AN110">
        <v>670</v>
      </c>
      <c r="AP110">
        <v>600</v>
      </c>
      <c r="AQ110">
        <v>5000</v>
      </c>
      <c r="AT110">
        <v>500</v>
      </c>
      <c r="AU110">
        <v>4700</v>
      </c>
      <c r="AV110">
        <v>600</v>
      </c>
      <c r="AW110">
        <v>5000</v>
      </c>
      <c r="AX110">
        <v>600</v>
      </c>
      <c r="AY110">
        <v>5000</v>
      </c>
      <c r="AZ110" s="14">
        <f>SUM(Portefeuille_MNT_PPS_Access8[[#This Row],[AC ANT]:[TR 2034]])</f>
        <v>23700</v>
      </c>
    </row>
    <row r="111" spans="2:52" hidden="1" x14ac:dyDescent="0.3">
      <c r="B111" t="s">
        <v>118</v>
      </c>
      <c r="C111" t="s">
        <v>102</v>
      </c>
      <c r="D111" t="s">
        <v>136</v>
      </c>
      <c r="F111" t="s">
        <v>130</v>
      </c>
      <c r="G111" t="s">
        <v>20</v>
      </c>
      <c r="H111" t="s">
        <v>105</v>
      </c>
      <c r="I111" t="s">
        <v>364</v>
      </c>
      <c r="J111" t="s">
        <v>365</v>
      </c>
      <c r="K111" t="s">
        <v>205</v>
      </c>
      <c r="L111" t="s">
        <v>184</v>
      </c>
      <c r="M111" t="s">
        <v>291</v>
      </c>
      <c r="N111" s="1"/>
      <c r="O111" s="1"/>
      <c r="P111" s="1"/>
      <c r="Q111">
        <v>1</v>
      </c>
      <c r="U111" t="s">
        <v>311</v>
      </c>
      <c r="V11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1" s="12" t="e">
        <f>_xlfn.XLOOKUP(Portefeuille_MNT_PPS_Access8[[#This Row],[Numéro projet]],Tableau5[Numéro projet],Tableau5[IND_Site_Prioritaire])</f>
        <v>#N/A</v>
      </c>
      <c r="X111" s="2" t="e">
        <f>_xlfn.XLOOKUP(Portefeuille_MNT_PPS_Access8[[#This Row],[Numéro projet]],Tableau5[Numéro projet],Tableau5[Critère Etat Infrastructure])</f>
        <v>#N/A</v>
      </c>
      <c r="Y11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1" s="2"/>
      <c r="AA111" s="63"/>
      <c r="AF111"/>
      <c r="AL111">
        <v>200</v>
      </c>
      <c r="AN111">
        <v>250</v>
      </c>
      <c r="AP111">
        <v>400</v>
      </c>
      <c r="AQ111">
        <v>4500</v>
      </c>
      <c r="AR111">
        <v>400</v>
      </c>
      <c r="AS111">
        <v>14000</v>
      </c>
      <c r="AZ111" s="14">
        <f>SUM(Portefeuille_MNT_PPS_Access8[[#This Row],[AC ANT]:[TR 2034]])</f>
        <v>19750</v>
      </c>
    </row>
    <row r="112" spans="2:52" hidden="1" x14ac:dyDescent="0.3">
      <c r="B112" t="s">
        <v>118</v>
      </c>
      <c r="C112" t="s">
        <v>102</v>
      </c>
      <c r="D112" t="s">
        <v>103</v>
      </c>
      <c r="F112" t="s">
        <v>20</v>
      </c>
      <c r="G112" t="s">
        <v>20</v>
      </c>
      <c r="H112" t="s">
        <v>131</v>
      </c>
      <c r="I112" t="s">
        <v>371</v>
      </c>
      <c r="J112" t="s">
        <v>372</v>
      </c>
      <c r="K112" t="s">
        <v>152</v>
      </c>
      <c r="L112" t="s">
        <v>184</v>
      </c>
      <c r="M112" t="s">
        <v>291</v>
      </c>
      <c r="N112" s="1"/>
      <c r="O112" s="1"/>
      <c r="P112" s="1"/>
      <c r="Q112">
        <v>1</v>
      </c>
      <c r="U112" t="s">
        <v>311</v>
      </c>
      <c r="V11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2" s="12" t="e">
        <f>_xlfn.XLOOKUP(Portefeuille_MNT_PPS_Access8[[#This Row],[Numéro projet]],Tableau5[Numéro projet],Tableau5[IND_Site_Prioritaire])</f>
        <v>#N/A</v>
      </c>
      <c r="X112" s="2" t="e">
        <f>_xlfn.XLOOKUP(Portefeuille_MNT_PPS_Access8[[#This Row],[Numéro projet]],Tableau5[Numéro projet],Tableau5[Critère Etat Infrastructure])</f>
        <v>#N/A</v>
      </c>
      <c r="Y11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2" s="2"/>
      <c r="AA112" s="63"/>
      <c r="AF112"/>
      <c r="AL112">
        <v>100</v>
      </c>
      <c r="AN112">
        <v>200</v>
      </c>
      <c r="AP112">
        <v>250</v>
      </c>
      <c r="AQ112">
        <v>7500</v>
      </c>
      <c r="AZ112" s="14">
        <f>SUM(Portefeuille_MNT_PPS_Access8[[#This Row],[AC ANT]:[TR 2034]])</f>
        <v>8050</v>
      </c>
    </row>
    <row r="113" spans="2:52" hidden="1" x14ac:dyDescent="0.3">
      <c r="B113" t="s">
        <v>101</v>
      </c>
      <c r="C113" t="s">
        <v>102</v>
      </c>
      <c r="D113" t="s">
        <v>103</v>
      </c>
      <c r="F113" t="s">
        <v>20</v>
      </c>
      <c r="G113" t="s">
        <v>20</v>
      </c>
      <c r="H113" t="s">
        <v>131</v>
      </c>
      <c r="I113" t="s">
        <v>379</v>
      </c>
      <c r="J113" t="s">
        <v>380</v>
      </c>
      <c r="K113" t="s">
        <v>134</v>
      </c>
      <c r="L113" t="s">
        <v>184</v>
      </c>
      <c r="M113" t="s">
        <v>291</v>
      </c>
      <c r="N113" s="1"/>
      <c r="O113" s="1"/>
      <c r="P113" s="1"/>
      <c r="Q113">
        <v>1</v>
      </c>
      <c r="U113" t="s">
        <v>311</v>
      </c>
      <c r="V11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3" s="12" t="e">
        <f>_xlfn.XLOOKUP(Portefeuille_MNT_PPS_Access8[[#This Row],[Numéro projet]],Tableau5[Numéro projet],Tableau5[IND_Site_Prioritaire])</f>
        <v>#N/A</v>
      </c>
      <c r="X113" s="2" t="e">
        <f>_xlfn.XLOOKUP(Portefeuille_MNT_PPS_Access8[[#This Row],[Numéro projet]],Tableau5[Numéro projet],Tableau5[Critère Etat Infrastructure])</f>
        <v>#N/A</v>
      </c>
      <c r="Y11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3" s="2"/>
      <c r="AA113" s="63"/>
      <c r="AF113"/>
      <c r="AN113">
        <v>150</v>
      </c>
      <c r="AP113">
        <v>250</v>
      </c>
      <c r="AQ113">
        <v>5000</v>
      </c>
      <c r="AZ113" s="14">
        <f>SUM(Portefeuille_MNT_PPS_Access8[[#This Row],[AC ANT]:[TR 2034]])</f>
        <v>5400</v>
      </c>
    </row>
    <row r="114" spans="2:52" hidden="1" x14ac:dyDescent="0.3">
      <c r="B114" t="s">
        <v>118</v>
      </c>
      <c r="C114" t="s">
        <v>102</v>
      </c>
      <c r="D114" t="s">
        <v>242</v>
      </c>
      <c r="E114" t="s">
        <v>129</v>
      </c>
      <c r="F114" t="s">
        <v>20</v>
      </c>
      <c r="G114" t="s">
        <v>20</v>
      </c>
      <c r="H114" t="s">
        <v>131</v>
      </c>
      <c r="I114" t="s">
        <v>412</v>
      </c>
      <c r="J114" t="s">
        <v>413</v>
      </c>
      <c r="K114" t="s">
        <v>414</v>
      </c>
      <c r="L114" t="s">
        <v>184</v>
      </c>
      <c r="M114" t="s">
        <v>291</v>
      </c>
      <c r="N114" s="1"/>
      <c r="O114" s="1"/>
      <c r="P114" s="1"/>
      <c r="Q114">
        <v>1</v>
      </c>
      <c r="U114" t="s">
        <v>311</v>
      </c>
      <c r="V11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4" s="12" t="e">
        <f>_xlfn.XLOOKUP(Portefeuille_MNT_PPS_Access8[[#This Row],[Numéro projet]],Tableau5[Numéro projet],Tableau5[IND_Site_Prioritaire])</f>
        <v>#N/A</v>
      </c>
      <c r="X114" s="2" t="e">
        <f>_xlfn.XLOOKUP(Portefeuille_MNT_PPS_Access8[[#This Row],[Numéro projet]],Tableau5[Numéro projet],Tableau5[Critère Etat Infrastructure])</f>
        <v>#N/A</v>
      </c>
      <c r="Y11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4" s="2"/>
      <c r="AA114" s="63"/>
      <c r="AF114"/>
      <c r="AL114">
        <v>150</v>
      </c>
      <c r="AN114">
        <v>150</v>
      </c>
      <c r="AP114">
        <v>250</v>
      </c>
      <c r="AQ114">
        <v>2000</v>
      </c>
      <c r="AZ114" s="14">
        <f>SUM(Portefeuille_MNT_PPS_Access8[[#This Row],[AC ANT]:[TR 2034]])</f>
        <v>2550</v>
      </c>
    </row>
    <row r="115" spans="2:52" hidden="1" x14ac:dyDescent="0.3">
      <c r="B115" t="s">
        <v>126</v>
      </c>
      <c r="C115" t="s">
        <v>127</v>
      </c>
      <c r="D115" t="s">
        <v>103</v>
      </c>
      <c r="E115" t="s">
        <v>113</v>
      </c>
      <c r="F115" t="s">
        <v>20</v>
      </c>
      <c r="G115" t="s">
        <v>20</v>
      </c>
      <c r="H115" t="s">
        <v>105</v>
      </c>
      <c r="I115" t="s">
        <v>442</v>
      </c>
      <c r="J115" t="s">
        <v>443</v>
      </c>
      <c r="K115" t="s">
        <v>168</v>
      </c>
      <c r="L115" t="s">
        <v>184</v>
      </c>
      <c r="M115" t="s">
        <v>291</v>
      </c>
      <c r="N115" s="1"/>
      <c r="O115" s="1"/>
      <c r="P115" s="1"/>
      <c r="Q115">
        <v>1</v>
      </c>
      <c r="U115" t="s">
        <v>311</v>
      </c>
      <c r="V11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5" s="12" t="e">
        <f>_xlfn.XLOOKUP(Portefeuille_MNT_PPS_Access8[[#This Row],[Numéro projet]],Tableau5[Numéro projet],Tableau5[IND_Site_Prioritaire])</f>
        <v>#N/A</v>
      </c>
      <c r="X115" s="2" t="e">
        <f>_xlfn.XLOOKUP(Portefeuille_MNT_PPS_Access8[[#This Row],[Numéro projet]],Tableau5[Numéro projet],Tableau5[Critère Etat Infrastructure])</f>
        <v>#N/A</v>
      </c>
      <c r="Y11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5" s="2"/>
      <c r="AA115" s="62"/>
      <c r="AF115"/>
      <c r="AL115">
        <v>250</v>
      </c>
      <c r="AN115">
        <v>250</v>
      </c>
      <c r="AP115">
        <v>500</v>
      </c>
      <c r="AQ115">
        <v>2500</v>
      </c>
      <c r="AR115">
        <v>500</v>
      </c>
      <c r="AS115">
        <v>7500</v>
      </c>
      <c r="AT115">
        <v>500</v>
      </c>
      <c r="AU115">
        <v>5000</v>
      </c>
      <c r="AZ115" s="14">
        <f>SUM(Portefeuille_MNT_PPS_Access8[[#This Row],[AC ANT]:[TR 2034]])</f>
        <v>17000</v>
      </c>
    </row>
    <row r="116" spans="2:52" hidden="1" x14ac:dyDescent="0.3">
      <c r="B116" t="s">
        <v>126</v>
      </c>
      <c r="C116" t="s">
        <v>127</v>
      </c>
      <c r="D116" t="s">
        <v>103</v>
      </c>
      <c r="F116" t="s">
        <v>20</v>
      </c>
      <c r="G116" t="s">
        <v>20</v>
      </c>
      <c r="H116" t="s">
        <v>105</v>
      </c>
      <c r="I116" t="s">
        <v>472</v>
      </c>
      <c r="J116" t="s">
        <v>473</v>
      </c>
      <c r="K116" t="s">
        <v>143</v>
      </c>
      <c r="L116" t="s">
        <v>184</v>
      </c>
      <c r="M116" t="s">
        <v>291</v>
      </c>
      <c r="N116" s="1"/>
      <c r="O116" s="1"/>
      <c r="P116" s="1"/>
      <c r="Q116">
        <v>1</v>
      </c>
      <c r="U116" t="s">
        <v>311</v>
      </c>
      <c r="V11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6" s="12" t="e">
        <f>_xlfn.XLOOKUP(Portefeuille_MNT_PPS_Access8[[#This Row],[Numéro projet]],Tableau5[Numéro projet],Tableau5[IND_Site_Prioritaire])</f>
        <v>#N/A</v>
      </c>
      <c r="X116" s="2" t="e">
        <f>_xlfn.XLOOKUP(Portefeuille_MNT_PPS_Access8[[#This Row],[Numéro projet]],Tableau5[Numéro projet],Tableau5[Critère Etat Infrastructure])</f>
        <v>#N/A</v>
      </c>
      <c r="Y11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6" s="2"/>
      <c r="AA116" s="63"/>
      <c r="AF116"/>
      <c r="AL116">
        <v>375</v>
      </c>
      <c r="AN116">
        <v>375</v>
      </c>
      <c r="AP116">
        <v>750</v>
      </c>
      <c r="AQ116">
        <v>10000</v>
      </c>
      <c r="AR116">
        <v>500</v>
      </c>
      <c r="AS116">
        <v>10000</v>
      </c>
      <c r="AT116">
        <v>500</v>
      </c>
      <c r="AU116">
        <v>15000</v>
      </c>
      <c r="AZ116" s="14">
        <f>SUM(Portefeuille_MNT_PPS_Access8[[#This Row],[AC ANT]:[TR 2034]])</f>
        <v>37500</v>
      </c>
    </row>
    <row r="117" spans="2:52" hidden="1" x14ac:dyDescent="0.3">
      <c r="B117" t="s">
        <v>101</v>
      </c>
      <c r="C117" t="s">
        <v>102</v>
      </c>
      <c r="D117" t="s">
        <v>136</v>
      </c>
      <c r="E117" t="s">
        <v>104</v>
      </c>
      <c r="F117" t="s">
        <v>20</v>
      </c>
      <c r="G117" t="s">
        <v>20</v>
      </c>
      <c r="H117" t="s">
        <v>105</v>
      </c>
      <c r="I117" t="s">
        <v>368</v>
      </c>
      <c r="J117" t="s">
        <v>369</v>
      </c>
      <c r="K117" t="s">
        <v>217</v>
      </c>
      <c r="L117" t="s">
        <v>370</v>
      </c>
      <c r="M117" t="s">
        <v>291</v>
      </c>
      <c r="N117" s="1"/>
      <c r="O117" s="1"/>
      <c r="P117" s="1"/>
      <c r="Q117">
        <v>1</v>
      </c>
      <c r="U117" t="s">
        <v>311</v>
      </c>
      <c r="V11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7" s="12" t="e">
        <f>_xlfn.XLOOKUP(Portefeuille_MNT_PPS_Access8[[#This Row],[Numéro projet]],Tableau5[Numéro projet],Tableau5[IND_Site_Prioritaire])</f>
        <v>#N/A</v>
      </c>
      <c r="X117" s="2" t="e">
        <f>_xlfn.XLOOKUP(Portefeuille_MNT_PPS_Access8[[#This Row],[Numéro projet]],Tableau5[Numéro projet],Tableau5[Critère Etat Infrastructure])</f>
        <v>#N/A</v>
      </c>
      <c r="Y11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7" s="2"/>
      <c r="AA117" s="63"/>
      <c r="AF117"/>
      <c r="AH117">
        <v>250</v>
      </c>
      <c r="AJ117">
        <v>250</v>
      </c>
      <c r="AN117">
        <v>100</v>
      </c>
      <c r="AP117">
        <v>100</v>
      </c>
      <c r="AR117">
        <v>200</v>
      </c>
      <c r="AS117">
        <v>4700</v>
      </c>
      <c r="AT117">
        <v>500</v>
      </c>
      <c r="AU117">
        <v>3500</v>
      </c>
      <c r="AV117">
        <v>500</v>
      </c>
      <c r="AW117">
        <v>5700</v>
      </c>
      <c r="AX117">
        <v>500</v>
      </c>
      <c r="AY117">
        <v>5000</v>
      </c>
      <c r="AZ117" s="14">
        <f>SUM(Portefeuille_MNT_PPS_Access8[[#This Row],[AC ANT]:[TR 2034]])</f>
        <v>21300</v>
      </c>
    </row>
    <row r="118" spans="2:52" hidden="1" x14ac:dyDescent="0.3">
      <c r="B118" t="s">
        <v>101</v>
      </c>
      <c r="C118" t="s">
        <v>102</v>
      </c>
      <c r="D118" t="s">
        <v>389</v>
      </c>
      <c r="F118" t="s">
        <v>20</v>
      </c>
      <c r="G118" t="s">
        <v>20</v>
      </c>
      <c r="H118" t="s">
        <v>105</v>
      </c>
      <c r="I118" t="s">
        <v>432</v>
      </c>
      <c r="J118" t="s">
        <v>433</v>
      </c>
      <c r="K118" t="s">
        <v>143</v>
      </c>
      <c r="L118" t="s">
        <v>370</v>
      </c>
      <c r="M118" t="s">
        <v>291</v>
      </c>
      <c r="N118" s="1"/>
      <c r="O118" s="1"/>
      <c r="P118" s="1"/>
      <c r="Q118">
        <v>1</v>
      </c>
      <c r="U118" t="s">
        <v>311</v>
      </c>
      <c r="V11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8" s="12" t="e">
        <f>_xlfn.XLOOKUP(Portefeuille_MNT_PPS_Access8[[#This Row],[Numéro projet]],Tableau5[Numéro projet],Tableau5[IND_Site_Prioritaire])</f>
        <v>#N/A</v>
      </c>
      <c r="X118" s="2" t="e">
        <f>_xlfn.XLOOKUP(Portefeuille_MNT_PPS_Access8[[#This Row],[Numéro projet]],Tableau5[Numéro projet],Tableau5[Critère Etat Infrastructure])</f>
        <v>#N/A</v>
      </c>
      <c r="Y11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8" s="2"/>
      <c r="AA118" s="63"/>
      <c r="AF118"/>
      <c r="AP118">
        <v>100</v>
      </c>
      <c r="AR118">
        <v>200</v>
      </c>
      <c r="AS118">
        <v>5000</v>
      </c>
      <c r="AZ118" s="14">
        <f>SUM(Portefeuille_MNT_PPS_Access8[[#This Row],[AC ANT]:[TR 2034]])</f>
        <v>5300</v>
      </c>
    </row>
    <row r="119" spans="2:52" hidden="1" x14ac:dyDescent="0.3">
      <c r="B119" t="s">
        <v>101</v>
      </c>
      <c r="C119" t="s">
        <v>102</v>
      </c>
      <c r="D119" t="s">
        <v>136</v>
      </c>
      <c r="F119" t="s">
        <v>20</v>
      </c>
      <c r="G119" t="s">
        <v>20</v>
      </c>
      <c r="H119" t="s">
        <v>105</v>
      </c>
      <c r="I119" t="s">
        <v>454</v>
      </c>
      <c r="J119" t="s">
        <v>455</v>
      </c>
      <c r="K119" t="s">
        <v>143</v>
      </c>
      <c r="L119" t="s">
        <v>370</v>
      </c>
      <c r="M119" t="s">
        <v>291</v>
      </c>
      <c r="N119" s="1"/>
      <c r="O119" s="1"/>
      <c r="P119" s="1"/>
      <c r="Q119">
        <v>1</v>
      </c>
      <c r="U119" t="s">
        <v>311</v>
      </c>
      <c r="V11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19" s="12" t="e">
        <f>_xlfn.XLOOKUP(Portefeuille_MNT_PPS_Access8[[#This Row],[Numéro projet]],Tableau5[Numéro projet],Tableau5[IND_Site_Prioritaire])</f>
        <v>#N/A</v>
      </c>
      <c r="X119" s="2" t="e">
        <f>_xlfn.XLOOKUP(Portefeuille_MNT_PPS_Access8[[#This Row],[Numéro projet]],Tableau5[Numéro projet],Tableau5[Critère Etat Infrastructure])</f>
        <v>#N/A</v>
      </c>
      <c r="Y11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19" s="2"/>
      <c r="AA119" s="63"/>
      <c r="AF119"/>
      <c r="AN119">
        <v>150</v>
      </c>
      <c r="AP119">
        <v>150</v>
      </c>
      <c r="AR119">
        <v>500</v>
      </c>
      <c r="AS119">
        <v>6800</v>
      </c>
      <c r="AZ119" s="14">
        <f>SUM(Portefeuille_MNT_PPS_Access8[[#This Row],[AC ANT]:[TR 2034]])</f>
        <v>7600</v>
      </c>
    </row>
    <row r="120" spans="2:52" hidden="1" x14ac:dyDescent="0.3">
      <c r="B120" t="s">
        <v>118</v>
      </c>
      <c r="C120" t="s">
        <v>102</v>
      </c>
      <c r="D120" t="s">
        <v>136</v>
      </c>
      <c r="F120" t="s">
        <v>20</v>
      </c>
      <c r="G120" t="s">
        <v>20</v>
      </c>
      <c r="H120" t="s">
        <v>131</v>
      </c>
      <c r="I120" t="s">
        <v>470</v>
      </c>
      <c r="J120" t="s">
        <v>471</v>
      </c>
      <c r="K120" t="s">
        <v>191</v>
      </c>
      <c r="L120" t="s">
        <v>370</v>
      </c>
      <c r="M120" t="s">
        <v>291</v>
      </c>
      <c r="N120" s="1"/>
      <c r="O120" s="1"/>
      <c r="P120" s="1"/>
      <c r="Q120">
        <v>1</v>
      </c>
      <c r="U120" t="s">
        <v>311</v>
      </c>
      <c r="V12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0" s="12" t="e">
        <f>_xlfn.XLOOKUP(Portefeuille_MNT_PPS_Access8[[#This Row],[Numéro projet]],Tableau5[Numéro projet],Tableau5[IND_Site_Prioritaire])</f>
        <v>#N/A</v>
      </c>
      <c r="X120" s="2" t="e">
        <f>_xlfn.XLOOKUP(Portefeuille_MNT_PPS_Access8[[#This Row],[Numéro projet]],Tableau5[Numéro projet],Tableau5[Critère Etat Infrastructure])</f>
        <v>#N/A</v>
      </c>
      <c r="Y12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0" s="2"/>
      <c r="AA120" s="63"/>
      <c r="AF120"/>
      <c r="AL120">
        <v>50</v>
      </c>
      <c r="AN120">
        <v>50</v>
      </c>
      <c r="AP120">
        <v>100</v>
      </c>
      <c r="AR120">
        <v>200</v>
      </c>
      <c r="AS120">
        <v>3000</v>
      </c>
      <c r="AZ120" s="14">
        <f>SUM(Portefeuille_MNT_PPS_Access8[[#This Row],[AC ANT]:[TR 2034]])</f>
        <v>3400</v>
      </c>
    </row>
    <row r="121" spans="2:52" hidden="1" x14ac:dyDescent="0.3">
      <c r="B121" t="s">
        <v>126</v>
      </c>
      <c r="C121" t="s">
        <v>127</v>
      </c>
      <c r="D121" t="s">
        <v>103</v>
      </c>
      <c r="F121" t="s">
        <v>20</v>
      </c>
      <c r="G121" t="s">
        <v>20</v>
      </c>
      <c r="H121" t="s">
        <v>105</v>
      </c>
      <c r="I121" t="s">
        <v>474</v>
      </c>
      <c r="J121" t="s">
        <v>475</v>
      </c>
      <c r="K121" t="s">
        <v>108</v>
      </c>
      <c r="L121" t="s">
        <v>421</v>
      </c>
      <c r="M121" t="s">
        <v>291</v>
      </c>
      <c r="N121" s="1"/>
      <c r="O121" s="1"/>
      <c r="P121" s="1"/>
      <c r="Q121">
        <v>1</v>
      </c>
      <c r="U121" t="s">
        <v>311</v>
      </c>
      <c r="V12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1" s="12" t="e">
        <f>_xlfn.XLOOKUP(Portefeuille_MNT_PPS_Access8[[#This Row],[Numéro projet]],Tableau5[Numéro projet],Tableau5[IND_Site_Prioritaire])</f>
        <v>#N/A</v>
      </c>
      <c r="X121" s="2" t="e">
        <f>_xlfn.XLOOKUP(Portefeuille_MNT_PPS_Access8[[#This Row],[Numéro projet]],Tableau5[Numéro projet],Tableau5[Critère Etat Infrastructure])</f>
        <v>#N/A</v>
      </c>
      <c r="Y12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1" s="2"/>
      <c r="AA121" s="63"/>
      <c r="AF121"/>
      <c r="AP121">
        <v>375</v>
      </c>
      <c r="AR121">
        <v>375</v>
      </c>
      <c r="AT121">
        <v>750</v>
      </c>
      <c r="AU121">
        <v>4000</v>
      </c>
      <c r="AV121">
        <v>500</v>
      </c>
      <c r="AW121">
        <v>24000</v>
      </c>
      <c r="AX121">
        <v>500</v>
      </c>
      <c r="AY121">
        <v>9000</v>
      </c>
      <c r="AZ121" s="14">
        <f>SUM(Portefeuille_MNT_PPS_Access8[[#This Row],[AC ANT]:[TR 2034]])</f>
        <v>39500</v>
      </c>
    </row>
    <row r="122" spans="2:52" hidden="1" x14ac:dyDescent="0.3">
      <c r="B122" t="s">
        <v>118</v>
      </c>
      <c r="C122" t="s">
        <v>102</v>
      </c>
      <c r="D122" t="s">
        <v>103</v>
      </c>
      <c r="F122" t="s">
        <v>20</v>
      </c>
      <c r="G122" t="s">
        <v>20</v>
      </c>
      <c r="H122" t="s">
        <v>131</v>
      </c>
      <c r="I122" t="s">
        <v>418</v>
      </c>
      <c r="J122" t="s">
        <v>419</v>
      </c>
      <c r="K122" t="s">
        <v>420</v>
      </c>
      <c r="L122" t="s">
        <v>421</v>
      </c>
      <c r="M122" t="s">
        <v>291</v>
      </c>
      <c r="N122" s="1"/>
      <c r="O122" s="1"/>
      <c r="P122" s="1"/>
      <c r="Q122">
        <v>1</v>
      </c>
      <c r="U122" t="s">
        <v>311</v>
      </c>
      <c r="V12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2" s="12" t="e">
        <f>_xlfn.XLOOKUP(Portefeuille_MNT_PPS_Access8[[#This Row],[Numéro projet]],Tableau5[Numéro projet],Tableau5[IND_Site_Prioritaire])</f>
        <v>#N/A</v>
      </c>
      <c r="X122" s="2" t="e">
        <f>_xlfn.XLOOKUP(Portefeuille_MNT_PPS_Access8[[#This Row],[Numéro projet]],Tableau5[Numéro projet],Tableau5[Critère Etat Infrastructure])</f>
        <v>#N/A</v>
      </c>
      <c r="Y12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2" s="2"/>
      <c r="AA122" s="63"/>
      <c r="AF122"/>
      <c r="AP122">
        <v>100</v>
      </c>
      <c r="AR122">
        <v>200</v>
      </c>
      <c r="AT122">
        <v>250</v>
      </c>
      <c r="AU122">
        <v>7500</v>
      </c>
      <c r="AZ122" s="14">
        <f>SUM(Portefeuille_MNT_PPS_Access8[[#This Row],[AC ANT]:[TR 2034]])</f>
        <v>8050</v>
      </c>
    </row>
    <row r="123" spans="2:52" hidden="1" x14ac:dyDescent="0.3">
      <c r="B123" t="s">
        <v>118</v>
      </c>
      <c r="C123" t="s">
        <v>102</v>
      </c>
      <c r="D123" t="s">
        <v>389</v>
      </c>
      <c r="F123" t="s">
        <v>20</v>
      </c>
      <c r="G123" t="s">
        <v>20</v>
      </c>
      <c r="H123" t="s">
        <v>105</v>
      </c>
      <c r="I123" t="s">
        <v>424</v>
      </c>
      <c r="J123" t="s">
        <v>425</v>
      </c>
      <c r="K123" t="s">
        <v>205</v>
      </c>
      <c r="L123" t="s">
        <v>421</v>
      </c>
      <c r="M123" t="s">
        <v>291</v>
      </c>
      <c r="N123" s="1"/>
      <c r="O123" s="1"/>
      <c r="P123" s="1"/>
      <c r="Q123">
        <v>1</v>
      </c>
      <c r="U123" t="s">
        <v>311</v>
      </c>
      <c r="V12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3" s="12" t="e">
        <f>_xlfn.XLOOKUP(Portefeuille_MNT_PPS_Access8[[#This Row],[Numéro projet]],Tableau5[Numéro projet],Tableau5[IND_Site_Prioritaire])</f>
        <v>#N/A</v>
      </c>
      <c r="X123" s="2" t="e">
        <f>_xlfn.XLOOKUP(Portefeuille_MNT_PPS_Access8[[#This Row],[Numéro projet]],Tableau5[Numéro projet],Tableau5[Critère Etat Infrastructure])</f>
        <v>#N/A</v>
      </c>
      <c r="Y12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3" s="2"/>
      <c r="AA123" s="63"/>
      <c r="AF123"/>
      <c r="AP123"/>
      <c r="AR123">
        <v>100</v>
      </c>
      <c r="AT123">
        <v>200</v>
      </c>
      <c r="AU123">
        <v>5000</v>
      </c>
      <c r="AZ123" s="14">
        <f>SUM(Portefeuille_MNT_PPS_Access8[[#This Row],[AC ANT]:[TR 2034]])</f>
        <v>5300</v>
      </c>
    </row>
    <row r="124" spans="2:52" hidden="1" x14ac:dyDescent="0.3">
      <c r="B124" t="s">
        <v>101</v>
      </c>
      <c r="C124" t="s">
        <v>102</v>
      </c>
      <c r="D124" t="s">
        <v>389</v>
      </c>
      <c r="F124" t="s">
        <v>20</v>
      </c>
      <c r="G124" t="s">
        <v>20</v>
      </c>
      <c r="H124" t="s">
        <v>105</v>
      </c>
      <c r="I124" t="s">
        <v>428</v>
      </c>
      <c r="J124" t="s">
        <v>429</v>
      </c>
      <c r="K124" t="s">
        <v>302</v>
      </c>
      <c r="L124" t="s">
        <v>421</v>
      </c>
      <c r="M124" t="s">
        <v>291</v>
      </c>
      <c r="N124" s="1"/>
      <c r="O124" s="1"/>
      <c r="P124" s="1"/>
      <c r="Q124">
        <v>1</v>
      </c>
      <c r="U124" t="s">
        <v>311</v>
      </c>
      <c r="V12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4" s="12" t="e">
        <f>_xlfn.XLOOKUP(Portefeuille_MNT_PPS_Access8[[#This Row],[Numéro projet]],Tableau5[Numéro projet],Tableau5[IND_Site_Prioritaire])</f>
        <v>#N/A</v>
      </c>
      <c r="X124" s="2" t="e">
        <f>_xlfn.XLOOKUP(Portefeuille_MNT_PPS_Access8[[#This Row],[Numéro projet]],Tableau5[Numéro projet],Tableau5[Critère Etat Infrastructure])</f>
        <v>#N/A</v>
      </c>
      <c r="Y12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4" s="2"/>
      <c r="AA124" s="63"/>
      <c r="AF124"/>
      <c r="AP124"/>
      <c r="AR124">
        <v>100</v>
      </c>
      <c r="AT124">
        <v>200</v>
      </c>
      <c r="AU124">
        <v>5000</v>
      </c>
      <c r="AZ124" s="14">
        <f>SUM(Portefeuille_MNT_PPS_Access8[[#This Row],[AC ANT]:[TR 2034]])</f>
        <v>5300</v>
      </c>
    </row>
    <row r="125" spans="2:52" hidden="1" x14ac:dyDescent="0.3">
      <c r="B125" t="s">
        <v>101</v>
      </c>
      <c r="C125" t="s">
        <v>102</v>
      </c>
      <c r="D125" t="s">
        <v>103</v>
      </c>
      <c r="F125" t="s">
        <v>20</v>
      </c>
      <c r="G125" t="s">
        <v>20</v>
      </c>
      <c r="H125" t="s">
        <v>105</v>
      </c>
      <c r="I125" t="s">
        <v>444</v>
      </c>
      <c r="J125" t="s">
        <v>445</v>
      </c>
      <c r="K125" t="s">
        <v>302</v>
      </c>
      <c r="L125" t="s">
        <v>421</v>
      </c>
      <c r="M125" t="s">
        <v>291</v>
      </c>
      <c r="N125" s="1"/>
      <c r="O125" s="1"/>
      <c r="P125" s="1"/>
      <c r="Q125">
        <v>1</v>
      </c>
      <c r="U125" t="s">
        <v>311</v>
      </c>
      <c r="V12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5" s="12" t="e">
        <f>_xlfn.XLOOKUP(Portefeuille_MNT_PPS_Access8[[#This Row],[Numéro projet]],Tableau5[Numéro projet],Tableau5[IND_Site_Prioritaire])</f>
        <v>#N/A</v>
      </c>
      <c r="X125" s="2" t="e">
        <f>_xlfn.XLOOKUP(Portefeuille_MNT_PPS_Access8[[#This Row],[Numéro projet]],Tableau5[Numéro projet],Tableau5[Critère Etat Infrastructure])</f>
        <v>#N/A</v>
      </c>
      <c r="Y12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5" s="2"/>
      <c r="AA125" s="63"/>
      <c r="AF125"/>
      <c r="AP125">
        <v>150</v>
      </c>
      <c r="AR125">
        <v>150</v>
      </c>
      <c r="AT125">
        <v>600</v>
      </c>
      <c r="AU125">
        <v>12000</v>
      </c>
      <c r="AZ125" s="14">
        <f>SUM(Portefeuille_MNT_PPS_Access8[[#This Row],[AC ANT]:[TR 2034]])</f>
        <v>12900</v>
      </c>
    </row>
    <row r="126" spans="2:52" hidden="1" x14ac:dyDescent="0.3">
      <c r="B126" t="s">
        <v>101</v>
      </c>
      <c r="C126" t="s">
        <v>102</v>
      </c>
      <c r="D126" t="s">
        <v>136</v>
      </c>
      <c r="F126" t="s">
        <v>20</v>
      </c>
      <c r="G126" t="s">
        <v>20</v>
      </c>
      <c r="H126" t="s">
        <v>105</v>
      </c>
      <c r="I126" t="s">
        <v>456</v>
      </c>
      <c r="J126" t="s">
        <v>457</v>
      </c>
      <c r="K126" t="s">
        <v>402</v>
      </c>
      <c r="L126" t="s">
        <v>421</v>
      </c>
      <c r="M126" t="s">
        <v>291</v>
      </c>
      <c r="N126" s="1"/>
      <c r="O126" s="1"/>
      <c r="P126" s="1"/>
      <c r="Q126">
        <v>1</v>
      </c>
      <c r="U126" t="s">
        <v>311</v>
      </c>
      <c r="V12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6" s="12" t="e">
        <f>_xlfn.XLOOKUP(Portefeuille_MNT_PPS_Access8[[#This Row],[Numéro projet]],Tableau5[Numéro projet],Tableau5[IND_Site_Prioritaire])</f>
        <v>#N/A</v>
      </c>
      <c r="X126" s="2" t="e">
        <f>_xlfn.XLOOKUP(Portefeuille_MNT_PPS_Access8[[#This Row],[Numéro projet]],Tableau5[Numéro projet],Tableau5[Critère Etat Infrastructure])</f>
        <v>#N/A</v>
      </c>
      <c r="Y12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6" s="2"/>
      <c r="AA126" s="63"/>
      <c r="AF126"/>
      <c r="AP126">
        <v>150</v>
      </c>
      <c r="AR126">
        <v>150</v>
      </c>
      <c r="AT126">
        <v>500</v>
      </c>
      <c r="AU126">
        <v>6800</v>
      </c>
      <c r="AZ126" s="14">
        <f>SUM(Portefeuille_MNT_PPS_Access8[[#This Row],[AC ANT]:[TR 2034]])</f>
        <v>7600</v>
      </c>
    </row>
    <row r="127" spans="2:52" hidden="1" x14ac:dyDescent="0.3">
      <c r="B127" t="s">
        <v>101</v>
      </c>
      <c r="C127" t="s">
        <v>102</v>
      </c>
      <c r="D127" t="s">
        <v>136</v>
      </c>
      <c r="F127" t="s">
        <v>20</v>
      </c>
      <c r="G127" t="s">
        <v>20</v>
      </c>
      <c r="H127" t="s">
        <v>105</v>
      </c>
      <c r="I127" t="s">
        <v>458</v>
      </c>
      <c r="J127" t="s">
        <v>459</v>
      </c>
      <c r="K127" t="s">
        <v>239</v>
      </c>
      <c r="L127" t="s">
        <v>421</v>
      </c>
      <c r="M127" t="s">
        <v>291</v>
      </c>
      <c r="N127" s="1"/>
      <c r="O127" s="1"/>
      <c r="P127" s="1"/>
      <c r="Q127">
        <v>1</v>
      </c>
      <c r="U127" t="s">
        <v>311</v>
      </c>
      <c r="V12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7" s="12" t="e">
        <f>_xlfn.XLOOKUP(Portefeuille_MNT_PPS_Access8[[#This Row],[Numéro projet]],Tableau5[Numéro projet],Tableau5[IND_Site_Prioritaire])</f>
        <v>#N/A</v>
      </c>
      <c r="X127" s="2" t="e">
        <f>_xlfn.XLOOKUP(Portefeuille_MNT_PPS_Access8[[#This Row],[Numéro projet]],Tableau5[Numéro projet],Tableau5[Critère Etat Infrastructure])</f>
        <v>#N/A</v>
      </c>
      <c r="Y12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7" s="2"/>
      <c r="AA127" s="63"/>
      <c r="AF127"/>
      <c r="AP127">
        <v>150</v>
      </c>
      <c r="AR127">
        <v>150</v>
      </c>
      <c r="AT127">
        <v>500</v>
      </c>
      <c r="AU127">
        <v>6500</v>
      </c>
      <c r="AZ127" s="14">
        <f>SUM(Portefeuille_MNT_PPS_Access8[[#This Row],[AC ANT]:[TR 2034]])</f>
        <v>7300</v>
      </c>
    </row>
    <row r="128" spans="2:52" hidden="1" x14ac:dyDescent="0.3">
      <c r="B128" t="s">
        <v>101</v>
      </c>
      <c r="C128" t="s">
        <v>102</v>
      </c>
      <c r="D128" t="s">
        <v>136</v>
      </c>
      <c r="F128" t="s">
        <v>20</v>
      </c>
      <c r="G128" t="s">
        <v>20</v>
      </c>
      <c r="H128" t="s">
        <v>105</v>
      </c>
      <c r="I128" t="s">
        <v>462</v>
      </c>
      <c r="J128" t="s">
        <v>463</v>
      </c>
      <c r="K128" t="s">
        <v>230</v>
      </c>
      <c r="L128" t="s">
        <v>421</v>
      </c>
      <c r="M128" t="s">
        <v>291</v>
      </c>
      <c r="N128" s="1"/>
      <c r="O128" s="1"/>
      <c r="P128" s="1"/>
      <c r="Q128">
        <v>1</v>
      </c>
      <c r="U128" t="s">
        <v>311</v>
      </c>
      <c r="V12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8" s="12" t="e">
        <f>_xlfn.XLOOKUP(Portefeuille_MNT_PPS_Access8[[#This Row],[Numéro projet]],Tableau5[Numéro projet],Tableau5[IND_Site_Prioritaire])</f>
        <v>#N/A</v>
      </c>
      <c r="X128" s="2" t="e">
        <f>_xlfn.XLOOKUP(Portefeuille_MNT_PPS_Access8[[#This Row],[Numéro projet]],Tableau5[Numéro projet],Tableau5[Critère Etat Infrastructure])</f>
        <v>#N/A</v>
      </c>
      <c r="Y12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8" s="2"/>
      <c r="AA128" s="63"/>
      <c r="AF128"/>
      <c r="AP128">
        <v>150</v>
      </c>
      <c r="AR128">
        <v>150</v>
      </c>
      <c r="AT128">
        <v>500</v>
      </c>
      <c r="AU128">
        <v>6800</v>
      </c>
      <c r="AZ128" s="14">
        <f>SUM(Portefeuille_MNT_PPS_Access8[[#This Row],[AC ANT]:[TR 2034]])</f>
        <v>7600</v>
      </c>
    </row>
    <row r="129" spans="2:52" hidden="1" x14ac:dyDescent="0.3">
      <c r="B129" t="s">
        <v>101</v>
      </c>
      <c r="C129" t="s">
        <v>102</v>
      </c>
      <c r="D129" t="s">
        <v>136</v>
      </c>
      <c r="F129" t="s">
        <v>20</v>
      </c>
      <c r="G129" t="s">
        <v>20</v>
      </c>
      <c r="H129" t="s">
        <v>105</v>
      </c>
      <c r="I129" t="s">
        <v>464</v>
      </c>
      <c r="J129" t="s">
        <v>465</v>
      </c>
      <c r="K129" t="s">
        <v>116</v>
      </c>
      <c r="L129" t="s">
        <v>421</v>
      </c>
      <c r="M129" t="s">
        <v>291</v>
      </c>
      <c r="N129" s="1"/>
      <c r="O129" s="1"/>
      <c r="P129" s="1"/>
      <c r="Q129">
        <v>1</v>
      </c>
      <c r="U129" t="s">
        <v>311</v>
      </c>
      <c r="V12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29" s="12" t="e">
        <f>_xlfn.XLOOKUP(Portefeuille_MNT_PPS_Access8[[#This Row],[Numéro projet]],Tableau5[Numéro projet],Tableau5[IND_Site_Prioritaire])</f>
        <v>#N/A</v>
      </c>
      <c r="X129" s="2" t="e">
        <f>_xlfn.XLOOKUP(Portefeuille_MNT_PPS_Access8[[#This Row],[Numéro projet]],Tableau5[Numéro projet],Tableau5[Critère Etat Infrastructure])</f>
        <v>#N/A</v>
      </c>
      <c r="Y12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29" s="2"/>
      <c r="AA129" s="63"/>
      <c r="AF129"/>
      <c r="AP129">
        <v>150</v>
      </c>
      <c r="AR129">
        <v>150</v>
      </c>
      <c r="AT129">
        <v>500</v>
      </c>
      <c r="AU129">
        <v>6800</v>
      </c>
      <c r="AZ129" s="14">
        <f>SUM(Portefeuille_MNT_PPS_Access8[[#This Row],[AC ANT]:[TR 2034]])</f>
        <v>7600</v>
      </c>
    </row>
    <row r="130" spans="2:52" hidden="1" x14ac:dyDescent="0.3">
      <c r="B130" t="s">
        <v>101</v>
      </c>
      <c r="C130" t="s">
        <v>102</v>
      </c>
      <c r="D130" t="s">
        <v>103</v>
      </c>
      <c r="F130" t="s">
        <v>20</v>
      </c>
      <c r="G130" t="s">
        <v>20</v>
      </c>
      <c r="H130" t="s">
        <v>105</v>
      </c>
      <c r="I130" t="s">
        <v>468</v>
      </c>
      <c r="J130" t="s">
        <v>469</v>
      </c>
      <c r="K130" t="s">
        <v>143</v>
      </c>
      <c r="L130" t="s">
        <v>421</v>
      </c>
      <c r="M130" t="s">
        <v>291</v>
      </c>
      <c r="N130" s="1"/>
      <c r="O130" s="1"/>
      <c r="P130" s="1"/>
      <c r="Q130">
        <v>1</v>
      </c>
      <c r="U130" t="s">
        <v>311</v>
      </c>
      <c r="V13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0" s="12" t="e">
        <f>_xlfn.XLOOKUP(Portefeuille_MNT_PPS_Access8[[#This Row],[Numéro projet]],Tableau5[Numéro projet],Tableau5[IND_Site_Prioritaire])</f>
        <v>#N/A</v>
      </c>
      <c r="X130" s="2" t="e">
        <f>_xlfn.XLOOKUP(Portefeuille_MNT_PPS_Access8[[#This Row],[Numéro projet]],Tableau5[Numéro projet],Tableau5[Critère Etat Infrastructure])</f>
        <v>#N/A</v>
      </c>
      <c r="Y13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0" s="2"/>
      <c r="AA130" s="63"/>
      <c r="AF130"/>
      <c r="AP130">
        <v>375</v>
      </c>
      <c r="AR130">
        <v>375</v>
      </c>
      <c r="AT130">
        <v>500</v>
      </c>
      <c r="AU130">
        <v>5000</v>
      </c>
      <c r="AV130">
        <v>500</v>
      </c>
      <c r="AW130">
        <v>12000</v>
      </c>
      <c r="AX130">
        <v>500</v>
      </c>
      <c r="AY130">
        <v>59000</v>
      </c>
      <c r="AZ130" s="14">
        <f>SUM(Portefeuille_MNT_PPS_Access8[[#This Row],[AC ANT]:[TR 2034]])</f>
        <v>78250</v>
      </c>
    </row>
    <row r="131" spans="2:52" hidden="1" x14ac:dyDescent="0.3">
      <c r="B131" t="s">
        <v>101</v>
      </c>
      <c r="C131" t="s">
        <v>102</v>
      </c>
      <c r="D131" t="s">
        <v>103</v>
      </c>
      <c r="F131" t="s">
        <v>20</v>
      </c>
      <c r="G131" t="s">
        <v>20</v>
      </c>
      <c r="H131" t="s">
        <v>105</v>
      </c>
      <c r="I131" t="s">
        <v>466</v>
      </c>
      <c r="J131" t="s">
        <v>467</v>
      </c>
      <c r="K131" t="s">
        <v>108</v>
      </c>
      <c r="L131" t="s">
        <v>392</v>
      </c>
      <c r="M131" t="s">
        <v>291</v>
      </c>
      <c r="N131" s="1"/>
      <c r="O131" s="1"/>
      <c r="P131" s="1"/>
      <c r="Q131">
        <v>1</v>
      </c>
      <c r="U131" t="s">
        <v>311</v>
      </c>
      <c r="V13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1" s="12" t="e">
        <f>_xlfn.XLOOKUP(Portefeuille_MNT_PPS_Access8[[#This Row],[Numéro projet]],Tableau5[Numéro projet],Tableau5[IND_Site_Prioritaire])</f>
        <v>#N/A</v>
      </c>
      <c r="X131" s="2" t="e">
        <f>_xlfn.XLOOKUP(Portefeuille_MNT_PPS_Access8[[#This Row],[Numéro projet]],Tableau5[Numéro projet],Tableau5[Critère Etat Infrastructure])</f>
        <v>#N/A</v>
      </c>
      <c r="Y13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1" s="2"/>
      <c r="AA131" s="63"/>
      <c r="AF131"/>
      <c r="AP131"/>
      <c r="AR131">
        <v>375</v>
      </c>
      <c r="AT131">
        <v>375</v>
      </c>
      <c r="AV131">
        <v>750</v>
      </c>
      <c r="AW131">
        <v>45000</v>
      </c>
      <c r="AZ131" s="14">
        <f>SUM(Portefeuille_MNT_PPS_Access8[[#This Row],[AC ANT]:[TR 2034]])</f>
        <v>46500</v>
      </c>
    </row>
    <row r="132" spans="2:52" hidden="1" x14ac:dyDescent="0.3">
      <c r="B132" t="s">
        <v>101</v>
      </c>
      <c r="C132" t="s">
        <v>102</v>
      </c>
      <c r="D132" t="s">
        <v>389</v>
      </c>
      <c r="F132" t="s">
        <v>20</v>
      </c>
      <c r="G132" t="s">
        <v>20</v>
      </c>
      <c r="H132" t="s">
        <v>105</v>
      </c>
      <c r="I132" t="s">
        <v>390</v>
      </c>
      <c r="J132" t="s">
        <v>391</v>
      </c>
      <c r="K132" t="s">
        <v>172</v>
      </c>
      <c r="L132" t="s">
        <v>392</v>
      </c>
      <c r="M132" t="s">
        <v>291</v>
      </c>
      <c r="N132" s="1"/>
      <c r="O132" s="1"/>
      <c r="P132" s="1"/>
      <c r="Q132">
        <v>1</v>
      </c>
      <c r="U132" t="s">
        <v>311</v>
      </c>
      <c r="V13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2" s="12" t="e">
        <f>_xlfn.XLOOKUP(Portefeuille_MNT_PPS_Access8[[#This Row],[Numéro projet]],Tableau5[Numéro projet],Tableau5[IND_Site_Prioritaire])</f>
        <v>#N/A</v>
      </c>
      <c r="X132" s="2" t="e">
        <f>_xlfn.XLOOKUP(Portefeuille_MNT_PPS_Access8[[#This Row],[Numéro projet]],Tableau5[Numéro projet],Tableau5[Critère Etat Infrastructure])</f>
        <v>#N/A</v>
      </c>
      <c r="Y13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2" s="2"/>
      <c r="AA132" s="63"/>
      <c r="AF132"/>
      <c r="AP132"/>
      <c r="AT132">
        <v>100</v>
      </c>
      <c r="AV132">
        <v>250</v>
      </c>
      <c r="AW132">
        <v>5000</v>
      </c>
      <c r="AZ132" s="14">
        <f>SUM(Portefeuille_MNT_PPS_Access8[[#This Row],[AC ANT]:[TR 2034]])</f>
        <v>5350</v>
      </c>
    </row>
    <row r="133" spans="2:52" hidden="1" x14ac:dyDescent="0.3">
      <c r="B133" t="s">
        <v>101</v>
      </c>
      <c r="C133" t="s">
        <v>102</v>
      </c>
      <c r="D133" t="s">
        <v>136</v>
      </c>
      <c r="F133" t="s">
        <v>20</v>
      </c>
      <c r="G133" t="s">
        <v>20</v>
      </c>
      <c r="H133" t="s">
        <v>105</v>
      </c>
      <c r="I133" t="s">
        <v>460</v>
      </c>
      <c r="J133" t="s">
        <v>461</v>
      </c>
      <c r="K133" t="s">
        <v>108</v>
      </c>
      <c r="L133" t="s">
        <v>395</v>
      </c>
      <c r="M133" t="s">
        <v>291</v>
      </c>
      <c r="N133" s="1"/>
      <c r="O133" s="1"/>
      <c r="P133" s="1"/>
      <c r="Q133">
        <v>1</v>
      </c>
      <c r="U133" t="s">
        <v>311</v>
      </c>
      <c r="V13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3" s="12" t="e">
        <f>_xlfn.XLOOKUP(Portefeuille_MNT_PPS_Access8[[#This Row],[Numéro projet]],Tableau5[Numéro projet],Tableau5[IND_Site_Prioritaire])</f>
        <v>#N/A</v>
      </c>
      <c r="X133" s="2" t="e">
        <f>_xlfn.XLOOKUP(Portefeuille_MNT_PPS_Access8[[#This Row],[Numéro projet]],Tableau5[Numéro projet],Tableau5[Critère Etat Infrastructure])</f>
        <v>#N/A</v>
      </c>
      <c r="Y13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3" s="2"/>
      <c r="AA133" s="63"/>
      <c r="AF133"/>
      <c r="AP133"/>
      <c r="AT133">
        <v>150</v>
      </c>
      <c r="AV133">
        <v>150</v>
      </c>
      <c r="AX133">
        <v>500</v>
      </c>
      <c r="AY133">
        <v>7400</v>
      </c>
      <c r="AZ133" s="14">
        <f>SUM(Portefeuille_MNT_PPS_Access8[[#This Row],[AC ANT]:[TR 2034]])</f>
        <v>8200</v>
      </c>
    </row>
    <row r="134" spans="2:52" hidden="1" x14ac:dyDescent="0.3">
      <c r="B134" t="s">
        <v>101</v>
      </c>
      <c r="C134" t="s">
        <v>102</v>
      </c>
      <c r="D134" t="s">
        <v>103</v>
      </c>
      <c r="F134" t="s">
        <v>20</v>
      </c>
      <c r="G134" t="s">
        <v>20</v>
      </c>
      <c r="H134" t="s">
        <v>105</v>
      </c>
      <c r="I134" t="s">
        <v>393</v>
      </c>
      <c r="J134" t="s">
        <v>394</v>
      </c>
      <c r="K134" t="s">
        <v>122</v>
      </c>
      <c r="L134" t="s">
        <v>395</v>
      </c>
      <c r="M134" t="s">
        <v>291</v>
      </c>
      <c r="N134" s="1"/>
      <c r="O134" s="1"/>
      <c r="P134" s="1"/>
      <c r="Q134">
        <v>1</v>
      </c>
      <c r="U134" t="s">
        <v>311</v>
      </c>
      <c r="V13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4" s="12" t="e">
        <f>_xlfn.XLOOKUP(Portefeuille_MNT_PPS_Access8[[#This Row],[Numéro projet]],Tableau5[Numéro projet],Tableau5[IND_Site_Prioritaire])</f>
        <v>#N/A</v>
      </c>
      <c r="X134" s="2" t="e">
        <f>_xlfn.XLOOKUP(Portefeuille_MNT_PPS_Access8[[#This Row],[Numéro projet]],Tableau5[Numéro projet],Tableau5[Critère Etat Infrastructure])</f>
        <v>#N/A</v>
      </c>
      <c r="Y13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4" s="2"/>
      <c r="AA134" s="63"/>
      <c r="AF134"/>
      <c r="AP134"/>
      <c r="AV134">
        <v>100</v>
      </c>
      <c r="AX134">
        <v>500</v>
      </c>
      <c r="AY134">
        <v>8000</v>
      </c>
      <c r="AZ134" s="14">
        <f>SUM(Portefeuille_MNT_PPS_Access8[[#This Row],[AC ANT]:[TR 2034]])</f>
        <v>8600</v>
      </c>
    </row>
    <row r="135" spans="2:52" hidden="1" x14ac:dyDescent="0.3">
      <c r="B135" t="s">
        <v>101</v>
      </c>
      <c r="C135" t="s">
        <v>102</v>
      </c>
      <c r="D135" t="s">
        <v>103</v>
      </c>
      <c r="F135" t="s">
        <v>20</v>
      </c>
      <c r="G135" t="s">
        <v>20</v>
      </c>
      <c r="H135" t="s">
        <v>105</v>
      </c>
      <c r="I135" t="s">
        <v>446</v>
      </c>
      <c r="J135" t="s">
        <v>447</v>
      </c>
      <c r="K135" t="s">
        <v>168</v>
      </c>
      <c r="L135" t="s">
        <v>395</v>
      </c>
      <c r="M135" t="s">
        <v>291</v>
      </c>
      <c r="N135" s="1"/>
      <c r="O135" s="1"/>
      <c r="P135" s="1"/>
      <c r="Q135">
        <v>1</v>
      </c>
      <c r="U135" t="s">
        <v>311</v>
      </c>
      <c r="V13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5" s="12" t="e">
        <f>_xlfn.XLOOKUP(Portefeuille_MNT_PPS_Access8[[#This Row],[Numéro projet]],Tableau5[Numéro projet],Tableau5[IND_Site_Prioritaire])</f>
        <v>#N/A</v>
      </c>
      <c r="X135" s="2" t="e">
        <f>_xlfn.XLOOKUP(Portefeuille_MNT_PPS_Access8[[#This Row],[Numéro projet]],Tableau5[Numéro projet],Tableau5[Critère Etat Infrastructure])</f>
        <v>#N/A</v>
      </c>
      <c r="Y135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5" s="2"/>
      <c r="AA135" s="63"/>
      <c r="AF135"/>
      <c r="AP135"/>
      <c r="AT135">
        <v>150</v>
      </c>
      <c r="AV135">
        <v>150</v>
      </c>
      <c r="AX135">
        <v>600</v>
      </c>
      <c r="AY135">
        <v>12000</v>
      </c>
      <c r="AZ135" s="14">
        <f>SUM(Portefeuille_MNT_PPS_Access8[[#This Row],[AC ANT]:[TR 2034]])</f>
        <v>12900</v>
      </c>
    </row>
    <row r="136" spans="2:52" hidden="1" x14ac:dyDescent="0.3">
      <c r="B136" t="s">
        <v>118</v>
      </c>
      <c r="C136" t="s">
        <v>102</v>
      </c>
      <c r="D136" t="s">
        <v>103</v>
      </c>
      <c r="E136" t="s">
        <v>104</v>
      </c>
      <c r="F136" t="s">
        <v>16</v>
      </c>
      <c r="G136" t="s">
        <v>16</v>
      </c>
      <c r="H136" t="s">
        <v>131</v>
      </c>
      <c r="I136" t="s">
        <v>319</v>
      </c>
      <c r="J136" t="s">
        <v>320</v>
      </c>
      <c r="K136" t="s">
        <v>159</v>
      </c>
      <c r="M136" t="s">
        <v>164</v>
      </c>
      <c r="N136" s="1">
        <v>44063</v>
      </c>
      <c r="O136" s="1">
        <v>44488</v>
      </c>
      <c r="P136" s="1">
        <v>44602</v>
      </c>
      <c r="Q136">
        <v>1</v>
      </c>
      <c r="R136">
        <v>5</v>
      </c>
      <c r="S136">
        <v>5</v>
      </c>
      <c r="T136">
        <v>5</v>
      </c>
      <c r="U136" t="s">
        <v>165</v>
      </c>
      <c r="V136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136" s="12" t="e">
        <f>_xlfn.XLOOKUP(Portefeuille_MNT_PPS_Access8[[#This Row],[Numéro projet]],Tableau5[Numéro projet],Tableau5[IND_Site_Prioritaire])</f>
        <v>#N/A</v>
      </c>
      <c r="X136" s="2" t="e">
        <f>_xlfn.XLOOKUP(Portefeuille_MNT_PPS_Access8[[#This Row],[Numéro projet]],Tableau5[Numéro projet],Tableau5[Critère Etat Infrastructure])</f>
        <v>#N/A</v>
      </c>
      <c r="Y136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6" s="2"/>
      <c r="AA136" s="63"/>
      <c r="AB136">
        <v>334</v>
      </c>
      <c r="AC136">
        <v>5521</v>
      </c>
      <c r="AD136">
        <v>52</v>
      </c>
      <c r="AF136"/>
      <c r="AP136"/>
      <c r="AZ136" s="14">
        <f>SUM(Portefeuille_MNT_PPS_Access8[[#This Row],[AC ANT]:[TR 2034]])</f>
        <v>5907</v>
      </c>
    </row>
    <row r="137" spans="2:52" hidden="1" x14ac:dyDescent="0.3">
      <c r="B137" t="s">
        <v>101</v>
      </c>
      <c r="C137" t="s">
        <v>102</v>
      </c>
      <c r="D137" t="s">
        <v>103</v>
      </c>
      <c r="E137" t="s">
        <v>104</v>
      </c>
      <c r="F137" t="s">
        <v>16</v>
      </c>
      <c r="G137" t="s">
        <v>16</v>
      </c>
      <c r="H137" t="s">
        <v>105</v>
      </c>
      <c r="I137" t="s">
        <v>305</v>
      </c>
      <c r="J137" t="s">
        <v>306</v>
      </c>
      <c r="K137" t="s">
        <v>302</v>
      </c>
      <c r="M137" t="s">
        <v>164</v>
      </c>
      <c r="N137" s="1">
        <v>43612</v>
      </c>
      <c r="O137" s="1">
        <v>44098</v>
      </c>
      <c r="P137" s="1">
        <v>44188</v>
      </c>
      <c r="Q137">
        <v>1</v>
      </c>
      <c r="R137">
        <v>5</v>
      </c>
      <c r="S137">
        <v>5</v>
      </c>
      <c r="T137">
        <v>5</v>
      </c>
      <c r="U137" t="s">
        <v>165</v>
      </c>
      <c r="V137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137" s="12" t="e">
        <f>_xlfn.XLOOKUP(Portefeuille_MNT_PPS_Access8[[#This Row],[Numéro projet]],Tableau5[Numéro projet],Tableau5[IND_Site_Prioritaire])</f>
        <v>#N/A</v>
      </c>
      <c r="X137" s="2" t="e">
        <f>_xlfn.XLOOKUP(Portefeuille_MNT_PPS_Access8[[#This Row],[Numéro projet]],Tableau5[Numéro projet],Tableau5[Critère Etat Infrastructure])</f>
        <v>#N/A</v>
      </c>
      <c r="Y137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7" s="2"/>
      <c r="AA137" s="62"/>
      <c r="AB137">
        <v>640</v>
      </c>
      <c r="AC137">
        <v>6783</v>
      </c>
      <c r="AD137">
        <v>20</v>
      </c>
      <c r="AF137"/>
      <c r="AP137"/>
      <c r="AZ137" s="14">
        <f>SUM(Portefeuille_MNT_PPS_Access8[[#This Row],[AC ANT]:[TR 2034]])</f>
        <v>7443</v>
      </c>
    </row>
    <row r="138" spans="2:52" hidden="1" x14ac:dyDescent="0.3">
      <c r="B138" t="s">
        <v>126</v>
      </c>
      <c r="C138" t="s">
        <v>127</v>
      </c>
      <c r="D138" t="s">
        <v>136</v>
      </c>
      <c r="E138" t="s">
        <v>104</v>
      </c>
      <c r="F138" t="s">
        <v>16</v>
      </c>
      <c r="G138" t="s">
        <v>16</v>
      </c>
      <c r="H138" t="s">
        <v>131</v>
      </c>
      <c r="I138" t="s">
        <v>307</v>
      </c>
      <c r="J138" t="s">
        <v>308</v>
      </c>
      <c r="K138" t="s">
        <v>159</v>
      </c>
      <c r="M138" t="s">
        <v>164</v>
      </c>
      <c r="N138" s="1"/>
      <c r="O138" s="1">
        <v>42992</v>
      </c>
      <c r="P138" s="1">
        <v>43783</v>
      </c>
      <c r="Q138">
        <v>1</v>
      </c>
      <c r="R138">
        <v>5</v>
      </c>
      <c r="S138">
        <v>5</v>
      </c>
      <c r="U138" t="s">
        <v>165</v>
      </c>
      <c r="V138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138" s="12" t="e">
        <f>_xlfn.XLOOKUP(Portefeuille_MNT_PPS_Access8[[#This Row],[Numéro projet]],Tableau5[Numéro projet],Tableau5[IND_Site_Prioritaire])</f>
        <v>#N/A</v>
      </c>
      <c r="X138" s="2" t="e">
        <f>_xlfn.XLOOKUP(Portefeuille_MNT_PPS_Access8[[#This Row],[Numéro projet]],Tableau5[Numéro projet],Tableau5[Critère Etat Infrastructure])</f>
        <v>#N/A</v>
      </c>
      <c r="Y138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8" s="2"/>
      <c r="AA138" s="63"/>
      <c r="AB138">
        <v>2779</v>
      </c>
      <c r="AC138">
        <v>15336</v>
      </c>
      <c r="AD138">
        <v>119</v>
      </c>
      <c r="AF138"/>
      <c r="AP138"/>
      <c r="AZ138" s="14">
        <f>SUM(Portefeuille_MNT_PPS_Access8[[#This Row],[AC ANT]:[TR 2034]])</f>
        <v>18234</v>
      </c>
    </row>
    <row r="139" spans="2:52" hidden="1" x14ac:dyDescent="0.3">
      <c r="B139" t="s">
        <v>118</v>
      </c>
      <c r="C139" t="s">
        <v>102</v>
      </c>
      <c r="D139" t="s">
        <v>103</v>
      </c>
      <c r="F139" t="s">
        <v>16</v>
      </c>
      <c r="G139" t="s">
        <v>16</v>
      </c>
      <c r="H139" t="s">
        <v>131</v>
      </c>
      <c r="I139" t="s">
        <v>317</v>
      </c>
      <c r="J139" t="s">
        <v>318</v>
      </c>
      <c r="K139" t="s">
        <v>187</v>
      </c>
      <c r="M139" t="s">
        <v>291</v>
      </c>
      <c r="N139" s="1"/>
      <c r="O139" s="1"/>
      <c r="P139" s="1"/>
      <c r="Q139">
        <v>1</v>
      </c>
      <c r="U139" t="s">
        <v>311</v>
      </c>
      <c r="V139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39" s="12" t="e">
        <f>_xlfn.XLOOKUP(Portefeuille_MNT_PPS_Access8[[#This Row],[Numéro projet]],Tableau5[Numéro projet],Tableau5[IND_Site_Prioritaire])</f>
        <v>#N/A</v>
      </c>
      <c r="X139" s="2" t="e">
        <f>_xlfn.XLOOKUP(Portefeuille_MNT_PPS_Access8[[#This Row],[Numéro projet]],Tableau5[Numéro projet],Tableau5[Critère Etat Infrastructure])</f>
        <v>#N/A</v>
      </c>
      <c r="Y139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39" s="2"/>
      <c r="AA139" s="62"/>
      <c r="AB139">
        <v>676</v>
      </c>
      <c r="AC139">
        <v>7943</v>
      </c>
      <c r="AD139">
        <v>41</v>
      </c>
      <c r="AF139"/>
      <c r="AP139"/>
      <c r="AZ139" s="14">
        <f>SUM(Portefeuille_MNT_PPS_Access8[[#This Row],[AC ANT]:[TR 2034]])</f>
        <v>8660</v>
      </c>
    </row>
    <row r="140" spans="2:52" hidden="1" x14ac:dyDescent="0.3">
      <c r="B140" t="s">
        <v>118</v>
      </c>
      <c r="C140" t="s">
        <v>102</v>
      </c>
      <c r="D140" t="s">
        <v>103</v>
      </c>
      <c r="F140" t="s">
        <v>16</v>
      </c>
      <c r="G140" t="s">
        <v>16</v>
      </c>
      <c r="H140" t="s">
        <v>131</v>
      </c>
      <c r="I140" t="s">
        <v>321</v>
      </c>
      <c r="J140" t="s">
        <v>322</v>
      </c>
      <c r="K140" t="s">
        <v>147</v>
      </c>
      <c r="M140" t="s">
        <v>291</v>
      </c>
      <c r="N140" s="1"/>
      <c r="O140" s="1"/>
      <c r="P140" s="1"/>
      <c r="Q140">
        <v>1</v>
      </c>
      <c r="U140" t="s">
        <v>311</v>
      </c>
      <c r="V140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40" s="12" t="e">
        <f>_xlfn.XLOOKUP(Portefeuille_MNT_PPS_Access8[[#This Row],[Numéro projet]],Tableau5[Numéro projet],Tableau5[IND_Site_Prioritaire])</f>
        <v>#N/A</v>
      </c>
      <c r="X140" s="2" t="e">
        <f>_xlfn.XLOOKUP(Portefeuille_MNT_PPS_Access8[[#This Row],[Numéro projet]],Tableau5[Numéro projet],Tableau5[Critère Etat Infrastructure])</f>
        <v>#N/A</v>
      </c>
      <c r="Y140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40" s="2"/>
      <c r="AA140" s="63"/>
      <c r="AB140">
        <v>468</v>
      </c>
      <c r="AC140">
        <v>4580</v>
      </c>
      <c r="AD140">
        <v>8</v>
      </c>
      <c r="AF140"/>
      <c r="AP140"/>
      <c r="AZ140" s="14">
        <f>SUM(Portefeuille_MNT_PPS_Access8[[#This Row],[AC ANT]:[TR 2034]])</f>
        <v>5056</v>
      </c>
    </row>
    <row r="141" spans="2:52" hidden="1" x14ac:dyDescent="0.3">
      <c r="B141" t="s">
        <v>101</v>
      </c>
      <c r="C141" t="s">
        <v>102</v>
      </c>
      <c r="D141" t="s">
        <v>200</v>
      </c>
      <c r="F141" t="s">
        <v>16</v>
      </c>
      <c r="G141" t="s">
        <v>16</v>
      </c>
      <c r="H141" t="s">
        <v>131</v>
      </c>
      <c r="I141" t="s">
        <v>328</v>
      </c>
      <c r="J141" t="s">
        <v>329</v>
      </c>
      <c r="K141" t="s">
        <v>152</v>
      </c>
      <c r="M141" t="s">
        <v>291</v>
      </c>
      <c r="N141" s="1"/>
      <c r="O141" s="1"/>
      <c r="P141" s="1"/>
      <c r="Q141">
        <v>1</v>
      </c>
      <c r="U141" t="s">
        <v>311</v>
      </c>
      <c r="V141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41" s="12" t="e">
        <f>_xlfn.XLOOKUP(Portefeuille_MNT_PPS_Access8[[#This Row],[Numéro projet]],Tableau5[Numéro projet],Tableau5[IND_Site_Prioritaire])</f>
        <v>#N/A</v>
      </c>
      <c r="X141" s="2" t="e">
        <f>_xlfn.XLOOKUP(Portefeuille_MNT_PPS_Access8[[#This Row],[Numéro projet]],Tableau5[Numéro projet],Tableau5[Critère Etat Infrastructure])</f>
        <v>#N/A</v>
      </c>
      <c r="Y141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41" s="2"/>
      <c r="AA141" s="63"/>
      <c r="AB141">
        <v>186</v>
      </c>
      <c r="AC141">
        <v>3019</v>
      </c>
      <c r="AD141">
        <v>9</v>
      </c>
      <c r="AF141"/>
      <c r="AP141"/>
      <c r="AZ141" s="14">
        <f>SUM(Portefeuille_MNT_PPS_Access8[[#This Row],[AC ANT]:[TR 2034]])</f>
        <v>3214</v>
      </c>
    </row>
    <row r="142" spans="2:52" hidden="1" x14ac:dyDescent="0.3">
      <c r="B142" t="s">
        <v>101</v>
      </c>
      <c r="C142" t="s">
        <v>102</v>
      </c>
      <c r="D142" t="s">
        <v>103</v>
      </c>
      <c r="F142" t="s">
        <v>16</v>
      </c>
      <c r="G142" t="s">
        <v>325</v>
      </c>
      <c r="H142" t="s">
        <v>131</v>
      </c>
      <c r="I142" t="s">
        <v>326</v>
      </c>
      <c r="J142" t="s">
        <v>327</v>
      </c>
      <c r="K142" t="s">
        <v>183</v>
      </c>
      <c r="M142" t="s">
        <v>291</v>
      </c>
      <c r="N142" s="1"/>
      <c r="O142" s="1"/>
      <c r="P142" s="1"/>
      <c r="Q142">
        <v>1</v>
      </c>
      <c r="U142" t="s">
        <v>311</v>
      </c>
      <c r="V142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42" s="12" t="e">
        <f>_xlfn.XLOOKUP(Portefeuille_MNT_PPS_Access8[[#This Row],[Numéro projet]],Tableau5[Numéro projet],Tableau5[IND_Site_Prioritaire])</f>
        <v>#N/A</v>
      </c>
      <c r="X142" s="2" t="e">
        <f>_xlfn.XLOOKUP(Portefeuille_MNT_PPS_Access8[[#This Row],[Numéro projet]],Tableau5[Numéro projet],Tableau5[Critère Etat Infrastructure])</f>
        <v>#N/A</v>
      </c>
      <c r="Y142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42" s="2"/>
      <c r="AA142" s="63"/>
      <c r="AB142">
        <v>595</v>
      </c>
      <c r="AC142">
        <v>3578</v>
      </c>
      <c r="AD142">
        <v>1</v>
      </c>
      <c r="AF142"/>
      <c r="AP142"/>
      <c r="AZ142" s="14">
        <f>SUM(Portefeuille_MNT_PPS_Access8[[#This Row],[AC ANT]:[TR 2034]])</f>
        <v>4174</v>
      </c>
    </row>
    <row r="143" spans="2:52" hidden="1" x14ac:dyDescent="0.3">
      <c r="B143" t="s">
        <v>126</v>
      </c>
      <c r="C143" t="s">
        <v>127</v>
      </c>
      <c r="D143" t="s">
        <v>136</v>
      </c>
      <c r="E143" t="s">
        <v>113</v>
      </c>
      <c r="F143" t="s">
        <v>16</v>
      </c>
      <c r="G143" t="s">
        <v>16</v>
      </c>
      <c r="H143" t="s">
        <v>105</v>
      </c>
      <c r="I143" t="s">
        <v>358</v>
      </c>
      <c r="J143" t="s">
        <v>359</v>
      </c>
      <c r="K143" t="s">
        <v>108</v>
      </c>
      <c r="M143" t="s">
        <v>164</v>
      </c>
      <c r="N143" s="1"/>
      <c r="O143" s="1">
        <v>42383</v>
      </c>
      <c r="P143" s="1">
        <v>43404</v>
      </c>
      <c r="Q143">
        <v>1</v>
      </c>
      <c r="R143">
        <v>5</v>
      </c>
      <c r="S143">
        <v>5</v>
      </c>
      <c r="U143" t="s">
        <v>165</v>
      </c>
      <c r="V143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7</v>
      </c>
      <c r="W143" s="12" t="e">
        <f>_xlfn.XLOOKUP(Portefeuille_MNT_PPS_Access8[[#This Row],[Numéro projet]],Tableau5[Numéro projet],Tableau5[IND_Site_Prioritaire])</f>
        <v>#N/A</v>
      </c>
      <c r="X143" s="2" t="e">
        <f>_xlfn.XLOOKUP(Portefeuille_MNT_PPS_Access8[[#This Row],[Numéro projet]],Tableau5[Numéro projet],Tableau5[Critère Etat Infrastructure])</f>
        <v>#N/A</v>
      </c>
      <c r="Y143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43" s="2"/>
      <c r="AA143" s="63"/>
      <c r="AB143">
        <v>2099</v>
      </c>
      <c r="AC143">
        <v>8991</v>
      </c>
      <c r="AD143">
        <v>122</v>
      </c>
      <c r="AF143"/>
      <c r="AP143"/>
      <c r="AZ143" s="14">
        <f>SUM(Portefeuille_MNT_PPS_Access8[[#This Row],[AC ANT]:[TR 2034]])</f>
        <v>11212</v>
      </c>
    </row>
    <row r="144" spans="2:52" hidden="1" x14ac:dyDescent="0.3">
      <c r="B144" t="s">
        <v>101</v>
      </c>
      <c r="C144" t="s">
        <v>102</v>
      </c>
      <c r="D144" t="s">
        <v>103</v>
      </c>
      <c r="F144" t="s">
        <v>16</v>
      </c>
      <c r="G144" t="s">
        <v>16</v>
      </c>
      <c r="H144" t="s">
        <v>105</v>
      </c>
      <c r="I144" t="s">
        <v>309</v>
      </c>
      <c r="J144" t="s">
        <v>310</v>
      </c>
      <c r="K144" t="s">
        <v>108</v>
      </c>
      <c r="M144" t="s">
        <v>291</v>
      </c>
      <c r="N144" s="1"/>
      <c r="O144" s="1"/>
      <c r="P144" s="1"/>
      <c r="Q144">
        <v>1</v>
      </c>
      <c r="U144" t="s">
        <v>311</v>
      </c>
      <c r="V144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0</v>
      </c>
      <c r="W144" s="12" t="e">
        <f>_xlfn.XLOOKUP(Portefeuille_MNT_PPS_Access8[[#This Row],[Numéro projet]],Tableau5[Numéro projet],Tableau5[IND_Site_Prioritaire])</f>
        <v>#N/A</v>
      </c>
      <c r="X144" s="2" t="e">
        <f>_xlfn.XLOOKUP(Portefeuille_MNT_PPS_Access8[[#This Row],[Numéro projet]],Tableau5[Numéro projet],Tableau5[Critère Etat Infrastructure])</f>
        <v>#N/A</v>
      </c>
      <c r="Y144" s="12" t="e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#N/A</v>
      </c>
      <c r="Z144" s="2"/>
      <c r="AA144" s="63"/>
      <c r="AB144">
        <v>467</v>
      </c>
      <c r="AC144">
        <v>5053</v>
      </c>
      <c r="AD144">
        <v>27</v>
      </c>
      <c r="AF144"/>
      <c r="AP144"/>
      <c r="AZ144" s="14">
        <f>SUM(Portefeuille_MNT_PPS_Access8[[#This Row],[AC ANT]:[TR 2034]])</f>
        <v>5547</v>
      </c>
    </row>
    <row r="145" spans="1:54" hidden="1" x14ac:dyDescent="0.3">
      <c r="B145" t="s">
        <v>101</v>
      </c>
      <c r="C145" t="s">
        <v>102</v>
      </c>
      <c r="D145" t="s">
        <v>200</v>
      </c>
      <c r="E145" t="s">
        <v>104</v>
      </c>
      <c r="F145" t="s">
        <v>16</v>
      </c>
      <c r="G145" t="s">
        <v>20</v>
      </c>
      <c r="H145" t="s">
        <v>105</v>
      </c>
      <c r="I145">
        <v>154180023</v>
      </c>
      <c r="J145" t="s">
        <v>202</v>
      </c>
      <c r="K145" t="s">
        <v>108</v>
      </c>
      <c r="M145" t="s">
        <v>155</v>
      </c>
      <c r="N145" s="1"/>
      <c r="O145" s="1"/>
      <c r="P145" s="1"/>
      <c r="Q145">
        <v>1</v>
      </c>
      <c r="U145" t="s">
        <v>156</v>
      </c>
      <c r="V145" s="2" t="str">
        <f>IF(AND(Portefeuille_MNT_PPS_Access8[[#This Row],[Année DÉBUT Travaux prévu]]&gt;=2024,Portefeuille_MNT_PPS_Access8[[#This Row],[IND_PC5_TR2025]]=5),5,IF(AND(Portefeuille_MNT_PPS_Access8[[#This Row],[Année DÉBUT Travaux prévu]]&gt;=2026,Portefeuille_MNT_PPS_Access8[[#This Row],[IND_PC3_TR2026]]=5),5,Portefeuille_MNT_PPS_Access8[[#This Row],[IND_Etat_avancement]]))</f>
        <v>1</v>
      </c>
      <c r="W145" s="12">
        <f>_xlfn.XLOOKUP(Portefeuille_MNT_PPS_Access8[[#This Row],[Numéro projet]],Tableau5[Numéro projet],Tableau5[IND_Site_Prioritaire])</f>
        <v>4</v>
      </c>
      <c r="X145" s="2">
        <f>_xlfn.XLOOKUP(Portefeuille_MNT_PPS_Access8[[#This Row],[Numéro projet]],Tableau5[Numéro projet],Tableau5[Critère Etat Infrastructure])</f>
        <v>0</v>
      </c>
      <c r="Y145" s="12">
        <f>IF(Portefeuille_MNT_PPS_Access8[[#This Row],[IND_Parachèvement]]=5,100, SUM(Portefeuille_MNT_PPS_Access8[[#This Row],[Critère PC Atteint]]*$Y$8/5, Portefeuille_MNT_PPS_Access8[[#This Row],[Critère Etat Infrastructure]]*$Y$10/5,Portefeuille_MNT_PPS_Access8[[#This Row],[Site prioritaire]]* $Y$9/5, Portefeuille_MNT_PPS_Access8[[#This Row],[IND_PROJT_ANNONCE]]*$Y$7/5)*100)</f>
        <v>30</v>
      </c>
      <c r="Z145" s="2"/>
      <c r="AA145" s="63"/>
      <c r="AB145">
        <v>277</v>
      </c>
      <c r="AC145">
        <v>4</v>
      </c>
      <c r="AF145"/>
      <c r="AH145">
        <v>127</v>
      </c>
      <c r="AJ145">
        <v>125</v>
      </c>
      <c r="AL145">
        <v>471</v>
      </c>
      <c r="AP145"/>
      <c r="AZ145" s="14">
        <f>SUM(Portefeuille_MNT_PPS_Access8[[#This Row],[AC ANT]:[TR 2034]])</f>
        <v>1004</v>
      </c>
    </row>
    <row r="146" spans="1:54" x14ac:dyDescent="0.3">
      <c r="A146">
        <f>SUBTOTAL(103,Portefeuille_MNT_PPS_Access8[NUM_PRIRT_DG])</f>
        <v>3</v>
      </c>
      <c r="I146">
        <f>SUBTOTAL(103,Portefeuille_MNT_PPS_Access8[Numéro projet])</f>
        <v>12</v>
      </c>
      <c r="AA146" s="13"/>
      <c r="AB146" s="57">
        <f>SUBTOTAL(109,Portefeuille_MNT_PPS_Access8[AC ANT])</f>
        <v>1833</v>
      </c>
      <c r="AC146" s="57">
        <f>SUBTOTAL(109,Portefeuille_MNT_PPS_Access8[TR ANT])</f>
        <v>8882</v>
      </c>
      <c r="AD146" s="57">
        <f>SUBTOTAL(109,Portefeuille_MNT_PPS_Access8[AC 2024])</f>
        <v>2101</v>
      </c>
      <c r="AE146" s="57">
        <f>SUBTOTAL(109,Portefeuille_MNT_PPS_Access8[TR 2024])</f>
        <v>5979</v>
      </c>
      <c r="AF146" s="57">
        <f>SUBTOTAL(109,Portefeuille_MNT_PPS_Access8[AC 2025])</f>
        <v>1678</v>
      </c>
      <c r="AG146" s="57">
        <f>SUBTOTAL(109,Portefeuille_MNT_PPS_Access8[TR 2025])</f>
        <v>1212</v>
      </c>
      <c r="AH146" s="57">
        <f>SUBTOTAL(109,Portefeuille_MNT_PPS_Access8[AC 2026])</f>
        <v>1863</v>
      </c>
      <c r="AI146" s="57">
        <f>SUBTOTAL(109,Portefeuille_MNT_PPS_Access8[TR 2026])</f>
        <v>1462</v>
      </c>
      <c r="AJ146" s="57">
        <f>SUBTOTAL(109,Portefeuille_MNT_PPS_Access8[AC 2027])</f>
        <v>2016</v>
      </c>
      <c r="AK146" s="57">
        <f>SUBTOTAL(109,Portefeuille_MNT_PPS_Access8[TR 2027])</f>
        <v>6401</v>
      </c>
      <c r="AL146" s="57">
        <f>SUBTOTAL(109,Portefeuille_MNT_PPS_Access8[AC 2028])</f>
        <v>1006</v>
      </c>
      <c r="AM146" s="57">
        <f>SUBTOTAL(109,Portefeuille_MNT_PPS_Access8[TR 2028])</f>
        <v>14101</v>
      </c>
      <c r="AN146" s="57">
        <f>SUBTOTAL(109,Portefeuille_MNT_PPS_Access8[AC 2029])</f>
        <v>1134</v>
      </c>
      <c r="AO146" s="57">
        <f>SUBTOTAL(109,Portefeuille_MNT_PPS_Access8[TR 2029])</f>
        <v>15666</v>
      </c>
      <c r="AP146" s="57">
        <f>SUBTOTAL(109,Portefeuille_MNT_PPS_Access8[AC 2030])</f>
        <v>625</v>
      </c>
      <c r="AQ146" s="57">
        <f>SUBTOTAL(109,Portefeuille_MNT_PPS_Access8[TR 2030])</f>
        <v>22762</v>
      </c>
      <c r="AR146" s="57">
        <f>SUBTOTAL(109,Portefeuille_MNT_PPS_Access8[AC 2031])</f>
        <v>100</v>
      </c>
      <c r="AS146" s="57">
        <f>SUBTOTAL(109,Portefeuille_MNT_PPS_Access8[TR 2031])</f>
        <v>0</v>
      </c>
      <c r="AT146" s="57">
        <f>SUBTOTAL(109,Portefeuille_MNT_PPS_Access8[AC 2032])</f>
        <v>0</v>
      </c>
      <c r="AU146" s="57">
        <f>SUBTOTAL(109,Portefeuille_MNT_PPS_Access8[TR 2032])</f>
        <v>0</v>
      </c>
      <c r="AV146" s="57">
        <f>SUBTOTAL(109,Portefeuille_MNT_PPS_Access8[AC 2033])</f>
        <v>0</v>
      </c>
      <c r="AW146" s="57">
        <f>SUBTOTAL(109,Portefeuille_MNT_PPS_Access8[TR 2033])</f>
        <v>0</v>
      </c>
      <c r="AX146" s="57">
        <f>SUBTOTAL(109,Portefeuille_MNT_PPS_Access8[AC 2034])</f>
        <v>0</v>
      </c>
      <c r="AY146" s="57">
        <f>SUBTOTAL(109,Portefeuille_MNT_PPS_Access8[TR 2034])</f>
        <v>0</v>
      </c>
      <c r="AZ146" s="14">
        <f>SUBTOTAL(109,Portefeuille_MNT_PPS_Access8[Total Projet])</f>
        <v>88821</v>
      </c>
    </row>
    <row r="148" spans="1:54" x14ac:dyDescent="0.3"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</row>
  </sheetData>
  <mergeCells count="168">
    <mergeCell ref="AT15:AU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N16:AO16"/>
    <mergeCell ref="AP16:AQ16"/>
    <mergeCell ref="AR16:AS16"/>
    <mergeCell ref="AT16:AU16"/>
    <mergeCell ref="AV16:AW16"/>
    <mergeCell ref="AX16:AY16"/>
    <mergeCell ref="AB16:AC16"/>
    <mergeCell ref="AD16:AE16"/>
    <mergeCell ref="AF16:AG16"/>
    <mergeCell ref="AH16:AI16"/>
    <mergeCell ref="AJ16:AK16"/>
    <mergeCell ref="AL16:AM16"/>
    <mergeCell ref="AV13:AW13"/>
    <mergeCell ref="AX13:AY13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V14:AW14"/>
    <mergeCell ref="AX14:AY14"/>
    <mergeCell ref="AV15:AW15"/>
    <mergeCell ref="AX15:AY15"/>
    <mergeCell ref="AR14:AS14"/>
    <mergeCell ref="AT14:AU14"/>
    <mergeCell ref="AB12:AC12"/>
    <mergeCell ref="AD12:AE12"/>
    <mergeCell ref="AF12:AG12"/>
    <mergeCell ref="AH12:AI12"/>
    <mergeCell ref="AJ12:AK12"/>
    <mergeCell ref="AX12:AY12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L12:AM12"/>
    <mergeCell ref="AN12:AO12"/>
    <mergeCell ref="AP12:AQ12"/>
    <mergeCell ref="AR12:AS12"/>
    <mergeCell ref="AT12:AU12"/>
    <mergeCell ref="AV12:AW12"/>
    <mergeCell ref="AT10:AU10"/>
    <mergeCell ref="AV10:AW10"/>
    <mergeCell ref="AX10:AY10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8:AU8"/>
    <mergeCell ref="AV8:AW8"/>
    <mergeCell ref="AX8:AY8"/>
    <mergeCell ref="AB9:AC9"/>
    <mergeCell ref="AD9:AE9"/>
    <mergeCell ref="AF9:AG9"/>
    <mergeCell ref="AH9:AI9"/>
    <mergeCell ref="AJ9:AK9"/>
    <mergeCell ref="AX9:AY9"/>
    <mergeCell ref="AL9:AM9"/>
    <mergeCell ref="AN9:AO9"/>
    <mergeCell ref="AP9:AQ9"/>
    <mergeCell ref="AR9:AS9"/>
    <mergeCell ref="AT9:AU9"/>
    <mergeCell ref="AV9:AW9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B6:AC6"/>
    <mergeCell ref="AD6:AE6"/>
    <mergeCell ref="AF6:AG6"/>
    <mergeCell ref="AH6:AI6"/>
    <mergeCell ref="AJ6:AK6"/>
    <mergeCell ref="AX6:AY6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L6:AM6"/>
    <mergeCell ref="AN6:AO6"/>
    <mergeCell ref="AP6:AQ6"/>
    <mergeCell ref="AR6:AS6"/>
    <mergeCell ref="AT6:AU6"/>
    <mergeCell ref="AV6:AW6"/>
    <mergeCell ref="AT7:AU7"/>
    <mergeCell ref="AV7:AW7"/>
    <mergeCell ref="AX7:AY7"/>
    <mergeCell ref="AX4:AY4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G3:H3"/>
    <mergeCell ref="AB3:AC3"/>
    <mergeCell ref="AD3:AE3"/>
    <mergeCell ref="AF3:AG3"/>
    <mergeCell ref="AH3:AI3"/>
    <mergeCell ref="AJ3:AK3"/>
    <mergeCell ref="AX3:AY3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L3:AM3"/>
    <mergeCell ref="AN3:AO3"/>
    <mergeCell ref="AP3:AQ3"/>
    <mergeCell ref="AR3:AS3"/>
    <mergeCell ref="AT3:AU3"/>
    <mergeCell ref="AV3:AW3"/>
    <mergeCell ref="AT4:AU4"/>
    <mergeCell ref="AV4:AW4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6F4FCB1-A890-408E-B3A2-B4869CFFADA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V19:W145</xm:sqref>
        </x14:conditionalFormatting>
        <x14:conditionalFormatting xmlns:xm="http://schemas.microsoft.com/office/excel/2006/main">
          <x14:cfRule type="iconSet" priority="3" id="{03CB7DD4-8E11-4CAA-82E9-F437E9D1107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X19:Y145</xm:sqref>
        </x14:conditionalFormatting>
        <x14:conditionalFormatting xmlns:xm="http://schemas.microsoft.com/office/excel/2006/main">
          <x14:cfRule type="iconSet" priority="2" id="{22E032C3-9EE1-48C2-9233-19E0B6B9F59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Z19:AA145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7EB5-CF5A-4F5A-97A2-BF2549510C53}">
  <dimension ref="A1:BG147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62.6640625" customWidth="1"/>
    <col min="12" max="12" width="25.33203125" customWidth="1" collapsed="1"/>
    <col min="13" max="13" width="11.33203125" customWidth="1"/>
    <col min="14" max="14" width="28" bestFit="1" customWidth="1"/>
    <col min="15" max="15" width="14.5546875" customWidth="1"/>
    <col min="16" max="16" width="17.44140625" customWidth="1"/>
    <col min="17" max="17" width="18" customWidth="1"/>
    <col min="18" max="21" width="9.44140625" hidden="1" customWidth="1" outlineLevel="1"/>
    <col min="22" max="22" width="9.5546875" customWidth="1" collapsed="1"/>
    <col min="23" max="23" width="9.5546875" customWidth="1"/>
    <col min="24" max="24" width="13.33203125" hidden="1" customWidth="1" outlineLevel="1"/>
    <col min="25" max="25" width="11.5546875" hidden="1" customWidth="1" outlineLevel="1"/>
    <col min="26" max="27" width="8.33203125" hidden="1" customWidth="1" outlineLevel="1"/>
    <col min="28" max="28" width="10.109375" customWidth="1" collapsed="1"/>
    <col min="29" max="29" width="9" customWidth="1"/>
    <col min="30" max="30" width="9.88671875" style="25" customWidth="1"/>
    <col min="31" max="31" width="13.33203125" customWidth="1" outlineLevel="1"/>
    <col min="32" max="32" width="13.33203125" customWidth="1" outlineLevel="1" collapsed="1"/>
    <col min="33" max="33" width="7.44140625" customWidth="1" outlineLevel="1"/>
    <col min="34" max="34" width="9.44140625" customWidth="1" outlineLevel="1"/>
    <col min="35" max="35" width="10.33203125" customWidth="1"/>
    <col min="36" max="36" width="9.5546875" hidden="1" customWidth="1" outlineLevel="1"/>
    <col min="37" max="42" width="9.88671875" hidden="1" customWidth="1" outlineLevel="1"/>
    <col min="43" max="43" width="9.88671875" style="8" hidden="1" customWidth="1" outlineLevel="1"/>
    <col min="44" max="51" width="9.88671875" hidden="1" customWidth="1" outlineLevel="1"/>
    <col min="52" max="52" width="17.109375" bestFit="1" customWidth="1" collapsed="1"/>
    <col min="53" max="53" width="16.6640625" bestFit="1" customWidth="1"/>
    <col min="54" max="56" width="9.88671875" customWidth="1"/>
    <col min="57" max="57" width="16.109375" customWidth="1"/>
    <col min="58" max="58" width="17" customWidth="1"/>
    <col min="59" max="69" width="11.33203125" customWidth="1"/>
    <col min="70" max="70" width="12.5546875" customWidth="1"/>
    <col min="71" max="71" width="13.44140625" customWidth="1"/>
    <col min="72" max="72" width="13.109375" customWidth="1"/>
    <col min="73" max="73" width="14" customWidth="1"/>
    <col min="74" max="79" width="17.33203125" customWidth="1"/>
    <col min="80" max="80" width="18.109375" customWidth="1"/>
    <col min="81" max="81" width="17.5546875" customWidth="1"/>
  </cols>
  <sheetData>
    <row r="1" spans="1:55" ht="21" x14ac:dyDescent="0.4">
      <c r="A1" s="85"/>
      <c r="B1" s="85"/>
      <c r="C1" s="85"/>
      <c r="D1" s="85"/>
      <c r="E1" s="85"/>
      <c r="F1" s="85"/>
      <c r="J1" s="32" t="s">
        <v>261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85"/>
      <c r="BC1" s="85"/>
    </row>
    <row r="2" spans="1:55" x14ac:dyDescent="0.3">
      <c r="J2" s="87" t="s">
        <v>513</v>
      </c>
      <c r="K2" s="86"/>
      <c r="Q2" s="25"/>
      <c r="R2" s="25"/>
      <c r="S2" s="25"/>
      <c r="T2" s="25"/>
      <c r="U2" s="8"/>
      <c r="AD2"/>
      <c r="AQ2"/>
    </row>
    <row r="3" spans="1:55" ht="26.4" customHeight="1" thickBot="1" x14ac:dyDescent="0.35">
      <c r="J3" s="129" t="s">
        <v>2</v>
      </c>
      <c r="K3" s="130"/>
      <c r="N3" s="65"/>
      <c r="P3" s="128"/>
      <c r="Q3" s="128" t="s">
        <v>5</v>
      </c>
      <c r="R3" s="301" t="s">
        <v>6</v>
      </c>
      <c r="S3" s="302"/>
      <c r="T3" s="303">
        <v>2024</v>
      </c>
      <c r="U3" s="302"/>
      <c r="V3" s="293" t="s">
        <v>263</v>
      </c>
      <c r="W3" s="304"/>
      <c r="X3" s="305" t="s">
        <v>264</v>
      </c>
      <c r="Y3" s="305"/>
      <c r="Z3" s="311" t="s">
        <v>265</v>
      </c>
      <c r="AA3" s="312"/>
      <c r="AB3" s="313"/>
      <c r="AC3" s="300" t="s">
        <v>266</v>
      </c>
      <c r="AD3" s="300"/>
      <c r="AE3" s="297" t="s">
        <v>267</v>
      </c>
      <c r="AF3" s="298"/>
      <c r="AG3" s="308" t="s">
        <v>268</v>
      </c>
      <c r="AH3" s="309"/>
      <c r="AI3" s="310"/>
      <c r="AJ3" s="300">
        <v>2027</v>
      </c>
      <c r="AK3" s="294"/>
      <c r="AL3" s="293">
        <v>2028</v>
      </c>
      <c r="AM3" s="294"/>
      <c r="AN3" s="293">
        <v>2029</v>
      </c>
      <c r="AO3" s="294"/>
      <c r="AP3" s="293">
        <v>2030</v>
      </c>
      <c r="AQ3" s="294"/>
      <c r="AR3" s="293">
        <v>2031</v>
      </c>
      <c r="AS3" s="294"/>
      <c r="AT3" s="293">
        <v>2032</v>
      </c>
      <c r="AU3" s="294"/>
      <c r="AV3" s="293">
        <v>2033</v>
      </c>
      <c r="AW3" s="294"/>
      <c r="AX3" s="293">
        <v>2034</v>
      </c>
      <c r="AY3" s="294"/>
      <c r="AZ3" s="26" t="s">
        <v>269</v>
      </c>
      <c r="BA3" s="26" t="s">
        <v>8</v>
      </c>
    </row>
    <row r="4" spans="1:55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SUMIFS(Portefeuille_ProgPropose2[AC 2024],Portefeuille_ProgPropose2[DES_COMPL_NATR_COMPB],"=Fonctionnement")+SUMIFS(Portefeuille_ProgPropose2[TR 2024],Portefeuille_ProgPropose2[DES_COMPL_NATR_COMPB],"=Fonctionnement")</f>
        <v>0</v>
      </c>
      <c r="U4" s="260"/>
      <c r="V4" s="295">
        <f>SUMIFS(Portefeuille_ProgPropose2[AC 2025],Portefeuille_ProgPropose2[DES_COMPL_NATR_COMPB],"=Fonctionnement")+SUMIFS(Portefeuille_ProgPropose2[TR 2025],Portefeuille_ProgPropose2[DES_COMPL_NATR_COMPB],"=Fonctionnement")</f>
        <v>300</v>
      </c>
      <c r="W4" s="296"/>
      <c r="X4" s="260"/>
      <c r="Y4" s="260"/>
      <c r="Z4" s="106"/>
      <c r="AA4" s="78"/>
      <c r="AB4" s="107"/>
      <c r="AC4" s="260">
        <f>SUMIFS(Portefeuille_ProgPropose2[AC 2026],Portefeuille_ProgPropose2[DES_COMPL_NATR_COMPB],"=Fonctionnement")+SUMIFS(Portefeuille_ProgPropose2[TR 2026],Portefeuille_ProgPropose2[DES_COMPL_NATR_COMPB],"=Fonctionnement")</f>
        <v>0</v>
      </c>
      <c r="AD4" s="260"/>
      <c r="AE4" s="279"/>
      <c r="AF4" s="280"/>
      <c r="AG4" s="106"/>
      <c r="AH4" s="78"/>
      <c r="AI4" s="107"/>
      <c r="AJ4" s="260">
        <f>SUMIFS(Portefeuille_ProgPropose2[AC 2027],Portefeuille_ProgPropose2[DES_COMPL_NATR_COMPB],"=Fonctionnement")+SUMIFS(Portefeuille_ProgPropose2[TR 2027],Portefeuille_ProgPropose2[DES_COMPL_NATR_COMPB],"=Fonctionnement")</f>
        <v>0</v>
      </c>
      <c r="AK4" s="260"/>
      <c r="AL4" s="260">
        <f>SUMIFS(Portefeuille_ProgPropose2[AC 2028],Portefeuille_ProgPropose2[DES_COMPL_NATR_COMPB],"=Fonctionnement")+SUMIFS(Portefeuille_ProgPropose2[TR 2028],Portefeuille_ProgPropose2[DES_COMPL_NATR_COMPB],"=Fonctionnement")</f>
        <v>0</v>
      </c>
      <c r="AM4" s="260"/>
      <c r="AN4" s="260">
        <f>SUMIFS(Portefeuille_ProgPropose2[AC 2029],Portefeuille_ProgPropose2[DES_COMPL_NATR_COMPB],"=Fonctionnement")+SUMIFS(Portefeuille_ProgPropose2[TR 2029],Portefeuille_ProgPropose2[DES_COMPL_NATR_COMPB],"=Fonctionnement")</f>
        <v>0</v>
      </c>
      <c r="AO4" s="260"/>
      <c r="AP4" s="260">
        <f>SUMIFS(Portefeuille_ProgPropose2[AC 2030],Portefeuille_ProgPropose2[DES_COMPL_NATR_COMPB],"=Fonctionnement")+SUMIFS(Portefeuille_ProgPropose2[TR 2030],Portefeuille_ProgPropose2[DES_COMPL_NATR_COMPB],"=Fonctionnement")</f>
        <v>0</v>
      </c>
      <c r="AQ4" s="260"/>
      <c r="AR4" s="260">
        <f>SUMIFS(Portefeuille_ProgPropose2[AC 2031],Portefeuille_ProgPropose2[DES_COMPL_NATR_COMPB],"=Fonctionnement")+SUMIFS(Portefeuille_ProgPropose2[TR 2031],Portefeuille_ProgPropose2[DES_COMPL_NATR_COMPB],"=Fonctionnement")</f>
        <v>0</v>
      </c>
      <c r="AS4" s="260"/>
      <c r="AT4" s="260">
        <f>SUMIFS(Portefeuille_ProgPropose2[AC 2032],Portefeuille_ProgPropose2[DES_COMPL_NATR_COMPB],"=Fonctionnement")+SUMIFS(Portefeuille_ProgPropose2[TR 2032],Portefeuille_ProgPropose2[DES_COMPL_NATR_COMPB],"=Fonctionnement")</f>
        <v>0</v>
      </c>
      <c r="AU4" s="260"/>
      <c r="AV4" s="260">
        <f>SUMIFS(Portefeuille_ProgPropose2[AC 2033],Portefeuille_ProgPropose2[DES_COMPL_NATR_COMPB],"=Fonctionnement")+SUMIFS(Portefeuille_ProgPropose2[TR 2033],Portefeuille_ProgPropose2[DES_COMPL_NATR_COMPB],"=Fonctionnement")</f>
        <v>0</v>
      </c>
      <c r="AW4" s="260"/>
      <c r="AX4" s="260">
        <f>SUMIFS(Portefeuille_ProgPropose2[AC 2034],Portefeuille_ProgPropose2[DES_COMPL_NATR_COMPB],"=Fonctionnement")+SUMIFS(Portefeuille_ProgPropose2[TR 2034],Portefeuille_ProgPropose2[DES_COMPL_NATR_COMPB],"=Fonctionnement")</f>
        <v>0</v>
      </c>
      <c r="AY4" s="260"/>
      <c r="AZ4" s="16">
        <f>SUM(V4,AC4)</f>
        <v>300</v>
      </c>
      <c r="BA4" s="16">
        <f>SUM(V4,AC4,AJ4:AY4)</f>
        <v>300</v>
      </c>
    </row>
    <row r="5" spans="1:55" x14ac:dyDescent="0.3">
      <c r="J5" s="27" t="s">
        <v>12</v>
      </c>
      <c r="K5" s="28" t="s">
        <v>13</v>
      </c>
      <c r="Q5" s="104" t="s">
        <v>15</v>
      </c>
      <c r="R5" s="279">
        <f>SUMIFS(Portefeuille_ProgPropose2[AC ANT],Portefeuille_ProgPropose2[État Composante AC],"=PR")</f>
        <v>8729</v>
      </c>
      <c r="S5" s="260"/>
      <c r="T5" s="260">
        <f>SUMIFS(Portefeuille_ProgPropose2[AC 2024],Portefeuille_ProgPropose2[État Composante AC],"=PR")</f>
        <v>4926</v>
      </c>
      <c r="U5" s="260"/>
      <c r="V5" s="260">
        <f>SUMIFS(Portefeuille_ProgPropose2[AC 2025],Portefeuille_ProgPropose2[État Composante AC],"=PR")</f>
        <v>7666</v>
      </c>
      <c r="W5" s="280"/>
      <c r="X5" s="260">
        <f>SUMIFS(Portefeuille_ProgPropose2[AC 2025 Trimestre précédent],Portefeuille_ProgPropose2[État Composante AC],"=PR")</f>
        <v>6926</v>
      </c>
      <c r="Y5" s="260"/>
      <c r="Z5" s="279">
        <f>SUMIFS(Portefeuille_ProgPropose2[Écart AC 2025],Portefeuille_ProgPropose2[État Composante AC],"=PR")</f>
        <v>740</v>
      </c>
      <c r="AA5" s="260"/>
      <c r="AB5" s="280"/>
      <c r="AC5" s="260">
        <f>SUMIFS(Portefeuille_ProgPropose2[AC 2026],Portefeuille_ProgPropose2[État Composante AC],"=PR")</f>
        <v>9051</v>
      </c>
      <c r="AD5" s="260"/>
      <c r="AE5" s="279">
        <f>SUMIFS(Portefeuille_ProgPropose2[AC 2026 Trimestre précédent],Portefeuille_ProgPropose2[État Composante AC],"=PR")</f>
        <v>8384</v>
      </c>
      <c r="AF5" s="280"/>
      <c r="AG5" s="279">
        <f>SUMIFS(Portefeuille_ProgPropose2[Écart AC 2026],Portefeuille_ProgPropose2[État Composante AC],"=PR")</f>
        <v>667</v>
      </c>
      <c r="AH5" s="260"/>
      <c r="AI5" s="280"/>
      <c r="AJ5" s="260">
        <f>SUMIFS(Portefeuille_ProgPropose2[AC 2027],Portefeuille_ProgPropose2[État Composante AC],"=PR")</f>
        <v>6553</v>
      </c>
      <c r="AK5" s="260"/>
      <c r="AL5" s="260">
        <f>SUMIFS(Portefeuille_ProgPropose2[AC 2028],Portefeuille_ProgPropose2[État Composante AC],"=PR")</f>
        <v>6659</v>
      </c>
      <c r="AM5" s="260"/>
      <c r="AN5" s="260">
        <f>SUMIFS(Portefeuille_ProgPropose2[AC 2029],Portefeuille_ProgPropose2[État Composante AC],"=PR")</f>
        <v>2377</v>
      </c>
      <c r="AO5" s="260"/>
      <c r="AP5" s="260">
        <f>SUMIFS(Portefeuille_ProgPropose2[AC 2030],Portefeuille_ProgPropose2[État Composante AC],"=PR")</f>
        <v>2320</v>
      </c>
      <c r="AQ5" s="260"/>
      <c r="AR5" s="260">
        <f>SUMIFS(Portefeuille_ProgPropose2[AC 2031],Portefeuille_ProgPropose2[État Composante AC],"=PR")</f>
        <v>1922</v>
      </c>
      <c r="AS5" s="260"/>
      <c r="AT5" s="260">
        <f>SUMIFS(Portefeuille_ProgPropose2[AC 2032],Portefeuille_ProgPropose2[État Composante AC],"=PR")</f>
        <v>0</v>
      </c>
      <c r="AU5" s="260"/>
      <c r="AV5" s="260">
        <f>SUMIFS(Portefeuille_ProgPropose2[AC 2033],Portefeuille_ProgPropose2[État Composante AC],"=PR")</f>
        <v>0</v>
      </c>
      <c r="AW5" s="260"/>
      <c r="AX5" s="260">
        <f>SUMIFS(Portefeuille_ProgPropose2[AC 2034],Portefeuille_ProgPropose2[État Composante AC],"=PR")</f>
        <v>0</v>
      </c>
      <c r="AY5" s="260"/>
      <c r="AZ5" s="16">
        <f t="shared" ref="AZ5:AZ12" si="0">SUM(V5,AC5)</f>
        <v>16717</v>
      </c>
      <c r="BA5" s="16">
        <f t="shared" ref="BA5:BA9" si="1">SUM(V5,AC5,AJ5:AY5)</f>
        <v>36548</v>
      </c>
    </row>
    <row r="6" spans="1:55" x14ac:dyDescent="0.3">
      <c r="J6" s="29" t="s">
        <v>16</v>
      </c>
      <c r="K6" s="28" t="s">
        <v>17</v>
      </c>
      <c r="Q6" s="83" t="s">
        <v>19</v>
      </c>
      <c r="R6" s="279">
        <f>SUMIFS(Portefeuille_ProgPropose2[TR ANT],Portefeuille_ProgPropose2[État Composante TR],"=PR")</f>
        <v>33280</v>
      </c>
      <c r="S6" s="260"/>
      <c r="T6" s="260">
        <f>SUMIFS(Portefeuille_ProgPropose2[TR 2024],Portefeuille_ProgPropose2[État Composante TR],"=PR")</f>
        <v>32420</v>
      </c>
      <c r="U6" s="260"/>
      <c r="V6" s="260">
        <f>SUMIFS(Portefeuille_ProgPropose2[TR 2025],Portefeuille_ProgPropose2[État Composante TR],"=PR")</f>
        <v>17854</v>
      </c>
      <c r="W6" s="280"/>
      <c r="X6" s="260">
        <f>SUMIFS(Portefeuille_ProgPropose2[TR 2025 Trimestre précédent],Portefeuille_ProgPropose2[État Composante TR],"=PR")</f>
        <v>27070</v>
      </c>
      <c r="Y6" s="260"/>
      <c r="Z6" s="279">
        <f>SUMIFS(Portefeuille_ProgPropose2[Écart TR 2025],Portefeuille_ProgPropose2[État Composante TR],"=PR")</f>
        <v>-9216</v>
      </c>
      <c r="AA6" s="260"/>
      <c r="AB6" s="280"/>
      <c r="AC6" s="260">
        <f>SUMIFS(Portefeuille_ProgPropose2[TR 2026],Portefeuille_ProgPropose2[État Composante TR],"=PR")</f>
        <v>20373</v>
      </c>
      <c r="AD6" s="260"/>
      <c r="AE6" s="279">
        <f>SUMIFS(Portefeuille_ProgPropose2[TR 2026 Trimestre précédent],Portefeuille_ProgPropose2[État Composante TR],"=PR")</f>
        <v>15531</v>
      </c>
      <c r="AF6" s="280"/>
      <c r="AG6" s="279">
        <f>SUMIFS(Portefeuille_ProgPropose2[Écart TR 2026],Portefeuille_ProgPropose2[État Composante TR],"=PR")</f>
        <v>4842</v>
      </c>
      <c r="AH6" s="260"/>
      <c r="AI6" s="280"/>
      <c r="AJ6" s="260">
        <f>SUMIFS(Portefeuille_ProgPropose2[TR 2027],Portefeuille_ProgPropose2[État Composante TR],"=PR")</f>
        <v>0</v>
      </c>
      <c r="AK6" s="260"/>
      <c r="AL6" s="260">
        <f>SUMIFS(Portefeuille_ProgPropose2[TR 2028],Portefeuille_ProgPropose2[État Composante TR],"=PR")</f>
        <v>0</v>
      </c>
      <c r="AM6" s="260"/>
      <c r="AN6" s="260">
        <f>SUMIFS(Portefeuille_ProgPropose2[TR 2029],Portefeuille_ProgPropose2[État Composante TR],"=PR")</f>
        <v>0</v>
      </c>
      <c r="AO6" s="260"/>
      <c r="AP6" s="260">
        <f>SUMIFS(Portefeuille_ProgPropose2[TR 2030],Portefeuille_ProgPropose2[État Composante TR],"=PR")</f>
        <v>0</v>
      </c>
      <c r="AQ6" s="260"/>
      <c r="AR6" s="260">
        <f>SUMIFS(Portefeuille_ProgPropose2[TR 2031],Portefeuille_ProgPropose2[État Composante TR],"=PR")</f>
        <v>0</v>
      </c>
      <c r="AS6" s="260"/>
      <c r="AT6" s="260">
        <f>SUMIFS(Portefeuille_ProgPropose2[TR 2032],Portefeuille_ProgPropose2[État Composante TR],"=PR")</f>
        <v>0</v>
      </c>
      <c r="AU6" s="260"/>
      <c r="AV6" s="260">
        <f>SUMIFS(Portefeuille_ProgPropose2[TR 2033],Portefeuille_ProgPropose2[État Composante TR],"=PR")</f>
        <v>0</v>
      </c>
      <c r="AW6" s="260"/>
      <c r="AX6" s="260">
        <f>SUMIFS(Portefeuille_ProgPropose2[TR 2034],Portefeuille_ProgPropose2[État Composante TR],"=PR")</f>
        <v>0</v>
      </c>
      <c r="AY6" s="260"/>
      <c r="AZ6" s="16">
        <f t="shared" si="0"/>
        <v>38227</v>
      </c>
      <c r="BA6" s="16">
        <f t="shared" si="1"/>
        <v>38227</v>
      </c>
    </row>
    <row r="7" spans="1:55" x14ac:dyDescent="0.3">
      <c r="J7" s="29" t="s">
        <v>20</v>
      </c>
      <c r="K7" s="28" t="s">
        <v>21</v>
      </c>
      <c r="P7" s="127"/>
      <c r="Q7" s="116" t="s">
        <v>23</v>
      </c>
      <c r="R7" s="288">
        <f>R5+R6</f>
        <v>42009</v>
      </c>
      <c r="S7" s="262"/>
      <c r="T7" s="262">
        <f>T5+T6</f>
        <v>37346</v>
      </c>
      <c r="U7" s="262"/>
      <c r="V7" s="262">
        <f>V5+V6</f>
        <v>25520</v>
      </c>
      <c r="W7" s="289"/>
      <c r="X7" s="262">
        <f>X5+X6</f>
        <v>33996</v>
      </c>
      <c r="Y7" s="262"/>
      <c r="Z7" s="288">
        <f>Z5+Z6</f>
        <v>-8476</v>
      </c>
      <c r="AA7" s="262"/>
      <c r="AB7" s="289"/>
      <c r="AC7" s="290">
        <f>AC5+AC6</f>
        <v>29424</v>
      </c>
      <c r="AD7" s="291"/>
      <c r="AE7" s="288">
        <f>AE5+AE6</f>
        <v>23915</v>
      </c>
      <c r="AF7" s="289"/>
      <c r="AG7" s="290">
        <f>AG5+AG6</f>
        <v>5509</v>
      </c>
      <c r="AH7" s="292"/>
      <c r="AI7" s="291"/>
      <c r="AJ7" s="262">
        <f>AJ5+AJ6</f>
        <v>6553</v>
      </c>
      <c r="AK7" s="262"/>
      <c r="AL7" s="262">
        <f>AL5+AL6</f>
        <v>6659</v>
      </c>
      <c r="AM7" s="262"/>
      <c r="AN7" s="262">
        <f>AN5+AN6</f>
        <v>2377</v>
      </c>
      <c r="AO7" s="262"/>
      <c r="AP7" s="262">
        <f>AP5+AP6</f>
        <v>2320</v>
      </c>
      <c r="AQ7" s="262"/>
      <c r="AR7" s="262">
        <f>AR5+AR6</f>
        <v>1922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>
        <f t="shared" si="0"/>
        <v>54944</v>
      </c>
      <c r="BA7" s="20">
        <f t="shared" si="1"/>
        <v>74775</v>
      </c>
    </row>
    <row r="8" spans="1:55" x14ac:dyDescent="0.3">
      <c r="J8" s="131"/>
      <c r="K8" s="28" t="s">
        <v>270</v>
      </c>
      <c r="Q8" s="83" t="s">
        <v>25</v>
      </c>
      <c r="R8" s="279">
        <f>SUMIFS(Portefeuille_ProgPropose2[AC ANT],Portefeuille_ProgPropose2[État Composante AC],"&lt;&gt;PR")</f>
        <v>0</v>
      </c>
      <c r="S8" s="260"/>
      <c r="T8" s="260">
        <f>SUMIFS(Portefeuille_ProgPropose2[AC 2024],Portefeuille_ProgPropose2[État Composante AC],"&lt;&gt;PR")</f>
        <v>10</v>
      </c>
      <c r="U8" s="260"/>
      <c r="V8" s="260">
        <f>SUMIFS(Portefeuille_ProgPropose2[AC 2025],Portefeuille_ProgPropose2[État Composante AC],"&lt;&gt;PR")</f>
        <v>1309</v>
      </c>
      <c r="W8" s="280"/>
      <c r="X8" s="260">
        <f>SUMIFS(Portefeuille_ProgPropose2[AC 2025 Trimestre précédent],Portefeuille_ProgPropose2[État Composante AC],"&lt;&gt;PR")</f>
        <v>954</v>
      </c>
      <c r="Y8" s="260"/>
      <c r="Z8" s="279">
        <f>SUMIFS(Portefeuille_ProgPropose2[Écart AC 2025],Portefeuille_ProgPropose2[État Composante AC],"&lt;&gt;PR")</f>
        <v>355</v>
      </c>
      <c r="AA8" s="260"/>
      <c r="AB8" s="280"/>
      <c r="AC8" s="260">
        <f>SUMIFS(Portefeuille_ProgPropose2[AC 2026],Portefeuille_ProgPropose2[État Composante AC],"&lt;&gt;PR")</f>
        <v>1406</v>
      </c>
      <c r="AD8" s="260"/>
      <c r="AE8" s="279">
        <f>SUMIFS(Portefeuille_ProgPropose2[AC 2026 Trimestre précédent],Portefeuille_ProgPropose2[État Composante AC],"&lt;&gt;PR")</f>
        <v>1805</v>
      </c>
      <c r="AF8" s="280"/>
      <c r="AG8" s="279">
        <f>SUMIFS(Portefeuille_ProgPropose2[Écart AC 2026],Portefeuille_ProgPropose2[État Composante AC],"&lt;&gt;PR")</f>
        <v>-399</v>
      </c>
      <c r="AH8" s="260"/>
      <c r="AI8" s="280"/>
      <c r="AJ8" s="260">
        <f>SUMIFS(Portefeuille_ProgPropose2[AC 2027],Portefeuille_ProgPropose2[État Composante AC],"&lt;&gt;PR")</f>
        <v>2693</v>
      </c>
      <c r="AK8" s="260"/>
      <c r="AL8" s="260">
        <f>SUMIFS(Portefeuille_ProgPropose2[AC 2028],Portefeuille_ProgPropose2[État Composante AC],"&lt;&gt;PR")</f>
        <v>171</v>
      </c>
      <c r="AM8" s="260"/>
      <c r="AN8" s="260">
        <f>SUMIFS(Portefeuille_ProgPropose2[AC 2029],Portefeuille_ProgPropose2[État Composante AC],"&lt;&gt;PR")</f>
        <v>0</v>
      </c>
      <c r="AO8" s="260"/>
      <c r="AP8" s="260">
        <f>SUMIFS(Portefeuille_ProgPropose2[AC 2030],Portefeuille_ProgPropose2[État Composante AC],"&lt;&gt;PR")</f>
        <v>0</v>
      </c>
      <c r="AQ8" s="260"/>
      <c r="AR8" s="260">
        <f>SUMIFS(Portefeuille_ProgPropose2[AC 2031],Portefeuille_ProgPropose2[État Composante AC],"&lt;&gt;PR")</f>
        <v>0</v>
      </c>
      <c r="AS8" s="260"/>
      <c r="AT8" s="260">
        <f>SUMIFS(Portefeuille_ProgPropose2[AC 2032],Portefeuille_ProgPropose2[État Composante AC],"&lt;&gt;PR")</f>
        <v>0</v>
      </c>
      <c r="AU8" s="260"/>
      <c r="AV8" s="260">
        <f>SUMIFS(Portefeuille_ProgPropose2[AC 2033],Portefeuille_ProgPropose2[État Composante AC],"&lt;&gt;PR")</f>
        <v>0</v>
      </c>
      <c r="AW8" s="260"/>
      <c r="AX8" s="260">
        <f>SUMIFS(Portefeuille_ProgPropose2[AC 2034],Portefeuille_ProgPropose2[État Composante AC],"&lt;&gt;PR")</f>
        <v>0</v>
      </c>
      <c r="AY8" s="260"/>
      <c r="AZ8" s="16">
        <f t="shared" si="0"/>
        <v>2715</v>
      </c>
      <c r="BA8" s="16">
        <f t="shared" si="1"/>
        <v>5579</v>
      </c>
    </row>
    <row r="9" spans="1:55" x14ac:dyDescent="0.3">
      <c r="J9" s="132"/>
      <c r="K9" s="31" t="s">
        <v>271</v>
      </c>
      <c r="Q9" s="83" t="s">
        <v>27</v>
      </c>
      <c r="R9" s="279">
        <f>SUMIFS(Portefeuille_ProgPropose2[TR ANT],Portefeuille_ProgPropose2[État Composante TR],"&lt;&gt;PR")</f>
        <v>15</v>
      </c>
      <c r="S9" s="260"/>
      <c r="T9" s="260">
        <f>SUMIFS(Portefeuille_ProgPropose2[TR 2024],Portefeuille_ProgPropose2[État Composante TR],"&lt;&gt;PR")</f>
        <v>0</v>
      </c>
      <c r="U9" s="260"/>
      <c r="V9" s="260">
        <f>SUMIFS(Portefeuille_ProgPropose2[TR 2025],Portefeuille_ProgPropose2[État Composante TR],"&lt;&gt;PR")</f>
        <v>37503</v>
      </c>
      <c r="W9" s="280"/>
      <c r="X9" s="260">
        <f>SUMIFS(Portefeuille_ProgPropose2[TR 2025 Trimestre précédent],Portefeuille_ProgPropose2[État Composante TR],"&lt;&gt;PR")</f>
        <v>32265</v>
      </c>
      <c r="Y9" s="260"/>
      <c r="Z9" s="279">
        <f>SUMIFS(Portefeuille_ProgPropose2[Écart TR 2025],Portefeuille_ProgPropose2[État Composante TR],"&lt;&gt;PR")</f>
        <v>5238</v>
      </c>
      <c r="AA9" s="260"/>
      <c r="AB9" s="280"/>
      <c r="AC9" s="260">
        <f>SUMIFS(Portefeuille_ProgPropose2[TR 2026],Portefeuille_ProgPropose2[État Composante TR],"&lt;&gt;PR")</f>
        <v>39656</v>
      </c>
      <c r="AD9" s="260"/>
      <c r="AE9" s="279">
        <f>SUMIFS(Portefeuille_ProgPropose2[TR 2026 Trimestre précédent],Portefeuille_ProgPropose2[État Composante TR],"&lt;&gt;PR")</f>
        <v>45566</v>
      </c>
      <c r="AF9" s="280"/>
      <c r="AG9" s="279">
        <f>SUMIFS(Portefeuille_ProgPropose2[Écart TR 2026],Portefeuille_ProgPropose2[État Composante TR],"&lt;&gt;PR")</f>
        <v>-5910</v>
      </c>
      <c r="AH9" s="260"/>
      <c r="AI9" s="280"/>
      <c r="AJ9" s="260">
        <f>SUMIFS(Portefeuille_ProgPropose2[TR 2027],Portefeuille_ProgPropose2[État Composante TR],"&lt;&gt;PR")</f>
        <v>92331</v>
      </c>
      <c r="AK9" s="260"/>
      <c r="AL9" s="260">
        <f>SUMIFS(Portefeuille_ProgPropose2[TR 2028],Portefeuille_ProgPropose2[État Composante TR],"&lt;&gt;PR")</f>
        <v>50435</v>
      </c>
      <c r="AM9" s="260"/>
      <c r="AN9" s="260">
        <f>SUMIFS(Portefeuille_ProgPropose2[TR 2029],Portefeuille_ProgPropose2[État Composante TR],"&lt;&gt;PR")</f>
        <v>37177</v>
      </c>
      <c r="AO9" s="260"/>
      <c r="AP9" s="260">
        <f>SUMIFS(Portefeuille_ProgPropose2[TR 2030],Portefeuille_ProgPropose2[État Composante TR],"&lt;&gt;PR")</f>
        <v>29362</v>
      </c>
      <c r="AQ9" s="260"/>
      <c r="AR9" s="260">
        <f>SUMIFS(Portefeuille_ProgPropose2[TR 2031],Portefeuille_ProgPropose2[État Composante TR],"&lt;&gt;PR")</f>
        <v>41119</v>
      </c>
      <c r="AS9" s="260"/>
      <c r="AT9" s="260">
        <f>SUMIFS(Portefeuille_ProgPropose2[TR 2032],Portefeuille_ProgPropose2[État Composante TR],"&lt;&gt;PR")</f>
        <v>0</v>
      </c>
      <c r="AU9" s="260"/>
      <c r="AV9" s="260">
        <f>SUMIFS(Portefeuille_ProgPropose2[TR 2033],Portefeuille_ProgPropose2[État Composante TR],"&lt;&gt;PR")</f>
        <v>0</v>
      </c>
      <c r="AW9" s="260"/>
      <c r="AX9" s="260">
        <f>SUMIFS(Portefeuille_ProgPropose2[TR 2034],Portefeuille_ProgPropose2[État Composante TR],"&lt;&gt;PR")</f>
        <v>0</v>
      </c>
      <c r="AY9" s="260"/>
      <c r="AZ9" s="16">
        <f t="shared" si="0"/>
        <v>77159</v>
      </c>
      <c r="BA9" s="16">
        <f t="shared" si="1"/>
        <v>327583</v>
      </c>
    </row>
    <row r="10" spans="1:55" x14ac:dyDescent="0.3">
      <c r="P10" s="127"/>
      <c r="Q10" s="117" t="s">
        <v>29</v>
      </c>
      <c r="R10" s="288">
        <f>R8+R9</f>
        <v>15</v>
      </c>
      <c r="S10" s="262"/>
      <c r="T10" s="262">
        <f>T8+T9</f>
        <v>10</v>
      </c>
      <c r="U10" s="262"/>
      <c r="V10" s="262">
        <f>V8+V9</f>
        <v>38812</v>
      </c>
      <c r="W10" s="289"/>
      <c r="X10" s="262">
        <f>X8+X9</f>
        <v>33219</v>
      </c>
      <c r="Y10" s="262"/>
      <c r="Z10" s="288">
        <f>Z9+Z8</f>
        <v>5593</v>
      </c>
      <c r="AA10" s="262"/>
      <c r="AB10" s="289"/>
      <c r="AC10" s="262">
        <f>AC8+AC9</f>
        <v>41062</v>
      </c>
      <c r="AD10" s="262"/>
      <c r="AE10" s="288">
        <f>AE8+AE9</f>
        <v>47371</v>
      </c>
      <c r="AF10" s="289"/>
      <c r="AG10" s="288">
        <f>AG9+AG8</f>
        <v>-6309</v>
      </c>
      <c r="AH10" s="262"/>
      <c r="AI10" s="289"/>
      <c r="AJ10" s="262">
        <f>AJ8+AJ9</f>
        <v>95024</v>
      </c>
      <c r="AK10" s="262"/>
      <c r="AL10" s="262">
        <f>AL8+AL9</f>
        <v>50606</v>
      </c>
      <c r="AM10" s="262"/>
      <c r="AN10" s="262">
        <f>AN8+AN9</f>
        <v>37177</v>
      </c>
      <c r="AO10" s="262"/>
      <c r="AP10" s="262">
        <f>AP8+AP9</f>
        <v>29362</v>
      </c>
      <c r="AQ10" s="262"/>
      <c r="AR10" s="262">
        <f>AR8+AR9</f>
        <v>41119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0">
        <f t="shared" si="0"/>
        <v>79874</v>
      </c>
      <c r="BA10" s="20">
        <f>SUM(V10,AC10,AJ10:AY10)</f>
        <v>333162</v>
      </c>
    </row>
    <row r="11" spans="1:55" s="133" customFormat="1" ht="13.8" x14ac:dyDescent="0.3">
      <c r="P11" s="134"/>
      <c r="Q11" s="135" t="s">
        <v>272</v>
      </c>
      <c r="R11" s="286">
        <f>R10+R7</f>
        <v>42024</v>
      </c>
      <c r="S11" s="284"/>
      <c r="T11" s="285">
        <f>T10+T7</f>
        <v>37356</v>
      </c>
      <c r="U11" s="284"/>
      <c r="V11" s="285">
        <f>V10+V7</f>
        <v>64332</v>
      </c>
      <c r="W11" s="287"/>
      <c r="X11" s="283">
        <f>X10+X7-X4</f>
        <v>67215</v>
      </c>
      <c r="Y11" s="283"/>
      <c r="Z11" s="286">
        <f>Z10+Z7</f>
        <v>-2883</v>
      </c>
      <c r="AA11" s="283"/>
      <c r="AB11" s="287"/>
      <c r="AC11" s="286">
        <f>AC10+AC7-AC4</f>
        <v>70486</v>
      </c>
      <c r="AD11" s="287"/>
      <c r="AE11" s="286">
        <f t="shared" ref="AE11" si="2">AE10+AE7-AE4</f>
        <v>71286</v>
      </c>
      <c r="AF11" s="287"/>
      <c r="AG11" s="286">
        <f>AG10+AG7</f>
        <v>-800</v>
      </c>
      <c r="AH11" s="283"/>
      <c r="AI11" s="287"/>
      <c r="AJ11" s="283">
        <f t="shared" ref="AJ11" si="3">AJ10+AJ7-AJ4</f>
        <v>101577</v>
      </c>
      <c r="AK11" s="284"/>
      <c r="AL11" s="285">
        <f t="shared" ref="AL11" si="4">AL10+AL7-AL4</f>
        <v>57265</v>
      </c>
      <c r="AM11" s="284"/>
      <c r="AN11" s="285">
        <f t="shared" ref="AN11" si="5">AN10+AN7-AN4</f>
        <v>39554</v>
      </c>
      <c r="AO11" s="284"/>
      <c r="AP11" s="285">
        <f t="shared" ref="AP11" si="6">AP10+AP7-AP4</f>
        <v>31682</v>
      </c>
      <c r="AQ11" s="284"/>
      <c r="AR11" s="285">
        <f t="shared" ref="AR11" si="7">AR10+AR7-AR4</f>
        <v>43041</v>
      </c>
      <c r="AS11" s="284"/>
      <c r="AT11" s="285">
        <f t="shared" ref="AT11" si="8">AT10+AT7-AT4</f>
        <v>0</v>
      </c>
      <c r="AU11" s="284"/>
      <c r="AV11" s="285">
        <f t="shared" ref="AV11" si="9">AV10+AV7-AV4</f>
        <v>0</v>
      </c>
      <c r="AW11" s="284"/>
      <c r="AX11" s="285">
        <f t="shared" ref="AX11" si="10">AX10+AX7-AX4</f>
        <v>0</v>
      </c>
      <c r="AY11" s="284"/>
      <c r="AZ11" s="105">
        <f t="shared" si="0"/>
        <v>134818</v>
      </c>
      <c r="BA11" s="105">
        <f>SUM(V11,AC11,AJ11:AY11)</f>
        <v>407937</v>
      </c>
      <c r="BB11" s="136"/>
    </row>
    <row r="12" spans="1:55" x14ac:dyDescent="0.3">
      <c r="Q12" s="83" t="s">
        <v>32</v>
      </c>
      <c r="R12" s="279"/>
      <c r="S12" s="260"/>
      <c r="T12" s="260"/>
      <c r="U12" s="260"/>
      <c r="V12" s="260">
        <v>-93</v>
      </c>
      <c r="W12" s="280"/>
      <c r="X12" s="281"/>
      <c r="Y12" s="282"/>
      <c r="Z12" s="108"/>
      <c r="AA12" s="95"/>
      <c r="AB12" s="109"/>
      <c r="AC12" s="260">
        <v>-44</v>
      </c>
      <c r="AD12" s="260"/>
      <c r="AE12" s="279">
        <v>0</v>
      </c>
      <c r="AF12" s="280"/>
      <c r="AG12" s="108"/>
      <c r="AH12" s="95"/>
      <c r="AI12" s="123"/>
      <c r="AJ12" s="260">
        <v>257</v>
      </c>
      <c r="AK12" s="260"/>
      <c r="AL12" s="260">
        <v>43</v>
      </c>
      <c r="AM12" s="260"/>
      <c r="AN12" s="260"/>
      <c r="AO12" s="260"/>
      <c r="AP12" s="260"/>
      <c r="AQ12" s="260"/>
      <c r="AR12" s="260"/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>
        <f t="shared" si="0"/>
        <v>-137</v>
      </c>
      <c r="BA12" s="78">
        <f>SUM(AJ12:AY12,V12,AC12)</f>
        <v>163</v>
      </c>
    </row>
    <row r="13" spans="1:55" ht="15.6" x14ac:dyDescent="0.3">
      <c r="P13" s="126"/>
      <c r="Q13" s="118" t="s">
        <v>33</v>
      </c>
      <c r="R13" s="120"/>
      <c r="S13" s="64"/>
      <c r="T13" s="258">
        <f>T12+T11</f>
        <v>37356</v>
      </c>
      <c r="U13" s="259"/>
      <c r="V13" s="258">
        <f>V12+V11</f>
        <v>64239</v>
      </c>
      <c r="W13" s="277"/>
      <c r="X13" s="261">
        <f>X12+X11</f>
        <v>67215</v>
      </c>
      <c r="Y13" s="261"/>
      <c r="Z13" s="110"/>
      <c r="AA13" s="96"/>
      <c r="AB13" s="111"/>
      <c r="AC13" s="261">
        <f>AC12+AC11</f>
        <v>70442</v>
      </c>
      <c r="AD13" s="261"/>
      <c r="AE13" s="278">
        <f>AE12+AE11</f>
        <v>71286</v>
      </c>
      <c r="AF13" s="277"/>
      <c r="AG13" s="110"/>
      <c r="AH13" s="96"/>
      <c r="AI13" s="111"/>
      <c r="AJ13" s="261">
        <f>AJ12+AJ11</f>
        <v>101834</v>
      </c>
      <c r="AK13" s="259"/>
      <c r="AL13" s="258">
        <f t="shared" ref="AL13" si="11">AL12+AL11</f>
        <v>57308</v>
      </c>
      <c r="AM13" s="259"/>
      <c r="AN13" s="258">
        <f t="shared" ref="AN13" si="12">AN12+AN11</f>
        <v>39554</v>
      </c>
      <c r="AO13" s="259"/>
      <c r="AP13" s="258">
        <f t="shared" ref="AP13" si="13">AP12+AP11</f>
        <v>31682</v>
      </c>
      <c r="AQ13" s="259"/>
      <c r="AR13" s="258">
        <f t="shared" ref="AR13" si="14">AR12+AR11</f>
        <v>43041</v>
      </c>
      <c r="AS13" s="259"/>
      <c r="AT13" s="258">
        <f t="shared" ref="AT13" si="15">AT12+AT11</f>
        <v>0</v>
      </c>
      <c r="AU13" s="259"/>
      <c r="AV13" s="258">
        <f t="shared" ref="AV13" si="16">AV12+AV11</f>
        <v>0</v>
      </c>
      <c r="AW13" s="259"/>
      <c r="AX13" s="258">
        <f t="shared" ref="AX13" si="17">AX12+AX11</f>
        <v>0</v>
      </c>
      <c r="AY13" s="259"/>
      <c r="AZ13" s="21">
        <f>AZ12+AZ11</f>
        <v>134681</v>
      </c>
      <c r="BA13" s="21">
        <f>BA12+BA11</f>
        <v>408100</v>
      </c>
    </row>
    <row r="14" spans="1:55" ht="15.6" x14ac:dyDescent="0.3">
      <c r="Q14" s="84" t="s">
        <v>34</v>
      </c>
      <c r="R14" s="270"/>
      <c r="S14" s="257"/>
      <c r="T14" s="256"/>
      <c r="U14" s="257"/>
      <c r="V14" s="256">
        <v>75500</v>
      </c>
      <c r="W14" s="271"/>
      <c r="X14" s="272">
        <v>75500</v>
      </c>
      <c r="Y14" s="272"/>
      <c r="Z14" s="112"/>
      <c r="AA14" s="81"/>
      <c r="AB14" s="100"/>
      <c r="AC14" s="270">
        <v>75500</v>
      </c>
      <c r="AD14" s="271"/>
      <c r="AE14" s="270">
        <v>75500</v>
      </c>
      <c r="AF14" s="271"/>
      <c r="AG14" s="112"/>
      <c r="AH14" s="81"/>
      <c r="AI14" s="100"/>
      <c r="AJ14" s="272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17">
        <f>SUM(V14,AC14)</f>
        <v>151000</v>
      </c>
      <c r="BA14" s="17">
        <f>SUM(V14,AC14,AJ14:AY14)</f>
        <v>755000</v>
      </c>
      <c r="BB14" s="98"/>
    </row>
    <row r="15" spans="1:55" ht="15.6" x14ac:dyDescent="0.3">
      <c r="Q15" s="84" t="s">
        <v>35</v>
      </c>
      <c r="R15" s="268"/>
      <c r="S15" s="253"/>
      <c r="T15" s="252"/>
      <c r="U15" s="253"/>
      <c r="V15" s="252">
        <f>V14-V13</f>
        <v>11261</v>
      </c>
      <c r="W15" s="269"/>
      <c r="X15" s="253">
        <f>X14-X13</f>
        <v>8285</v>
      </c>
      <c r="Y15" s="253"/>
      <c r="Z15" s="94"/>
      <c r="AA15" s="79"/>
      <c r="AB15" s="101"/>
      <c r="AC15" s="268">
        <f>AC14-AC13</f>
        <v>5058</v>
      </c>
      <c r="AD15" s="269"/>
      <c r="AE15" s="268">
        <f>AE14-AE13</f>
        <v>4214</v>
      </c>
      <c r="AF15" s="269"/>
      <c r="AG15" s="94"/>
      <c r="AH15" s="79"/>
      <c r="AI15" s="101"/>
      <c r="AJ15" s="253">
        <f t="shared" ref="AJ15" si="18">AJ14-AJ13</f>
        <v>-26334</v>
      </c>
      <c r="AK15" s="253"/>
      <c r="AL15" s="252">
        <f t="shared" ref="AL15" si="19">AL14-AL13</f>
        <v>18192</v>
      </c>
      <c r="AM15" s="253"/>
      <c r="AN15" s="252">
        <f t="shared" ref="AN15" si="20">AN14-AN13</f>
        <v>35946</v>
      </c>
      <c r="AO15" s="253"/>
      <c r="AP15" s="252">
        <f t="shared" ref="AP15" si="21">AP14-AP13</f>
        <v>43818</v>
      </c>
      <c r="AQ15" s="253"/>
      <c r="AR15" s="252">
        <f t="shared" ref="AR15" si="22">AR14-AR13</f>
        <v>32459</v>
      </c>
      <c r="AS15" s="253"/>
      <c r="AT15" s="252">
        <f t="shared" ref="AT15" si="23">AT14-AT13</f>
        <v>75500</v>
      </c>
      <c r="AU15" s="253"/>
      <c r="AV15" s="252">
        <f t="shared" ref="AV15" si="24">AV14-AV13</f>
        <v>75500</v>
      </c>
      <c r="AW15" s="253"/>
      <c r="AX15" s="252">
        <f t="shared" ref="AX15" si="25">AX14-AX13</f>
        <v>75500</v>
      </c>
      <c r="AY15" s="253"/>
      <c r="AZ15" s="23">
        <f>AZ14-AZ13</f>
        <v>16319</v>
      </c>
      <c r="BA15" s="23">
        <f>BA14-BA13</f>
        <v>346900</v>
      </c>
      <c r="BB15" s="98"/>
    </row>
    <row r="16" spans="1:55" ht="16.2" thickBot="1" x14ac:dyDescent="0.35">
      <c r="Q16" s="119" t="s">
        <v>36</v>
      </c>
      <c r="R16" s="273"/>
      <c r="S16" s="274"/>
      <c r="T16" s="254"/>
      <c r="U16" s="255"/>
      <c r="V16" s="254">
        <f t="shared" ref="V16:X16" si="26">(V13-V14)/V14</f>
        <v>-0.14915231788079469</v>
      </c>
      <c r="W16" s="275"/>
      <c r="X16" s="255">
        <f t="shared" si="26"/>
        <v>-0.10973509933774835</v>
      </c>
      <c r="Y16" s="255"/>
      <c r="Z16" s="113"/>
      <c r="AA16" s="114"/>
      <c r="AB16" s="115"/>
      <c r="AC16" s="255">
        <f t="shared" ref="AC16" si="27">(AC13-AC14)/AC14</f>
        <v>-6.6993377483443708E-2</v>
      </c>
      <c r="AD16" s="255"/>
      <c r="AE16" s="276">
        <f>(AE14-AE13)/AE14</f>
        <v>5.5814569536423844E-2</v>
      </c>
      <c r="AF16" s="275"/>
      <c r="AG16" s="121"/>
      <c r="AH16" s="122"/>
      <c r="AI16" s="124"/>
      <c r="AJ16" s="255">
        <f t="shared" ref="AJ16" si="28">(AJ14-AJ13)/AJ14</f>
        <v>-0.34879470198675494</v>
      </c>
      <c r="AK16" s="255"/>
      <c r="AL16" s="254">
        <f t="shared" ref="AL16" si="29">(AL14-AL13)/AL14</f>
        <v>0.24095364238410596</v>
      </c>
      <c r="AM16" s="255"/>
      <c r="AN16" s="254">
        <f t="shared" ref="AN16" si="30">(AN14-AN13)/AN14</f>
        <v>0.47610596026490065</v>
      </c>
      <c r="AO16" s="255"/>
      <c r="AP16" s="254">
        <f t="shared" ref="AP16" si="31">(AP14-AP13)/AP14</f>
        <v>0.58037086092715229</v>
      </c>
      <c r="AQ16" s="255"/>
      <c r="AR16" s="254">
        <f t="shared" ref="AR16" si="32">(AR14-AR13)/AR14</f>
        <v>0.4299205298013245</v>
      </c>
      <c r="AS16" s="255"/>
      <c r="AT16" s="254">
        <f t="shared" ref="AT16" si="33">(AT14-AT13)/AT14</f>
        <v>1</v>
      </c>
      <c r="AU16" s="255"/>
      <c r="AV16" s="254">
        <f t="shared" ref="AV16" si="34">(AV14-AV13)/AV14</f>
        <v>1</v>
      </c>
      <c r="AW16" s="255"/>
      <c r="AX16" s="254">
        <f t="shared" ref="AX16" si="35">(AX14-AX13)/AX14</f>
        <v>1</v>
      </c>
      <c r="AY16" s="255"/>
      <c r="AZ16" s="97">
        <f>(AZ13-AZ14)/AZ14</f>
        <v>-0.10807284768211921</v>
      </c>
      <c r="BA16" s="125">
        <f>(BA13-BA14)/BA14</f>
        <v>-0.45947019867549671</v>
      </c>
    </row>
    <row r="17" spans="1:52" s="11" customFormat="1" ht="75.599999999999994" customHeight="1" x14ac:dyDescent="0.3">
      <c r="A17" s="11" t="s">
        <v>273</v>
      </c>
      <c r="B17" s="11" t="s">
        <v>274</v>
      </c>
      <c r="C17" s="11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11" t="s">
        <v>42</v>
      </c>
      <c r="I17" s="11" t="s">
        <v>44</v>
      </c>
      <c r="J17" s="11" t="s">
        <v>45</v>
      </c>
      <c r="K17" s="11" t="s">
        <v>46</v>
      </c>
      <c r="L17" s="11" t="s">
        <v>47</v>
      </c>
      <c r="M17" s="11" t="s">
        <v>48</v>
      </c>
      <c r="N17" s="11" t="s">
        <v>49</v>
      </c>
      <c r="O17" s="11" t="s">
        <v>50</v>
      </c>
      <c r="P17" s="11" t="s">
        <v>51</v>
      </c>
      <c r="Q17" s="11" t="s">
        <v>52</v>
      </c>
      <c r="R17" s="9" t="s">
        <v>76</v>
      </c>
      <c r="S17" s="9" t="s">
        <v>77</v>
      </c>
      <c r="T17" s="9" t="s">
        <v>78</v>
      </c>
      <c r="U17" s="9" t="s">
        <v>79</v>
      </c>
      <c r="V17" s="11" t="s">
        <v>80</v>
      </c>
      <c r="W17" s="11" t="s">
        <v>81</v>
      </c>
      <c r="X17" s="92" t="s">
        <v>275</v>
      </c>
      <c r="Y17" s="92" t="s">
        <v>276</v>
      </c>
      <c r="Z17" s="99" t="s">
        <v>277</v>
      </c>
      <c r="AA17" s="99" t="s">
        <v>278</v>
      </c>
      <c r="AB17" s="99" t="s">
        <v>279</v>
      </c>
      <c r="AC17" s="11" t="s">
        <v>82</v>
      </c>
      <c r="AD17" s="11" t="s">
        <v>83</v>
      </c>
      <c r="AE17" s="92" t="s">
        <v>281</v>
      </c>
      <c r="AF17" s="92" t="s">
        <v>282</v>
      </c>
      <c r="AG17" s="93" t="s">
        <v>283</v>
      </c>
      <c r="AH17" s="93" t="s">
        <v>284</v>
      </c>
      <c r="AI17" s="93" t="s">
        <v>285</v>
      </c>
      <c r="AJ17" s="11" t="s">
        <v>84</v>
      </c>
      <c r="AK17" s="11" t="s">
        <v>85</v>
      </c>
      <c r="AL17" s="11" t="s">
        <v>86</v>
      </c>
      <c r="AM17" s="11" t="s">
        <v>87</v>
      </c>
      <c r="AN17" s="11" t="s">
        <v>88</v>
      </c>
      <c r="AO17" s="11" t="s">
        <v>89</v>
      </c>
      <c r="AP17" s="11" t="s">
        <v>90</v>
      </c>
      <c r="AQ17" s="11" t="s">
        <v>91</v>
      </c>
      <c r="AR17" s="11" t="s">
        <v>92</v>
      </c>
      <c r="AS17" s="11" t="s">
        <v>93</v>
      </c>
      <c r="AT17" s="11" t="s">
        <v>94</v>
      </c>
      <c r="AU17" s="11" t="s">
        <v>95</v>
      </c>
      <c r="AV17" s="11" t="s">
        <v>96</v>
      </c>
      <c r="AW17" s="11" t="s">
        <v>97</v>
      </c>
      <c r="AX17" s="11" t="s">
        <v>98</v>
      </c>
      <c r="AY17" s="11" t="s">
        <v>99</v>
      </c>
      <c r="AZ17" s="11" t="s">
        <v>100</v>
      </c>
    </row>
    <row r="18" spans="1:52" hidden="1" x14ac:dyDescent="0.3">
      <c r="A18" t="s">
        <v>286</v>
      </c>
      <c r="C18" t="s">
        <v>101</v>
      </c>
      <c r="D18" t="s">
        <v>102</v>
      </c>
      <c r="E18" t="s">
        <v>103</v>
      </c>
      <c r="F18" t="s">
        <v>140</v>
      </c>
      <c r="G18" t="s">
        <v>16</v>
      </c>
      <c r="H18" t="s">
        <v>16</v>
      </c>
      <c r="I18" t="s">
        <v>105</v>
      </c>
      <c r="J18" t="s">
        <v>174</v>
      </c>
      <c r="K18" t="s">
        <v>175</v>
      </c>
      <c r="L18" t="s">
        <v>143</v>
      </c>
      <c r="M18" t="s">
        <v>176</v>
      </c>
      <c r="N18" t="s">
        <v>164</v>
      </c>
      <c r="O18" s="1">
        <v>44014</v>
      </c>
      <c r="P18" s="1">
        <v>44294</v>
      </c>
      <c r="Q18" s="1">
        <v>45239</v>
      </c>
      <c r="R18">
        <v>389</v>
      </c>
      <c r="S18">
        <v>4986</v>
      </c>
      <c r="T18">
        <v>729</v>
      </c>
      <c r="U18">
        <v>28833</v>
      </c>
      <c r="V18">
        <v>399</v>
      </c>
      <c r="W18">
        <v>11768</v>
      </c>
      <c r="X18">
        <v>300</v>
      </c>
      <c r="Y18">
        <v>16142</v>
      </c>
      <c r="Z18">
        <f>Portefeuille_ProgPropose2[[#This Row],[AC 2025]]-Portefeuille_ProgPropose2[[#This Row],[AC 2025 Trimestre précédent]]</f>
        <v>99</v>
      </c>
      <c r="AA18">
        <f>Portefeuille_ProgPropose2[[#This Row],[TR 2025]]-Portefeuille_ProgPropose2[[#This Row],[TR 2025 Trimestre précédent]]</f>
        <v>-4374</v>
      </c>
      <c r="AB18">
        <f>Portefeuille_ProgPropose2[[#This Row],[Écart AC 2025]]+Portefeuille_ProgPropose2[[#This Row],[Écart TR 2025]]</f>
        <v>-4275</v>
      </c>
      <c r="AD18"/>
      <c r="AG18">
        <f>Portefeuille_ProgPropose2[[#This Row],[AC 2026]]-Portefeuille_ProgPropose2[[#This Row],[AC 2026 Trimestre précédent]]</f>
        <v>0</v>
      </c>
      <c r="AH18">
        <f>Portefeuille_ProgPropose2[[#This Row],[TR 2026]]-Portefeuille_ProgPropose2[[#This Row],[TR 2026 Trimestre précédent]]</f>
        <v>0</v>
      </c>
      <c r="AI18">
        <f>Portefeuille_ProgPropose2[[#This Row],[Écart AC 2026]]+Portefeuille_ProgPropose2[[#This Row],[Écart TR 2026]]</f>
        <v>0</v>
      </c>
      <c r="AQ18"/>
      <c r="AZ18" s="14">
        <f>SUM(Portefeuille_ProgPropose2[[#This Row],[AC ANT]:[TR 2025]],Portefeuille_ProgPropose2[[#This Row],[AC 2026]:[TR 2026]],Portefeuille_ProgPropose2[[#This Row],[AC 2027]:[TR 2034]])</f>
        <v>47104</v>
      </c>
    </row>
    <row r="19" spans="1:52" x14ac:dyDescent="0.3">
      <c r="A19" t="s">
        <v>286</v>
      </c>
      <c r="B19">
        <v>10</v>
      </c>
      <c r="C19" t="s">
        <v>101</v>
      </c>
      <c r="D19" t="s">
        <v>102</v>
      </c>
      <c r="E19" t="s">
        <v>128</v>
      </c>
      <c r="F19" t="s">
        <v>149</v>
      </c>
      <c r="G19" t="s">
        <v>16</v>
      </c>
      <c r="H19" t="s">
        <v>20</v>
      </c>
      <c r="I19" t="s">
        <v>131</v>
      </c>
      <c r="J19" t="s">
        <v>150</v>
      </c>
      <c r="K19" t="s">
        <v>151</v>
      </c>
      <c r="L19" t="s">
        <v>152</v>
      </c>
      <c r="M19" t="s">
        <v>109</v>
      </c>
      <c r="N19" t="s">
        <v>110</v>
      </c>
      <c r="O19" s="1">
        <v>45079</v>
      </c>
      <c r="P19" s="1">
        <v>45665</v>
      </c>
      <c r="Q19" s="1">
        <v>45762</v>
      </c>
      <c r="R19">
        <v>12</v>
      </c>
      <c r="T19">
        <v>255</v>
      </c>
      <c r="V19">
        <v>144</v>
      </c>
      <c r="X19">
        <v>144</v>
      </c>
      <c r="Y19">
        <v>3159</v>
      </c>
      <c r="Z19">
        <f>Portefeuille_ProgPropose2[[#This Row],[AC 2025]]-Portefeuille_ProgPropose2[[#This Row],[AC 2025 Trimestre précédent]]</f>
        <v>0</v>
      </c>
      <c r="AA19">
        <f>Portefeuille_ProgPropose2[[#This Row],[TR 2025]]-Portefeuille_ProgPropose2[[#This Row],[TR 2025 Trimestre précédent]]</f>
        <v>-3159</v>
      </c>
      <c r="AB19">
        <f>Portefeuille_ProgPropose2[[#This Row],[Écart AC 2025]]+Portefeuille_ProgPropose2[[#This Row],[Écart TR 2025]]</f>
        <v>-3159</v>
      </c>
      <c r="AC19">
        <v>43</v>
      </c>
      <c r="AD19">
        <v>4521</v>
      </c>
      <c r="AE19">
        <v>43</v>
      </c>
      <c r="AF19">
        <v>2781</v>
      </c>
      <c r="AG19">
        <f>Portefeuille_ProgPropose2[[#This Row],[AC 2026]]-Portefeuille_ProgPropose2[[#This Row],[AC 2026 Trimestre précédent]]</f>
        <v>0</v>
      </c>
      <c r="AH19">
        <f>Portefeuille_ProgPropose2[[#This Row],[TR 2026]]-Portefeuille_ProgPropose2[[#This Row],[TR 2026 Trimestre précédent]]</f>
        <v>1740</v>
      </c>
      <c r="AI19">
        <f>Portefeuille_ProgPropose2[[#This Row],[Écart AC 2026]]+Portefeuille_ProgPropose2[[#This Row],[Écart TR 2026]]</f>
        <v>1740</v>
      </c>
      <c r="AK19">
        <v>4182</v>
      </c>
      <c r="AQ19"/>
      <c r="AZ19" s="14">
        <f>SUM(Portefeuille_ProgPropose2[[#This Row],[AC ANT]:[TR 2025]],Portefeuille_ProgPropose2[[#This Row],[AC 2026]:[TR 2026]],Portefeuille_ProgPropose2[[#This Row],[AC 2027]:[TR 2034]])</f>
        <v>9157</v>
      </c>
    </row>
    <row r="20" spans="1:52" x14ac:dyDescent="0.3">
      <c r="A20" t="s">
        <v>286</v>
      </c>
      <c r="B20">
        <v>6</v>
      </c>
      <c r="C20" t="s">
        <v>118</v>
      </c>
      <c r="D20" t="s">
        <v>102</v>
      </c>
      <c r="E20" t="s">
        <v>136</v>
      </c>
      <c r="F20" t="s">
        <v>104</v>
      </c>
      <c r="G20" t="s">
        <v>20</v>
      </c>
      <c r="H20" t="s">
        <v>20</v>
      </c>
      <c r="I20" t="s">
        <v>131</v>
      </c>
      <c r="J20" t="s">
        <v>157</v>
      </c>
      <c r="K20" t="s">
        <v>158</v>
      </c>
      <c r="L20" t="s">
        <v>159</v>
      </c>
      <c r="M20" t="s">
        <v>109</v>
      </c>
      <c r="N20" t="s">
        <v>155</v>
      </c>
      <c r="O20" s="87">
        <v>45641</v>
      </c>
      <c r="P20" s="1"/>
      <c r="Q20" s="1">
        <v>45884</v>
      </c>
      <c r="V20">
        <v>150</v>
      </c>
      <c r="X20">
        <v>150</v>
      </c>
      <c r="Z20">
        <f>Portefeuille_ProgPropose2[[#This Row],[AC 2025]]-Portefeuille_ProgPropose2[[#This Row],[AC 2025 Trimestre précédent]]</f>
        <v>0</v>
      </c>
      <c r="AA20">
        <f>Portefeuille_ProgPropose2[[#This Row],[TR 2025]]-Portefeuille_ProgPropose2[[#This Row],[TR 2025 Trimestre précédent]]</f>
        <v>0</v>
      </c>
      <c r="AB20">
        <f>Portefeuille_ProgPropose2[[#This Row],[Écart AC 2025]]+Portefeuille_ProgPropose2[[#This Row],[Écart TR 2025]]</f>
        <v>0</v>
      </c>
      <c r="AC20">
        <v>150</v>
      </c>
      <c r="AD20">
        <v>650</v>
      </c>
      <c r="AE20">
        <v>150</v>
      </c>
      <c r="AF20">
        <v>650</v>
      </c>
      <c r="AG20">
        <f>Portefeuille_ProgPropose2[[#This Row],[AC 2026]]-Portefeuille_ProgPropose2[[#This Row],[AC 2026 Trimestre précédent]]</f>
        <v>0</v>
      </c>
      <c r="AH20">
        <f>Portefeuille_ProgPropose2[[#This Row],[TR 2026]]-Portefeuille_ProgPropose2[[#This Row],[TR 2026 Trimestre précédent]]</f>
        <v>0</v>
      </c>
      <c r="AI20">
        <f>Portefeuille_ProgPropose2[[#This Row],[Écart AC 2026]]+Portefeuille_ProgPropose2[[#This Row],[Écart TR 2026]]</f>
        <v>0</v>
      </c>
      <c r="AQ20"/>
      <c r="AZ20" s="14">
        <f>SUM(Portefeuille_ProgPropose2[[#This Row],[AC ANT]:[TR 2025]],Portefeuille_ProgPropose2[[#This Row],[AC 2026]:[TR 2026]],Portefeuille_ProgPropose2[[#This Row],[AC 2027]:[TR 2034]])</f>
        <v>950</v>
      </c>
    </row>
    <row r="21" spans="1:52" x14ac:dyDescent="0.3">
      <c r="A21" t="s">
        <v>286</v>
      </c>
      <c r="C21" t="s">
        <v>101</v>
      </c>
      <c r="D21" t="s">
        <v>102</v>
      </c>
      <c r="E21" t="s">
        <v>136</v>
      </c>
      <c r="F21" t="s">
        <v>113</v>
      </c>
      <c r="G21" t="s">
        <v>16</v>
      </c>
      <c r="H21" t="s">
        <v>16</v>
      </c>
      <c r="I21" t="s">
        <v>131</v>
      </c>
      <c r="J21" t="s">
        <v>137</v>
      </c>
      <c r="K21" t="s">
        <v>138</v>
      </c>
      <c r="L21" t="s">
        <v>139</v>
      </c>
      <c r="M21" t="s">
        <v>109</v>
      </c>
      <c r="N21" t="s">
        <v>110</v>
      </c>
      <c r="O21" s="1">
        <v>45062</v>
      </c>
      <c r="P21" s="1">
        <v>45689</v>
      </c>
      <c r="Q21" s="1">
        <v>45962</v>
      </c>
      <c r="R21">
        <v>337</v>
      </c>
      <c r="S21">
        <v>41</v>
      </c>
      <c r="T21">
        <v>349</v>
      </c>
      <c r="V21">
        <v>340</v>
      </c>
      <c r="X21">
        <v>340</v>
      </c>
      <c r="Z21">
        <f>Portefeuille_ProgPropose2[[#This Row],[AC 2025]]-Portefeuille_ProgPropose2[[#This Row],[AC 2025 Trimestre précédent]]</f>
        <v>0</v>
      </c>
      <c r="AA21">
        <f>Portefeuille_ProgPropose2[[#This Row],[TR 2025]]-Portefeuille_ProgPropose2[[#This Row],[TR 2025 Trimestre précédent]]</f>
        <v>0</v>
      </c>
      <c r="AB21">
        <f>Portefeuille_ProgPropose2[[#This Row],[Écart AC 2025]]+Portefeuille_ProgPropose2[[#This Row],[Écart TR 2025]]</f>
        <v>0</v>
      </c>
      <c r="AC21">
        <v>1377</v>
      </c>
      <c r="AD21">
        <v>5741</v>
      </c>
      <c r="AE21">
        <v>1377</v>
      </c>
      <c r="AF21">
        <v>5741</v>
      </c>
      <c r="AG21">
        <f>Portefeuille_ProgPropose2[[#This Row],[AC 2026]]-Portefeuille_ProgPropose2[[#This Row],[AC 2026 Trimestre précédent]]</f>
        <v>0</v>
      </c>
      <c r="AH21">
        <f>Portefeuille_ProgPropose2[[#This Row],[TR 2026]]-Portefeuille_ProgPropose2[[#This Row],[TR 2026 Trimestre précédent]]</f>
        <v>0</v>
      </c>
      <c r="AI21">
        <f>Portefeuille_ProgPropose2[[#This Row],[Écart AC 2026]]+Portefeuille_ProgPropose2[[#This Row],[Écart TR 2026]]</f>
        <v>0</v>
      </c>
      <c r="AQ21"/>
      <c r="AZ21" s="14">
        <f>SUM(Portefeuille_ProgPropose2[[#This Row],[AC ANT]:[TR 2025]],Portefeuille_ProgPropose2[[#This Row],[AC 2026]:[TR 2026]],Portefeuille_ProgPropose2[[#This Row],[AC 2027]:[TR 2034]])</f>
        <v>8185</v>
      </c>
    </row>
    <row r="22" spans="1:52" hidden="1" x14ac:dyDescent="0.3">
      <c r="A22" t="s">
        <v>286</v>
      </c>
      <c r="B22">
        <v>8</v>
      </c>
      <c r="C22" t="s">
        <v>118</v>
      </c>
      <c r="D22" t="s">
        <v>102</v>
      </c>
      <c r="E22" t="s">
        <v>136</v>
      </c>
      <c r="F22" t="s">
        <v>252</v>
      </c>
      <c r="G22" t="s">
        <v>20</v>
      </c>
      <c r="H22" t="s">
        <v>20</v>
      </c>
      <c r="I22" t="s">
        <v>131</v>
      </c>
      <c r="J22" t="s">
        <v>255</v>
      </c>
      <c r="K22" t="s">
        <v>256</v>
      </c>
      <c r="L22" t="s">
        <v>209</v>
      </c>
      <c r="M22" t="s">
        <v>148</v>
      </c>
      <c r="N22" t="s">
        <v>291</v>
      </c>
      <c r="O22" s="1"/>
      <c r="P22" s="1"/>
      <c r="Q22" s="1"/>
      <c r="W22">
        <v>300</v>
      </c>
      <c r="Y22">
        <v>300</v>
      </c>
      <c r="Z22">
        <f>Portefeuille_ProgPropose2[[#This Row],[AC 2025]]-Portefeuille_ProgPropose2[[#This Row],[AC 2025 Trimestre précédent]]</f>
        <v>0</v>
      </c>
      <c r="AA22">
        <f>Portefeuille_ProgPropose2[[#This Row],[TR 2025]]-Portefeuille_ProgPropose2[[#This Row],[TR 2025 Trimestre précédent]]</f>
        <v>0</v>
      </c>
      <c r="AB22">
        <f>Portefeuille_ProgPropose2[[#This Row],[Écart AC 2025]]+Portefeuille_ProgPropose2[[#This Row],[Écart TR 2025]]</f>
        <v>0</v>
      </c>
      <c r="AD22"/>
      <c r="AG22">
        <f>Portefeuille_ProgPropose2[[#This Row],[AC 2026]]-Portefeuille_ProgPropose2[[#This Row],[AC 2026 Trimestre précédent]]</f>
        <v>0</v>
      </c>
      <c r="AH22">
        <f>Portefeuille_ProgPropose2[[#This Row],[TR 2026]]-Portefeuille_ProgPropose2[[#This Row],[TR 2026 Trimestre précédent]]</f>
        <v>0</v>
      </c>
      <c r="AI22">
        <f>Portefeuille_ProgPropose2[[#This Row],[Écart AC 2026]]+Portefeuille_ProgPropose2[[#This Row],[Écart TR 2026]]</f>
        <v>0</v>
      </c>
      <c r="AQ22"/>
      <c r="AZ22" s="14">
        <f>SUM(Portefeuille_ProgPropose2[[#This Row],[AC ANT]:[TR 2025]],Portefeuille_ProgPropose2[[#This Row],[AC 2026]:[TR 2026]],Portefeuille_ProgPropose2[[#This Row],[AC 2027]:[TR 2034]])</f>
        <v>300</v>
      </c>
    </row>
    <row r="23" spans="1:52" hidden="1" x14ac:dyDescent="0.3">
      <c r="A23" t="s">
        <v>286</v>
      </c>
      <c r="B23">
        <v>1</v>
      </c>
      <c r="C23" t="s">
        <v>118</v>
      </c>
      <c r="D23" t="s">
        <v>102</v>
      </c>
      <c r="E23" t="s">
        <v>136</v>
      </c>
      <c r="F23" t="s">
        <v>129</v>
      </c>
      <c r="G23" t="s">
        <v>16</v>
      </c>
      <c r="H23" t="s">
        <v>130</v>
      </c>
      <c r="I23" t="s">
        <v>131</v>
      </c>
      <c r="J23" t="s">
        <v>218</v>
      </c>
      <c r="K23" s="82" t="s">
        <v>219</v>
      </c>
      <c r="L23" t="s">
        <v>152</v>
      </c>
      <c r="M23" t="s">
        <v>148</v>
      </c>
      <c r="N23" t="s">
        <v>110</v>
      </c>
      <c r="O23" s="1">
        <v>45370</v>
      </c>
      <c r="P23" s="1"/>
      <c r="Q23" s="87">
        <v>45627</v>
      </c>
      <c r="R23">
        <v>6</v>
      </c>
      <c r="T23">
        <v>60</v>
      </c>
      <c r="V23">
        <v>54</v>
      </c>
      <c r="W23">
        <v>610</v>
      </c>
      <c r="X23">
        <v>54</v>
      </c>
      <c r="Y23">
        <v>610</v>
      </c>
      <c r="Z23">
        <f>Portefeuille_ProgPropose2[[#This Row],[AC 2025]]-Portefeuille_ProgPropose2[[#This Row],[AC 2025 Trimestre précédent]]</f>
        <v>0</v>
      </c>
      <c r="AA23">
        <f>Portefeuille_ProgPropose2[[#This Row],[TR 2025]]-Portefeuille_ProgPropose2[[#This Row],[TR 2025 Trimestre précédent]]</f>
        <v>0</v>
      </c>
      <c r="AB23">
        <f>Portefeuille_ProgPropose2[[#This Row],[Écart AC 2025]]+Portefeuille_ProgPropose2[[#This Row],[Écart TR 2025]]</f>
        <v>0</v>
      </c>
      <c r="AD23"/>
      <c r="AG23">
        <f>Portefeuille_ProgPropose2[[#This Row],[AC 2026]]-Portefeuille_ProgPropose2[[#This Row],[AC 2026 Trimestre précédent]]</f>
        <v>0</v>
      </c>
      <c r="AH23">
        <f>Portefeuille_ProgPropose2[[#This Row],[TR 2026]]-Portefeuille_ProgPropose2[[#This Row],[TR 2026 Trimestre précédent]]</f>
        <v>0</v>
      </c>
      <c r="AI23">
        <f>Portefeuille_ProgPropose2[[#This Row],[Écart AC 2026]]+Portefeuille_ProgPropose2[[#This Row],[Écart TR 2026]]</f>
        <v>0</v>
      </c>
      <c r="AQ23"/>
      <c r="AZ23" s="14">
        <f>SUM(Portefeuille_ProgPropose2[[#This Row],[AC ANT]:[TR 2025]],Portefeuille_ProgPropose2[[#This Row],[AC 2026]:[TR 2026]],Portefeuille_ProgPropose2[[#This Row],[AC 2027]:[TR 2034]])</f>
        <v>730</v>
      </c>
    </row>
    <row r="24" spans="1:52" hidden="1" x14ac:dyDescent="0.3">
      <c r="A24" t="s">
        <v>11</v>
      </c>
      <c r="B24">
        <v>9</v>
      </c>
      <c r="C24" t="s">
        <v>118</v>
      </c>
      <c r="D24" t="s">
        <v>102</v>
      </c>
      <c r="E24" t="s">
        <v>103</v>
      </c>
      <c r="F24" t="s">
        <v>252</v>
      </c>
      <c r="G24" t="s">
        <v>20</v>
      </c>
      <c r="H24" t="s">
        <v>20</v>
      </c>
      <c r="I24" t="s">
        <v>131</v>
      </c>
      <c r="J24" t="s">
        <v>257</v>
      </c>
      <c r="K24" t="s">
        <v>258</v>
      </c>
      <c r="L24" t="s">
        <v>180</v>
      </c>
      <c r="M24" t="s">
        <v>148</v>
      </c>
      <c r="N24" t="s">
        <v>291</v>
      </c>
      <c r="O24" s="1"/>
      <c r="P24" s="1"/>
      <c r="Q24" s="1"/>
      <c r="W24">
        <v>300</v>
      </c>
      <c r="Y24">
        <v>300</v>
      </c>
      <c r="Z24">
        <f>Portefeuille_ProgPropose2[[#This Row],[AC 2025]]-Portefeuille_ProgPropose2[[#This Row],[AC 2025 Trimestre précédent]]</f>
        <v>0</v>
      </c>
      <c r="AA24">
        <f>Portefeuille_ProgPropose2[[#This Row],[TR 2025]]-Portefeuille_ProgPropose2[[#This Row],[TR 2025 Trimestre précédent]]</f>
        <v>0</v>
      </c>
      <c r="AB24">
        <f>Portefeuille_ProgPropose2[[#This Row],[Écart AC 2025]]+Portefeuille_ProgPropose2[[#This Row],[Écart TR 2025]]</f>
        <v>0</v>
      </c>
      <c r="AD24"/>
      <c r="AG24">
        <f>Portefeuille_ProgPropose2[[#This Row],[AC 2026]]-Portefeuille_ProgPropose2[[#This Row],[AC 2026 Trimestre précédent]]</f>
        <v>0</v>
      </c>
      <c r="AH24">
        <f>Portefeuille_ProgPropose2[[#This Row],[TR 2026]]-Portefeuille_ProgPropose2[[#This Row],[TR 2026 Trimestre précédent]]</f>
        <v>0</v>
      </c>
      <c r="AI24">
        <f>Portefeuille_ProgPropose2[[#This Row],[Écart AC 2026]]+Portefeuille_ProgPropose2[[#This Row],[Écart TR 2026]]</f>
        <v>0</v>
      </c>
      <c r="AQ24"/>
      <c r="AZ24" s="14">
        <f>SUM(Portefeuille_ProgPropose2[[#This Row],[AC ANT]:[TR 2025]],Portefeuille_ProgPropose2[[#This Row],[AC 2026]:[TR 2026]],Portefeuille_ProgPropose2[[#This Row],[AC 2027]:[TR 2034]])</f>
        <v>300</v>
      </c>
    </row>
    <row r="25" spans="1:52" x14ac:dyDescent="0.3">
      <c r="A25" t="s">
        <v>286</v>
      </c>
      <c r="B25">
        <v>1</v>
      </c>
      <c r="C25" t="s">
        <v>126</v>
      </c>
      <c r="D25" t="s">
        <v>127</v>
      </c>
      <c r="E25" t="s">
        <v>128</v>
      </c>
      <c r="F25" t="s">
        <v>129</v>
      </c>
      <c r="G25" t="s">
        <v>16</v>
      </c>
      <c r="H25" t="s">
        <v>130</v>
      </c>
      <c r="I25" t="s">
        <v>131</v>
      </c>
      <c r="J25" t="s">
        <v>132</v>
      </c>
      <c r="K25" t="s">
        <v>288</v>
      </c>
      <c r="L25" t="s">
        <v>134</v>
      </c>
      <c r="M25" s="2" t="s">
        <v>109</v>
      </c>
      <c r="N25" t="s">
        <v>110</v>
      </c>
      <c r="O25" s="1">
        <v>45218</v>
      </c>
      <c r="P25" s="1">
        <v>45695</v>
      </c>
      <c r="Q25" s="1">
        <v>45945</v>
      </c>
      <c r="T25">
        <v>10</v>
      </c>
      <c r="V25">
        <v>10</v>
      </c>
      <c r="X25">
        <v>10</v>
      </c>
      <c r="Z25">
        <f>Portefeuille_ProgPropose2[[#This Row],[AC 2025]]-Portefeuille_ProgPropose2[[#This Row],[AC 2025 Trimestre précédent]]</f>
        <v>0</v>
      </c>
      <c r="AA25">
        <f>Portefeuille_ProgPropose2[[#This Row],[TR 2025]]-Portefeuille_ProgPropose2[[#This Row],[TR 2025 Trimestre précédent]]</f>
        <v>0</v>
      </c>
      <c r="AB25">
        <f>Portefeuille_ProgPropose2[[#This Row],[Écart AC 2025]]+Portefeuille_ProgPropose2[[#This Row],[Écart TR 2025]]</f>
        <v>0</v>
      </c>
      <c r="AC25">
        <v>100</v>
      </c>
      <c r="AD25">
        <v>4584</v>
      </c>
      <c r="AE25">
        <v>100</v>
      </c>
      <c r="AF25">
        <v>6584</v>
      </c>
      <c r="AG25">
        <f>Portefeuille_ProgPropose2[[#This Row],[AC 2026]]-Portefeuille_ProgPropose2[[#This Row],[AC 2026 Trimestre précédent]]</f>
        <v>0</v>
      </c>
      <c r="AH25">
        <f>Portefeuille_ProgPropose2[[#This Row],[TR 2026]]-Portefeuille_ProgPropose2[[#This Row],[TR 2026 Trimestre précédent]]</f>
        <v>-2000</v>
      </c>
      <c r="AI25">
        <f>Portefeuille_ProgPropose2[[#This Row],[Écart AC 2026]]+Portefeuille_ProgPropose2[[#This Row],[Écart TR 2026]]</f>
        <v>-2000</v>
      </c>
      <c r="AQ25"/>
      <c r="AZ25" s="14">
        <f>SUM(Portefeuille_ProgPropose2[[#This Row],[AC ANT]:[TR 2025]],Portefeuille_ProgPropose2[[#This Row],[AC 2026]:[TR 2026]],Portefeuille_ProgPropose2[[#This Row],[AC 2027]:[TR 2034]])</f>
        <v>4704</v>
      </c>
    </row>
    <row r="26" spans="1:52" hidden="1" x14ac:dyDescent="0.3">
      <c r="A26" t="s">
        <v>286</v>
      </c>
      <c r="C26" t="s">
        <v>101</v>
      </c>
      <c r="D26" t="s">
        <v>102</v>
      </c>
      <c r="E26" t="s">
        <v>136</v>
      </c>
      <c r="F26" t="s">
        <v>104</v>
      </c>
      <c r="G26" t="s">
        <v>16</v>
      </c>
      <c r="H26" t="s">
        <v>20</v>
      </c>
      <c r="I26" t="s">
        <v>105</v>
      </c>
      <c r="J26" t="s">
        <v>170</v>
      </c>
      <c r="K26" t="s">
        <v>171</v>
      </c>
      <c r="L26" t="s">
        <v>172</v>
      </c>
      <c r="M26" t="s">
        <v>173</v>
      </c>
      <c r="N26" t="s">
        <v>110</v>
      </c>
      <c r="O26" s="1">
        <v>44833</v>
      </c>
      <c r="P26" s="1">
        <v>45976</v>
      </c>
      <c r="Q26" s="1">
        <v>46280</v>
      </c>
      <c r="R26">
        <v>497</v>
      </c>
      <c r="S26">
        <v>8</v>
      </c>
      <c r="T26">
        <v>557</v>
      </c>
      <c r="V26">
        <v>443</v>
      </c>
      <c r="X26">
        <v>443</v>
      </c>
      <c r="Z26">
        <f>Portefeuille_ProgPropose2[[#This Row],[AC 2025]]-Portefeuille_ProgPropose2[[#This Row],[AC 2025 Trimestre précédent]]</f>
        <v>0</v>
      </c>
      <c r="AA26">
        <f>Portefeuille_ProgPropose2[[#This Row],[TR 2025]]-Portefeuille_ProgPropose2[[#This Row],[TR 2025 Trimestre précédent]]</f>
        <v>0</v>
      </c>
      <c r="AB26">
        <f>Portefeuille_ProgPropose2[[#This Row],[Écart AC 2025]]+Portefeuille_ProgPropose2[[#This Row],[Écart TR 2025]]</f>
        <v>0</v>
      </c>
      <c r="AC26">
        <v>346</v>
      </c>
      <c r="AD26"/>
      <c r="AE26">
        <v>346</v>
      </c>
      <c r="AG26">
        <f>Portefeuille_ProgPropose2[[#This Row],[AC 2026]]-Portefeuille_ProgPropose2[[#This Row],[AC 2026 Trimestre précédent]]</f>
        <v>0</v>
      </c>
      <c r="AH26">
        <f>Portefeuille_ProgPropose2[[#This Row],[TR 2026]]-Portefeuille_ProgPropose2[[#This Row],[TR 2026 Trimestre précédent]]</f>
        <v>0</v>
      </c>
      <c r="AI26">
        <f>Portefeuille_ProgPropose2[[#This Row],[Écart AC 2026]]+Portefeuille_ProgPropose2[[#This Row],[Écart TR 2026]]</f>
        <v>0</v>
      </c>
      <c r="AJ26">
        <v>1338</v>
      </c>
      <c r="AK26">
        <v>15737</v>
      </c>
      <c r="AL26">
        <v>2195</v>
      </c>
      <c r="AM26">
        <v>4000</v>
      </c>
      <c r="AQ26"/>
      <c r="AZ26" s="14">
        <f>SUM(Portefeuille_ProgPropose2[[#This Row],[AC ANT]:[TR 2025]],Portefeuille_ProgPropose2[[#This Row],[AC 2026]:[TR 2026]],Portefeuille_ProgPropose2[[#This Row],[AC 2027]:[TR 2034]])</f>
        <v>25121</v>
      </c>
    </row>
    <row r="27" spans="1:52" x14ac:dyDescent="0.3">
      <c r="A27" t="s">
        <v>286</v>
      </c>
      <c r="C27" t="s">
        <v>101</v>
      </c>
      <c r="D27" t="s">
        <v>102</v>
      </c>
      <c r="E27" t="s">
        <v>128</v>
      </c>
      <c r="F27" t="s">
        <v>140</v>
      </c>
      <c r="G27" t="s">
        <v>16</v>
      </c>
      <c r="H27" t="s">
        <v>16</v>
      </c>
      <c r="I27" t="s">
        <v>105</v>
      </c>
      <c r="J27" t="s">
        <v>141</v>
      </c>
      <c r="K27" t="s">
        <v>142</v>
      </c>
      <c r="L27" t="s">
        <v>143</v>
      </c>
      <c r="M27" t="s">
        <v>109</v>
      </c>
      <c r="N27" t="s">
        <v>123</v>
      </c>
      <c r="O27" s="1">
        <v>42900</v>
      </c>
      <c r="P27" s="1">
        <v>45323</v>
      </c>
      <c r="Q27" s="1">
        <v>45884</v>
      </c>
      <c r="R27">
        <v>61</v>
      </c>
      <c r="Z27">
        <f>Portefeuille_ProgPropose2[[#This Row],[AC 2025]]-Portefeuille_ProgPropose2[[#This Row],[AC 2025 Trimestre précédent]]</f>
        <v>0</v>
      </c>
      <c r="AA27">
        <f>Portefeuille_ProgPropose2[[#This Row],[TR 2025]]-Portefeuille_ProgPropose2[[#This Row],[TR 2025 Trimestre précédent]]</f>
        <v>0</v>
      </c>
      <c r="AB27">
        <f>Portefeuille_ProgPropose2[[#This Row],[Écart AC 2025]]+Portefeuille_ProgPropose2[[#This Row],[Écart TR 2025]]</f>
        <v>0</v>
      </c>
      <c r="AC27">
        <v>370</v>
      </c>
      <c r="AD27">
        <v>4948</v>
      </c>
      <c r="AE27">
        <v>370</v>
      </c>
      <c r="AF27">
        <v>4948</v>
      </c>
      <c r="AG27">
        <f>Portefeuille_ProgPropose2[[#This Row],[AC 2026]]-Portefeuille_ProgPropose2[[#This Row],[AC 2026 Trimestre précédent]]</f>
        <v>0</v>
      </c>
      <c r="AH27">
        <f>Portefeuille_ProgPropose2[[#This Row],[TR 2026]]-Portefeuille_ProgPropose2[[#This Row],[TR 2026 Trimestre précédent]]</f>
        <v>0</v>
      </c>
      <c r="AI27">
        <f>Portefeuille_ProgPropose2[[#This Row],[Écart AC 2026]]+Portefeuille_ProgPropose2[[#This Row],[Écart TR 2026]]</f>
        <v>0</v>
      </c>
      <c r="AQ27"/>
      <c r="AZ27" s="14">
        <f>SUM(Portefeuille_ProgPropose2[[#This Row],[AC ANT]:[TR 2025]],Portefeuille_ProgPropose2[[#This Row],[AC 2026]:[TR 2026]],Portefeuille_ProgPropose2[[#This Row],[AC 2027]:[TR 2034]])</f>
        <v>5379</v>
      </c>
    </row>
    <row r="28" spans="1:52" hidden="1" x14ac:dyDescent="0.3">
      <c r="A28" t="s">
        <v>286</v>
      </c>
      <c r="B28">
        <v>4</v>
      </c>
      <c r="C28" t="s">
        <v>101</v>
      </c>
      <c r="D28" t="s">
        <v>102</v>
      </c>
      <c r="E28" t="s">
        <v>128</v>
      </c>
      <c r="F28" t="s">
        <v>113</v>
      </c>
      <c r="G28" t="s">
        <v>16</v>
      </c>
      <c r="H28" t="s">
        <v>130</v>
      </c>
      <c r="I28" t="s">
        <v>105</v>
      </c>
      <c r="J28" t="s">
        <v>160</v>
      </c>
      <c r="K28" t="s">
        <v>161</v>
      </c>
      <c r="L28" t="s">
        <v>122</v>
      </c>
      <c r="M28" t="s">
        <v>148</v>
      </c>
      <c r="N28" t="s">
        <v>123</v>
      </c>
      <c r="O28" s="1">
        <v>44956</v>
      </c>
      <c r="P28" s="1">
        <v>45321</v>
      </c>
      <c r="Q28" s="87">
        <v>45672</v>
      </c>
      <c r="R28">
        <v>6</v>
      </c>
      <c r="T28">
        <v>11</v>
      </c>
      <c r="V28">
        <v>200</v>
      </c>
      <c r="W28">
        <v>4422</v>
      </c>
      <c r="X28">
        <v>200</v>
      </c>
      <c r="Y28">
        <v>4422</v>
      </c>
      <c r="Z28">
        <f>Portefeuille_ProgPropose2[[#This Row],[AC 2025]]-Portefeuille_ProgPropose2[[#This Row],[AC 2025 Trimestre précédent]]</f>
        <v>0</v>
      </c>
      <c r="AA28">
        <f>Portefeuille_ProgPropose2[[#This Row],[TR 2025]]-Portefeuille_ProgPropose2[[#This Row],[TR 2025 Trimestre précédent]]</f>
        <v>0</v>
      </c>
      <c r="AB28">
        <f>Portefeuille_ProgPropose2[[#This Row],[Écart AC 2025]]+Portefeuille_ProgPropose2[[#This Row],[Écart TR 2025]]</f>
        <v>0</v>
      </c>
      <c r="AC28">
        <v>69</v>
      </c>
      <c r="AD28">
        <v>216</v>
      </c>
      <c r="AE28">
        <v>69</v>
      </c>
      <c r="AF28">
        <v>216</v>
      </c>
      <c r="AG28">
        <f>Portefeuille_ProgPropose2[[#This Row],[AC 2026]]-Portefeuille_ProgPropose2[[#This Row],[AC 2026 Trimestre précédent]]</f>
        <v>0</v>
      </c>
      <c r="AH28">
        <f>Portefeuille_ProgPropose2[[#This Row],[TR 2026]]-Portefeuille_ProgPropose2[[#This Row],[TR 2026 Trimestre précédent]]</f>
        <v>0</v>
      </c>
      <c r="AI28">
        <f>Portefeuille_ProgPropose2[[#This Row],[Écart AC 2026]]+Portefeuille_ProgPropose2[[#This Row],[Écart TR 2026]]</f>
        <v>0</v>
      </c>
      <c r="AQ28"/>
      <c r="AZ28" s="14">
        <f>SUM(Portefeuille_ProgPropose2[[#This Row],[AC ANT]:[TR 2025]],Portefeuille_ProgPropose2[[#This Row],[AC 2026]:[TR 2026]],Portefeuille_ProgPropose2[[#This Row],[AC 2027]:[TR 2034]])</f>
        <v>4924</v>
      </c>
    </row>
    <row r="29" spans="1:52" hidden="1" x14ac:dyDescent="0.3">
      <c r="A29" t="s">
        <v>286</v>
      </c>
      <c r="B29">
        <v>5</v>
      </c>
      <c r="C29" t="s">
        <v>126</v>
      </c>
      <c r="D29" t="s">
        <v>127</v>
      </c>
      <c r="E29" t="s">
        <v>128</v>
      </c>
      <c r="F29" t="s">
        <v>252</v>
      </c>
      <c r="G29" t="s">
        <v>20</v>
      </c>
      <c r="H29" t="s">
        <v>20</v>
      </c>
      <c r="I29" t="s">
        <v>131</v>
      </c>
      <c r="J29" t="s">
        <v>259</v>
      </c>
      <c r="K29" t="s">
        <v>260</v>
      </c>
      <c r="L29" t="s">
        <v>159</v>
      </c>
      <c r="M29" t="s">
        <v>148</v>
      </c>
      <c r="N29" t="s">
        <v>291</v>
      </c>
      <c r="O29" s="1"/>
      <c r="P29" s="1"/>
      <c r="Q29" s="1"/>
      <c r="W29">
        <v>100</v>
      </c>
      <c r="Y29">
        <v>100</v>
      </c>
      <c r="Z29">
        <f>Portefeuille_ProgPropose2[[#This Row],[AC 2025]]-Portefeuille_ProgPropose2[[#This Row],[AC 2025 Trimestre précédent]]</f>
        <v>0</v>
      </c>
      <c r="AA29">
        <f>Portefeuille_ProgPropose2[[#This Row],[TR 2025]]-Portefeuille_ProgPropose2[[#This Row],[TR 2025 Trimestre précédent]]</f>
        <v>0</v>
      </c>
      <c r="AB29">
        <f>Portefeuille_ProgPropose2[[#This Row],[Écart AC 2025]]+Portefeuille_ProgPropose2[[#This Row],[Écart TR 2025]]</f>
        <v>0</v>
      </c>
      <c r="AD29"/>
      <c r="AG29">
        <f>Portefeuille_ProgPropose2[[#This Row],[AC 2026]]-Portefeuille_ProgPropose2[[#This Row],[AC 2026 Trimestre précédent]]</f>
        <v>0</v>
      </c>
      <c r="AH29">
        <f>Portefeuille_ProgPropose2[[#This Row],[TR 2026]]-Portefeuille_ProgPropose2[[#This Row],[TR 2026 Trimestre précédent]]</f>
        <v>0</v>
      </c>
      <c r="AI29">
        <f>Portefeuille_ProgPropose2[[#This Row],[Écart AC 2026]]+Portefeuille_ProgPropose2[[#This Row],[Écart TR 2026]]</f>
        <v>0</v>
      </c>
      <c r="AQ29"/>
      <c r="AZ29" s="14">
        <f>SUM(Portefeuille_ProgPropose2[[#This Row],[AC ANT]:[TR 2025]],Portefeuille_ProgPropose2[[#This Row],[AC 2026]:[TR 2026]],Portefeuille_ProgPropose2[[#This Row],[AC 2027]:[TR 2034]])</f>
        <v>100</v>
      </c>
    </row>
    <row r="30" spans="1:52" x14ac:dyDescent="0.3">
      <c r="A30" t="s">
        <v>286</v>
      </c>
      <c r="B30">
        <v>6</v>
      </c>
      <c r="C30" t="s">
        <v>101</v>
      </c>
      <c r="D30" t="s">
        <v>102</v>
      </c>
      <c r="E30" t="s">
        <v>103</v>
      </c>
      <c r="F30" t="s">
        <v>113</v>
      </c>
      <c r="G30" t="s">
        <v>16</v>
      </c>
      <c r="H30" t="s">
        <v>20</v>
      </c>
      <c r="I30" t="s">
        <v>105</v>
      </c>
      <c r="J30" t="s">
        <v>114</v>
      </c>
      <c r="K30" t="s">
        <v>115</v>
      </c>
      <c r="L30" t="s">
        <v>116</v>
      </c>
      <c r="M30" t="s">
        <v>109</v>
      </c>
      <c r="N30" t="s">
        <v>110</v>
      </c>
      <c r="O30" s="1">
        <v>45105</v>
      </c>
      <c r="P30" s="87">
        <v>45672</v>
      </c>
      <c r="Q30" s="1">
        <v>45940</v>
      </c>
      <c r="R30">
        <v>25</v>
      </c>
      <c r="T30">
        <v>13</v>
      </c>
      <c r="V30">
        <v>48</v>
      </c>
      <c r="X30">
        <v>48</v>
      </c>
      <c r="Z30">
        <f>Portefeuille_ProgPropose2[[#This Row],[AC 2025]]-Portefeuille_ProgPropose2[[#This Row],[AC 2025 Trimestre précédent]]</f>
        <v>0</v>
      </c>
      <c r="AA30">
        <f>Portefeuille_ProgPropose2[[#This Row],[TR 2025]]-Portefeuille_ProgPropose2[[#This Row],[TR 2025 Trimestre précédent]]</f>
        <v>0</v>
      </c>
      <c r="AB30">
        <f>Portefeuille_ProgPropose2[[#This Row],[Écart AC 2025]]+Portefeuille_ProgPropose2[[#This Row],[Écart TR 2025]]</f>
        <v>0</v>
      </c>
      <c r="AC30">
        <v>855</v>
      </c>
      <c r="AD30">
        <v>11074</v>
      </c>
      <c r="AE30">
        <v>855</v>
      </c>
      <c r="AF30">
        <v>11074</v>
      </c>
      <c r="AG30">
        <f>Portefeuille_ProgPropose2[[#This Row],[AC 2026]]-Portefeuille_ProgPropose2[[#This Row],[AC 2026 Trimestre précédent]]</f>
        <v>0</v>
      </c>
      <c r="AH30">
        <f>Portefeuille_ProgPropose2[[#This Row],[TR 2026]]-Portefeuille_ProgPropose2[[#This Row],[TR 2026 Trimestre précédent]]</f>
        <v>0</v>
      </c>
      <c r="AI30">
        <f>Portefeuille_ProgPropose2[[#This Row],[Écart AC 2026]]+Portefeuille_ProgPropose2[[#This Row],[Écart TR 2026]]</f>
        <v>0</v>
      </c>
      <c r="AQ30"/>
      <c r="AZ30" s="14">
        <f>SUM(Portefeuille_ProgPropose2[[#This Row],[AC ANT]:[TR 2025]],Portefeuille_ProgPropose2[[#This Row],[AC 2026]:[TR 2026]],Portefeuille_ProgPropose2[[#This Row],[AC 2027]:[TR 2034]])</f>
        <v>12015</v>
      </c>
    </row>
    <row r="31" spans="1:52" hidden="1" x14ac:dyDescent="0.3">
      <c r="A31" t="s">
        <v>286</v>
      </c>
      <c r="C31" t="s">
        <v>101</v>
      </c>
      <c r="D31" t="s">
        <v>102</v>
      </c>
      <c r="E31" t="s">
        <v>136</v>
      </c>
      <c r="F31" t="s">
        <v>113</v>
      </c>
      <c r="G31" t="s">
        <v>16</v>
      </c>
      <c r="H31" t="s">
        <v>20</v>
      </c>
      <c r="I31" t="s">
        <v>131</v>
      </c>
      <c r="J31" t="s">
        <v>185</v>
      </c>
      <c r="K31" t="s">
        <v>186</v>
      </c>
      <c r="L31" t="s">
        <v>187</v>
      </c>
      <c r="M31" t="s">
        <v>173</v>
      </c>
      <c r="N31" t="s">
        <v>110</v>
      </c>
      <c r="O31" s="1">
        <v>44823</v>
      </c>
      <c r="P31" s="1">
        <v>46096</v>
      </c>
      <c r="Q31" s="1">
        <v>46461</v>
      </c>
      <c r="R31">
        <v>282</v>
      </c>
      <c r="T31">
        <v>452</v>
      </c>
      <c r="V31">
        <v>835</v>
      </c>
      <c r="X31">
        <v>835</v>
      </c>
      <c r="Z31">
        <f>Portefeuille_ProgPropose2[[#This Row],[AC 2025]]-Portefeuille_ProgPropose2[[#This Row],[AC 2025 Trimestre précédent]]</f>
        <v>0</v>
      </c>
      <c r="AA31">
        <f>Portefeuille_ProgPropose2[[#This Row],[TR 2025]]-Portefeuille_ProgPropose2[[#This Row],[TR 2025 Trimestre précédent]]</f>
        <v>0</v>
      </c>
      <c r="AB31">
        <f>Portefeuille_ProgPropose2[[#This Row],[Écart AC 2025]]+Portefeuille_ProgPropose2[[#This Row],[Écart TR 2025]]</f>
        <v>0</v>
      </c>
      <c r="AC31">
        <v>630</v>
      </c>
      <c r="AD31"/>
      <c r="AE31">
        <v>630</v>
      </c>
      <c r="AG31">
        <f>Portefeuille_ProgPropose2[[#This Row],[AC 2026]]-Portefeuille_ProgPropose2[[#This Row],[AC 2026 Trimestre précédent]]</f>
        <v>0</v>
      </c>
      <c r="AH31">
        <f>Portefeuille_ProgPropose2[[#This Row],[TR 2026]]-Portefeuille_ProgPropose2[[#This Row],[TR 2026 Trimestre précédent]]</f>
        <v>0</v>
      </c>
      <c r="AI31">
        <f>Portefeuille_ProgPropose2[[#This Row],[Écart AC 2026]]+Portefeuille_ProgPropose2[[#This Row],[Écart TR 2026]]</f>
        <v>0</v>
      </c>
      <c r="AJ31">
        <v>225</v>
      </c>
      <c r="AK31">
        <v>1806</v>
      </c>
      <c r="AL31">
        <v>225</v>
      </c>
      <c r="AM31">
        <v>5369</v>
      </c>
      <c r="AN31">
        <v>225</v>
      </c>
      <c r="AO31">
        <v>9000</v>
      </c>
      <c r="AQ31"/>
      <c r="AZ31" s="14">
        <f>SUM(Portefeuille_ProgPropose2[[#This Row],[AC ANT]:[TR 2025]],Portefeuille_ProgPropose2[[#This Row],[AC 2026]:[TR 2026]],Portefeuille_ProgPropose2[[#This Row],[AC 2027]:[TR 2034]])</f>
        <v>19049</v>
      </c>
    </row>
    <row r="32" spans="1:52" hidden="1" x14ac:dyDescent="0.3">
      <c r="A32" t="s">
        <v>286</v>
      </c>
      <c r="C32" t="s">
        <v>101</v>
      </c>
      <c r="D32" t="s">
        <v>102</v>
      </c>
      <c r="E32" t="s">
        <v>177</v>
      </c>
      <c r="F32" t="s">
        <v>129</v>
      </c>
      <c r="G32" t="s">
        <v>16</v>
      </c>
      <c r="H32" t="s">
        <v>16</v>
      </c>
      <c r="I32" t="s">
        <v>131</v>
      </c>
      <c r="J32" t="s">
        <v>178</v>
      </c>
      <c r="K32" t="s">
        <v>179</v>
      </c>
      <c r="L32" t="s">
        <v>180</v>
      </c>
      <c r="M32" t="s">
        <v>176</v>
      </c>
      <c r="N32" t="s">
        <v>164</v>
      </c>
      <c r="O32" s="1"/>
      <c r="P32" s="1"/>
      <c r="Q32" s="1">
        <v>45195</v>
      </c>
      <c r="R32">
        <v>75</v>
      </c>
      <c r="S32">
        <v>101.00000000000001</v>
      </c>
      <c r="T32">
        <v>83</v>
      </c>
      <c r="U32">
        <v>1096</v>
      </c>
      <c r="V32">
        <v>15</v>
      </c>
      <c r="W32">
        <v>548</v>
      </c>
      <c r="X32">
        <v>15</v>
      </c>
      <c r="Y32">
        <v>548</v>
      </c>
      <c r="Z32">
        <f>Portefeuille_ProgPropose2[[#This Row],[AC 2025]]-Portefeuille_ProgPropose2[[#This Row],[AC 2025 Trimestre précédent]]</f>
        <v>0</v>
      </c>
      <c r="AA32">
        <f>Portefeuille_ProgPropose2[[#This Row],[TR 2025]]-Portefeuille_ProgPropose2[[#This Row],[TR 2025 Trimestre précédent]]</f>
        <v>0</v>
      </c>
      <c r="AB32">
        <f>Portefeuille_ProgPropose2[[#This Row],[Écart AC 2025]]+Portefeuille_ProgPropose2[[#This Row],[Écart TR 2025]]</f>
        <v>0</v>
      </c>
      <c r="AD32"/>
      <c r="AG32">
        <f>Portefeuille_ProgPropose2[[#This Row],[AC 2026]]-Portefeuille_ProgPropose2[[#This Row],[AC 2026 Trimestre précédent]]</f>
        <v>0</v>
      </c>
      <c r="AH32">
        <f>Portefeuille_ProgPropose2[[#This Row],[TR 2026]]-Portefeuille_ProgPropose2[[#This Row],[TR 2026 Trimestre précédent]]</f>
        <v>0</v>
      </c>
      <c r="AI32">
        <f>Portefeuille_ProgPropose2[[#This Row],[Écart AC 2026]]+Portefeuille_ProgPropose2[[#This Row],[Écart TR 2026]]</f>
        <v>0</v>
      </c>
      <c r="AQ32"/>
      <c r="AZ32" s="14">
        <f>SUM(Portefeuille_ProgPropose2[[#This Row],[AC ANT]:[TR 2025]],Portefeuille_ProgPropose2[[#This Row],[AC 2026]:[TR 2026]],Portefeuille_ProgPropose2[[#This Row],[AC 2027]:[TR 2034]])</f>
        <v>1918</v>
      </c>
    </row>
    <row r="33" spans="1:52" hidden="1" x14ac:dyDescent="0.3">
      <c r="A33" t="s">
        <v>286</v>
      </c>
      <c r="C33" t="s">
        <v>118</v>
      </c>
      <c r="D33" t="s">
        <v>102</v>
      </c>
      <c r="E33" t="s">
        <v>103</v>
      </c>
      <c r="F33" t="s">
        <v>149</v>
      </c>
      <c r="G33" t="s">
        <v>16</v>
      </c>
      <c r="H33" t="s">
        <v>16</v>
      </c>
      <c r="I33" t="s">
        <v>131</v>
      </c>
      <c r="J33" t="s">
        <v>192</v>
      </c>
      <c r="K33" t="s">
        <v>193</v>
      </c>
      <c r="L33" t="s">
        <v>194</v>
      </c>
      <c r="M33" t="s">
        <v>176</v>
      </c>
      <c r="N33" t="s">
        <v>164</v>
      </c>
      <c r="O33" s="1">
        <v>44547</v>
      </c>
      <c r="P33" s="1">
        <v>45091</v>
      </c>
      <c r="Q33" s="1">
        <v>45375</v>
      </c>
      <c r="R33">
        <v>7</v>
      </c>
      <c r="T33">
        <v>25</v>
      </c>
      <c r="U33">
        <v>1600</v>
      </c>
      <c r="V33">
        <v>185</v>
      </c>
      <c r="W33">
        <v>5471</v>
      </c>
      <c r="X33">
        <v>185</v>
      </c>
      <c r="Y33">
        <v>5471</v>
      </c>
      <c r="Z33">
        <f>Portefeuille_ProgPropose2[[#This Row],[AC 2025]]-Portefeuille_ProgPropose2[[#This Row],[AC 2025 Trimestre précédent]]</f>
        <v>0</v>
      </c>
      <c r="AA33">
        <f>Portefeuille_ProgPropose2[[#This Row],[TR 2025]]-Portefeuille_ProgPropose2[[#This Row],[TR 2025 Trimestre précédent]]</f>
        <v>0</v>
      </c>
      <c r="AB33">
        <f>Portefeuille_ProgPropose2[[#This Row],[Écart AC 2025]]+Portefeuille_ProgPropose2[[#This Row],[Écart TR 2025]]</f>
        <v>0</v>
      </c>
      <c r="AD33"/>
      <c r="AG33">
        <f>Portefeuille_ProgPropose2[[#This Row],[AC 2026]]-Portefeuille_ProgPropose2[[#This Row],[AC 2026 Trimestre précédent]]</f>
        <v>0</v>
      </c>
      <c r="AH33">
        <f>Portefeuille_ProgPropose2[[#This Row],[TR 2026]]-Portefeuille_ProgPropose2[[#This Row],[TR 2026 Trimestre précédent]]</f>
        <v>0</v>
      </c>
      <c r="AI33">
        <f>Portefeuille_ProgPropose2[[#This Row],[Écart AC 2026]]+Portefeuille_ProgPropose2[[#This Row],[Écart TR 2026]]</f>
        <v>0</v>
      </c>
      <c r="AQ33"/>
      <c r="AZ33" s="14">
        <f>SUM(Portefeuille_ProgPropose2[[#This Row],[AC ANT]:[TR 2025]],Portefeuille_ProgPropose2[[#This Row],[AC 2026]:[TR 2026]],Portefeuille_ProgPropose2[[#This Row],[AC 2027]:[TR 2034]])</f>
        <v>7288</v>
      </c>
    </row>
    <row r="34" spans="1:52" hidden="1" x14ac:dyDescent="0.3">
      <c r="A34" t="s">
        <v>286</v>
      </c>
      <c r="B34">
        <v>7</v>
      </c>
      <c r="C34" t="s">
        <v>101</v>
      </c>
      <c r="D34" t="s">
        <v>102</v>
      </c>
      <c r="E34" t="s">
        <v>103</v>
      </c>
      <c r="F34" t="s">
        <v>149</v>
      </c>
      <c r="G34" t="s">
        <v>16</v>
      </c>
      <c r="H34" t="s">
        <v>20</v>
      </c>
      <c r="I34" t="s">
        <v>105</v>
      </c>
      <c r="J34" t="s">
        <v>228</v>
      </c>
      <c r="K34" t="s">
        <v>229</v>
      </c>
      <c r="L34" t="s">
        <v>230</v>
      </c>
      <c r="M34" t="s">
        <v>148</v>
      </c>
      <c r="N34" t="s">
        <v>164</v>
      </c>
      <c r="O34" s="1">
        <v>45022</v>
      </c>
      <c r="P34" s="1">
        <v>45463</v>
      </c>
      <c r="Q34" s="1">
        <v>45590</v>
      </c>
      <c r="R34">
        <v>61</v>
      </c>
      <c r="T34">
        <v>21</v>
      </c>
      <c r="V34">
        <v>580</v>
      </c>
      <c r="W34">
        <v>11581</v>
      </c>
      <c r="X34">
        <v>580</v>
      </c>
      <c r="Y34">
        <v>11581</v>
      </c>
      <c r="Z34">
        <f>Portefeuille_ProgPropose2[[#This Row],[AC 2025]]-Portefeuille_ProgPropose2[[#This Row],[AC 2025 Trimestre précédent]]</f>
        <v>0</v>
      </c>
      <c r="AA34">
        <f>Portefeuille_ProgPropose2[[#This Row],[TR 2025]]-Portefeuille_ProgPropose2[[#This Row],[TR 2025 Trimestre précédent]]</f>
        <v>0</v>
      </c>
      <c r="AB34">
        <f>Portefeuille_ProgPropose2[[#This Row],[Écart AC 2025]]+Portefeuille_ProgPropose2[[#This Row],[Écart TR 2025]]</f>
        <v>0</v>
      </c>
      <c r="AD34"/>
      <c r="AG34">
        <f>Portefeuille_ProgPropose2[[#This Row],[AC 2026]]-Portefeuille_ProgPropose2[[#This Row],[AC 2026 Trimestre précédent]]</f>
        <v>0</v>
      </c>
      <c r="AH34">
        <f>Portefeuille_ProgPropose2[[#This Row],[TR 2026]]-Portefeuille_ProgPropose2[[#This Row],[TR 2026 Trimestre précédent]]</f>
        <v>0</v>
      </c>
      <c r="AI34">
        <f>Portefeuille_ProgPropose2[[#This Row],[Écart AC 2026]]+Portefeuille_ProgPropose2[[#This Row],[Écart TR 2026]]</f>
        <v>0</v>
      </c>
      <c r="AQ34"/>
      <c r="AZ34" s="14">
        <f>SUM(Portefeuille_ProgPropose2[[#This Row],[AC ANT]:[TR 2025]],Portefeuille_ProgPropose2[[#This Row],[AC 2026]:[TR 2026]],Portefeuille_ProgPropose2[[#This Row],[AC 2027]:[TR 2034]])</f>
        <v>12243</v>
      </c>
    </row>
    <row r="35" spans="1:52" hidden="1" x14ac:dyDescent="0.3">
      <c r="A35" t="s">
        <v>286</v>
      </c>
      <c r="B35">
        <v>2</v>
      </c>
      <c r="C35" t="s">
        <v>126</v>
      </c>
      <c r="D35" t="s">
        <v>127</v>
      </c>
      <c r="E35" t="s">
        <v>177</v>
      </c>
      <c r="F35" t="s">
        <v>222</v>
      </c>
      <c r="G35" t="s">
        <v>16</v>
      </c>
      <c r="H35" t="s">
        <v>130</v>
      </c>
      <c r="I35" t="s">
        <v>223</v>
      </c>
      <c r="J35" t="s">
        <v>224</v>
      </c>
      <c r="K35" t="s">
        <v>225</v>
      </c>
      <c r="L35" t="s">
        <v>180</v>
      </c>
      <c r="M35" t="s">
        <v>148</v>
      </c>
      <c r="N35" t="s">
        <v>110</v>
      </c>
      <c r="O35" s="1">
        <v>44623</v>
      </c>
      <c r="P35" s="1">
        <v>45731</v>
      </c>
      <c r="Q35" s="1">
        <v>46006</v>
      </c>
      <c r="R35">
        <v>180.00000000000003</v>
      </c>
      <c r="T35">
        <v>101.99999999999999</v>
      </c>
      <c r="V35">
        <v>282.99999999999994</v>
      </c>
      <c r="W35">
        <v>364</v>
      </c>
      <c r="X35">
        <v>283</v>
      </c>
      <c r="Z35">
        <f>Portefeuille_ProgPropose2[[#This Row],[AC 2025]]-Portefeuille_ProgPropose2[[#This Row],[AC 2025 Trimestre précédent]]</f>
        <v>0</v>
      </c>
      <c r="AA35">
        <f>Portefeuille_ProgPropose2[[#This Row],[TR 2025]]-Portefeuille_ProgPropose2[[#This Row],[TR 2025 Trimestre précédent]]</f>
        <v>364</v>
      </c>
      <c r="AB35">
        <f>Portefeuille_ProgPropose2[[#This Row],[Écart AC 2025]]+Portefeuille_ProgPropose2[[#This Row],[Écart TR 2025]]</f>
        <v>364</v>
      </c>
      <c r="AC35">
        <v>53.000000000000014</v>
      </c>
      <c r="AD35">
        <v>1511</v>
      </c>
      <c r="AE35">
        <v>53.000000000000014</v>
      </c>
      <c r="AG35">
        <f>Portefeuille_ProgPropose2[[#This Row],[AC 2026]]-Portefeuille_ProgPropose2[[#This Row],[AC 2026 Trimestre précédent]]</f>
        <v>0</v>
      </c>
      <c r="AH35">
        <f>Portefeuille_ProgPropose2[[#This Row],[TR 2026]]-Portefeuille_ProgPropose2[[#This Row],[TR 2026 Trimestre précédent]]</f>
        <v>1511</v>
      </c>
      <c r="AI35">
        <f>Portefeuille_ProgPropose2[[#This Row],[Écart AC 2026]]+Portefeuille_ProgPropose2[[#This Row],[Écart TR 2026]]</f>
        <v>1511</v>
      </c>
      <c r="AJ35">
        <v>106.00000000000001</v>
      </c>
      <c r="AK35">
        <v>4626.9999999999991</v>
      </c>
      <c r="AL35">
        <v>106.00000000000001</v>
      </c>
      <c r="AM35">
        <v>6297.0000000000018</v>
      </c>
      <c r="AN35">
        <v>159</v>
      </c>
      <c r="AO35">
        <v>6426.9999999999991</v>
      </c>
      <c r="AP35">
        <v>100</v>
      </c>
      <c r="AQ35"/>
      <c r="AR35">
        <v>100</v>
      </c>
      <c r="AZ35" s="14">
        <f>SUM(Portefeuille_ProgPropose2[[#This Row],[AC ANT]:[TR 2025]],Portefeuille_ProgPropose2[[#This Row],[AC 2026]:[TR 2026]],Portefeuille_ProgPropose2[[#This Row],[AC 2027]:[TR 2034]])</f>
        <v>20415</v>
      </c>
    </row>
    <row r="36" spans="1:52" hidden="1" x14ac:dyDescent="0.3">
      <c r="A36" t="s">
        <v>286</v>
      </c>
      <c r="C36" t="s">
        <v>101</v>
      </c>
      <c r="D36" t="s">
        <v>102</v>
      </c>
      <c r="E36" t="s">
        <v>136</v>
      </c>
      <c r="F36" t="s">
        <v>144</v>
      </c>
      <c r="G36" t="s">
        <v>16</v>
      </c>
      <c r="H36" t="s">
        <v>20</v>
      </c>
      <c r="I36" t="s">
        <v>131</v>
      </c>
      <c r="J36" t="s">
        <v>195</v>
      </c>
      <c r="K36" t="s">
        <v>196</v>
      </c>
      <c r="L36" t="s">
        <v>180</v>
      </c>
      <c r="M36" t="s">
        <v>197</v>
      </c>
      <c r="N36" t="s">
        <v>110</v>
      </c>
      <c r="O36" s="1">
        <v>44889</v>
      </c>
      <c r="P36" s="1">
        <v>46068</v>
      </c>
      <c r="Q36" s="1">
        <v>46583</v>
      </c>
      <c r="R36">
        <v>337</v>
      </c>
      <c r="T36">
        <v>1201</v>
      </c>
      <c r="V36">
        <v>1230</v>
      </c>
      <c r="X36">
        <v>1230</v>
      </c>
      <c r="Z36">
        <f>Portefeuille_ProgPropose2[[#This Row],[AC 2025]]-Portefeuille_ProgPropose2[[#This Row],[AC 2025 Trimestre précédent]]</f>
        <v>0</v>
      </c>
      <c r="AA36">
        <f>Portefeuille_ProgPropose2[[#This Row],[TR 2025]]-Portefeuille_ProgPropose2[[#This Row],[TR 2025 Trimestre précédent]]</f>
        <v>0</v>
      </c>
      <c r="AB36">
        <f>Portefeuille_ProgPropose2[[#This Row],[Écart AC 2025]]+Portefeuille_ProgPropose2[[#This Row],[Écart TR 2025]]</f>
        <v>0</v>
      </c>
      <c r="AC36">
        <v>1600</v>
      </c>
      <c r="AD36"/>
      <c r="AE36">
        <v>1600</v>
      </c>
      <c r="AG36">
        <f>Portefeuille_ProgPropose2[[#This Row],[AC 2026]]-Portefeuille_ProgPropose2[[#This Row],[AC 2026 Trimestre précédent]]</f>
        <v>0</v>
      </c>
      <c r="AH36">
        <f>Portefeuille_ProgPropose2[[#This Row],[TR 2026]]-Portefeuille_ProgPropose2[[#This Row],[TR 2026 Trimestre précédent]]</f>
        <v>0</v>
      </c>
      <c r="AI36">
        <f>Portefeuille_ProgPropose2[[#This Row],[Écart AC 2026]]+Portefeuille_ProgPropose2[[#This Row],[Écart TR 2026]]</f>
        <v>0</v>
      </c>
      <c r="AJ36">
        <v>1600</v>
      </c>
      <c r="AL36">
        <v>800</v>
      </c>
      <c r="AM36">
        <v>7500</v>
      </c>
      <c r="AN36">
        <v>800</v>
      </c>
      <c r="AO36">
        <v>9500</v>
      </c>
      <c r="AP36">
        <v>525</v>
      </c>
      <c r="AQ36">
        <v>18000</v>
      </c>
      <c r="AZ36" s="14">
        <f>SUM(Portefeuille_ProgPropose2[[#This Row],[AC ANT]:[TR 2025]],Portefeuille_ProgPropose2[[#This Row],[AC 2026]:[TR 2026]],Portefeuille_ProgPropose2[[#This Row],[AC 2027]:[TR 2034]])</f>
        <v>43093</v>
      </c>
    </row>
    <row r="37" spans="1:52" x14ac:dyDescent="0.3">
      <c r="A37" t="s">
        <v>286</v>
      </c>
      <c r="C37" t="s">
        <v>126</v>
      </c>
      <c r="D37" t="s">
        <v>127</v>
      </c>
      <c r="E37" t="s">
        <v>103</v>
      </c>
      <c r="F37" t="s">
        <v>144</v>
      </c>
      <c r="G37" t="s">
        <v>16</v>
      </c>
      <c r="H37" t="s">
        <v>16</v>
      </c>
      <c r="I37" t="s">
        <v>131</v>
      </c>
      <c r="J37" t="s">
        <v>145</v>
      </c>
      <c r="K37" t="s">
        <v>146</v>
      </c>
      <c r="L37" t="s">
        <v>147</v>
      </c>
      <c r="M37" t="s">
        <v>109</v>
      </c>
      <c r="N37" t="s">
        <v>110</v>
      </c>
      <c r="O37" s="1">
        <v>44609</v>
      </c>
      <c r="P37" s="1">
        <v>45731</v>
      </c>
      <c r="Q37" s="1">
        <v>45853</v>
      </c>
      <c r="R37">
        <v>117</v>
      </c>
      <c r="T37">
        <v>159</v>
      </c>
      <c r="V37">
        <v>105</v>
      </c>
      <c r="X37">
        <v>230</v>
      </c>
      <c r="Y37">
        <v>4842</v>
      </c>
      <c r="Z37">
        <f>Portefeuille_ProgPropose2[[#This Row],[AC 2025]]-Portefeuille_ProgPropose2[[#This Row],[AC 2025 Trimestre précédent]]</f>
        <v>-125</v>
      </c>
      <c r="AA37">
        <f>Portefeuille_ProgPropose2[[#This Row],[TR 2025]]-Portefeuille_ProgPropose2[[#This Row],[TR 2025 Trimestre précédent]]</f>
        <v>-4842</v>
      </c>
      <c r="AB37">
        <f>Portefeuille_ProgPropose2[[#This Row],[Écart AC 2025]]+Portefeuille_ProgPropose2[[#This Row],[Écart TR 2025]]</f>
        <v>-4967</v>
      </c>
      <c r="AC37">
        <v>342</v>
      </c>
      <c r="AD37">
        <v>9684</v>
      </c>
      <c r="AE37">
        <v>130</v>
      </c>
      <c r="AF37">
        <v>4842</v>
      </c>
      <c r="AG37">
        <f>Portefeuille_ProgPropose2[[#This Row],[AC 2026]]-Portefeuille_ProgPropose2[[#This Row],[AC 2026 Trimestre précédent]]</f>
        <v>212</v>
      </c>
      <c r="AH37">
        <f>Portefeuille_ProgPropose2[[#This Row],[TR 2026]]-Portefeuille_ProgPropose2[[#This Row],[TR 2026 Trimestre précédent]]</f>
        <v>4842</v>
      </c>
      <c r="AI37">
        <f>Portefeuille_ProgPropose2[[#This Row],[Écart AC 2026]]+Portefeuille_ProgPropose2[[#This Row],[Écart TR 2026]]</f>
        <v>5054</v>
      </c>
      <c r="AQ37"/>
      <c r="AZ37" s="14">
        <f>SUM(Portefeuille_ProgPropose2[[#This Row],[AC ANT]:[TR 2025]],Portefeuille_ProgPropose2[[#This Row],[AC 2026]:[TR 2026]],Portefeuille_ProgPropose2[[#This Row],[AC 2027]:[TR 2034]])</f>
        <v>10407</v>
      </c>
    </row>
    <row r="38" spans="1:52" x14ac:dyDescent="0.3">
      <c r="A38" t="s">
        <v>286</v>
      </c>
      <c r="B38">
        <v>2</v>
      </c>
      <c r="C38" t="s">
        <v>101</v>
      </c>
      <c r="D38" t="s">
        <v>102</v>
      </c>
      <c r="E38" t="s">
        <v>103</v>
      </c>
      <c r="F38" t="s">
        <v>104</v>
      </c>
      <c r="G38" t="s">
        <v>16</v>
      </c>
      <c r="H38" t="s">
        <v>20</v>
      </c>
      <c r="I38" t="s">
        <v>105</v>
      </c>
      <c r="J38" t="s">
        <v>106</v>
      </c>
      <c r="K38" t="s">
        <v>107</v>
      </c>
      <c r="L38" t="s">
        <v>108</v>
      </c>
      <c r="M38" t="s">
        <v>109</v>
      </c>
      <c r="N38" t="s">
        <v>110</v>
      </c>
      <c r="O38" s="1">
        <v>45014</v>
      </c>
      <c r="P38" s="1">
        <v>45366</v>
      </c>
      <c r="Q38" s="1">
        <v>45840</v>
      </c>
      <c r="R38">
        <v>69</v>
      </c>
      <c r="T38">
        <v>303</v>
      </c>
      <c r="V38">
        <v>130</v>
      </c>
      <c r="X38">
        <v>130</v>
      </c>
      <c r="Z38">
        <f>Portefeuille_ProgPropose2[[#This Row],[AC 2025]]-Portefeuille_ProgPropose2[[#This Row],[AC 2025 Trimestre précédent]]</f>
        <v>0</v>
      </c>
      <c r="AA38">
        <f>Portefeuille_ProgPropose2[[#This Row],[TR 2025]]-Portefeuille_ProgPropose2[[#This Row],[TR 2025 Trimestre précédent]]</f>
        <v>0</v>
      </c>
      <c r="AB38">
        <f>Portefeuille_ProgPropose2[[#This Row],[Écart AC 2025]]+Portefeuille_ProgPropose2[[#This Row],[Écart TR 2025]]</f>
        <v>0</v>
      </c>
      <c r="AC38">
        <v>853</v>
      </c>
      <c r="AD38">
        <v>16557</v>
      </c>
      <c r="AE38">
        <v>853</v>
      </c>
      <c r="AF38">
        <v>16557</v>
      </c>
      <c r="AG38">
        <f>Portefeuille_ProgPropose2[[#This Row],[AC 2026]]-Portefeuille_ProgPropose2[[#This Row],[AC 2026 Trimestre précédent]]</f>
        <v>0</v>
      </c>
      <c r="AH38">
        <f>Portefeuille_ProgPropose2[[#This Row],[TR 2026]]-Portefeuille_ProgPropose2[[#This Row],[TR 2026 Trimestre précédent]]</f>
        <v>0</v>
      </c>
      <c r="AI38">
        <f>Portefeuille_ProgPropose2[[#This Row],[Écart AC 2026]]+Portefeuille_ProgPropose2[[#This Row],[Écart TR 2026]]</f>
        <v>0</v>
      </c>
      <c r="AQ38"/>
      <c r="AZ38" s="14">
        <f>SUM(Portefeuille_ProgPropose2[[#This Row],[AC ANT]:[TR 2025]],Portefeuille_ProgPropose2[[#This Row],[AC 2026]:[TR 2026]],Portefeuille_ProgPropose2[[#This Row],[AC 2027]:[TR 2034]])</f>
        <v>17912</v>
      </c>
    </row>
    <row r="39" spans="1:52" x14ac:dyDescent="0.3">
      <c r="A39" t="s">
        <v>286</v>
      </c>
      <c r="B39">
        <v>3</v>
      </c>
      <c r="C39" t="s">
        <v>101</v>
      </c>
      <c r="D39" t="s">
        <v>102</v>
      </c>
      <c r="E39" t="s">
        <v>119</v>
      </c>
      <c r="F39" t="s">
        <v>129</v>
      </c>
      <c r="G39" t="s">
        <v>20</v>
      </c>
      <c r="H39" t="s">
        <v>20</v>
      </c>
      <c r="I39" t="s">
        <v>131</v>
      </c>
      <c r="J39" t="s">
        <v>153</v>
      </c>
      <c r="K39" t="s">
        <v>154</v>
      </c>
      <c r="L39" t="s">
        <v>134</v>
      </c>
      <c r="M39" t="s">
        <v>109</v>
      </c>
      <c r="N39" t="s">
        <v>123</v>
      </c>
      <c r="O39" s="1">
        <v>45601</v>
      </c>
      <c r="P39" s="1">
        <v>45731</v>
      </c>
      <c r="Q39" s="1">
        <v>45976</v>
      </c>
      <c r="V39">
        <v>20</v>
      </c>
      <c r="X39">
        <v>75</v>
      </c>
      <c r="Z39">
        <f>Portefeuille_ProgPropose2[[#This Row],[AC 2025]]-Portefeuille_ProgPropose2[[#This Row],[AC 2025 Trimestre précédent]]</f>
        <v>-55</v>
      </c>
      <c r="AA39">
        <f>Portefeuille_ProgPropose2[[#This Row],[TR 2025]]-Portefeuille_ProgPropose2[[#This Row],[TR 2025 Trimestre précédent]]</f>
        <v>0</v>
      </c>
      <c r="AB39">
        <f>Portefeuille_ProgPropose2[[#This Row],[Écart AC 2025]]+Portefeuille_ProgPropose2[[#This Row],[Écart TR 2025]]</f>
        <v>-55</v>
      </c>
      <c r="AC39">
        <v>55</v>
      </c>
      <c r="AD39">
        <v>543</v>
      </c>
      <c r="AE39">
        <v>150</v>
      </c>
      <c r="AF39">
        <v>1000</v>
      </c>
      <c r="AG39">
        <f>Portefeuille_ProgPropose2[[#This Row],[AC 2026]]-Portefeuille_ProgPropose2[[#This Row],[AC 2026 Trimestre précédent]]</f>
        <v>-95</v>
      </c>
      <c r="AH39">
        <f>Portefeuille_ProgPropose2[[#This Row],[TR 2026]]-Portefeuille_ProgPropose2[[#This Row],[TR 2026 Trimestre précédent]]</f>
        <v>-457</v>
      </c>
      <c r="AI39">
        <f>Portefeuille_ProgPropose2[[#This Row],[Écart AC 2026]]+Portefeuille_ProgPropose2[[#This Row],[Écart TR 2026]]</f>
        <v>-552</v>
      </c>
      <c r="AQ39"/>
      <c r="AZ39" s="14">
        <f>SUM(Portefeuille_ProgPropose2[[#This Row],[AC ANT]:[TR 2025]],Portefeuille_ProgPropose2[[#This Row],[AC 2026]:[TR 2026]],Portefeuille_ProgPropose2[[#This Row],[AC 2027]:[TR 2034]])</f>
        <v>618</v>
      </c>
    </row>
    <row r="40" spans="1:52" x14ac:dyDescent="0.3">
      <c r="A40" t="s">
        <v>286</v>
      </c>
      <c r="C40" t="s">
        <v>118</v>
      </c>
      <c r="D40" t="s">
        <v>102</v>
      </c>
      <c r="E40" t="s">
        <v>188</v>
      </c>
      <c r="F40" t="s">
        <v>113</v>
      </c>
      <c r="G40" t="s">
        <v>16</v>
      </c>
      <c r="H40" t="s">
        <v>130</v>
      </c>
      <c r="I40" t="s">
        <v>131</v>
      </c>
      <c r="J40" t="s">
        <v>189</v>
      </c>
      <c r="K40" t="s">
        <v>190</v>
      </c>
      <c r="L40" t="s">
        <v>191</v>
      </c>
      <c r="M40" s="2" t="s">
        <v>109</v>
      </c>
      <c r="N40" t="s">
        <v>155</v>
      </c>
      <c r="O40" s="1">
        <v>45672</v>
      </c>
      <c r="P40" s="1">
        <v>45884</v>
      </c>
      <c r="Q40" s="1">
        <v>45945</v>
      </c>
      <c r="T40">
        <v>10</v>
      </c>
      <c r="V40">
        <v>141</v>
      </c>
      <c r="X40">
        <v>141</v>
      </c>
      <c r="Z40">
        <f>Portefeuille_ProgPropose2[[#This Row],[AC 2025]]-Portefeuille_ProgPropose2[[#This Row],[AC 2025 Trimestre précédent]]</f>
        <v>0</v>
      </c>
      <c r="AA40">
        <f>Portefeuille_ProgPropose2[[#This Row],[TR 2025]]-Portefeuille_ProgPropose2[[#This Row],[TR 2025 Trimestre précédent]]</f>
        <v>0</v>
      </c>
      <c r="AB40">
        <f>Portefeuille_ProgPropose2[[#This Row],[Écart AC 2025]]+Portefeuille_ProgPropose2[[#This Row],[Écart TR 2025]]</f>
        <v>0</v>
      </c>
      <c r="AC40">
        <v>50</v>
      </c>
      <c r="AD40"/>
      <c r="AE40">
        <v>50</v>
      </c>
      <c r="AG40">
        <f>Portefeuille_ProgPropose2[[#This Row],[AC 2026]]-Portefeuille_ProgPropose2[[#This Row],[AC 2026 Trimestre précédent]]</f>
        <v>0</v>
      </c>
      <c r="AH40">
        <f>Portefeuille_ProgPropose2[[#This Row],[TR 2026]]-Portefeuille_ProgPropose2[[#This Row],[TR 2026 Trimestre précédent]]</f>
        <v>0</v>
      </c>
      <c r="AI40">
        <f>Portefeuille_ProgPropose2[[#This Row],[Écart AC 2026]]+Portefeuille_ProgPropose2[[#This Row],[Écart TR 2026]]</f>
        <v>0</v>
      </c>
      <c r="AK40" s="102">
        <v>1595</v>
      </c>
      <c r="AQ40"/>
      <c r="AZ40" s="14">
        <f>SUM(Portefeuille_ProgPropose2[[#This Row],[AC ANT]:[TR 2025]],Portefeuille_ProgPropose2[[#This Row],[AC 2026]:[TR 2026]],Portefeuille_ProgPropose2[[#This Row],[AC 2027]:[TR 2034]])</f>
        <v>1796</v>
      </c>
    </row>
    <row r="41" spans="1:52" hidden="1" x14ac:dyDescent="0.3">
      <c r="A41" t="s">
        <v>286</v>
      </c>
      <c r="B41">
        <v>8</v>
      </c>
      <c r="C41" t="s">
        <v>101</v>
      </c>
      <c r="D41" t="s">
        <v>102</v>
      </c>
      <c r="E41" t="s">
        <v>103</v>
      </c>
      <c r="F41" t="s">
        <v>149</v>
      </c>
      <c r="G41" t="s">
        <v>20</v>
      </c>
      <c r="H41" t="s">
        <v>20</v>
      </c>
      <c r="I41" t="s">
        <v>105</v>
      </c>
      <c r="J41" t="s">
        <v>235</v>
      </c>
      <c r="K41" t="s">
        <v>510</v>
      </c>
      <c r="L41" t="s">
        <v>205</v>
      </c>
      <c r="M41" t="s">
        <v>173</v>
      </c>
      <c r="N41" t="s">
        <v>155</v>
      </c>
      <c r="O41" s="1">
        <v>45641</v>
      </c>
      <c r="P41" s="1">
        <v>46006</v>
      </c>
      <c r="Q41" s="1">
        <v>46371</v>
      </c>
      <c r="X41">
        <v>75</v>
      </c>
      <c r="Z41">
        <f>Portefeuille_ProgPropose2[[#This Row],[AC 2025]]-Portefeuille_ProgPropose2[[#This Row],[AC 2025 Trimestre précédent]]</f>
        <v>-75</v>
      </c>
      <c r="AA41">
        <f>Portefeuille_ProgPropose2[[#This Row],[TR 2025]]-Portefeuille_ProgPropose2[[#This Row],[TR 2025 Trimestre précédent]]</f>
        <v>0</v>
      </c>
      <c r="AB41">
        <f>Portefeuille_ProgPropose2[[#This Row],[Écart AC 2025]]+Portefeuille_ProgPropose2[[#This Row],[Écart TR 2025]]</f>
        <v>-75</v>
      </c>
      <c r="AC41">
        <v>220</v>
      </c>
      <c r="AD41"/>
      <c r="AE41">
        <v>300</v>
      </c>
      <c r="AG41">
        <f>Portefeuille_ProgPropose2[[#This Row],[AC 2026]]-Portefeuille_ProgPropose2[[#This Row],[AC 2026 Trimestre précédent]]</f>
        <v>-80</v>
      </c>
      <c r="AH41">
        <f>Portefeuille_ProgPropose2[[#This Row],[TR 2026]]-Portefeuille_ProgPropose2[[#This Row],[TR 2026 Trimestre précédent]]</f>
        <v>0</v>
      </c>
      <c r="AI41">
        <f>Portefeuille_ProgPropose2[[#This Row],[Écart AC 2026]]+Portefeuille_ProgPropose2[[#This Row],[Écart TR 2026]]</f>
        <v>-80</v>
      </c>
      <c r="AJ41">
        <v>864</v>
      </c>
      <c r="AK41">
        <v>12022</v>
      </c>
      <c r="AQ41"/>
      <c r="AZ41" s="14">
        <f>SUM(Portefeuille_ProgPropose2[[#This Row],[AC ANT]:[TR 2025]],Portefeuille_ProgPropose2[[#This Row],[AC 2026]:[TR 2026]],Portefeuille_ProgPropose2[[#This Row],[AC 2027]:[TR 2034]])</f>
        <v>13106</v>
      </c>
    </row>
    <row r="42" spans="1:52" hidden="1" x14ac:dyDescent="0.3">
      <c r="A42" t="s">
        <v>286</v>
      </c>
      <c r="C42" t="s">
        <v>126</v>
      </c>
      <c r="D42" t="s">
        <v>127</v>
      </c>
      <c r="E42" t="s">
        <v>136</v>
      </c>
      <c r="F42" t="s">
        <v>144</v>
      </c>
      <c r="G42" t="s">
        <v>16</v>
      </c>
      <c r="H42" t="s">
        <v>20</v>
      </c>
      <c r="I42" t="s">
        <v>131</v>
      </c>
      <c r="J42" t="s">
        <v>231</v>
      </c>
      <c r="K42" t="s">
        <v>232</v>
      </c>
      <c r="L42" t="s">
        <v>147</v>
      </c>
      <c r="M42" t="s">
        <v>173</v>
      </c>
      <c r="N42" t="s">
        <v>110</v>
      </c>
      <c r="O42" s="1">
        <v>45099</v>
      </c>
      <c r="P42" s="1">
        <v>45945</v>
      </c>
      <c r="Q42" s="1">
        <v>46371</v>
      </c>
      <c r="R42">
        <v>9</v>
      </c>
      <c r="T42">
        <v>180</v>
      </c>
      <c r="V42">
        <v>503</v>
      </c>
      <c r="X42">
        <v>503</v>
      </c>
      <c r="Z42">
        <f>Portefeuille_ProgPropose2[[#This Row],[AC 2025]]-Portefeuille_ProgPropose2[[#This Row],[AC 2025 Trimestre précédent]]</f>
        <v>0</v>
      </c>
      <c r="AA42">
        <f>Portefeuille_ProgPropose2[[#This Row],[TR 2025]]-Portefeuille_ProgPropose2[[#This Row],[TR 2025 Trimestre précédent]]</f>
        <v>0</v>
      </c>
      <c r="AB42">
        <f>Portefeuille_ProgPropose2[[#This Row],[Écart AC 2025]]+Portefeuille_ProgPropose2[[#This Row],[Écart TR 2025]]</f>
        <v>0</v>
      </c>
      <c r="AC42">
        <v>553</v>
      </c>
      <c r="AD42"/>
      <c r="AE42">
        <v>553</v>
      </c>
      <c r="AG42">
        <f>Portefeuille_ProgPropose2[[#This Row],[AC 2026]]-Portefeuille_ProgPropose2[[#This Row],[AC 2026 Trimestre précédent]]</f>
        <v>0</v>
      </c>
      <c r="AH42">
        <f>Portefeuille_ProgPropose2[[#This Row],[TR 2026]]-Portefeuille_ProgPropose2[[#This Row],[TR 2026 Trimestre précédent]]</f>
        <v>0</v>
      </c>
      <c r="AI42">
        <f>Portefeuille_ProgPropose2[[#This Row],[Écart AC 2026]]+Portefeuille_ProgPropose2[[#This Row],[Écart TR 2026]]</f>
        <v>0</v>
      </c>
      <c r="AJ42">
        <v>1185</v>
      </c>
      <c r="AK42">
        <v>6475</v>
      </c>
      <c r="AL42">
        <v>1602</v>
      </c>
      <c r="AM42">
        <v>6677</v>
      </c>
      <c r="AQ42"/>
      <c r="AZ42" s="14">
        <f>SUM(Portefeuille_ProgPropose2[[#This Row],[AC ANT]:[TR 2025]],Portefeuille_ProgPropose2[[#This Row],[AC 2026]:[TR 2026]],Portefeuille_ProgPropose2[[#This Row],[AC 2027]:[TR 2034]])</f>
        <v>17184</v>
      </c>
    </row>
    <row r="43" spans="1:52" hidden="1" x14ac:dyDescent="0.3">
      <c r="A43" t="s">
        <v>286</v>
      </c>
      <c r="B43">
        <v>11</v>
      </c>
      <c r="C43" t="s">
        <v>101</v>
      </c>
      <c r="D43" t="s">
        <v>102</v>
      </c>
      <c r="E43" t="s">
        <v>128</v>
      </c>
      <c r="F43" t="s">
        <v>140</v>
      </c>
      <c r="G43" t="s">
        <v>20</v>
      </c>
      <c r="H43" t="s">
        <v>20</v>
      </c>
      <c r="I43" t="s">
        <v>131</v>
      </c>
      <c r="J43" t="s">
        <v>246</v>
      </c>
      <c r="K43" t="s">
        <v>247</v>
      </c>
      <c r="L43" t="s">
        <v>180</v>
      </c>
      <c r="M43" t="s">
        <v>173</v>
      </c>
      <c r="N43" t="s">
        <v>155</v>
      </c>
      <c r="O43" s="1">
        <v>45644</v>
      </c>
      <c r="P43" s="1">
        <v>46006</v>
      </c>
      <c r="Q43" s="1">
        <v>46371</v>
      </c>
      <c r="V43">
        <v>50</v>
      </c>
      <c r="X43">
        <v>50</v>
      </c>
      <c r="Z43">
        <f>Portefeuille_ProgPropose2[[#This Row],[AC 2025]]-Portefeuille_ProgPropose2[[#This Row],[AC 2025 Trimestre précédent]]</f>
        <v>0</v>
      </c>
      <c r="AA43">
        <f>Portefeuille_ProgPropose2[[#This Row],[TR 2025]]-Portefeuille_ProgPropose2[[#This Row],[TR 2025 Trimestre précédent]]</f>
        <v>0</v>
      </c>
      <c r="AB43">
        <f>Portefeuille_ProgPropose2[[#This Row],[Écart AC 2025]]+Portefeuille_ProgPropose2[[#This Row],[Écart TR 2025]]</f>
        <v>0</v>
      </c>
      <c r="AC43">
        <v>100</v>
      </c>
      <c r="AD43"/>
      <c r="AE43">
        <v>100</v>
      </c>
      <c r="AG43">
        <f>Portefeuille_ProgPropose2[[#This Row],[AC 2026]]-Portefeuille_ProgPropose2[[#This Row],[AC 2026 Trimestre précédent]]</f>
        <v>0</v>
      </c>
      <c r="AH43">
        <f>Portefeuille_ProgPropose2[[#This Row],[TR 2026]]-Portefeuille_ProgPropose2[[#This Row],[TR 2026 Trimestre précédent]]</f>
        <v>0</v>
      </c>
      <c r="AI43">
        <f>Portefeuille_ProgPropose2[[#This Row],[Écart AC 2026]]+Portefeuille_ProgPropose2[[#This Row],[Écart TR 2026]]</f>
        <v>0</v>
      </c>
      <c r="AJ43">
        <v>200</v>
      </c>
      <c r="AK43">
        <v>2000</v>
      </c>
      <c r="AQ43"/>
      <c r="AZ43" s="14">
        <f>SUM(Portefeuille_ProgPropose2[[#This Row],[AC ANT]:[TR 2025]],Portefeuille_ProgPropose2[[#This Row],[AC 2026]:[TR 2026]],Portefeuille_ProgPropose2[[#This Row],[AC 2027]:[TR 2034]])</f>
        <v>2350</v>
      </c>
    </row>
    <row r="44" spans="1:52" hidden="1" x14ac:dyDescent="0.3">
      <c r="A44" t="s">
        <v>286</v>
      </c>
      <c r="C44" t="s">
        <v>126</v>
      </c>
      <c r="D44" t="s">
        <v>127</v>
      </c>
      <c r="E44" t="s">
        <v>136</v>
      </c>
      <c r="F44" t="s">
        <v>113</v>
      </c>
      <c r="G44" t="s">
        <v>16</v>
      </c>
      <c r="H44" t="s">
        <v>20</v>
      </c>
      <c r="I44" t="s">
        <v>131</v>
      </c>
      <c r="J44" t="s">
        <v>226</v>
      </c>
      <c r="K44" t="s">
        <v>227</v>
      </c>
      <c r="L44" t="s">
        <v>139</v>
      </c>
      <c r="M44" t="s">
        <v>184</v>
      </c>
      <c r="N44" t="s">
        <v>110</v>
      </c>
      <c r="O44" s="1">
        <v>45330</v>
      </c>
      <c r="P44" s="1">
        <v>45960</v>
      </c>
      <c r="Q44" s="1">
        <v>46625</v>
      </c>
      <c r="R44">
        <v>44</v>
      </c>
      <c r="T44">
        <v>45</v>
      </c>
      <c r="V44">
        <v>100</v>
      </c>
      <c r="X44">
        <v>100</v>
      </c>
      <c r="Z44">
        <f>Portefeuille_ProgPropose2[[#This Row],[AC 2025]]-Portefeuille_ProgPropose2[[#This Row],[AC 2025 Trimestre précédent]]</f>
        <v>0</v>
      </c>
      <c r="AA44">
        <f>Portefeuille_ProgPropose2[[#This Row],[TR 2025]]-Portefeuille_ProgPropose2[[#This Row],[TR 2025 Trimestre précédent]]</f>
        <v>0</v>
      </c>
      <c r="AB44">
        <f>Portefeuille_ProgPropose2[[#This Row],[Écart AC 2025]]+Portefeuille_ProgPropose2[[#This Row],[Écart TR 2025]]</f>
        <v>0</v>
      </c>
      <c r="AC44">
        <v>288</v>
      </c>
      <c r="AD44"/>
      <c r="AE44">
        <v>288</v>
      </c>
      <c r="AG44">
        <f>Portefeuille_ProgPropose2[[#This Row],[AC 2026]]-Portefeuille_ProgPropose2[[#This Row],[AC 2026 Trimestre précédent]]</f>
        <v>0</v>
      </c>
      <c r="AH44">
        <f>Portefeuille_ProgPropose2[[#This Row],[TR 2026]]-Portefeuille_ProgPropose2[[#This Row],[TR 2026 Trimestre précédent]]</f>
        <v>0</v>
      </c>
      <c r="AI44">
        <f>Portefeuille_ProgPropose2[[#This Row],[Écart AC 2026]]+Portefeuille_ProgPropose2[[#This Row],[Écart TR 2026]]</f>
        <v>0</v>
      </c>
      <c r="AJ44">
        <v>475</v>
      </c>
      <c r="AL44">
        <v>475</v>
      </c>
      <c r="AN44">
        <v>573</v>
      </c>
      <c r="AP44">
        <v>1000</v>
      </c>
      <c r="AQ44">
        <v>4362</v>
      </c>
      <c r="AR44">
        <v>1077</v>
      </c>
      <c r="AS44">
        <v>12800</v>
      </c>
      <c r="AZ44" s="14">
        <f>SUM(Portefeuille_ProgPropose2[[#This Row],[AC ANT]:[TR 2025]],Portefeuille_ProgPropose2[[#This Row],[AC 2026]:[TR 2026]],Portefeuille_ProgPropose2[[#This Row],[AC 2027]:[TR 2034]])</f>
        <v>21239</v>
      </c>
    </row>
    <row r="45" spans="1:52" hidden="1" x14ac:dyDescent="0.3">
      <c r="A45" t="s">
        <v>286</v>
      </c>
      <c r="B45">
        <v>5</v>
      </c>
      <c r="C45" t="s">
        <v>101</v>
      </c>
      <c r="D45" t="s">
        <v>102</v>
      </c>
      <c r="E45" t="s">
        <v>136</v>
      </c>
      <c r="F45" t="s">
        <v>149</v>
      </c>
      <c r="G45" t="s">
        <v>20</v>
      </c>
      <c r="H45" t="s">
        <v>20</v>
      </c>
      <c r="I45" t="s">
        <v>105</v>
      </c>
      <c r="J45" t="s">
        <v>203</v>
      </c>
      <c r="K45" t="s">
        <v>204</v>
      </c>
      <c r="L45" t="s">
        <v>205</v>
      </c>
      <c r="M45" t="s">
        <v>173</v>
      </c>
      <c r="N45" t="s">
        <v>155</v>
      </c>
      <c r="O45" s="1">
        <v>45703</v>
      </c>
      <c r="P45" s="1">
        <v>45915</v>
      </c>
      <c r="Q45" s="1">
        <v>46295</v>
      </c>
      <c r="V45">
        <v>85</v>
      </c>
      <c r="X45">
        <v>85</v>
      </c>
      <c r="Z45">
        <f>Portefeuille_ProgPropose2[[#This Row],[AC 2025]]-Portefeuille_ProgPropose2[[#This Row],[AC 2025 Trimestre précédent]]</f>
        <v>0</v>
      </c>
      <c r="AA45">
        <f>Portefeuille_ProgPropose2[[#This Row],[TR 2025]]-Portefeuille_ProgPropose2[[#This Row],[TR 2025 Trimestre précédent]]</f>
        <v>0</v>
      </c>
      <c r="AB45">
        <f>Portefeuille_ProgPropose2[[#This Row],[Écart AC 2025]]+Portefeuille_ProgPropose2[[#This Row],[Écart TR 2025]]</f>
        <v>0</v>
      </c>
      <c r="AC45">
        <v>85</v>
      </c>
      <c r="AD45"/>
      <c r="AE45">
        <v>85</v>
      </c>
      <c r="AG45">
        <f>Portefeuille_ProgPropose2[[#This Row],[AC 2026]]-Portefeuille_ProgPropose2[[#This Row],[AC 2026 Trimestre précédent]]</f>
        <v>0</v>
      </c>
      <c r="AH45">
        <f>Portefeuille_ProgPropose2[[#This Row],[TR 2026]]-Portefeuille_ProgPropose2[[#This Row],[TR 2026 Trimestre précédent]]</f>
        <v>0</v>
      </c>
      <c r="AI45">
        <f>Portefeuille_ProgPropose2[[#This Row],[Écart AC 2026]]+Portefeuille_ProgPropose2[[#This Row],[Écart TR 2026]]</f>
        <v>0</v>
      </c>
      <c r="AJ45">
        <v>170</v>
      </c>
      <c r="AK45">
        <v>2000</v>
      </c>
      <c r="AQ45"/>
      <c r="AZ45" s="14">
        <f>SUM(Portefeuille_ProgPropose2[[#This Row],[AC ANT]:[TR 2025]],Portefeuille_ProgPropose2[[#This Row],[AC 2026]:[TR 2026]],Portefeuille_ProgPropose2[[#This Row],[AC 2027]:[TR 2034]])</f>
        <v>2340</v>
      </c>
    </row>
    <row r="46" spans="1:52" hidden="1" x14ac:dyDescent="0.3">
      <c r="A46" t="s">
        <v>286</v>
      </c>
      <c r="B46">
        <v>4</v>
      </c>
      <c r="C46" t="s">
        <v>118</v>
      </c>
      <c r="D46" t="s">
        <v>102</v>
      </c>
      <c r="E46" t="s">
        <v>242</v>
      </c>
      <c r="F46" t="s">
        <v>113</v>
      </c>
      <c r="G46" t="s">
        <v>20</v>
      </c>
      <c r="H46" t="s">
        <v>20</v>
      </c>
      <c r="I46" t="s">
        <v>131</v>
      </c>
      <c r="J46" t="s">
        <v>243</v>
      </c>
      <c r="K46" t="s">
        <v>244</v>
      </c>
      <c r="L46" t="s">
        <v>245</v>
      </c>
      <c r="M46" t="s">
        <v>173</v>
      </c>
      <c r="N46" t="s">
        <v>155</v>
      </c>
      <c r="O46" s="1">
        <v>45703</v>
      </c>
      <c r="P46" s="1">
        <v>45976</v>
      </c>
      <c r="Q46" s="1">
        <v>46341</v>
      </c>
      <c r="V46">
        <v>50</v>
      </c>
      <c r="X46">
        <v>50</v>
      </c>
      <c r="Z46">
        <f>Portefeuille_ProgPropose2[[#This Row],[AC 2025]]-Portefeuille_ProgPropose2[[#This Row],[AC 2025 Trimestre précédent]]</f>
        <v>0</v>
      </c>
      <c r="AA46">
        <f>Portefeuille_ProgPropose2[[#This Row],[TR 2025]]-Portefeuille_ProgPropose2[[#This Row],[TR 2025 Trimestre précédent]]</f>
        <v>0</v>
      </c>
      <c r="AB46">
        <f>Portefeuille_ProgPropose2[[#This Row],[Écart AC 2025]]+Portefeuille_ProgPropose2[[#This Row],[Écart TR 2025]]</f>
        <v>0</v>
      </c>
      <c r="AC46">
        <v>150</v>
      </c>
      <c r="AD46"/>
      <c r="AE46">
        <v>150</v>
      </c>
      <c r="AG46">
        <f>Portefeuille_ProgPropose2[[#This Row],[AC 2026]]-Portefeuille_ProgPropose2[[#This Row],[AC 2026 Trimestre précédent]]</f>
        <v>0</v>
      </c>
      <c r="AH46">
        <f>Portefeuille_ProgPropose2[[#This Row],[TR 2026]]-Portefeuille_ProgPropose2[[#This Row],[TR 2026 Trimestre précédent]]</f>
        <v>0</v>
      </c>
      <c r="AI46">
        <f>Portefeuille_ProgPropose2[[#This Row],[Écart AC 2026]]+Portefeuille_ProgPropose2[[#This Row],[Écart TR 2026]]</f>
        <v>0</v>
      </c>
      <c r="AJ46">
        <v>150</v>
      </c>
      <c r="AK46">
        <v>2000</v>
      </c>
      <c r="AQ46"/>
      <c r="AZ46" s="14">
        <f>SUM(Portefeuille_ProgPropose2[[#This Row],[AC ANT]:[TR 2025]],Portefeuille_ProgPropose2[[#This Row],[AC 2026]:[TR 2026]],Portefeuille_ProgPropose2[[#This Row],[AC 2027]:[TR 2034]])</f>
        <v>2350</v>
      </c>
    </row>
    <row r="47" spans="1:52" hidden="1" x14ac:dyDescent="0.3">
      <c r="A47" t="s">
        <v>286</v>
      </c>
      <c r="B47">
        <v>9</v>
      </c>
      <c r="C47" t="s">
        <v>101</v>
      </c>
      <c r="D47" t="s">
        <v>102</v>
      </c>
      <c r="E47" t="s">
        <v>103</v>
      </c>
      <c r="F47" t="s">
        <v>149</v>
      </c>
      <c r="G47" t="s">
        <v>20</v>
      </c>
      <c r="H47" t="s">
        <v>20</v>
      </c>
      <c r="I47" t="s">
        <v>105</v>
      </c>
      <c r="J47" t="s">
        <v>237</v>
      </c>
      <c r="K47" t="s">
        <v>238</v>
      </c>
      <c r="L47" t="s">
        <v>239</v>
      </c>
      <c r="M47" t="s">
        <v>173</v>
      </c>
      <c r="N47" t="s">
        <v>155</v>
      </c>
      <c r="O47" s="1">
        <v>45703</v>
      </c>
      <c r="P47" s="1">
        <v>46022</v>
      </c>
      <c r="Q47" s="1">
        <v>46295</v>
      </c>
      <c r="V47">
        <v>100</v>
      </c>
      <c r="X47">
        <v>100</v>
      </c>
      <c r="Z47">
        <f>Portefeuille_ProgPropose2[[#This Row],[AC 2025]]-Portefeuille_ProgPropose2[[#This Row],[AC 2025 Trimestre précédent]]</f>
        <v>0</v>
      </c>
      <c r="AA47">
        <f>Portefeuille_ProgPropose2[[#This Row],[TR 2025]]-Portefeuille_ProgPropose2[[#This Row],[TR 2025 Trimestre précédent]]</f>
        <v>0</v>
      </c>
      <c r="AB47">
        <f>Portefeuille_ProgPropose2[[#This Row],[Écart AC 2025]]+Portefeuille_ProgPropose2[[#This Row],[Écart TR 2025]]</f>
        <v>0</v>
      </c>
      <c r="AC47">
        <v>200</v>
      </c>
      <c r="AD47"/>
      <c r="AE47">
        <v>200</v>
      </c>
      <c r="AG47">
        <f>Portefeuille_ProgPropose2[[#This Row],[AC 2026]]-Portefeuille_ProgPropose2[[#This Row],[AC 2026 Trimestre précédent]]</f>
        <v>0</v>
      </c>
      <c r="AH47">
        <f>Portefeuille_ProgPropose2[[#This Row],[TR 2026]]-Portefeuille_ProgPropose2[[#This Row],[TR 2026 Trimestre précédent]]</f>
        <v>0</v>
      </c>
      <c r="AI47">
        <f>Portefeuille_ProgPropose2[[#This Row],[Écart AC 2026]]+Portefeuille_ProgPropose2[[#This Row],[Écart TR 2026]]</f>
        <v>0</v>
      </c>
      <c r="AJ47">
        <v>475</v>
      </c>
      <c r="AK47">
        <v>11000</v>
      </c>
      <c r="AQ47"/>
      <c r="AZ47" s="14">
        <f>SUM(Portefeuille_ProgPropose2[[#This Row],[AC ANT]:[TR 2025]],Portefeuille_ProgPropose2[[#This Row],[AC 2026]:[TR 2026]],Portefeuille_ProgPropose2[[#This Row],[AC 2027]:[TR 2034]])</f>
        <v>11775</v>
      </c>
    </row>
    <row r="48" spans="1:52" hidden="1" x14ac:dyDescent="0.3">
      <c r="A48" t="s">
        <v>286</v>
      </c>
      <c r="C48" t="s">
        <v>118</v>
      </c>
      <c r="D48" t="s">
        <v>102</v>
      </c>
      <c r="E48" t="s">
        <v>119</v>
      </c>
      <c r="F48" t="s">
        <v>206</v>
      </c>
      <c r="G48" t="s">
        <v>16</v>
      </c>
      <c r="H48" t="s">
        <v>130</v>
      </c>
      <c r="I48" t="s">
        <v>131</v>
      </c>
      <c r="J48" t="s">
        <v>207</v>
      </c>
      <c r="K48" t="s">
        <v>208</v>
      </c>
      <c r="L48" t="s">
        <v>209</v>
      </c>
      <c r="M48" t="s">
        <v>173</v>
      </c>
      <c r="N48" t="s">
        <v>155</v>
      </c>
      <c r="O48" s="1">
        <v>45731</v>
      </c>
      <c r="P48" s="1">
        <v>46006</v>
      </c>
      <c r="Q48" s="1">
        <v>46310</v>
      </c>
      <c r="R48">
        <v>196</v>
      </c>
      <c r="V48">
        <v>40</v>
      </c>
      <c r="X48">
        <v>40</v>
      </c>
      <c r="Z48">
        <f>Portefeuille_ProgPropose2[[#This Row],[AC 2025]]-Portefeuille_ProgPropose2[[#This Row],[AC 2025 Trimestre précédent]]</f>
        <v>0</v>
      </c>
      <c r="AA48">
        <f>Portefeuille_ProgPropose2[[#This Row],[TR 2025]]-Portefeuille_ProgPropose2[[#This Row],[TR 2025 Trimestre précédent]]</f>
        <v>0</v>
      </c>
      <c r="AB48">
        <f>Portefeuille_ProgPropose2[[#This Row],[Écart AC 2025]]+Portefeuille_ProgPropose2[[#This Row],[Écart TR 2025]]</f>
        <v>0</v>
      </c>
      <c r="AC48">
        <v>255</v>
      </c>
      <c r="AD48"/>
      <c r="AE48">
        <v>255</v>
      </c>
      <c r="AG48">
        <f>Portefeuille_ProgPropose2[[#This Row],[AC 2026]]-Portefeuille_ProgPropose2[[#This Row],[AC 2026 Trimestre précédent]]</f>
        <v>0</v>
      </c>
      <c r="AH48">
        <f>Portefeuille_ProgPropose2[[#This Row],[TR 2026]]-Portefeuille_ProgPropose2[[#This Row],[TR 2026 Trimestre précédent]]</f>
        <v>0</v>
      </c>
      <c r="AI48">
        <f>Portefeuille_ProgPropose2[[#This Row],[Écart AC 2026]]+Portefeuille_ProgPropose2[[#This Row],[Écart TR 2026]]</f>
        <v>0</v>
      </c>
      <c r="AJ48">
        <v>396</v>
      </c>
      <c r="AK48">
        <v>1500</v>
      </c>
      <c r="AQ48"/>
      <c r="AZ48" s="14">
        <f>SUM(Portefeuille_ProgPropose2[[#This Row],[AC ANT]:[TR 2025]],Portefeuille_ProgPropose2[[#This Row],[AC 2026]:[TR 2026]],Portefeuille_ProgPropose2[[#This Row],[AC 2027]:[TR 2034]])</f>
        <v>2387</v>
      </c>
    </row>
    <row r="49" spans="1:52" hidden="1" x14ac:dyDescent="0.3">
      <c r="A49" t="s">
        <v>286</v>
      </c>
      <c r="C49" t="s">
        <v>126</v>
      </c>
      <c r="D49" t="s">
        <v>127</v>
      </c>
      <c r="E49" t="s">
        <v>103</v>
      </c>
      <c r="F49" t="s">
        <v>104</v>
      </c>
      <c r="G49" t="s">
        <v>16</v>
      </c>
      <c r="H49" t="s">
        <v>130</v>
      </c>
      <c r="I49" t="s">
        <v>131</v>
      </c>
      <c r="J49" t="s">
        <v>220</v>
      </c>
      <c r="K49" t="s">
        <v>221</v>
      </c>
      <c r="L49" t="s">
        <v>159</v>
      </c>
      <c r="M49" t="s">
        <v>173</v>
      </c>
      <c r="N49" t="s">
        <v>155</v>
      </c>
      <c r="O49" s="1">
        <v>45731</v>
      </c>
      <c r="P49" s="1">
        <v>46127</v>
      </c>
      <c r="Q49" s="1">
        <v>46433</v>
      </c>
      <c r="T49">
        <v>5</v>
      </c>
      <c r="V49">
        <v>5</v>
      </c>
      <c r="X49">
        <v>5</v>
      </c>
      <c r="Z49">
        <f>Portefeuille_ProgPropose2[[#This Row],[AC 2025]]-Portefeuille_ProgPropose2[[#This Row],[AC 2025 Trimestre précédent]]</f>
        <v>0</v>
      </c>
      <c r="AA49">
        <f>Portefeuille_ProgPropose2[[#This Row],[TR 2025]]-Portefeuille_ProgPropose2[[#This Row],[TR 2025 Trimestre précédent]]</f>
        <v>0</v>
      </c>
      <c r="AB49">
        <f>Portefeuille_ProgPropose2[[#This Row],[Écart AC 2025]]+Portefeuille_ProgPropose2[[#This Row],[Écart TR 2025]]</f>
        <v>0</v>
      </c>
      <c r="AC49">
        <v>170</v>
      </c>
      <c r="AD49"/>
      <c r="AE49">
        <v>170</v>
      </c>
      <c r="AG49">
        <f>Portefeuille_ProgPropose2[[#This Row],[AC 2026]]-Portefeuille_ProgPropose2[[#This Row],[AC 2026 Trimestre précédent]]</f>
        <v>0</v>
      </c>
      <c r="AH49">
        <f>Portefeuille_ProgPropose2[[#This Row],[TR 2026]]-Portefeuille_ProgPropose2[[#This Row],[TR 2026 Trimestre précédent]]</f>
        <v>0</v>
      </c>
      <c r="AI49">
        <f>Portefeuille_ProgPropose2[[#This Row],[Écart AC 2026]]+Portefeuille_ProgPropose2[[#This Row],[Écart TR 2026]]</f>
        <v>0</v>
      </c>
      <c r="AJ49">
        <v>100</v>
      </c>
      <c r="AK49">
        <v>12180</v>
      </c>
      <c r="AL49">
        <v>100</v>
      </c>
      <c r="AM49">
        <v>7570</v>
      </c>
      <c r="AN49">
        <v>100</v>
      </c>
      <c r="AO49">
        <v>10250</v>
      </c>
      <c r="AQ49"/>
      <c r="AZ49" s="14">
        <f>SUM(Portefeuille_ProgPropose2[[#This Row],[AC ANT]:[TR 2025]],Portefeuille_ProgPropose2[[#This Row],[AC 2026]:[TR 2026]],Portefeuille_ProgPropose2[[#This Row],[AC 2027]:[TR 2034]])</f>
        <v>30480</v>
      </c>
    </row>
    <row r="50" spans="1:52" hidden="1" x14ac:dyDescent="0.3">
      <c r="A50" t="s">
        <v>286</v>
      </c>
      <c r="B50">
        <v>3</v>
      </c>
      <c r="C50" t="s">
        <v>126</v>
      </c>
      <c r="D50" t="s">
        <v>127</v>
      </c>
      <c r="E50" t="s">
        <v>103</v>
      </c>
      <c r="F50" t="s">
        <v>149</v>
      </c>
      <c r="G50" t="s">
        <v>20</v>
      </c>
      <c r="H50" t="s">
        <v>20</v>
      </c>
      <c r="I50" t="s">
        <v>131</v>
      </c>
      <c r="J50" t="s">
        <v>233</v>
      </c>
      <c r="K50" t="s">
        <v>234</v>
      </c>
      <c r="L50" t="s">
        <v>152</v>
      </c>
      <c r="M50" t="s">
        <v>173</v>
      </c>
      <c r="N50" t="s">
        <v>155</v>
      </c>
      <c r="O50" s="1">
        <v>45731</v>
      </c>
      <c r="P50" s="1">
        <v>45945</v>
      </c>
      <c r="Q50" s="1">
        <v>46310</v>
      </c>
      <c r="V50">
        <v>100</v>
      </c>
      <c r="X50">
        <v>100</v>
      </c>
      <c r="Z50">
        <f>Portefeuille_ProgPropose2[[#This Row],[AC 2025]]-Portefeuille_ProgPropose2[[#This Row],[AC 2025 Trimestre précédent]]</f>
        <v>0</v>
      </c>
      <c r="AA50">
        <f>Portefeuille_ProgPropose2[[#This Row],[TR 2025]]-Portefeuille_ProgPropose2[[#This Row],[TR 2025 Trimestre précédent]]</f>
        <v>0</v>
      </c>
      <c r="AB50">
        <f>Portefeuille_ProgPropose2[[#This Row],[Écart AC 2025]]+Portefeuille_ProgPropose2[[#This Row],[Écart TR 2025]]</f>
        <v>0</v>
      </c>
      <c r="AC50">
        <v>150</v>
      </c>
      <c r="AD50"/>
      <c r="AE50">
        <v>150</v>
      </c>
      <c r="AG50">
        <f>Portefeuille_ProgPropose2[[#This Row],[AC 2026]]-Portefeuille_ProgPropose2[[#This Row],[AC 2026 Trimestre précédent]]</f>
        <v>0</v>
      </c>
      <c r="AH50">
        <f>Portefeuille_ProgPropose2[[#This Row],[TR 2026]]-Portefeuille_ProgPropose2[[#This Row],[TR 2026 Trimestre précédent]]</f>
        <v>0</v>
      </c>
      <c r="AI50">
        <f>Portefeuille_ProgPropose2[[#This Row],[Écart AC 2026]]+Portefeuille_ProgPropose2[[#This Row],[Écart TR 2026]]</f>
        <v>0</v>
      </c>
      <c r="AJ50">
        <v>500</v>
      </c>
      <c r="AK50">
        <v>7500</v>
      </c>
      <c r="AQ50"/>
      <c r="AZ50" s="14">
        <f>SUM(Portefeuille_ProgPropose2[[#This Row],[AC ANT]:[TR 2025]],Portefeuille_ProgPropose2[[#This Row],[AC 2026]:[TR 2026]],Portefeuille_ProgPropose2[[#This Row],[AC 2027]:[TR 2034]])</f>
        <v>8250</v>
      </c>
    </row>
    <row r="51" spans="1:52" hidden="1" x14ac:dyDescent="0.3">
      <c r="A51" t="s">
        <v>286</v>
      </c>
      <c r="B51">
        <v>3</v>
      </c>
      <c r="C51" t="s">
        <v>118</v>
      </c>
      <c r="D51" t="s">
        <v>102</v>
      </c>
      <c r="E51" t="s">
        <v>177</v>
      </c>
      <c r="F51" t="s">
        <v>113</v>
      </c>
      <c r="G51" t="s">
        <v>130</v>
      </c>
      <c r="H51" t="s">
        <v>20</v>
      </c>
      <c r="I51" t="s">
        <v>131</v>
      </c>
      <c r="J51" t="s">
        <v>240</v>
      </c>
      <c r="K51" t="s">
        <v>241</v>
      </c>
      <c r="L51" t="s">
        <v>187</v>
      </c>
      <c r="M51" t="s">
        <v>173</v>
      </c>
      <c r="N51" t="s">
        <v>155</v>
      </c>
      <c r="O51" s="1">
        <v>45703</v>
      </c>
      <c r="P51" s="1">
        <v>46127</v>
      </c>
      <c r="Q51" s="1">
        <v>46492</v>
      </c>
      <c r="T51">
        <v>10</v>
      </c>
      <c r="V51">
        <v>185</v>
      </c>
      <c r="X51">
        <v>100</v>
      </c>
      <c r="Z51">
        <f>Portefeuille_ProgPropose2[[#This Row],[AC 2025]]-Portefeuille_ProgPropose2[[#This Row],[AC 2025 Trimestre précédent]]</f>
        <v>85</v>
      </c>
      <c r="AA51">
        <f>Portefeuille_ProgPropose2[[#This Row],[TR 2025]]-Portefeuille_ProgPropose2[[#This Row],[TR 2025 Trimestre précédent]]</f>
        <v>0</v>
      </c>
      <c r="AB51">
        <f>Portefeuille_ProgPropose2[[#This Row],[Écart AC 2025]]+Portefeuille_ProgPropose2[[#This Row],[Écart TR 2025]]</f>
        <v>85</v>
      </c>
      <c r="AC51">
        <v>176</v>
      </c>
      <c r="AD51"/>
      <c r="AE51">
        <v>100</v>
      </c>
      <c r="AG51">
        <f>Portefeuille_ProgPropose2[[#This Row],[AC 2026]]-Portefeuille_ProgPropose2[[#This Row],[AC 2026 Trimestre précédent]]</f>
        <v>76</v>
      </c>
      <c r="AH51">
        <f>Portefeuille_ProgPropose2[[#This Row],[TR 2026]]-Portefeuille_ProgPropose2[[#This Row],[TR 2026 Trimestre précédent]]</f>
        <v>0</v>
      </c>
      <c r="AI51">
        <f>Portefeuille_ProgPropose2[[#This Row],[Écart AC 2026]]+Portefeuille_ProgPropose2[[#This Row],[Écart TR 2026]]</f>
        <v>76</v>
      </c>
      <c r="AJ51">
        <v>212</v>
      </c>
      <c r="AK51">
        <v>4831</v>
      </c>
      <c r="AL51">
        <v>141</v>
      </c>
      <c r="AM51">
        <v>3298</v>
      </c>
      <c r="AQ51"/>
      <c r="AZ51" s="14">
        <f>SUM(Portefeuille_ProgPropose2[[#This Row],[AC ANT]:[TR 2025]],Portefeuille_ProgPropose2[[#This Row],[AC 2026]:[TR 2026]],Portefeuille_ProgPropose2[[#This Row],[AC 2027]:[TR 2034]])</f>
        <v>8853</v>
      </c>
    </row>
    <row r="52" spans="1:52" hidden="1" x14ac:dyDescent="0.3">
      <c r="A52" t="s">
        <v>286</v>
      </c>
      <c r="C52" t="s">
        <v>118</v>
      </c>
      <c r="D52" t="s">
        <v>102</v>
      </c>
      <c r="E52" t="s">
        <v>103</v>
      </c>
      <c r="F52" t="s">
        <v>206</v>
      </c>
      <c r="G52" t="s">
        <v>16</v>
      </c>
      <c r="H52" t="s">
        <v>20</v>
      </c>
      <c r="I52" t="s">
        <v>131</v>
      </c>
      <c r="J52" t="s">
        <v>210</v>
      </c>
      <c r="K52" t="s">
        <v>211</v>
      </c>
      <c r="L52" t="s">
        <v>209</v>
      </c>
      <c r="M52" t="s">
        <v>197</v>
      </c>
      <c r="N52" t="s">
        <v>155</v>
      </c>
      <c r="O52" s="1">
        <v>45792</v>
      </c>
      <c r="P52" s="1">
        <v>46310</v>
      </c>
      <c r="Q52" s="1">
        <v>46675</v>
      </c>
      <c r="R52">
        <v>8</v>
      </c>
      <c r="V52">
        <v>100</v>
      </c>
      <c r="X52">
        <v>100</v>
      </c>
      <c r="Z52">
        <f>Portefeuille_ProgPropose2[[#This Row],[AC 2025]]-Portefeuille_ProgPropose2[[#This Row],[AC 2025 Trimestre précédent]]</f>
        <v>0</v>
      </c>
      <c r="AA52">
        <f>Portefeuille_ProgPropose2[[#This Row],[TR 2025]]-Portefeuille_ProgPropose2[[#This Row],[TR 2025 Trimestre précédent]]</f>
        <v>0</v>
      </c>
      <c r="AB52">
        <f>Portefeuille_ProgPropose2[[#This Row],[Écart AC 2025]]+Portefeuille_ProgPropose2[[#This Row],[Écart TR 2025]]</f>
        <v>0</v>
      </c>
      <c r="AC52">
        <v>100</v>
      </c>
      <c r="AD52"/>
      <c r="AE52">
        <v>100</v>
      </c>
      <c r="AG52">
        <f>Portefeuille_ProgPropose2[[#This Row],[AC 2026]]-Portefeuille_ProgPropose2[[#This Row],[AC 2026 Trimestre précédent]]</f>
        <v>0</v>
      </c>
      <c r="AH52">
        <f>Portefeuille_ProgPropose2[[#This Row],[TR 2026]]-Portefeuille_ProgPropose2[[#This Row],[TR 2026 Trimestre précédent]]</f>
        <v>0</v>
      </c>
      <c r="AI52">
        <f>Portefeuille_ProgPropose2[[#This Row],[Écart AC 2026]]+Portefeuille_ProgPropose2[[#This Row],[Écart TR 2026]]</f>
        <v>0</v>
      </c>
      <c r="AJ52">
        <v>100</v>
      </c>
      <c r="AL52">
        <v>250</v>
      </c>
      <c r="AM52">
        <v>7500</v>
      </c>
      <c r="AQ52"/>
      <c r="AZ52" s="14">
        <f>SUM(Portefeuille_ProgPropose2[[#This Row],[AC ANT]:[TR 2025]],Portefeuille_ProgPropose2[[#This Row],[AC 2026]:[TR 2026]],Portefeuille_ProgPropose2[[#This Row],[AC 2027]:[TR 2034]])</f>
        <v>8058</v>
      </c>
    </row>
    <row r="53" spans="1:52" hidden="1" x14ac:dyDescent="0.3">
      <c r="A53" t="s">
        <v>286</v>
      </c>
      <c r="C53" t="s">
        <v>101</v>
      </c>
      <c r="D53" t="s">
        <v>102</v>
      </c>
      <c r="E53" t="s">
        <v>136</v>
      </c>
      <c r="F53" t="s">
        <v>113</v>
      </c>
      <c r="G53" t="s">
        <v>16</v>
      </c>
      <c r="H53" t="s">
        <v>20</v>
      </c>
      <c r="I53" t="s">
        <v>105</v>
      </c>
      <c r="J53" t="s">
        <v>166</v>
      </c>
      <c r="K53" t="s">
        <v>167</v>
      </c>
      <c r="L53" t="s">
        <v>168</v>
      </c>
      <c r="M53" t="s">
        <v>169</v>
      </c>
      <c r="N53" t="s">
        <v>155</v>
      </c>
      <c r="O53" s="1">
        <v>45884</v>
      </c>
      <c r="P53" s="1">
        <v>46402</v>
      </c>
      <c r="Q53" s="1">
        <v>46980</v>
      </c>
      <c r="R53">
        <v>71</v>
      </c>
      <c r="T53">
        <v>5</v>
      </c>
      <c r="V53">
        <v>120</v>
      </c>
      <c r="X53">
        <v>120</v>
      </c>
      <c r="Z53">
        <f>Portefeuille_ProgPropose2[[#This Row],[AC 2025]]-Portefeuille_ProgPropose2[[#This Row],[AC 2025 Trimestre précédent]]</f>
        <v>0</v>
      </c>
      <c r="AA53">
        <f>Portefeuille_ProgPropose2[[#This Row],[TR 2025]]-Portefeuille_ProgPropose2[[#This Row],[TR 2025 Trimestre précédent]]</f>
        <v>0</v>
      </c>
      <c r="AB53">
        <f>Portefeuille_ProgPropose2[[#This Row],[Écart AC 2025]]+Portefeuille_ProgPropose2[[#This Row],[Écart TR 2025]]</f>
        <v>0</v>
      </c>
      <c r="AC53">
        <v>210</v>
      </c>
      <c r="AD53"/>
      <c r="AE53">
        <v>210</v>
      </c>
      <c r="AG53">
        <f>Portefeuille_ProgPropose2[[#This Row],[AC 2026]]-Portefeuille_ProgPropose2[[#This Row],[AC 2026 Trimestre précédent]]</f>
        <v>0</v>
      </c>
      <c r="AH53">
        <f>Portefeuille_ProgPropose2[[#This Row],[TR 2026]]-Portefeuille_ProgPropose2[[#This Row],[TR 2026 Trimestre précédent]]</f>
        <v>0</v>
      </c>
      <c r="AI53">
        <f>Portefeuille_ProgPropose2[[#This Row],[Écart AC 2026]]+Portefeuille_ProgPropose2[[#This Row],[Écart TR 2026]]</f>
        <v>0</v>
      </c>
      <c r="AJ53">
        <v>310</v>
      </c>
      <c r="AL53">
        <v>310</v>
      </c>
      <c r="AN53">
        <v>395</v>
      </c>
      <c r="AO53">
        <v>2000</v>
      </c>
      <c r="AP53">
        <v>395</v>
      </c>
      <c r="AQ53">
        <v>2000</v>
      </c>
      <c r="AR53">
        <v>395</v>
      </c>
      <c r="AS53">
        <v>18319</v>
      </c>
      <c r="AZ53" s="14">
        <f>SUM(Portefeuille_ProgPropose2[[#This Row],[AC ANT]:[TR 2025]],Portefeuille_ProgPropose2[[#This Row],[AC 2026]:[TR 2026]],Portefeuille_ProgPropose2[[#This Row],[AC 2027]:[TR 2034]])</f>
        <v>24530</v>
      </c>
    </row>
    <row r="54" spans="1:52" hidden="1" x14ac:dyDescent="0.3">
      <c r="A54" t="s">
        <v>286</v>
      </c>
      <c r="B54">
        <v>4</v>
      </c>
      <c r="C54" t="s">
        <v>126</v>
      </c>
      <c r="D54" t="s">
        <v>127</v>
      </c>
      <c r="E54" t="s">
        <v>128</v>
      </c>
      <c r="F54" t="s">
        <v>252</v>
      </c>
      <c r="G54" t="s">
        <v>20</v>
      </c>
      <c r="H54" t="s">
        <v>20</v>
      </c>
      <c r="I54" t="s">
        <v>131</v>
      </c>
      <c r="J54" t="s">
        <v>253</v>
      </c>
      <c r="K54" t="s">
        <v>254</v>
      </c>
      <c r="L54" t="s">
        <v>147</v>
      </c>
      <c r="M54" t="s">
        <v>148</v>
      </c>
      <c r="N54" t="s">
        <v>110</v>
      </c>
      <c r="O54" s="1">
        <v>45378</v>
      </c>
      <c r="P54" s="1"/>
      <c r="Q54" s="1">
        <v>45611</v>
      </c>
      <c r="V54">
        <v>10</v>
      </c>
      <c r="W54">
        <v>39</v>
      </c>
      <c r="X54">
        <v>10</v>
      </c>
      <c r="Y54">
        <v>39</v>
      </c>
      <c r="Z54">
        <f>Portefeuille_ProgPropose2[[#This Row],[AC 2025]]-Portefeuille_ProgPropose2[[#This Row],[AC 2025 Trimestre précédent]]</f>
        <v>0</v>
      </c>
      <c r="AA54">
        <f>Portefeuille_ProgPropose2[[#This Row],[TR 2025]]-Portefeuille_ProgPropose2[[#This Row],[TR 2025 Trimestre précédent]]</f>
        <v>0</v>
      </c>
      <c r="AB54">
        <f>Portefeuille_ProgPropose2[[#This Row],[Écart AC 2025]]+Portefeuille_ProgPropose2[[#This Row],[Écart TR 2025]]</f>
        <v>0</v>
      </c>
      <c r="AD54"/>
      <c r="AG54">
        <f>Portefeuille_ProgPropose2[[#This Row],[AC 2026]]-Portefeuille_ProgPropose2[[#This Row],[AC 2026 Trimestre précédent]]</f>
        <v>0</v>
      </c>
      <c r="AH54">
        <f>Portefeuille_ProgPropose2[[#This Row],[TR 2026]]-Portefeuille_ProgPropose2[[#This Row],[TR 2026 Trimestre précédent]]</f>
        <v>0</v>
      </c>
      <c r="AI54">
        <f>Portefeuille_ProgPropose2[[#This Row],[Écart AC 2026]]+Portefeuille_ProgPropose2[[#This Row],[Écart TR 2026]]</f>
        <v>0</v>
      </c>
      <c r="AQ54"/>
      <c r="AZ54" s="14">
        <f>SUM(Portefeuille_ProgPropose2[[#This Row],[AC ANT]:[TR 2025]],Portefeuille_ProgPropose2[[#This Row],[AC 2026]:[TR 2026]],Portefeuille_ProgPropose2[[#This Row],[AC 2027]:[TR 2034]])</f>
        <v>49</v>
      </c>
    </row>
    <row r="55" spans="1:52" hidden="1" x14ac:dyDescent="0.3">
      <c r="A55" t="s">
        <v>286</v>
      </c>
      <c r="C55" t="s">
        <v>101</v>
      </c>
      <c r="D55" t="s">
        <v>102</v>
      </c>
      <c r="E55" t="s">
        <v>136</v>
      </c>
      <c r="F55" t="s">
        <v>149</v>
      </c>
      <c r="G55" t="s">
        <v>16</v>
      </c>
      <c r="H55" t="s">
        <v>20</v>
      </c>
      <c r="I55" t="s">
        <v>131</v>
      </c>
      <c r="J55" t="s">
        <v>212</v>
      </c>
      <c r="K55" t="s">
        <v>213</v>
      </c>
      <c r="L55" t="s">
        <v>214</v>
      </c>
      <c r="M55" t="s">
        <v>184</v>
      </c>
      <c r="N55" t="s">
        <v>155</v>
      </c>
      <c r="O55" s="1">
        <v>45792</v>
      </c>
      <c r="P55" s="1">
        <v>46157</v>
      </c>
      <c r="Q55" s="1">
        <v>46522</v>
      </c>
      <c r="R55">
        <v>47</v>
      </c>
      <c r="T55">
        <v>174</v>
      </c>
      <c r="V55">
        <v>150</v>
      </c>
      <c r="X55">
        <v>150</v>
      </c>
      <c r="Z55">
        <f>Portefeuille_ProgPropose2[[#This Row],[AC 2025]]-Portefeuille_ProgPropose2[[#This Row],[AC 2025 Trimestre précédent]]</f>
        <v>0</v>
      </c>
      <c r="AA55">
        <f>Portefeuille_ProgPropose2[[#This Row],[TR 2025]]-Portefeuille_ProgPropose2[[#This Row],[TR 2025 Trimestre précédent]]</f>
        <v>0</v>
      </c>
      <c r="AB55">
        <f>Portefeuille_ProgPropose2[[#This Row],[Écart AC 2025]]+Portefeuille_ProgPropose2[[#This Row],[Écart TR 2025]]</f>
        <v>0</v>
      </c>
      <c r="AC55">
        <v>125</v>
      </c>
      <c r="AD55"/>
      <c r="AE55">
        <v>125</v>
      </c>
      <c r="AG55">
        <f>Portefeuille_ProgPropose2[[#This Row],[AC 2026]]-Portefeuille_ProgPropose2[[#This Row],[AC 2026 Trimestre précédent]]</f>
        <v>0</v>
      </c>
      <c r="AH55">
        <f>Portefeuille_ProgPropose2[[#This Row],[TR 2026]]-Portefeuille_ProgPropose2[[#This Row],[TR 2026 Trimestre précédent]]</f>
        <v>0</v>
      </c>
      <c r="AI55">
        <f>Portefeuille_ProgPropose2[[#This Row],[Écart AC 2026]]+Portefeuille_ProgPropose2[[#This Row],[Écart TR 2026]]</f>
        <v>0</v>
      </c>
      <c r="AJ55">
        <v>125</v>
      </c>
      <c r="AL55">
        <v>125</v>
      </c>
      <c r="AN55">
        <v>125</v>
      </c>
      <c r="AP55">
        <v>300</v>
      </c>
      <c r="AQ55">
        <v>5000</v>
      </c>
      <c r="AR55">
        <v>350</v>
      </c>
      <c r="AS55">
        <v>10000</v>
      </c>
      <c r="AZ55" s="14">
        <f>SUM(Portefeuille_ProgPropose2[[#This Row],[AC ANT]:[TR 2025]],Portefeuille_ProgPropose2[[#This Row],[AC 2026]:[TR 2026]],Portefeuille_ProgPropose2[[#This Row],[AC 2027]:[TR 2034]])</f>
        <v>16521</v>
      </c>
    </row>
    <row r="56" spans="1:52" hidden="1" x14ac:dyDescent="0.3">
      <c r="A56" t="s">
        <v>286</v>
      </c>
      <c r="B56">
        <v>5</v>
      </c>
      <c r="C56" t="s">
        <v>118</v>
      </c>
      <c r="D56" t="s">
        <v>102</v>
      </c>
      <c r="E56" t="s">
        <v>136</v>
      </c>
      <c r="F56" t="s">
        <v>113</v>
      </c>
      <c r="G56" t="s">
        <v>20</v>
      </c>
      <c r="H56" t="s">
        <v>20</v>
      </c>
      <c r="I56" t="s">
        <v>105</v>
      </c>
      <c r="J56" t="s">
        <v>248</v>
      </c>
      <c r="K56" t="s">
        <v>249</v>
      </c>
      <c r="L56" t="s">
        <v>180</v>
      </c>
      <c r="M56" t="s">
        <v>173</v>
      </c>
      <c r="N56" t="s">
        <v>110</v>
      </c>
      <c r="O56" s="1">
        <v>45476</v>
      </c>
      <c r="P56" s="1">
        <v>45945</v>
      </c>
      <c r="Q56" s="1">
        <v>46096</v>
      </c>
      <c r="V56">
        <v>100</v>
      </c>
      <c r="X56">
        <v>100</v>
      </c>
      <c r="Z56">
        <f>Portefeuille_ProgPropose2[[#This Row],[AC 2025]]-Portefeuille_ProgPropose2[[#This Row],[AC 2025 Trimestre précédent]]</f>
        <v>0</v>
      </c>
      <c r="AA56">
        <f>Portefeuille_ProgPropose2[[#This Row],[TR 2025]]-Portefeuille_ProgPropose2[[#This Row],[TR 2025 Trimestre précédent]]</f>
        <v>0</v>
      </c>
      <c r="AB56">
        <f>Portefeuille_ProgPropose2[[#This Row],[Écart AC 2025]]+Portefeuille_ProgPropose2[[#This Row],[Écart TR 2025]]</f>
        <v>0</v>
      </c>
      <c r="AC56">
        <v>110</v>
      </c>
      <c r="AD56"/>
      <c r="AE56">
        <v>110</v>
      </c>
      <c r="AG56">
        <f>Portefeuille_ProgPropose2[[#This Row],[AC 2026]]-Portefeuille_ProgPropose2[[#This Row],[AC 2026 Trimestre précédent]]</f>
        <v>0</v>
      </c>
      <c r="AH56">
        <f>Portefeuille_ProgPropose2[[#This Row],[TR 2026]]-Portefeuille_ProgPropose2[[#This Row],[TR 2026 Trimestre précédent]]</f>
        <v>0</v>
      </c>
      <c r="AI56">
        <f>Portefeuille_ProgPropose2[[#This Row],[Écart AC 2026]]+Portefeuille_ProgPropose2[[#This Row],[Écart TR 2026]]</f>
        <v>0</v>
      </c>
      <c r="AJ56">
        <v>110</v>
      </c>
      <c r="AK56">
        <v>1415</v>
      </c>
      <c r="AM56">
        <v>2030</v>
      </c>
      <c r="AQ56"/>
      <c r="AZ56" s="14">
        <f>SUM(Portefeuille_ProgPropose2[[#This Row],[AC ANT]:[TR 2025]],Portefeuille_ProgPropose2[[#This Row],[AC 2026]:[TR 2026]],Portefeuille_ProgPropose2[[#This Row],[AC 2027]:[TR 2034]])</f>
        <v>3765</v>
      </c>
    </row>
    <row r="57" spans="1:52" hidden="1" x14ac:dyDescent="0.3">
      <c r="A57" t="s">
        <v>286</v>
      </c>
      <c r="C57" t="s">
        <v>101</v>
      </c>
      <c r="D57" t="s">
        <v>102</v>
      </c>
      <c r="E57" t="s">
        <v>200</v>
      </c>
      <c r="F57" t="s">
        <v>104</v>
      </c>
      <c r="G57" t="s">
        <v>16</v>
      </c>
      <c r="H57" t="s">
        <v>20</v>
      </c>
      <c r="I57" t="s">
        <v>105</v>
      </c>
      <c r="J57" t="s">
        <v>201</v>
      </c>
      <c r="K57" t="s">
        <v>202</v>
      </c>
      <c r="L57" t="s">
        <v>108</v>
      </c>
      <c r="N57" t="s">
        <v>155</v>
      </c>
      <c r="O57" s="1"/>
      <c r="P57" s="1"/>
      <c r="Q57" s="1"/>
      <c r="R57">
        <v>277</v>
      </c>
      <c r="S57">
        <v>4</v>
      </c>
      <c r="Z57">
        <f>Portefeuille_ProgPropose2[[#This Row],[AC 2025]]-Portefeuille_ProgPropose2[[#This Row],[AC 2025 Trimestre précédent]]</f>
        <v>0</v>
      </c>
      <c r="AA57">
        <f>Portefeuille_ProgPropose2[[#This Row],[TR 2025]]-Portefeuille_ProgPropose2[[#This Row],[TR 2025 Trimestre précédent]]</f>
        <v>0</v>
      </c>
      <c r="AB57">
        <f>Portefeuille_ProgPropose2[[#This Row],[Écart AC 2025]]+Portefeuille_ProgPropose2[[#This Row],[Écart TR 2025]]</f>
        <v>0</v>
      </c>
      <c r="AC57">
        <v>127</v>
      </c>
      <c r="AD57"/>
      <c r="AE57">
        <v>127</v>
      </c>
      <c r="AG57">
        <f>Portefeuille_ProgPropose2[[#This Row],[AC 2026]]-Portefeuille_ProgPropose2[[#This Row],[AC 2026 Trimestre précédent]]</f>
        <v>0</v>
      </c>
      <c r="AH57">
        <f>Portefeuille_ProgPropose2[[#This Row],[TR 2026]]-Portefeuille_ProgPropose2[[#This Row],[TR 2026 Trimestre précédent]]</f>
        <v>0</v>
      </c>
      <c r="AI57">
        <f>Portefeuille_ProgPropose2[[#This Row],[Écart AC 2026]]+Portefeuille_ProgPropose2[[#This Row],[Écart TR 2026]]</f>
        <v>0</v>
      </c>
      <c r="AJ57">
        <v>125</v>
      </c>
      <c r="AL57">
        <v>471</v>
      </c>
      <c r="AQ57"/>
      <c r="AZ57" s="14">
        <f>SUM(Portefeuille_ProgPropose2[[#This Row],[AC ANT]:[TR 2025]],Portefeuille_ProgPropose2[[#This Row],[AC 2026]:[TR 2026]],Portefeuille_ProgPropose2[[#This Row],[AC 2027]:[TR 2034]])</f>
        <v>1004</v>
      </c>
    </row>
    <row r="58" spans="1:52" hidden="1" x14ac:dyDescent="0.3">
      <c r="A58" t="s">
        <v>286</v>
      </c>
      <c r="C58" t="s">
        <v>126</v>
      </c>
      <c r="D58" t="s">
        <v>127</v>
      </c>
      <c r="E58" t="s">
        <v>136</v>
      </c>
      <c r="F58" t="s">
        <v>104</v>
      </c>
      <c r="G58" t="s">
        <v>16</v>
      </c>
      <c r="H58" t="s">
        <v>16</v>
      </c>
      <c r="I58" t="s">
        <v>105</v>
      </c>
      <c r="J58" t="s">
        <v>162</v>
      </c>
      <c r="K58" t="s">
        <v>163</v>
      </c>
      <c r="L58" t="s">
        <v>122</v>
      </c>
      <c r="M58" t="s">
        <v>176</v>
      </c>
      <c r="N58" t="s">
        <v>164</v>
      </c>
      <c r="O58" s="1"/>
      <c r="P58" s="1"/>
      <c r="Q58" s="1"/>
      <c r="R58">
        <v>5398</v>
      </c>
      <c r="S58">
        <v>28152</v>
      </c>
      <c r="T58">
        <v>79</v>
      </c>
      <c r="U58">
        <v>891</v>
      </c>
      <c r="V58">
        <v>399</v>
      </c>
      <c r="W58">
        <v>67</v>
      </c>
      <c r="X58">
        <v>49</v>
      </c>
      <c r="Y58">
        <v>67</v>
      </c>
      <c r="Z58">
        <f>Portefeuille_ProgPropose2[[#This Row],[AC 2025]]-Portefeuille_ProgPropose2[[#This Row],[AC 2025 Trimestre précédent]]</f>
        <v>350</v>
      </c>
      <c r="AA58">
        <f>Portefeuille_ProgPropose2[[#This Row],[TR 2025]]-Portefeuille_ProgPropose2[[#This Row],[TR 2025 Trimestre précédent]]</f>
        <v>0</v>
      </c>
      <c r="AB58">
        <f>Portefeuille_ProgPropose2[[#This Row],[Écart AC 2025]]+Portefeuille_ProgPropose2[[#This Row],[Écart TR 2025]]</f>
        <v>350</v>
      </c>
      <c r="AC58">
        <v>60</v>
      </c>
      <c r="AD58"/>
      <c r="AE58">
        <v>30</v>
      </c>
      <c r="AG58">
        <f>Portefeuille_ProgPropose2[[#This Row],[AC 2026]]-Portefeuille_ProgPropose2[[#This Row],[AC 2026 Trimestre précédent]]</f>
        <v>30</v>
      </c>
      <c r="AH58">
        <f>Portefeuille_ProgPropose2[[#This Row],[TR 2026]]-Portefeuille_ProgPropose2[[#This Row],[TR 2026 Trimestre précédent]]</f>
        <v>0</v>
      </c>
      <c r="AI58">
        <f>Portefeuille_ProgPropose2[[#This Row],[Écart AC 2026]]+Portefeuille_ProgPropose2[[#This Row],[Écart TR 2026]]</f>
        <v>30</v>
      </c>
      <c r="AQ58"/>
      <c r="AZ58" s="14">
        <f>SUM(Portefeuille_ProgPropose2[[#This Row],[AC ANT]:[TR 2025]],Portefeuille_ProgPropose2[[#This Row],[AC 2026]:[TR 2026]],Portefeuille_ProgPropose2[[#This Row],[AC 2027]:[TR 2034]])</f>
        <v>35046</v>
      </c>
    </row>
    <row r="59" spans="1:52" hidden="1" x14ac:dyDescent="0.3">
      <c r="A59" t="s">
        <v>286</v>
      </c>
      <c r="C59" t="s">
        <v>101</v>
      </c>
      <c r="D59" t="s">
        <v>102</v>
      </c>
      <c r="E59" t="s">
        <v>136</v>
      </c>
      <c r="F59" t="s">
        <v>140</v>
      </c>
      <c r="G59" t="s">
        <v>16</v>
      </c>
      <c r="H59" t="s">
        <v>20</v>
      </c>
      <c r="I59" t="s">
        <v>131</v>
      </c>
      <c r="J59" t="s">
        <v>181</v>
      </c>
      <c r="K59" t="s">
        <v>296</v>
      </c>
      <c r="L59" t="s">
        <v>183</v>
      </c>
      <c r="M59" s="2" t="s">
        <v>173</v>
      </c>
      <c r="N59" t="s">
        <v>110</v>
      </c>
      <c r="O59" s="1">
        <v>45590</v>
      </c>
      <c r="P59" s="1">
        <v>46157</v>
      </c>
      <c r="Q59" s="1">
        <v>46157</v>
      </c>
      <c r="V59">
        <v>466</v>
      </c>
      <c r="X59">
        <v>50</v>
      </c>
      <c r="Z59">
        <f>Portefeuille_ProgPropose2[[#This Row],[AC 2025]]-Portefeuille_ProgPropose2[[#This Row],[AC 2025 Trimestre précédent]]</f>
        <v>416</v>
      </c>
      <c r="AA59">
        <f>Portefeuille_ProgPropose2[[#This Row],[TR 2025]]-Portefeuille_ProgPropose2[[#This Row],[TR 2025 Trimestre précédent]]</f>
        <v>0</v>
      </c>
      <c r="AB59">
        <f>Portefeuille_ProgPropose2[[#This Row],[Écart AC 2025]]+Portefeuille_ProgPropose2[[#This Row],[Écart TR 2025]]</f>
        <v>416</v>
      </c>
      <c r="AC59">
        <v>475</v>
      </c>
      <c r="AD59"/>
      <c r="AE59">
        <v>50</v>
      </c>
      <c r="AG59">
        <f>Portefeuille_ProgPropose2[[#This Row],[AC 2026]]-Portefeuille_ProgPropose2[[#This Row],[AC 2026 Trimestre précédent]]</f>
        <v>425</v>
      </c>
      <c r="AH59">
        <f>Portefeuille_ProgPropose2[[#This Row],[TR 2026]]-Portefeuille_ProgPropose2[[#This Row],[TR 2026 Trimestre précédent]]</f>
        <v>0</v>
      </c>
      <c r="AI59">
        <f>Portefeuille_ProgPropose2[[#This Row],[Écart AC 2026]]+Portefeuille_ProgPropose2[[#This Row],[Écart TR 2026]]</f>
        <v>425</v>
      </c>
      <c r="AJ59">
        <v>468</v>
      </c>
      <c r="AK59">
        <v>1461</v>
      </c>
      <c r="AQ59"/>
      <c r="AZ59" s="14">
        <f>SUM(Portefeuille_ProgPropose2[[#This Row],[AC ANT]:[TR 2025]],Portefeuille_ProgPropose2[[#This Row],[AC 2026]:[TR 2026]],Portefeuille_ProgPropose2[[#This Row],[AC 2027]:[TR 2034]])</f>
        <v>2870</v>
      </c>
    </row>
    <row r="60" spans="1:52" hidden="1" x14ac:dyDescent="0.3">
      <c r="A60" t="s">
        <v>286</v>
      </c>
      <c r="B60">
        <v>7</v>
      </c>
      <c r="C60" t="s">
        <v>118</v>
      </c>
      <c r="D60" t="s">
        <v>102</v>
      </c>
      <c r="E60" t="s">
        <v>119</v>
      </c>
      <c r="F60" t="s">
        <v>113</v>
      </c>
      <c r="G60" t="s">
        <v>20</v>
      </c>
      <c r="H60" t="s">
        <v>20</v>
      </c>
      <c r="I60" t="s">
        <v>105</v>
      </c>
      <c r="J60" t="s">
        <v>120</v>
      </c>
      <c r="K60" t="s">
        <v>289</v>
      </c>
      <c r="L60" t="s">
        <v>122</v>
      </c>
      <c r="M60" t="s">
        <v>148</v>
      </c>
      <c r="N60" t="s">
        <v>123</v>
      </c>
      <c r="O60" s="1">
        <v>45391</v>
      </c>
      <c r="P60" s="1">
        <v>45514</v>
      </c>
      <c r="Q60" s="87">
        <v>45611</v>
      </c>
      <c r="V60">
        <v>322</v>
      </c>
      <c r="W60">
        <v>1000</v>
      </c>
      <c r="X60">
        <v>22</v>
      </c>
      <c r="Z60">
        <f>Portefeuille_ProgPropose2[[#This Row],[AC 2025]]-Portefeuille_ProgPropose2[[#This Row],[AC 2025 Trimestre précédent]]</f>
        <v>300</v>
      </c>
      <c r="AA60">
        <f>Portefeuille_ProgPropose2[[#This Row],[TR 2025]]-Portefeuille_ProgPropose2[[#This Row],[TR 2025 Trimestre précédent]]</f>
        <v>1000</v>
      </c>
      <c r="AB60">
        <f>Portefeuille_ProgPropose2[[#This Row],[Écart AC 2025]]+Portefeuille_ProgPropose2[[#This Row],[Écart TR 2025]]</f>
        <v>1300</v>
      </c>
      <c r="AD60"/>
      <c r="AE60">
        <v>300</v>
      </c>
      <c r="AF60">
        <v>6704</v>
      </c>
      <c r="AG60">
        <f>Portefeuille_ProgPropose2[[#This Row],[AC 2026]]-Portefeuille_ProgPropose2[[#This Row],[AC 2026 Trimestre précédent]]</f>
        <v>-300</v>
      </c>
      <c r="AH60">
        <f>Portefeuille_ProgPropose2[[#This Row],[TR 2026]]-Portefeuille_ProgPropose2[[#This Row],[TR 2026 Trimestre précédent]]</f>
        <v>-6704</v>
      </c>
      <c r="AI60">
        <f>Portefeuille_ProgPropose2[[#This Row],[Écart AC 2026]]+Portefeuille_ProgPropose2[[#This Row],[Écart TR 2026]]</f>
        <v>-7004</v>
      </c>
      <c r="AQ60"/>
      <c r="AZ60" s="14">
        <f>SUM(Portefeuille_ProgPropose2[[#This Row],[AC ANT]:[TR 2025]],Portefeuille_ProgPropose2[[#This Row],[AC 2026]:[TR 2026]],Portefeuille_ProgPropose2[[#This Row],[AC 2027]:[TR 2034]])</f>
        <v>1322</v>
      </c>
    </row>
    <row r="61" spans="1:52" hidden="1" x14ac:dyDescent="0.3">
      <c r="A61" t="s">
        <v>286</v>
      </c>
      <c r="B61">
        <v>12</v>
      </c>
      <c r="C61" t="s">
        <v>101</v>
      </c>
      <c r="D61" t="s">
        <v>102</v>
      </c>
      <c r="E61" t="s">
        <v>128</v>
      </c>
      <c r="F61" t="s">
        <v>129</v>
      </c>
      <c r="G61" t="s">
        <v>20</v>
      </c>
      <c r="H61" t="s">
        <v>20</v>
      </c>
      <c r="I61" t="s">
        <v>131</v>
      </c>
      <c r="J61" t="s">
        <v>250</v>
      </c>
      <c r="K61" t="s">
        <v>251</v>
      </c>
      <c r="L61" t="s">
        <v>214</v>
      </c>
      <c r="M61" t="s">
        <v>197</v>
      </c>
      <c r="N61" t="s">
        <v>110</v>
      </c>
      <c r="O61" s="1">
        <v>45490</v>
      </c>
      <c r="P61" s="1"/>
      <c r="Q61" s="1">
        <v>46447</v>
      </c>
      <c r="V61">
        <v>37</v>
      </c>
      <c r="X61">
        <v>37</v>
      </c>
      <c r="Z61">
        <f>Portefeuille_ProgPropose2[[#This Row],[AC 2025]]-Portefeuille_ProgPropose2[[#This Row],[AC 2025 Trimestre précédent]]</f>
        <v>0</v>
      </c>
      <c r="AA61">
        <f>Portefeuille_ProgPropose2[[#This Row],[TR 2025]]-Portefeuille_ProgPropose2[[#This Row],[TR 2025 Trimestre précédent]]</f>
        <v>0</v>
      </c>
      <c r="AB61">
        <f>Portefeuille_ProgPropose2[[#This Row],[Écart AC 2025]]+Portefeuille_ProgPropose2[[#This Row],[Écart TR 2025]]</f>
        <v>0</v>
      </c>
      <c r="AC61">
        <v>10</v>
      </c>
      <c r="AD61"/>
      <c r="AE61">
        <v>10</v>
      </c>
      <c r="AG61">
        <f>Portefeuille_ProgPropose2[[#This Row],[AC 2026]]-Portefeuille_ProgPropose2[[#This Row],[AC 2026 Trimestre précédent]]</f>
        <v>0</v>
      </c>
      <c r="AH61">
        <f>Portefeuille_ProgPropose2[[#This Row],[TR 2026]]-Portefeuille_ProgPropose2[[#This Row],[TR 2026 Trimestre précédent]]</f>
        <v>0</v>
      </c>
      <c r="AI61">
        <f>Portefeuille_ProgPropose2[[#This Row],[Écart AC 2026]]+Portefeuille_ProgPropose2[[#This Row],[Écart TR 2026]]</f>
        <v>0</v>
      </c>
      <c r="AJ61">
        <v>12</v>
      </c>
      <c r="AL61">
        <v>30</v>
      </c>
      <c r="AM61">
        <v>194</v>
      </c>
      <c r="AQ61"/>
      <c r="AZ61" s="14">
        <f>SUM(Portefeuille_ProgPropose2[[#This Row],[AC ANT]:[TR 2025]],Portefeuille_ProgPropose2[[#This Row],[AC 2026]:[TR 2026]],Portefeuille_ProgPropose2[[#This Row],[AC 2027]:[TR 2034]])</f>
        <v>283</v>
      </c>
    </row>
    <row r="62" spans="1:52" hidden="1" x14ac:dyDescent="0.3">
      <c r="A62" t="s">
        <v>286</v>
      </c>
      <c r="B62">
        <v>1</v>
      </c>
      <c r="C62" t="s">
        <v>101</v>
      </c>
      <c r="D62" t="s">
        <v>102</v>
      </c>
      <c r="E62" t="s">
        <v>103</v>
      </c>
      <c r="F62" t="s">
        <v>104</v>
      </c>
      <c r="G62" t="s">
        <v>16</v>
      </c>
      <c r="H62" t="s">
        <v>130</v>
      </c>
      <c r="I62" t="s">
        <v>105</v>
      </c>
      <c r="J62" t="s">
        <v>215</v>
      </c>
      <c r="K62" t="s">
        <v>216</v>
      </c>
      <c r="L62" t="s">
        <v>217</v>
      </c>
      <c r="M62" t="s">
        <v>148</v>
      </c>
      <c r="N62" t="s">
        <v>297</v>
      </c>
      <c r="O62" s="1">
        <v>44838</v>
      </c>
      <c r="P62" s="1">
        <v>45441</v>
      </c>
      <c r="Q62" s="1">
        <v>45623</v>
      </c>
      <c r="R62">
        <v>218</v>
      </c>
      <c r="S62">
        <v>3</v>
      </c>
      <c r="T62">
        <v>98</v>
      </c>
      <c r="V62">
        <v>641</v>
      </c>
      <c r="W62">
        <v>14787</v>
      </c>
      <c r="X62">
        <v>641</v>
      </c>
      <c r="Y62">
        <v>11754</v>
      </c>
      <c r="Z62">
        <f>Portefeuille_ProgPropose2[[#This Row],[AC 2025]]-Portefeuille_ProgPropose2[[#This Row],[AC 2025 Trimestre précédent]]</f>
        <v>0</v>
      </c>
      <c r="AA62">
        <f>Portefeuille_ProgPropose2[[#This Row],[TR 2025]]-Portefeuille_ProgPropose2[[#This Row],[TR 2025 Trimestre précédent]]</f>
        <v>3033</v>
      </c>
      <c r="AB62">
        <f>Portefeuille_ProgPropose2[[#This Row],[Écart AC 2025]]+Portefeuille_ProgPropose2[[#This Row],[Écart TR 2025]]</f>
        <v>3033</v>
      </c>
      <c r="AD62"/>
      <c r="AG62">
        <f>Portefeuille_ProgPropose2[[#This Row],[AC 2026]]-Portefeuille_ProgPropose2[[#This Row],[AC 2026 Trimestre précédent]]</f>
        <v>0</v>
      </c>
      <c r="AH62">
        <f>Portefeuille_ProgPropose2[[#This Row],[TR 2026]]-Portefeuille_ProgPropose2[[#This Row],[TR 2026 Trimestre précédent]]</f>
        <v>0</v>
      </c>
      <c r="AI62">
        <f>Portefeuille_ProgPropose2[[#This Row],[Écart AC 2026]]+Portefeuille_ProgPropose2[[#This Row],[Écart TR 2026]]</f>
        <v>0</v>
      </c>
      <c r="AQ62"/>
      <c r="AZ62" s="14">
        <f>SUM(Portefeuille_ProgPropose2[[#This Row],[AC ANT]:[TR 2025]],Portefeuille_ProgPropose2[[#This Row],[AC 2026]:[TR 2026]],Portefeuille_ProgPropose2[[#This Row],[AC 2027]:[TR 2034]])</f>
        <v>15747</v>
      </c>
    </row>
    <row r="63" spans="1:52" hidden="1" x14ac:dyDescent="0.3">
      <c r="A63" t="s">
        <v>286</v>
      </c>
      <c r="B63">
        <v>2</v>
      </c>
      <c r="C63" t="s">
        <v>118</v>
      </c>
      <c r="D63" t="s">
        <v>102</v>
      </c>
      <c r="E63" t="s">
        <v>177</v>
      </c>
      <c r="F63" t="s">
        <v>129</v>
      </c>
      <c r="G63" t="s">
        <v>20</v>
      </c>
      <c r="H63" t="s">
        <v>20</v>
      </c>
      <c r="I63" t="s">
        <v>131</v>
      </c>
      <c r="J63" t="s">
        <v>293</v>
      </c>
      <c r="K63" t="s">
        <v>294</v>
      </c>
      <c r="L63" t="s">
        <v>134</v>
      </c>
      <c r="M63" t="s">
        <v>148</v>
      </c>
      <c r="N63" t="s">
        <v>123</v>
      </c>
      <c r="O63" s="1">
        <v>45702</v>
      </c>
      <c r="P63" s="1">
        <v>45702</v>
      </c>
      <c r="Q63" s="1">
        <v>45702</v>
      </c>
      <c r="V63">
        <v>100</v>
      </c>
      <c r="W63">
        <v>4000</v>
      </c>
      <c r="Z63">
        <f>Portefeuille_ProgPropose2[[#This Row],[AC 2025]]-Portefeuille_ProgPropose2[[#This Row],[AC 2025 Trimestre précédent]]</f>
        <v>100</v>
      </c>
      <c r="AA63">
        <f>Portefeuille_ProgPropose2[[#This Row],[TR 2025]]-Portefeuille_ProgPropose2[[#This Row],[TR 2025 Trimestre précédent]]</f>
        <v>4000</v>
      </c>
      <c r="AB63">
        <f>Portefeuille_ProgPropose2[[#This Row],[Écart AC 2025]]+Portefeuille_ProgPropose2[[#This Row],[Écart TR 2025]]</f>
        <v>4100</v>
      </c>
      <c r="AD63"/>
      <c r="AG63">
        <f>Portefeuille_ProgPropose2[[#This Row],[AC 2026]]-Portefeuille_ProgPropose2[[#This Row],[AC 2026 Trimestre précédent]]</f>
        <v>0</v>
      </c>
      <c r="AH63">
        <f>Portefeuille_ProgPropose2[[#This Row],[TR 2026]]-Portefeuille_ProgPropose2[[#This Row],[TR 2026 Trimestre précédent]]</f>
        <v>0</v>
      </c>
      <c r="AI63">
        <f>Portefeuille_ProgPropose2[[#This Row],[Écart AC 2026]]+Portefeuille_ProgPropose2[[#This Row],[Écart TR 2026]]</f>
        <v>0</v>
      </c>
      <c r="AQ63"/>
      <c r="AZ63" s="14">
        <f>SUM(Portefeuille_ProgPropose2[[#This Row],[AC ANT]:[TR 2025]],Portefeuille_ProgPropose2[[#This Row],[AC 2026]:[TR 2026]],Portefeuille_ProgPropose2[[#This Row],[AC 2027]:[TR 2034]])</f>
        <v>4100</v>
      </c>
    </row>
    <row r="64" spans="1:52" x14ac:dyDescent="0.3">
      <c r="J64">
        <f>SUBTOTAL(103,Portefeuille_ProgPropose2[Numéro projet])</f>
        <v>10</v>
      </c>
      <c r="R64" s="14">
        <f>SUBTOTAL(109,Portefeuille_ProgPropose2[AC ANT])</f>
        <v>621</v>
      </c>
      <c r="S64" s="14">
        <f>SUBTOTAL(109,Portefeuille_ProgPropose2[TR ANT])</f>
        <v>41</v>
      </c>
      <c r="T64" s="14">
        <f>SUBTOTAL(109,Portefeuille_ProgPropose2[AC 2024])</f>
        <v>1099</v>
      </c>
      <c r="U64" s="14">
        <f>SUBTOTAL(109,Portefeuille_ProgPropose2[TR 2024])</f>
        <v>0</v>
      </c>
      <c r="V64" s="14">
        <f>SUBTOTAL(109,Portefeuille_ProgPropose2[AC 2025])</f>
        <v>1088</v>
      </c>
      <c r="W64" s="14">
        <f>SUBTOTAL(109,Portefeuille_ProgPropose2[TR 2025])</f>
        <v>0</v>
      </c>
      <c r="X64" s="14">
        <f>SUBTOTAL(109,Portefeuille_ProgPropose2[AC 2025 Trimestre précédent])</f>
        <v>1268</v>
      </c>
      <c r="Y64" s="14">
        <f>SUBTOTAL(109,Portefeuille_ProgPropose2[TR 2025 Trimestre précédent])</f>
        <v>8001</v>
      </c>
      <c r="Z64" s="14">
        <f>SUBTOTAL(109,Portefeuille_ProgPropose2[Écart AC 2025])</f>
        <v>-180</v>
      </c>
      <c r="AA64" s="14">
        <f>SUBTOTAL(109,Portefeuille_ProgPropose2[Écart TR 2025])</f>
        <v>-8001</v>
      </c>
      <c r="AB64" s="14">
        <f>SUBTOTAL(109,Portefeuille_ProgPropose2[Écart 2025 Total])</f>
        <v>-8181</v>
      </c>
      <c r="AC64" s="14">
        <f>SUBTOTAL(109,Portefeuille_ProgPropose2[AC 2026])</f>
        <v>4195</v>
      </c>
      <c r="AD64" s="14">
        <f>SUBTOTAL(109,Portefeuille_ProgPropose2[TR 2026])</f>
        <v>58302</v>
      </c>
      <c r="AE64" s="14">
        <f>SUBTOTAL(109,Portefeuille_ProgPropose2[AC 2026 Trimestre précédent])</f>
        <v>4078</v>
      </c>
      <c r="AF64" s="14">
        <f>SUBTOTAL(109,Portefeuille_ProgPropose2[TR 2026 Trimestre précédent])</f>
        <v>54177</v>
      </c>
      <c r="AG64" s="14">
        <f>SUBTOTAL(109,Portefeuille_ProgPropose2[Écart AC 2026])</f>
        <v>117</v>
      </c>
      <c r="AH64" s="14">
        <f>SUBTOTAL(109,Portefeuille_ProgPropose2[Écart TR 2026])</f>
        <v>4125</v>
      </c>
      <c r="AI64" s="14">
        <f>SUBTOTAL(109,Portefeuille_ProgPropose2[Écart 2026 Total])</f>
        <v>4242</v>
      </c>
      <c r="AJ64" s="14">
        <f>SUBTOTAL(109,Portefeuille_ProgPropose2[AC 2027])</f>
        <v>0</v>
      </c>
      <c r="AK64" s="14">
        <f>SUBTOTAL(109,Portefeuille_ProgPropose2[TR 2027])</f>
        <v>5777</v>
      </c>
      <c r="AL64" s="14">
        <f>SUBTOTAL(109,Portefeuille_ProgPropose2[AC 2028])</f>
        <v>0</v>
      </c>
      <c r="AM64" s="14">
        <f>SUBTOTAL(109,Portefeuille_ProgPropose2[TR 2028])</f>
        <v>0</v>
      </c>
      <c r="AN64" s="14">
        <f>SUBTOTAL(109,Portefeuille_ProgPropose2[AC 2029])</f>
        <v>0</v>
      </c>
      <c r="AO64" s="14">
        <f>SUBTOTAL(109,Portefeuille_ProgPropose2[TR 2029])</f>
        <v>0</v>
      </c>
      <c r="AP64" s="14">
        <f>SUBTOTAL(109,Portefeuille_ProgPropose2[AC 2030])</f>
        <v>0</v>
      </c>
      <c r="AQ64" s="14">
        <f>SUBTOTAL(109,Portefeuille_ProgPropose2[TR 2030])</f>
        <v>0</v>
      </c>
      <c r="AR64" s="14">
        <f>SUBTOTAL(109,Portefeuille_ProgPropose2[AC 2031])</f>
        <v>0</v>
      </c>
      <c r="AS64" s="14">
        <f>SUBTOTAL(109,Portefeuille_ProgPropose2[TR 2031])</f>
        <v>0</v>
      </c>
      <c r="AT64" s="14">
        <f>SUBTOTAL(109,Portefeuille_ProgPropose2[AC 2032])</f>
        <v>0</v>
      </c>
      <c r="AU64" s="14">
        <f>SUBTOTAL(109,Portefeuille_ProgPropose2[TR 2032])</f>
        <v>0</v>
      </c>
      <c r="AV64" s="14">
        <f>SUBTOTAL(109,Portefeuille_ProgPropose2[AC 2033])</f>
        <v>0</v>
      </c>
      <c r="AW64" s="14">
        <f>SUBTOTAL(109,Portefeuille_ProgPropose2[TR 2033])</f>
        <v>0</v>
      </c>
      <c r="AX64" s="14">
        <f>SUBTOTAL(109,Portefeuille_ProgPropose2[AC 2034])</f>
        <v>0</v>
      </c>
      <c r="AY64" s="14">
        <f>SUBTOTAL(109,Portefeuille_ProgPropose2[TR 2034])</f>
        <v>0</v>
      </c>
      <c r="AZ64" s="14">
        <f>SUBTOTAL(109,Portefeuille_ProgPropose2[Total Projet])</f>
        <v>71123</v>
      </c>
    </row>
    <row r="66" spans="45:57" x14ac:dyDescent="0.3">
      <c r="AS66" s="57"/>
      <c r="AT66" s="57"/>
      <c r="AU66" s="57"/>
      <c r="AV66" s="57"/>
      <c r="AW66" s="57"/>
      <c r="AX66" s="57"/>
      <c r="AY66" s="57"/>
      <c r="AZ66" s="57"/>
    </row>
    <row r="67" spans="45:57" x14ac:dyDescent="0.3">
      <c r="BA67" s="57"/>
      <c r="BB67" s="57"/>
      <c r="BC67" s="57"/>
      <c r="BD67" s="57"/>
      <c r="BE67" s="57"/>
    </row>
    <row r="147" spans="58:59" x14ac:dyDescent="0.3">
      <c r="BF147" s="57"/>
      <c r="BG147" s="57"/>
    </row>
  </sheetData>
  <mergeCells count="211">
    <mergeCell ref="AT14:AU14"/>
    <mergeCell ref="AV14:AW14"/>
    <mergeCell ref="AX14:AY14"/>
    <mergeCell ref="R15:S15"/>
    <mergeCell ref="T15:U15"/>
    <mergeCell ref="V15:W15"/>
    <mergeCell ref="X15:Y15"/>
    <mergeCell ref="AC15:AD15"/>
    <mergeCell ref="R16:S16"/>
    <mergeCell ref="T16:U16"/>
    <mergeCell ref="V16:W16"/>
    <mergeCell ref="X16:Y16"/>
    <mergeCell ref="AC16:AD16"/>
    <mergeCell ref="AE16:AF16"/>
    <mergeCell ref="AJ16:AK16"/>
    <mergeCell ref="AE15:AF15"/>
    <mergeCell ref="AJ15:AK15"/>
    <mergeCell ref="AX16:AY16"/>
    <mergeCell ref="AL16:AM16"/>
    <mergeCell ref="AN16:AO16"/>
    <mergeCell ref="AP16:AQ16"/>
    <mergeCell ref="AR16:AS16"/>
    <mergeCell ref="AT16:AU16"/>
    <mergeCell ref="AV16:AW16"/>
    <mergeCell ref="AT15:AU15"/>
    <mergeCell ref="AV15:AW15"/>
    <mergeCell ref="AX15:AY15"/>
    <mergeCell ref="AL15:AM15"/>
    <mergeCell ref="AN15:AO15"/>
    <mergeCell ref="AP15:AQ15"/>
    <mergeCell ref="AR15:AS15"/>
    <mergeCell ref="AX13:AY13"/>
    <mergeCell ref="R14:S14"/>
    <mergeCell ref="T14:U14"/>
    <mergeCell ref="V14:W14"/>
    <mergeCell ref="X14:Y14"/>
    <mergeCell ref="AC14:AD14"/>
    <mergeCell ref="AE14:AF14"/>
    <mergeCell ref="AJ14:AK14"/>
    <mergeCell ref="AL14:AM14"/>
    <mergeCell ref="AN14:AO14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AC13:AD13"/>
    <mergeCell ref="AE13:AF13"/>
    <mergeCell ref="AJ13:AK13"/>
    <mergeCell ref="AP14:AQ14"/>
    <mergeCell ref="AR14:AS14"/>
    <mergeCell ref="R12:S12"/>
    <mergeCell ref="T12:U12"/>
    <mergeCell ref="V12:W12"/>
    <mergeCell ref="X12:Y12"/>
    <mergeCell ref="AC12:AD12"/>
    <mergeCell ref="AE12:AF12"/>
    <mergeCell ref="AJ12:AK12"/>
    <mergeCell ref="AL12:AM12"/>
    <mergeCell ref="AJ11:AK11"/>
    <mergeCell ref="AL11:AM11"/>
    <mergeCell ref="R11:S11"/>
    <mergeCell ref="T11:U11"/>
    <mergeCell ref="V11:W11"/>
    <mergeCell ref="X11:Y11"/>
    <mergeCell ref="Z11:AB11"/>
    <mergeCell ref="AC11:AD11"/>
    <mergeCell ref="AE11:AF11"/>
    <mergeCell ref="AG11:AI11"/>
    <mergeCell ref="AR10:AS10"/>
    <mergeCell ref="AT10:AU10"/>
    <mergeCell ref="AN12:AO12"/>
    <mergeCell ref="AP12:AQ12"/>
    <mergeCell ref="AR12:AS12"/>
    <mergeCell ref="AT12:AU12"/>
    <mergeCell ref="AV12:AW12"/>
    <mergeCell ref="AX12:AY12"/>
    <mergeCell ref="AV11:AW11"/>
    <mergeCell ref="AX11:AY11"/>
    <mergeCell ref="AN11:AO11"/>
    <mergeCell ref="AP11:AQ11"/>
    <mergeCell ref="AR11:AS11"/>
    <mergeCell ref="AT11:AU11"/>
    <mergeCell ref="AP10:AQ10"/>
    <mergeCell ref="AJ10:AK10"/>
    <mergeCell ref="AP8:AQ8"/>
    <mergeCell ref="AR8:AS8"/>
    <mergeCell ref="AT8:AU8"/>
    <mergeCell ref="AV9:AW9"/>
    <mergeCell ref="AX9:AY9"/>
    <mergeCell ref="R10:S10"/>
    <mergeCell ref="T10:U10"/>
    <mergeCell ref="V10:W10"/>
    <mergeCell ref="X10:Y10"/>
    <mergeCell ref="Z10:AB10"/>
    <mergeCell ref="AC10:AD10"/>
    <mergeCell ref="AE10:AF10"/>
    <mergeCell ref="AG10:AI10"/>
    <mergeCell ref="AJ9:AK9"/>
    <mergeCell ref="AL9:AM9"/>
    <mergeCell ref="AN9:AO9"/>
    <mergeCell ref="AP9:AQ9"/>
    <mergeCell ref="AR9:AS9"/>
    <mergeCell ref="AT9:AU9"/>
    <mergeCell ref="AV10:AW10"/>
    <mergeCell ref="AX10:AY10"/>
    <mergeCell ref="AL10:AM10"/>
    <mergeCell ref="AN10:AO10"/>
    <mergeCell ref="R9:S9"/>
    <mergeCell ref="T9:U9"/>
    <mergeCell ref="V9:W9"/>
    <mergeCell ref="X9:Y9"/>
    <mergeCell ref="Z9:AB9"/>
    <mergeCell ref="AC9:AD9"/>
    <mergeCell ref="AE9:AF9"/>
    <mergeCell ref="AG9:AI9"/>
    <mergeCell ref="AJ8:AK8"/>
    <mergeCell ref="AN6:AO6"/>
    <mergeCell ref="AP6:AQ6"/>
    <mergeCell ref="AR6:AS6"/>
    <mergeCell ref="AT6:AU6"/>
    <mergeCell ref="AV7:AW7"/>
    <mergeCell ref="AX7:AY7"/>
    <mergeCell ref="R8:S8"/>
    <mergeCell ref="T8:U8"/>
    <mergeCell ref="V8:W8"/>
    <mergeCell ref="X8:Y8"/>
    <mergeCell ref="Z8:AB8"/>
    <mergeCell ref="AC8:AD8"/>
    <mergeCell ref="AE8:AF8"/>
    <mergeCell ref="AG8:AI8"/>
    <mergeCell ref="AJ7:AK7"/>
    <mergeCell ref="AL7:AM7"/>
    <mergeCell ref="AN7:AO7"/>
    <mergeCell ref="AP7:AQ7"/>
    <mergeCell ref="AR7:AS7"/>
    <mergeCell ref="AT7:AU7"/>
    <mergeCell ref="AV8:AW8"/>
    <mergeCell ref="AX8:AY8"/>
    <mergeCell ref="AL8:AM8"/>
    <mergeCell ref="AN8:AO8"/>
    <mergeCell ref="R7:S7"/>
    <mergeCell ref="T7:U7"/>
    <mergeCell ref="V7:W7"/>
    <mergeCell ref="X7:Y7"/>
    <mergeCell ref="Z7:AB7"/>
    <mergeCell ref="AC7:AD7"/>
    <mergeCell ref="AE7:AF7"/>
    <mergeCell ref="AG7:AI7"/>
    <mergeCell ref="AJ6:AK6"/>
    <mergeCell ref="AL4:AM4"/>
    <mergeCell ref="AN4:AO4"/>
    <mergeCell ref="AP4:AQ4"/>
    <mergeCell ref="AR4:AS4"/>
    <mergeCell ref="AT4:AU4"/>
    <mergeCell ref="AV5:AW5"/>
    <mergeCell ref="AX5:AY5"/>
    <mergeCell ref="R6:S6"/>
    <mergeCell ref="T6:U6"/>
    <mergeCell ref="V6:W6"/>
    <mergeCell ref="X6:Y6"/>
    <mergeCell ref="Z6:AB6"/>
    <mergeCell ref="AC6:AD6"/>
    <mergeCell ref="AE6:AF6"/>
    <mergeCell ref="AG6:AI6"/>
    <mergeCell ref="AJ5:AK5"/>
    <mergeCell ref="AL5:AM5"/>
    <mergeCell ref="AN5:AO5"/>
    <mergeCell ref="AP5:AQ5"/>
    <mergeCell ref="AR5:AS5"/>
    <mergeCell ref="AT5:AU5"/>
    <mergeCell ref="AV6:AW6"/>
    <mergeCell ref="AX6:AY6"/>
    <mergeCell ref="AL6:AM6"/>
    <mergeCell ref="R5:S5"/>
    <mergeCell ref="T5:U5"/>
    <mergeCell ref="V5:W5"/>
    <mergeCell ref="X5:Y5"/>
    <mergeCell ref="Z5:AB5"/>
    <mergeCell ref="AC5:AD5"/>
    <mergeCell ref="AE5:AF5"/>
    <mergeCell ref="AG5:AI5"/>
    <mergeCell ref="AJ4:AK4"/>
    <mergeCell ref="AR3:AS3"/>
    <mergeCell ref="AT3:AU3"/>
    <mergeCell ref="AV3:AW3"/>
    <mergeCell ref="AX3:AY3"/>
    <mergeCell ref="R4:S4"/>
    <mergeCell ref="T4:U4"/>
    <mergeCell ref="V4:W4"/>
    <mergeCell ref="X4:Y4"/>
    <mergeCell ref="AC4:AD4"/>
    <mergeCell ref="AE4:AF4"/>
    <mergeCell ref="AE3:AF3"/>
    <mergeCell ref="AG3:AI3"/>
    <mergeCell ref="AJ3:AK3"/>
    <mergeCell ref="AL3:AM3"/>
    <mergeCell ref="AN3:AO3"/>
    <mergeCell ref="AP3:AQ3"/>
    <mergeCell ref="R3:S3"/>
    <mergeCell ref="T3:U3"/>
    <mergeCell ref="V3:W3"/>
    <mergeCell ref="X3:Y3"/>
    <mergeCell ref="Z3:AB3"/>
    <mergeCell ref="AC3:AD3"/>
    <mergeCell ref="AV4:AW4"/>
    <mergeCell ref="AX4:AY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A92A-F2E4-4B6B-87CC-6BD890FD88C9}">
  <dimension ref="A1:BG147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62.6640625" customWidth="1"/>
    <col min="12" max="12" width="25.33203125" customWidth="1" collapsed="1"/>
    <col min="13" max="13" width="11.33203125" customWidth="1"/>
    <col min="14" max="14" width="28" bestFit="1" customWidth="1"/>
    <col min="15" max="15" width="14.5546875" customWidth="1"/>
    <col min="16" max="16" width="17.44140625" customWidth="1"/>
    <col min="17" max="17" width="18" customWidth="1"/>
    <col min="18" max="21" width="9.44140625" hidden="1" customWidth="1" outlineLevel="1"/>
    <col min="22" max="22" width="9.5546875" customWidth="1" collapsed="1"/>
    <col min="23" max="23" width="9.5546875" customWidth="1"/>
    <col min="24" max="24" width="13.33203125" hidden="1" customWidth="1" outlineLevel="1"/>
    <col min="25" max="25" width="11.5546875" hidden="1" customWidth="1" outlineLevel="1"/>
    <col min="26" max="27" width="8.33203125" hidden="1" customWidth="1" outlineLevel="1"/>
    <col min="28" max="28" width="10.109375" customWidth="1" collapsed="1"/>
    <col min="29" max="29" width="9" customWidth="1"/>
    <col min="30" max="30" width="9.88671875" style="25" customWidth="1"/>
    <col min="31" max="31" width="13.33203125" hidden="1" customWidth="1" outlineLevel="1"/>
    <col min="32" max="32" width="13.33203125" hidden="1" customWidth="1" outlineLevel="1" collapsed="1"/>
    <col min="33" max="33" width="7.44140625" hidden="1" customWidth="1" outlineLevel="1"/>
    <col min="34" max="34" width="9.44140625" hidden="1" customWidth="1" outlineLevel="1"/>
    <col min="35" max="35" width="10.33203125" customWidth="1" collapsed="1"/>
    <col min="36" max="36" width="9.5546875" hidden="1" customWidth="1" outlineLevel="1"/>
    <col min="37" max="42" width="9.88671875" hidden="1" customWidth="1" outlineLevel="1"/>
    <col min="43" max="43" width="9.88671875" style="8" hidden="1" customWidth="1" outlineLevel="1"/>
    <col min="44" max="51" width="9.88671875" hidden="1" customWidth="1" outlineLevel="1"/>
    <col min="52" max="52" width="17.109375" bestFit="1" customWidth="1" collapsed="1"/>
    <col min="53" max="53" width="16.6640625" bestFit="1" customWidth="1"/>
    <col min="54" max="56" width="9.88671875" customWidth="1"/>
    <col min="57" max="57" width="16.109375" customWidth="1"/>
    <col min="58" max="58" width="17" customWidth="1"/>
    <col min="59" max="69" width="11.33203125" customWidth="1"/>
    <col min="70" max="70" width="12.5546875" customWidth="1"/>
    <col min="71" max="71" width="13.44140625" customWidth="1"/>
    <col min="72" max="72" width="13.109375" customWidth="1"/>
    <col min="73" max="73" width="14" customWidth="1"/>
    <col min="74" max="79" width="17.33203125" customWidth="1"/>
    <col min="80" max="80" width="18.109375" customWidth="1"/>
    <col min="81" max="81" width="17.5546875" customWidth="1"/>
  </cols>
  <sheetData>
    <row r="1" spans="1:55" ht="21" x14ac:dyDescent="0.4">
      <c r="A1" s="85"/>
      <c r="B1" s="85"/>
      <c r="C1" s="85"/>
      <c r="D1" s="85"/>
      <c r="E1" s="85"/>
      <c r="F1" s="85"/>
      <c r="J1" s="32" t="s">
        <v>261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85"/>
      <c r="BC1" s="85"/>
    </row>
    <row r="2" spans="1:55" x14ac:dyDescent="0.3">
      <c r="Q2" s="25"/>
      <c r="R2" s="25"/>
      <c r="S2" s="25"/>
      <c r="T2" s="25"/>
      <c r="U2" s="8"/>
      <c r="AD2"/>
      <c r="AQ2"/>
    </row>
    <row r="3" spans="1:55" ht="26.4" customHeight="1" thickBot="1" x14ac:dyDescent="0.35">
      <c r="J3" s="129" t="s">
        <v>2</v>
      </c>
      <c r="K3" s="130"/>
      <c r="N3" s="65"/>
      <c r="P3" s="128"/>
      <c r="Q3" s="128" t="s">
        <v>5</v>
      </c>
      <c r="R3" s="301" t="s">
        <v>6</v>
      </c>
      <c r="S3" s="302"/>
      <c r="T3" s="303">
        <v>2024</v>
      </c>
      <c r="U3" s="302"/>
      <c r="V3" s="293" t="s">
        <v>263</v>
      </c>
      <c r="W3" s="304"/>
      <c r="X3" s="305" t="s">
        <v>264</v>
      </c>
      <c r="Y3" s="305"/>
      <c r="Z3" s="311" t="s">
        <v>265</v>
      </c>
      <c r="AA3" s="312"/>
      <c r="AB3" s="313"/>
      <c r="AC3" s="300" t="s">
        <v>266</v>
      </c>
      <c r="AD3" s="300"/>
      <c r="AE3" s="297" t="s">
        <v>267</v>
      </c>
      <c r="AF3" s="298"/>
      <c r="AG3" s="308" t="s">
        <v>268</v>
      </c>
      <c r="AH3" s="309"/>
      <c r="AI3" s="310"/>
      <c r="AJ3" s="300">
        <v>2027</v>
      </c>
      <c r="AK3" s="294"/>
      <c r="AL3" s="293">
        <v>2028</v>
      </c>
      <c r="AM3" s="294"/>
      <c r="AN3" s="293">
        <v>2029</v>
      </c>
      <c r="AO3" s="294"/>
      <c r="AP3" s="293">
        <v>2030</v>
      </c>
      <c r="AQ3" s="294"/>
      <c r="AR3" s="293">
        <v>2031</v>
      </c>
      <c r="AS3" s="294"/>
      <c r="AT3" s="293">
        <v>2032</v>
      </c>
      <c r="AU3" s="294"/>
      <c r="AV3" s="293">
        <v>2033</v>
      </c>
      <c r="AW3" s="294"/>
      <c r="AX3" s="293">
        <v>2034</v>
      </c>
      <c r="AY3" s="294"/>
      <c r="AZ3" s="26" t="s">
        <v>269</v>
      </c>
      <c r="BA3" s="26" t="s">
        <v>8</v>
      </c>
    </row>
    <row r="4" spans="1:55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SUMIFS(Portefeuille_ProgPropose10[AC 2024],Portefeuille_ProgPropose10[DES_COMPL_NATR_COMPB],"=Fonctionnement")+SUMIFS(Portefeuille_ProgPropose10[TR 2024],Portefeuille_ProgPropose10[DES_COMPL_NATR_COMPB],"=Fonctionnement")</f>
        <v>0</v>
      </c>
      <c r="U4" s="260"/>
      <c r="V4" s="295">
        <f>SUMIFS(Portefeuille_ProgPropose10[AC 2025],Portefeuille_ProgPropose10[DES_COMPL_NATR_COMPB],"=Fonctionnement")+SUMIFS(Portefeuille_ProgPropose10[TR 2025],Portefeuille_ProgPropose10[DES_COMPL_NATR_COMPB],"=Fonctionnement")</f>
        <v>300</v>
      </c>
      <c r="W4" s="296"/>
      <c r="X4" s="260"/>
      <c r="Y4" s="260"/>
      <c r="Z4" s="106"/>
      <c r="AA4" s="78"/>
      <c r="AB4" s="107"/>
      <c r="AC4" s="260">
        <f>SUMIFS(Portefeuille_ProgPropose10[AC 2026],Portefeuille_ProgPropose10[DES_COMPL_NATR_COMPB],"=Fonctionnement")+SUMIFS(Portefeuille_ProgPropose10[TR 2026],Portefeuille_ProgPropose10[DES_COMPL_NATR_COMPB],"=Fonctionnement")</f>
        <v>0</v>
      </c>
      <c r="AD4" s="260"/>
      <c r="AE4" s="279"/>
      <c r="AF4" s="280"/>
      <c r="AG4" s="106"/>
      <c r="AH4" s="78"/>
      <c r="AI4" s="107"/>
      <c r="AJ4" s="260">
        <f>SUMIFS(Portefeuille_ProgPropose10[AC 2027],Portefeuille_ProgPropose10[DES_COMPL_NATR_COMPB],"=Fonctionnement")+SUMIFS(Portefeuille_ProgPropose10[TR 2027],Portefeuille_ProgPropose10[DES_COMPL_NATR_COMPB],"=Fonctionnement")</f>
        <v>0</v>
      </c>
      <c r="AK4" s="260"/>
      <c r="AL4" s="260">
        <f>SUMIFS(Portefeuille_ProgPropose10[AC 2028],Portefeuille_ProgPropose10[DES_COMPL_NATR_COMPB],"=Fonctionnement")+SUMIFS(Portefeuille_ProgPropose10[TR 2028],Portefeuille_ProgPropose10[DES_COMPL_NATR_COMPB],"=Fonctionnement")</f>
        <v>0</v>
      </c>
      <c r="AM4" s="260"/>
      <c r="AN4" s="260">
        <f>SUMIFS(Portefeuille_ProgPropose10[AC 2029],Portefeuille_ProgPropose10[DES_COMPL_NATR_COMPB],"=Fonctionnement")+SUMIFS(Portefeuille_ProgPropose10[TR 2029],Portefeuille_ProgPropose10[DES_COMPL_NATR_COMPB],"=Fonctionnement")</f>
        <v>0</v>
      </c>
      <c r="AO4" s="260"/>
      <c r="AP4" s="260">
        <f>SUMIFS(Portefeuille_ProgPropose10[AC 2030],Portefeuille_ProgPropose10[DES_COMPL_NATR_COMPB],"=Fonctionnement")+SUMIFS(Portefeuille_ProgPropose10[TR 2030],Portefeuille_ProgPropose10[DES_COMPL_NATR_COMPB],"=Fonctionnement")</f>
        <v>0</v>
      </c>
      <c r="AQ4" s="260"/>
      <c r="AR4" s="260">
        <f>SUMIFS(Portefeuille_ProgPropose10[AC 2031],Portefeuille_ProgPropose10[DES_COMPL_NATR_COMPB],"=Fonctionnement")+SUMIFS(Portefeuille_ProgPropose10[TR 2031],Portefeuille_ProgPropose10[DES_COMPL_NATR_COMPB],"=Fonctionnement")</f>
        <v>0</v>
      </c>
      <c r="AS4" s="260"/>
      <c r="AT4" s="260">
        <f>SUMIFS(Portefeuille_ProgPropose10[AC 2032],Portefeuille_ProgPropose10[DES_COMPL_NATR_COMPB],"=Fonctionnement")+SUMIFS(Portefeuille_ProgPropose10[TR 2032],Portefeuille_ProgPropose10[DES_COMPL_NATR_COMPB],"=Fonctionnement")</f>
        <v>0</v>
      </c>
      <c r="AU4" s="260"/>
      <c r="AV4" s="260">
        <f>SUMIFS(Portefeuille_ProgPropose10[AC 2033],Portefeuille_ProgPropose10[DES_COMPL_NATR_COMPB],"=Fonctionnement")+SUMIFS(Portefeuille_ProgPropose10[TR 2033],Portefeuille_ProgPropose10[DES_COMPL_NATR_COMPB],"=Fonctionnement")</f>
        <v>0</v>
      </c>
      <c r="AW4" s="260"/>
      <c r="AX4" s="260">
        <f>SUMIFS(Portefeuille_ProgPropose10[AC 2034],Portefeuille_ProgPropose10[DES_COMPL_NATR_COMPB],"=Fonctionnement")+SUMIFS(Portefeuille_ProgPropose10[TR 2034],Portefeuille_ProgPropose10[DES_COMPL_NATR_COMPB],"=Fonctionnement")</f>
        <v>0</v>
      </c>
      <c r="AY4" s="260"/>
      <c r="AZ4" s="16">
        <f>SUM(V4,AC4)</f>
        <v>300</v>
      </c>
      <c r="BA4" s="16">
        <f>SUM(V4,AC4,AJ4:AY4)</f>
        <v>300</v>
      </c>
    </row>
    <row r="5" spans="1:55" x14ac:dyDescent="0.3">
      <c r="J5" s="27" t="s">
        <v>12</v>
      </c>
      <c r="K5" s="28" t="s">
        <v>13</v>
      </c>
      <c r="Q5" s="104" t="s">
        <v>15</v>
      </c>
      <c r="R5" s="279">
        <f>SUMIFS(Portefeuille_ProgPropose10[AC ANT],Portefeuille_ProgPropose10[État Composante AC],"=PR")</f>
        <v>9289</v>
      </c>
      <c r="S5" s="260"/>
      <c r="T5" s="260">
        <f>SUMIFS(Portefeuille_ProgPropose10[AC 2024],Portefeuille_ProgPropose10[État Composante AC],"=PR")</f>
        <v>3520</v>
      </c>
      <c r="U5" s="260"/>
      <c r="V5" s="260">
        <f>SUMIFS(Portefeuille_ProgPropose10[AC 2025],Portefeuille_ProgPropose10[État Composante AC],"=PR")</f>
        <v>9198</v>
      </c>
      <c r="W5" s="280"/>
      <c r="X5" s="260">
        <f>SUMIFS(Portefeuille_ProgPropose10[AC 2025 Trimestre précédent],Portefeuille_ProgPropose10[État Composante AC],"=PR")</f>
        <v>6926</v>
      </c>
      <c r="Y5" s="260"/>
      <c r="Z5" s="279">
        <f>SUMIFS(Portefeuille_ProgPropose10[Écart AC 2025],Portefeuille_ProgPropose10[État Composante AC],"=PR")</f>
        <v>2272</v>
      </c>
      <c r="AA5" s="260"/>
      <c r="AB5" s="280"/>
      <c r="AC5" s="260">
        <f>SUMIFS(Portefeuille_ProgPropose10[AC 2026],Portefeuille_ProgPropose10[État Composante AC],"=PR")</f>
        <v>9850</v>
      </c>
      <c r="AD5" s="260"/>
      <c r="AE5" s="279">
        <f>SUMIFS(Portefeuille_ProgPropose10[AC 2026 Trimestre précédent],Portefeuille_ProgPropose10[État Composante AC],"=PR")</f>
        <v>8384</v>
      </c>
      <c r="AF5" s="280"/>
      <c r="AG5" s="279">
        <f>SUMIFS(Portefeuille_ProgPropose10[Écart AC 2026],Portefeuille_ProgPropose10[État Composante AC],"=PR")</f>
        <v>1466</v>
      </c>
      <c r="AH5" s="260"/>
      <c r="AI5" s="280"/>
      <c r="AJ5" s="260">
        <f>SUMIFS(Portefeuille_ProgPropose10[AC 2027],Portefeuille_ProgPropose10[État Composante AC],"=PR")</f>
        <v>7290</v>
      </c>
      <c r="AK5" s="260"/>
      <c r="AL5" s="260">
        <f>SUMIFS(Portefeuille_ProgPropose10[AC 2028],Portefeuille_ProgPropose10[État Composante AC],"=PR")</f>
        <v>5663</v>
      </c>
      <c r="AM5" s="260"/>
      <c r="AN5" s="260">
        <f>SUMIFS(Portefeuille_ProgPropose10[AC 2029],Portefeuille_ProgPropose10[État Composante AC],"=PR")</f>
        <v>2732</v>
      </c>
      <c r="AO5" s="260"/>
      <c r="AP5" s="260">
        <f>SUMIFS(Portefeuille_ProgPropose10[AC 2030],Portefeuille_ProgPropose10[État Composante AC],"=PR")</f>
        <v>2250</v>
      </c>
      <c r="AQ5" s="260"/>
      <c r="AR5" s="260">
        <f>SUMIFS(Portefeuille_ProgPropose10[AC 2031],Portefeuille_ProgPropose10[État Composante AC],"=PR")</f>
        <v>1922</v>
      </c>
      <c r="AS5" s="260"/>
      <c r="AT5" s="260">
        <f>SUMIFS(Portefeuille_ProgPropose10[AC 2032],Portefeuille_ProgPropose10[État Composante AC],"=PR")</f>
        <v>0</v>
      </c>
      <c r="AU5" s="260"/>
      <c r="AV5" s="260">
        <f>SUMIFS(Portefeuille_ProgPropose10[AC 2033],Portefeuille_ProgPropose10[État Composante AC],"=PR")</f>
        <v>0</v>
      </c>
      <c r="AW5" s="260"/>
      <c r="AX5" s="260">
        <f>SUMIFS(Portefeuille_ProgPropose10[AC 2034],Portefeuille_ProgPropose10[État Composante AC],"=PR")</f>
        <v>0</v>
      </c>
      <c r="AY5" s="260"/>
      <c r="AZ5" s="16">
        <f t="shared" ref="AZ5:AZ12" si="0">SUM(V5,AC5)</f>
        <v>19048</v>
      </c>
      <c r="BA5" s="16">
        <f t="shared" ref="BA5:BA9" si="1">SUM(V5,AC5,AJ5:AY5)</f>
        <v>38905</v>
      </c>
    </row>
    <row r="6" spans="1:55" x14ac:dyDescent="0.3">
      <c r="J6" s="29" t="s">
        <v>16</v>
      </c>
      <c r="K6" s="28" t="s">
        <v>17</v>
      </c>
      <c r="Q6" s="83" t="s">
        <v>19</v>
      </c>
      <c r="R6" s="279">
        <f>SUMIFS(Portefeuille_ProgPropose10[TR ANT],Portefeuille_ProgPropose10[État Composante TR],"=PR")</f>
        <v>38398</v>
      </c>
      <c r="S6" s="260"/>
      <c r="T6" s="260">
        <f>SUMIFS(Portefeuille_ProgPropose10[TR 2024],Portefeuille_ProgPropose10[État Composante TR],"=PR")</f>
        <v>32257</v>
      </c>
      <c r="U6" s="260"/>
      <c r="V6" s="260">
        <f>SUMIFS(Portefeuille_ProgPropose10[TR 2025],Portefeuille_ProgPropose10[État Composante TR],"=PR")</f>
        <v>16813</v>
      </c>
      <c r="W6" s="280"/>
      <c r="X6" s="260">
        <f>SUMIFS(Portefeuille_ProgPropose10[TR 2025 Trimestre précédent],Portefeuille_ProgPropose10[État Composante TR],"=PR")</f>
        <v>27070</v>
      </c>
      <c r="Y6" s="260"/>
      <c r="Z6" s="279">
        <f>SUMIFS(Portefeuille_ProgPropose10[Écart TR 2025],Portefeuille_ProgPropose10[État Composante TR],"=PR")</f>
        <v>-10257</v>
      </c>
      <c r="AA6" s="260"/>
      <c r="AB6" s="280"/>
      <c r="AC6" s="260">
        <f>SUMIFS(Portefeuille_ProgPropose10[TR 2026],Portefeuille_ProgPropose10[État Composante TR],"=PR")</f>
        <v>20373</v>
      </c>
      <c r="AD6" s="260"/>
      <c r="AE6" s="279">
        <f>SUMIFS(Portefeuille_ProgPropose10[TR 2026 Trimestre précédent],Portefeuille_ProgPropose10[État Composante TR],"=PR")</f>
        <v>15531</v>
      </c>
      <c r="AF6" s="280"/>
      <c r="AG6" s="279">
        <f>SUMIFS(Portefeuille_ProgPropose10[Écart TR 2026],Portefeuille_ProgPropose10[État Composante TR],"=PR")</f>
        <v>4842</v>
      </c>
      <c r="AH6" s="260"/>
      <c r="AI6" s="280"/>
      <c r="AJ6" s="260">
        <f>SUMIFS(Portefeuille_ProgPropose10[TR 2027],Portefeuille_ProgPropose10[État Composante TR],"=PR")</f>
        <v>0</v>
      </c>
      <c r="AK6" s="260"/>
      <c r="AL6" s="260">
        <f>SUMIFS(Portefeuille_ProgPropose10[TR 2028],Portefeuille_ProgPropose10[État Composante TR],"=PR")</f>
        <v>0</v>
      </c>
      <c r="AM6" s="260"/>
      <c r="AN6" s="260">
        <f>SUMIFS(Portefeuille_ProgPropose10[TR 2029],Portefeuille_ProgPropose10[État Composante TR],"=PR")</f>
        <v>0</v>
      </c>
      <c r="AO6" s="260"/>
      <c r="AP6" s="260">
        <f>SUMIFS(Portefeuille_ProgPropose10[TR 2030],Portefeuille_ProgPropose10[État Composante TR],"=PR")</f>
        <v>0</v>
      </c>
      <c r="AQ6" s="260"/>
      <c r="AR6" s="260">
        <f>SUMIFS(Portefeuille_ProgPropose10[TR 2031],Portefeuille_ProgPropose10[État Composante TR],"=PR")</f>
        <v>0</v>
      </c>
      <c r="AS6" s="260"/>
      <c r="AT6" s="260">
        <f>SUMIFS(Portefeuille_ProgPropose10[TR 2032],Portefeuille_ProgPropose10[État Composante TR],"=PR")</f>
        <v>0</v>
      </c>
      <c r="AU6" s="260"/>
      <c r="AV6" s="260">
        <f>SUMIFS(Portefeuille_ProgPropose10[TR 2033],Portefeuille_ProgPropose10[État Composante TR],"=PR")</f>
        <v>0</v>
      </c>
      <c r="AW6" s="260"/>
      <c r="AX6" s="260">
        <f>SUMIFS(Portefeuille_ProgPropose10[TR 2034],Portefeuille_ProgPropose10[État Composante TR],"=PR")</f>
        <v>0</v>
      </c>
      <c r="AY6" s="260"/>
      <c r="AZ6" s="16">
        <f t="shared" si="0"/>
        <v>37186</v>
      </c>
      <c r="BA6" s="16">
        <f t="shared" si="1"/>
        <v>37186</v>
      </c>
    </row>
    <row r="7" spans="1:55" x14ac:dyDescent="0.3">
      <c r="J7" s="29" t="s">
        <v>20</v>
      </c>
      <c r="K7" s="28" t="s">
        <v>21</v>
      </c>
      <c r="P7" s="127"/>
      <c r="Q7" s="116" t="s">
        <v>23</v>
      </c>
      <c r="R7" s="288">
        <f>R5+R6</f>
        <v>47687</v>
      </c>
      <c r="S7" s="262"/>
      <c r="T7" s="262">
        <f>T5+T6</f>
        <v>35777</v>
      </c>
      <c r="U7" s="262"/>
      <c r="V7" s="262">
        <f>V5+V6</f>
        <v>26011</v>
      </c>
      <c r="W7" s="289"/>
      <c r="X7" s="262">
        <f>X5+X6</f>
        <v>33996</v>
      </c>
      <c r="Y7" s="262"/>
      <c r="Z7" s="288">
        <f>Z5+Z6</f>
        <v>-7985</v>
      </c>
      <c r="AA7" s="262"/>
      <c r="AB7" s="289"/>
      <c r="AC7" s="290">
        <f>AC5+AC6</f>
        <v>30223</v>
      </c>
      <c r="AD7" s="291"/>
      <c r="AE7" s="288">
        <f>AE5+AE6</f>
        <v>23915</v>
      </c>
      <c r="AF7" s="289"/>
      <c r="AG7" s="290">
        <f>AG5+AG6</f>
        <v>6308</v>
      </c>
      <c r="AH7" s="292"/>
      <c r="AI7" s="291"/>
      <c r="AJ7" s="262">
        <f>AJ5+AJ6</f>
        <v>7290</v>
      </c>
      <c r="AK7" s="262"/>
      <c r="AL7" s="262">
        <f>AL5+AL6</f>
        <v>5663</v>
      </c>
      <c r="AM7" s="262"/>
      <c r="AN7" s="262">
        <f>AN5+AN6</f>
        <v>2732</v>
      </c>
      <c r="AO7" s="262"/>
      <c r="AP7" s="262">
        <f>AP5+AP6</f>
        <v>2250</v>
      </c>
      <c r="AQ7" s="262"/>
      <c r="AR7" s="262">
        <f>AR5+AR6</f>
        <v>1922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>
        <f t="shared" si="0"/>
        <v>56234</v>
      </c>
      <c r="BA7" s="20">
        <f t="shared" si="1"/>
        <v>76091</v>
      </c>
    </row>
    <row r="8" spans="1:55" x14ac:dyDescent="0.3">
      <c r="J8" s="131"/>
      <c r="K8" s="28" t="s">
        <v>270</v>
      </c>
      <c r="Q8" s="83" t="s">
        <v>25</v>
      </c>
      <c r="R8" s="279">
        <f>SUMIFS(Portefeuille_ProgPropose10[AC ANT],Portefeuille_ProgPropose10[État Composante AC],"&lt;&gt;PR")</f>
        <v>0</v>
      </c>
      <c r="S8" s="260"/>
      <c r="T8" s="260">
        <f>SUMIFS(Portefeuille_ProgPropose10[AC 2024],Portefeuille_ProgPropose10[État Composante AC],"&lt;&gt;PR")</f>
        <v>10</v>
      </c>
      <c r="U8" s="260"/>
      <c r="V8" s="260">
        <f>SUMIFS(Portefeuille_ProgPropose10[AC 2025],Portefeuille_ProgPropose10[État Composante AC],"&lt;&gt;PR")</f>
        <v>1507</v>
      </c>
      <c r="W8" s="280"/>
      <c r="X8" s="260">
        <f>SUMIFS(Portefeuille_ProgPropose10[AC 2025 Trimestre précédent],Portefeuille_ProgPropose10[État Composante AC],"&lt;&gt;PR")</f>
        <v>954</v>
      </c>
      <c r="Y8" s="260"/>
      <c r="Z8" s="279">
        <f>SUMIFS(Portefeuille_ProgPropose10[Écart AC 2025],Portefeuille_ProgPropose10[État Composante AC],"&lt;&gt;PR")</f>
        <v>553</v>
      </c>
      <c r="AA8" s="260"/>
      <c r="AB8" s="280"/>
      <c r="AC8" s="260">
        <f>SUMIFS(Portefeuille_ProgPropose10[AC 2026],Portefeuille_ProgPropose10[État Composante AC],"&lt;&gt;PR")</f>
        <v>1521</v>
      </c>
      <c r="AD8" s="260"/>
      <c r="AE8" s="279">
        <f>SUMIFS(Portefeuille_ProgPropose10[AC 2026 Trimestre précédent],Portefeuille_ProgPropose10[État Composante AC],"&lt;&gt;PR")</f>
        <v>1805</v>
      </c>
      <c r="AF8" s="280"/>
      <c r="AG8" s="279">
        <f>SUMIFS(Portefeuille_ProgPropose10[Écart AC 2026],Portefeuille_ProgPropose10[État Composante AC],"&lt;&gt;PR")</f>
        <v>-284</v>
      </c>
      <c r="AH8" s="260"/>
      <c r="AI8" s="280"/>
      <c r="AJ8" s="260">
        <f>SUMIFS(Portefeuille_ProgPropose10[AC 2027],Portefeuille_ProgPropose10[État Composante AC],"&lt;&gt;PR")</f>
        <v>2901</v>
      </c>
      <c r="AK8" s="260"/>
      <c r="AL8" s="260">
        <f>SUMIFS(Portefeuille_ProgPropose10[AC 2028],Portefeuille_ProgPropose10[État Composante AC],"&lt;&gt;PR")</f>
        <v>521</v>
      </c>
      <c r="AM8" s="260"/>
      <c r="AN8" s="260">
        <f>SUMIFS(Portefeuille_ProgPropose10[AC 2029],Portefeuille_ProgPropose10[État Composante AC],"&lt;&gt;PR")</f>
        <v>0</v>
      </c>
      <c r="AO8" s="260"/>
      <c r="AP8" s="260">
        <f>SUMIFS(Portefeuille_ProgPropose10[AC 2030],Portefeuille_ProgPropose10[État Composante AC],"&lt;&gt;PR")</f>
        <v>0</v>
      </c>
      <c r="AQ8" s="260"/>
      <c r="AR8" s="260">
        <f>SUMIFS(Portefeuille_ProgPropose10[AC 2031],Portefeuille_ProgPropose10[État Composante AC],"&lt;&gt;PR")</f>
        <v>0</v>
      </c>
      <c r="AS8" s="260"/>
      <c r="AT8" s="260">
        <f>SUMIFS(Portefeuille_ProgPropose10[AC 2032],Portefeuille_ProgPropose10[État Composante AC],"&lt;&gt;PR")</f>
        <v>0</v>
      </c>
      <c r="AU8" s="260"/>
      <c r="AV8" s="260">
        <f>SUMIFS(Portefeuille_ProgPropose10[AC 2033],Portefeuille_ProgPropose10[État Composante AC],"&lt;&gt;PR")</f>
        <v>0</v>
      </c>
      <c r="AW8" s="260"/>
      <c r="AX8" s="260">
        <f>SUMIFS(Portefeuille_ProgPropose10[AC 2034],Portefeuille_ProgPropose10[État Composante AC],"&lt;&gt;PR")</f>
        <v>0</v>
      </c>
      <c r="AY8" s="260"/>
      <c r="AZ8" s="16">
        <f t="shared" si="0"/>
        <v>3028</v>
      </c>
      <c r="BA8" s="16">
        <f t="shared" si="1"/>
        <v>6450</v>
      </c>
    </row>
    <row r="9" spans="1:55" x14ac:dyDescent="0.3">
      <c r="J9" s="132"/>
      <c r="K9" s="31" t="s">
        <v>271</v>
      </c>
      <c r="Q9" s="83" t="s">
        <v>27</v>
      </c>
      <c r="R9" s="279">
        <f>SUMIFS(Portefeuille_ProgPropose10[TR ANT],Portefeuille_ProgPropose10[État Composante TR],"&lt;&gt;PR")</f>
        <v>15</v>
      </c>
      <c r="S9" s="260"/>
      <c r="T9" s="260">
        <f>SUMIFS(Portefeuille_ProgPropose10[TR 2024],Portefeuille_ProgPropose10[État Composante TR],"&lt;&gt;PR")</f>
        <v>0</v>
      </c>
      <c r="U9" s="260"/>
      <c r="V9" s="260">
        <f>SUMIFS(Portefeuille_ProgPropose10[TR 2025],Portefeuille_ProgPropose10[État Composante TR],"&lt;&gt;PR")</f>
        <v>34981</v>
      </c>
      <c r="W9" s="280"/>
      <c r="X9" s="260">
        <f>SUMIFS(Portefeuille_ProgPropose10[TR 2025 Trimestre précédent],Portefeuille_ProgPropose10[État Composante TR],"&lt;&gt;PR")</f>
        <v>32265</v>
      </c>
      <c r="Y9" s="260"/>
      <c r="Z9" s="279">
        <f>SUMIFS(Portefeuille_ProgPropose10[Écart TR 2025],Portefeuille_ProgPropose10[État Composante TR],"&lt;&gt;PR")</f>
        <v>2716</v>
      </c>
      <c r="AA9" s="260"/>
      <c r="AB9" s="280"/>
      <c r="AC9" s="260">
        <f>SUMIFS(Portefeuille_ProgPropose10[TR 2026],Portefeuille_ProgPropose10[État Composante TR],"&lt;&gt;PR")</f>
        <v>37984</v>
      </c>
      <c r="AD9" s="260"/>
      <c r="AE9" s="279">
        <f>SUMIFS(Portefeuille_ProgPropose10[TR 2026 Trimestre précédent],Portefeuille_ProgPropose10[État Composante TR],"&lt;&gt;PR")</f>
        <v>45566</v>
      </c>
      <c r="AF9" s="280"/>
      <c r="AG9" s="279">
        <f>SUMIFS(Portefeuille_ProgPropose10[Écart TR 2026],Portefeuille_ProgPropose10[État Composante TR],"&lt;&gt;PR")</f>
        <v>-7582</v>
      </c>
      <c r="AH9" s="260"/>
      <c r="AI9" s="280"/>
      <c r="AJ9" s="260">
        <f>SUMIFS(Portefeuille_ProgPropose10[TR 2027],Portefeuille_ProgPropose10[État Composante TR],"&lt;&gt;PR")</f>
        <v>90877</v>
      </c>
      <c r="AK9" s="260"/>
      <c r="AL9" s="260">
        <f>SUMIFS(Portefeuille_ProgPropose10[TR 2028],Portefeuille_ProgPropose10[État Composante TR],"&lt;&gt;PR")</f>
        <v>52067</v>
      </c>
      <c r="AM9" s="260"/>
      <c r="AN9" s="260">
        <f>SUMIFS(Portefeuille_ProgPropose10[TR 2029],Portefeuille_ProgPropose10[État Composante TR],"&lt;&gt;PR")</f>
        <v>37457</v>
      </c>
      <c r="AO9" s="260"/>
      <c r="AP9" s="260">
        <f>SUMIFS(Portefeuille_ProgPropose10[TR 2030],Portefeuille_ProgPropose10[État Composante TR],"&lt;&gt;PR")</f>
        <v>36208</v>
      </c>
      <c r="AQ9" s="260"/>
      <c r="AR9" s="260">
        <f>SUMIFS(Portefeuille_ProgPropose10[TR 2031],Portefeuille_ProgPropose10[État Composante TR],"&lt;&gt;PR")</f>
        <v>41119</v>
      </c>
      <c r="AS9" s="260"/>
      <c r="AT9" s="260">
        <f>SUMIFS(Portefeuille_ProgPropose10[TR 2032],Portefeuille_ProgPropose10[État Composante TR],"&lt;&gt;PR")</f>
        <v>0</v>
      </c>
      <c r="AU9" s="260"/>
      <c r="AV9" s="260">
        <f>SUMIFS(Portefeuille_ProgPropose10[TR 2033],Portefeuille_ProgPropose10[État Composante TR],"&lt;&gt;PR")</f>
        <v>0</v>
      </c>
      <c r="AW9" s="260"/>
      <c r="AX9" s="260">
        <f>SUMIFS(Portefeuille_ProgPropose10[TR 2034],Portefeuille_ProgPropose10[État Composante TR],"&lt;&gt;PR")</f>
        <v>0</v>
      </c>
      <c r="AY9" s="260"/>
      <c r="AZ9" s="16">
        <f t="shared" si="0"/>
        <v>72965</v>
      </c>
      <c r="BA9" s="16">
        <f t="shared" si="1"/>
        <v>330693</v>
      </c>
    </row>
    <row r="10" spans="1:55" x14ac:dyDescent="0.3">
      <c r="J10" s="168"/>
      <c r="K10" s="28" t="s">
        <v>521</v>
      </c>
      <c r="P10" s="127"/>
      <c r="Q10" s="117" t="s">
        <v>29</v>
      </c>
      <c r="R10" s="288">
        <f>R8+R9</f>
        <v>15</v>
      </c>
      <c r="S10" s="262"/>
      <c r="T10" s="262">
        <f>T8+T9</f>
        <v>10</v>
      </c>
      <c r="U10" s="262"/>
      <c r="V10" s="262">
        <f>V8+V9</f>
        <v>36488</v>
      </c>
      <c r="W10" s="289"/>
      <c r="X10" s="262">
        <f>X8+X9</f>
        <v>33219</v>
      </c>
      <c r="Y10" s="262"/>
      <c r="Z10" s="288">
        <f>Z9+Z8</f>
        <v>3269</v>
      </c>
      <c r="AA10" s="262"/>
      <c r="AB10" s="289"/>
      <c r="AC10" s="262">
        <f>AC8+AC9</f>
        <v>39505</v>
      </c>
      <c r="AD10" s="262"/>
      <c r="AE10" s="288">
        <f>AE8+AE9</f>
        <v>47371</v>
      </c>
      <c r="AF10" s="289"/>
      <c r="AG10" s="288">
        <f>AG9+AG8</f>
        <v>-7866</v>
      </c>
      <c r="AH10" s="262"/>
      <c r="AI10" s="289"/>
      <c r="AJ10" s="262">
        <f>AJ8+AJ9</f>
        <v>93778</v>
      </c>
      <c r="AK10" s="262"/>
      <c r="AL10" s="262">
        <f>AL8+AL9</f>
        <v>52588</v>
      </c>
      <c r="AM10" s="262"/>
      <c r="AN10" s="262">
        <f>AN8+AN9</f>
        <v>37457</v>
      </c>
      <c r="AO10" s="262"/>
      <c r="AP10" s="262">
        <f>AP8+AP9</f>
        <v>36208</v>
      </c>
      <c r="AQ10" s="262"/>
      <c r="AR10" s="262">
        <f>AR8+AR9</f>
        <v>41119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0">
        <f t="shared" si="0"/>
        <v>75993</v>
      </c>
      <c r="BA10" s="20">
        <f>SUM(V10,AC10,AJ10:AY10)</f>
        <v>337143</v>
      </c>
    </row>
    <row r="11" spans="1:55" s="133" customFormat="1" ht="13.8" x14ac:dyDescent="0.3">
      <c r="P11" s="134"/>
      <c r="Q11" s="135" t="s">
        <v>272</v>
      </c>
      <c r="R11" s="286">
        <f>R10+R7</f>
        <v>47702</v>
      </c>
      <c r="S11" s="284"/>
      <c r="T11" s="285">
        <f>T10+T7</f>
        <v>35787</v>
      </c>
      <c r="U11" s="284"/>
      <c r="V11" s="285">
        <f>V10+V7</f>
        <v>62499</v>
      </c>
      <c r="W11" s="287"/>
      <c r="X11" s="283">
        <f>X10+X7-X4</f>
        <v>67215</v>
      </c>
      <c r="Y11" s="283"/>
      <c r="Z11" s="286">
        <f>Z10+Z7</f>
        <v>-4716</v>
      </c>
      <c r="AA11" s="283"/>
      <c r="AB11" s="287"/>
      <c r="AC11" s="286">
        <f>AC10+AC7-AC4</f>
        <v>69728</v>
      </c>
      <c r="AD11" s="287"/>
      <c r="AE11" s="286">
        <f t="shared" ref="AE11" si="2">AE10+AE7-AE4</f>
        <v>71286</v>
      </c>
      <c r="AF11" s="287"/>
      <c r="AG11" s="286">
        <f>AG10+AG7</f>
        <v>-1558</v>
      </c>
      <c r="AH11" s="283"/>
      <c r="AI11" s="287"/>
      <c r="AJ11" s="283">
        <f t="shared" ref="AJ11" si="3">AJ10+AJ7-AJ4</f>
        <v>101068</v>
      </c>
      <c r="AK11" s="284"/>
      <c r="AL11" s="285">
        <f t="shared" ref="AL11" si="4">AL10+AL7-AL4</f>
        <v>58251</v>
      </c>
      <c r="AM11" s="284"/>
      <c r="AN11" s="285">
        <f t="shared" ref="AN11" si="5">AN10+AN7-AN4</f>
        <v>40189</v>
      </c>
      <c r="AO11" s="284"/>
      <c r="AP11" s="285">
        <f t="shared" ref="AP11" si="6">AP10+AP7-AP4</f>
        <v>38458</v>
      </c>
      <c r="AQ11" s="284"/>
      <c r="AR11" s="285">
        <f t="shared" ref="AR11" si="7">AR10+AR7-AR4</f>
        <v>43041</v>
      </c>
      <c r="AS11" s="284"/>
      <c r="AT11" s="285">
        <f t="shared" ref="AT11" si="8">AT10+AT7-AT4</f>
        <v>0</v>
      </c>
      <c r="AU11" s="284"/>
      <c r="AV11" s="285">
        <f t="shared" ref="AV11" si="9">AV10+AV7-AV4</f>
        <v>0</v>
      </c>
      <c r="AW11" s="284"/>
      <c r="AX11" s="285">
        <f t="shared" ref="AX11" si="10">AX10+AX7-AX4</f>
        <v>0</v>
      </c>
      <c r="AY11" s="284"/>
      <c r="AZ11" s="105">
        <f t="shared" si="0"/>
        <v>132227</v>
      </c>
      <c r="BA11" s="105">
        <f>SUM(V11,AC11,AJ11:AY11)</f>
        <v>413234</v>
      </c>
      <c r="BB11" s="136"/>
    </row>
    <row r="12" spans="1:55" x14ac:dyDescent="0.3">
      <c r="Q12" s="83" t="s">
        <v>32</v>
      </c>
      <c r="R12" s="279"/>
      <c r="S12" s="260"/>
      <c r="T12" s="260"/>
      <c r="U12" s="260"/>
      <c r="V12" s="260"/>
      <c r="W12" s="280"/>
      <c r="X12" s="281"/>
      <c r="Y12" s="282"/>
      <c r="Z12" s="108"/>
      <c r="AA12" s="95"/>
      <c r="AB12" s="109"/>
      <c r="AC12" s="260"/>
      <c r="AD12" s="260"/>
      <c r="AE12" s="279">
        <v>0</v>
      </c>
      <c r="AF12" s="280"/>
      <c r="AG12" s="108"/>
      <c r="AH12" s="95"/>
      <c r="AI12" s="123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>
        <f t="shared" si="0"/>
        <v>0</v>
      </c>
      <c r="BA12" s="78">
        <f>SUM(AJ12:AY12,V12,AC12)</f>
        <v>0</v>
      </c>
    </row>
    <row r="13" spans="1:55" ht="15.6" x14ac:dyDescent="0.3">
      <c r="P13" s="126"/>
      <c r="Q13" s="118" t="s">
        <v>33</v>
      </c>
      <c r="R13" s="120"/>
      <c r="S13" s="64"/>
      <c r="T13" s="258">
        <f>T12+T11</f>
        <v>35787</v>
      </c>
      <c r="U13" s="259"/>
      <c r="V13" s="258">
        <f>V12+V11</f>
        <v>62499</v>
      </c>
      <c r="W13" s="277"/>
      <c r="X13" s="261">
        <f>X12+X11</f>
        <v>67215</v>
      </c>
      <c r="Y13" s="261"/>
      <c r="Z13" s="110"/>
      <c r="AA13" s="96"/>
      <c r="AB13" s="111"/>
      <c r="AC13" s="261">
        <f>AC12+AC11</f>
        <v>69728</v>
      </c>
      <c r="AD13" s="261"/>
      <c r="AE13" s="278">
        <f>AE12+AE11</f>
        <v>71286</v>
      </c>
      <c r="AF13" s="277"/>
      <c r="AG13" s="110"/>
      <c r="AH13" s="96"/>
      <c r="AI13" s="111"/>
      <c r="AJ13" s="261">
        <f>AJ12+AJ11</f>
        <v>101068</v>
      </c>
      <c r="AK13" s="259"/>
      <c r="AL13" s="258">
        <f t="shared" ref="AL13" si="11">AL12+AL11</f>
        <v>58251</v>
      </c>
      <c r="AM13" s="259"/>
      <c r="AN13" s="258">
        <f t="shared" ref="AN13" si="12">AN12+AN11</f>
        <v>40189</v>
      </c>
      <c r="AO13" s="259"/>
      <c r="AP13" s="258">
        <f t="shared" ref="AP13" si="13">AP12+AP11</f>
        <v>38458</v>
      </c>
      <c r="AQ13" s="259"/>
      <c r="AR13" s="258">
        <f t="shared" ref="AR13" si="14">AR12+AR11</f>
        <v>43041</v>
      </c>
      <c r="AS13" s="259"/>
      <c r="AT13" s="258">
        <f t="shared" ref="AT13" si="15">AT12+AT11</f>
        <v>0</v>
      </c>
      <c r="AU13" s="259"/>
      <c r="AV13" s="258">
        <f t="shared" ref="AV13" si="16">AV12+AV11</f>
        <v>0</v>
      </c>
      <c r="AW13" s="259"/>
      <c r="AX13" s="258">
        <f t="shared" ref="AX13" si="17">AX12+AX11</f>
        <v>0</v>
      </c>
      <c r="AY13" s="259"/>
      <c r="AZ13" s="21">
        <f>AZ12+AZ11</f>
        <v>132227</v>
      </c>
      <c r="BA13" s="21">
        <f>BA12+BA11</f>
        <v>413234</v>
      </c>
    </row>
    <row r="14" spans="1:55" ht="15.6" x14ac:dyDescent="0.3">
      <c r="Q14" s="84" t="s">
        <v>34</v>
      </c>
      <c r="R14" s="270"/>
      <c r="S14" s="257"/>
      <c r="T14" s="256"/>
      <c r="U14" s="257"/>
      <c r="V14" s="256">
        <f>75500-8285</f>
        <v>67215</v>
      </c>
      <c r="W14" s="271"/>
      <c r="X14" s="272">
        <v>75500</v>
      </c>
      <c r="Y14" s="272"/>
      <c r="Z14" s="112"/>
      <c r="AA14" s="81"/>
      <c r="AB14" s="100"/>
      <c r="AC14" s="270">
        <v>75500</v>
      </c>
      <c r="AD14" s="271"/>
      <c r="AE14" s="270">
        <v>75500</v>
      </c>
      <c r="AF14" s="271"/>
      <c r="AG14" s="112"/>
      <c r="AH14" s="81"/>
      <c r="AI14" s="100"/>
      <c r="AJ14" s="272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17">
        <f>SUM(V14,AC14)</f>
        <v>142715</v>
      </c>
      <c r="BA14" s="17">
        <f>SUM(V14,AC14,AJ14:AY14)</f>
        <v>746715</v>
      </c>
      <c r="BB14" s="98"/>
    </row>
    <row r="15" spans="1:55" ht="15.6" x14ac:dyDescent="0.3">
      <c r="Q15" s="84" t="s">
        <v>35</v>
      </c>
      <c r="R15" s="268"/>
      <c r="S15" s="253"/>
      <c r="T15" s="252"/>
      <c r="U15" s="253"/>
      <c r="V15" s="252">
        <f>V14-V13</f>
        <v>4716</v>
      </c>
      <c r="W15" s="269"/>
      <c r="X15" s="253">
        <f>X14-X13</f>
        <v>8285</v>
      </c>
      <c r="Y15" s="253"/>
      <c r="Z15" s="94"/>
      <c r="AA15" s="79"/>
      <c r="AB15" s="101"/>
      <c r="AC15" s="268">
        <f>AC14-AC13</f>
        <v>5772</v>
      </c>
      <c r="AD15" s="269"/>
      <c r="AE15" s="268">
        <f>AE14-AE13</f>
        <v>4214</v>
      </c>
      <c r="AF15" s="269"/>
      <c r="AG15" s="94"/>
      <c r="AH15" s="79"/>
      <c r="AI15" s="101"/>
      <c r="AJ15" s="253">
        <f t="shared" ref="AJ15" si="18">AJ14-AJ13</f>
        <v>-25568</v>
      </c>
      <c r="AK15" s="253"/>
      <c r="AL15" s="252">
        <f t="shared" ref="AL15" si="19">AL14-AL13</f>
        <v>17249</v>
      </c>
      <c r="AM15" s="253"/>
      <c r="AN15" s="252">
        <f t="shared" ref="AN15" si="20">AN14-AN13</f>
        <v>35311</v>
      </c>
      <c r="AO15" s="253"/>
      <c r="AP15" s="252">
        <f t="shared" ref="AP15" si="21">AP14-AP13</f>
        <v>37042</v>
      </c>
      <c r="AQ15" s="253"/>
      <c r="AR15" s="252">
        <f t="shared" ref="AR15" si="22">AR14-AR13</f>
        <v>32459</v>
      </c>
      <c r="AS15" s="253"/>
      <c r="AT15" s="252">
        <f t="shared" ref="AT15" si="23">AT14-AT13</f>
        <v>75500</v>
      </c>
      <c r="AU15" s="253"/>
      <c r="AV15" s="252">
        <f t="shared" ref="AV15" si="24">AV14-AV13</f>
        <v>75500</v>
      </c>
      <c r="AW15" s="253"/>
      <c r="AX15" s="252">
        <f t="shared" ref="AX15" si="25">AX14-AX13</f>
        <v>75500</v>
      </c>
      <c r="AY15" s="253"/>
      <c r="AZ15" s="23">
        <f>AZ14-AZ13</f>
        <v>10488</v>
      </c>
      <c r="BA15" s="23">
        <f>BA14-BA13</f>
        <v>333481</v>
      </c>
      <c r="BB15" s="98"/>
    </row>
    <row r="16" spans="1:55" ht="16.2" thickBot="1" x14ac:dyDescent="0.35">
      <c r="Q16" s="119" t="s">
        <v>36</v>
      </c>
      <c r="R16" s="273"/>
      <c r="S16" s="274"/>
      <c r="T16" s="254"/>
      <c r="U16" s="255"/>
      <c r="V16" s="254">
        <f t="shared" ref="V16:X16" si="26">(V13-V14)/V14</f>
        <v>-7.0162910064717698E-2</v>
      </c>
      <c r="W16" s="275"/>
      <c r="X16" s="255">
        <f t="shared" si="26"/>
        <v>-0.10973509933774835</v>
      </c>
      <c r="Y16" s="255"/>
      <c r="Z16" s="113"/>
      <c r="AA16" s="114"/>
      <c r="AB16" s="115"/>
      <c r="AC16" s="255">
        <f t="shared" ref="AC16" si="27">(AC13-AC14)/AC14</f>
        <v>-7.6450331125827817E-2</v>
      </c>
      <c r="AD16" s="255"/>
      <c r="AE16" s="276">
        <f>(AE14-AE13)/AE14</f>
        <v>5.5814569536423844E-2</v>
      </c>
      <c r="AF16" s="275"/>
      <c r="AG16" s="121"/>
      <c r="AH16" s="122"/>
      <c r="AI16" s="124"/>
      <c r="AJ16" s="255">
        <f t="shared" ref="AJ16" si="28">(AJ14-AJ13)/AJ14</f>
        <v>-0.33864900662251657</v>
      </c>
      <c r="AK16" s="255"/>
      <c r="AL16" s="254">
        <f t="shared" ref="AL16" si="29">(AL14-AL13)/AL14</f>
        <v>0.22846357615894039</v>
      </c>
      <c r="AM16" s="255"/>
      <c r="AN16" s="254">
        <f t="shared" ref="AN16" si="30">(AN14-AN13)/AN14</f>
        <v>0.46769536423841057</v>
      </c>
      <c r="AO16" s="255"/>
      <c r="AP16" s="254">
        <f t="shared" ref="AP16" si="31">(AP14-AP13)/AP14</f>
        <v>0.49062251655629141</v>
      </c>
      <c r="AQ16" s="255"/>
      <c r="AR16" s="254">
        <f t="shared" ref="AR16" si="32">(AR14-AR13)/AR14</f>
        <v>0.4299205298013245</v>
      </c>
      <c r="AS16" s="255"/>
      <c r="AT16" s="254">
        <f t="shared" ref="AT16" si="33">(AT14-AT13)/AT14</f>
        <v>1</v>
      </c>
      <c r="AU16" s="255"/>
      <c r="AV16" s="254">
        <f t="shared" ref="AV16" si="34">(AV14-AV13)/AV14</f>
        <v>1</v>
      </c>
      <c r="AW16" s="255"/>
      <c r="AX16" s="254">
        <f t="shared" ref="AX16" si="35">(AX14-AX13)/AX14</f>
        <v>1</v>
      </c>
      <c r="AY16" s="255"/>
      <c r="AZ16" s="97">
        <f>(AZ13-AZ14)/AZ14</f>
        <v>-7.3489121676067692E-2</v>
      </c>
      <c r="BA16" s="125">
        <f>(BA13-BA14)/BA14</f>
        <v>-0.44659743007707092</v>
      </c>
    </row>
    <row r="17" spans="1:52" s="11" customFormat="1" ht="75.599999999999994" customHeight="1" x14ac:dyDescent="0.3">
      <c r="A17" s="11" t="s">
        <v>273</v>
      </c>
      <c r="B17" s="11" t="s">
        <v>274</v>
      </c>
      <c r="C17" s="11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11" t="s">
        <v>42</v>
      </c>
      <c r="I17" s="11" t="s">
        <v>44</v>
      </c>
      <c r="J17" s="11" t="s">
        <v>45</v>
      </c>
      <c r="K17" s="11" t="s">
        <v>46</v>
      </c>
      <c r="L17" s="11" t="s">
        <v>47</v>
      </c>
      <c r="M17" s="11" t="s">
        <v>48</v>
      </c>
      <c r="N17" s="11" t="s">
        <v>49</v>
      </c>
      <c r="O17" s="11" t="s">
        <v>50</v>
      </c>
      <c r="P17" s="11" t="s">
        <v>51</v>
      </c>
      <c r="Q17" s="11" t="s">
        <v>52</v>
      </c>
      <c r="R17" s="9" t="s">
        <v>76</v>
      </c>
      <c r="S17" s="9" t="s">
        <v>77</v>
      </c>
      <c r="T17" s="9" t="s">
        <v>78</v>
      </c>
      <c r="U17" s="9" t="s">
        <v>79</v>
      </c>
      <c r="V17" s="11" t="s">
        <v>80</v>
      </c>
      <c r="W17" s="11" t="s">
        <v>81</v>
      </c>
      <c r="X17" s="92" t="s">
        <v>275</v>
      </c>
      <c r="Y17" s="92" t="s">
        <v>276</v>
      </c>
      <c r="Z17" s="99" t="s">
        <v>277</v>
      </c>
      <c r="AA17" s="99" t="s">
        <v>278</v>
      </c>
      <c r="AB17" s="99" t="s">
        <v>279</v>
      </c>
      <c r="AC17" s="11" t="s">
        <v>82</v>
      </c>
      <c r="AD17" s="11" t="s">
        <v>83</v>
      </c>
      <c r="AE17" s="92" t="s">
        <v>281</v>
      </c>
      <c r="AF17" s="92" t="s">
        <v>282</v>
      </c>
      <c r="AG17" s="93" t="s">
        <v>283</v>
      </c>
      <c r="AH17" s="93" t="s">
        <v>284</v>
      </c>
      <c r="AI17" s="93" t="s">
        <v>285</v>
      </c>
      <c r="AJ17" s="11" t="s">
        <v>84</v>
      </c>
      <c r="AK17" s="11" t="s">
        <v>85</v>
      </c>
      <c r="AL17" s="11" t="s">
        <v>86</v>
      </c>
      <c r="AM17" s="11" t="s">
        <v>87</v>
      </c>
      <c r="AN17" s="11" t="s">
        <v>88</v>
      </c>
      <c r="AO17" s="11" t="s">
        <v>89</v>
      </c>
      <c r="AP17" s="11" t="s">
        <v>90</v>
      </c>
      <c r="AQ17" s="11" t="s">
        <v>91</v>
      </c>
      <c r="AR17" s="11" t="s">
        <v>92</v>
      </c>
      <c r="AS17" s="11" t="s">
        <v>93</v>
      </c>
      <c r="AT17" s="11" t="s">
        <v>94</v>
      </c>
      <c r="AU17" s="11" t="s">
        <v>95</v>
      </c>
      <c r="AV17" s="11" t="s">
        <v>96</v>
      </c>
      <c r="AW17" s="11" t="s">
        <v>97</v>
      </c>
      <c r="AX17" s="11" t="s">
        <v>98</v>
      </c>
      <c r="AY17" s="11" t="s">
        <v>99</v>
      </c>
      <c r="AZ17" s="11" t="s">
        <v>100</v>
      </c>
    </row>
    <row r="18" spans="1:52" x14ac:dyDescent="0.3">
      <c r="A18" t="s">
        <v>286</v>
      </c>
      <c r="B18">
        <v>3</v>
      </c>
      <c r="C18" t="s">
        <v>101</v>
      </c>
      <c r="D18" t="s">
        <v>102</v>
      </c>
      <c r="E18" t="s">
        <v>103</v>
      </c>
      <c r="F18" t="s">
        <v>104</v>
      </c>
      <c r="G18" t="s">
        <v>16</v>
      </c>
      <c r="H18" t="s">
        <v>20</v>
      </c>
      <c r="I18" t="s">
        <v>105</v>
      </c>
      <c r="J18" t="s">
        <v>106</v>
      </c>
      <c r="K18" t="s">
        <v>107</v>
      </c>
      <c r="L18" t="s">
        <v>108</v>
      </c>
      <c r="M18" t="s">
        <v>109</v>
      </c>
      <c r="N18" t="s">
        <v>110</v>
      </c>
      <c r="O18" s="1">
        <v>45014</v>
      </c>
      <c r="P18" s="1">
        <v>45366</v>
      </c>
      <c r="Q18" s="1">
        <v>45871</v>
      </c>
      <c r="R18">
        <v>69</v>
      </c>
      <c r="T18">
        <v>225</v>
      </c>
      <c r="V18">
        <v>180</v>
      </c>
      <c r="X18">
        <v>130</v>
      </c>
      <c r="Z18">
        <f>Portefeuille_ProgPropose10[[#This Row],[AC 2025]]-Portefeuille_ProgPropose10[[#This Row],[AC 2025 Trimestre précédent]]</f>
        <v>50</v>
      </c>
      <c r="AA18">
        <f>Portefeuille_ProgPropose10[[#This Row],[TR 2025]]-Portefeuille_ProgPropose10[[#This Row],[TR 2025 Trimestre précédent]]</f>
        <v>0</v>
      </c>
      <c r="AB18">
        <f>Portefeuille_ProgPropose10[[#This Row],[Écart AC 2025]]+Portefeuille_ProgPropose10[[#This Row],[Écart TR 2025]]</f>
        <v>50</v>
      </c>
      <c r="AC18">
        <v>881</v>
      </c>
      <c r="AD18">
        <v>16557</v>
      </c>
      <c r="AE18">
        <v>853</v>
      </c>
      <c r="AF18">
        <v>16557</v>
      </c>
      <c r="AG18">
        <f>Portefeuille_ProgPropose10[[#This Row],[AC 2026]]-Portefeuille_ProgPropose10[[#This Row],[AC 2026 Trimestre précédent]]</f>
        <v>28</v>
      </c>
      <c r="AH18">
        <f>Portefeuille_ProgPropose10[[#This Row],[TR 2026]]-Portefeuille_ProgPropose10[[#This Row],[TR 2026 Trimestre précédent]]</f>
        <v>0</v>
      </c>
      <c r="AI18">
        <f>Portefeuille_ProgPropose10[[#This Row],[Écart AC 2026]]+Portefeuille_ProgPropose10[[#This Row],[Écart TR 2026]]</f>
        <v>28</v>
      </c>
      <c r="AQ18"/>
      <c r="AZ18" s="14">
        <f>SUM(Portefeuille_ProgPropose10[[#This Row],[AC ANT]:[TR 2025]],Portefeuille_ProgPropose10[[#This Row],[AC 2026]:[TR 2026]],Portefeuille_ProgPropose10[[#This Row],[AC 2027]:[TR 2034]])</f>
        <v>17912</v>
      </c>
    </row>
    <row r="19" spans="1:52" x14ac:dyDescent="0.3">
      <c r="A19" t="s">
        <v>286</v>
      </c>
      <c r="B19">
        <v>7</v>
      </c>
      <c r="C19" t="s">
        <v>101</v>
      </c>
      <c r="D19" t="s">
        <v>102</v>
      </c>
      <c r="E19" t="s">
        <v>103</v>
      </c>
      <c r="F19" t="s">
        <v>113</v>
      </c>
      <c r="G19" t="s">
        <v>16</v>
      </c>
      <c r="H19" t="s">
        <v>20</v>
      </c>
      <c r="I19" t="s">
        <v>105</v>
      </c>
      <c r="J19" t="s">
        <v>114</v>
      </c>
      <c r="K19" t="s">
        <v>115</v>
      </c>
      <c r="L19" t="s">
        <v>116</v>
      </c>
      <c r="M19" t="s">
        <v>109</v>
      </c>
      <c r="N19" t="s">
        <v>110</v>
      </c>
      <c r="O19" s="1">
        <v>45105</v>
      </c>
      <c r="P19" s="1">
        <v>45731</v>
      </c>
      <c r="Q19" s="1">
        <v>45940</v>
      </c>
      <c r="R19">
        <v>25</v>
      </c>
      <c r="T19">
        <v>13</v>
      </c>
      <c r="V19">
        <v>48</v>
      </c>
      <c r="X19">
        <v>48</v>
      </c>
      <c r="Z19">
        <f>Portefeuille_ProgPropose10[[#This Row],[AC 2025]]-Portefeuille_ProgPropose10[[#This Row],[AC 2025 Trimestre précédent]]</f>
        <v>0</v>
      </c>
      <c r="AA19">
        <f>Portefeuille_ProgPropose10[[#This Row],[TR 2025]]-Portefeuille_ProgPropose10[[#This Row],[TR 2025 Trimestre précédent]]</f>
        <v>0</v>
      </c>
      <c r="AB19">
        <f>Portefeuille_ProgPropose10[[#This Row],[Écart AC 2025]]+Portefeuille_ProgPropose10[[#This Row],[Écart TR 2025]]</f>
        <v>0</v>
      </c>
      <c r="AC19">
        <v>855</v>
      </c>
      <c r="AD19">
        <v>11074</v>
      </c>
      <c r="AE19">
        <v>855</v>
      </c>
      <c r="AF19">
        <v>11074</v>
      </c>
      <c r="AG19">
        <f>Portefeuille_ProgPropose10[[#This Row],[AC 2026]]-Portefeuille_ProgPropose10[[#This Row],[AC 2026 Trimestre précédent]]</f>
        <v>0</v>
      </c>
      <c r="AH19">
        <f>Portefeuille_ProgPropose10[[#This Row],[TR 2026]]-Portefeuille_ProgPropose10[[#This Row],[TR 2026 Trimestre précédent]]</f>
        <v>0</v>
      </c>
      <c r="AI19">
        <f>Portefeuille_ProgPropose10[[#This Row],[Écart AC 2026]]+Portefeuille_ProgPropose10[[#This Row],[Écart TR 2026]]</f>
        <v>0</v>
      </c>
      <c r="AQ19"/>
      <c r="AZ19" s="14">
        <f>SUM(Portefeuille_ProgPropose10[[#This Row],[AC ANT]:[TR 2025]],Portefeuille_ProgPropose10[[#This Row],[AC 2026]:[TR 2026]],Portefeuille_ProgPropose10[[#This Row],[AC 2027]:[TR 2034]])</f>
        <v>12015</v>
      </c>
    </row>
    <row r="20" spans="1:52" x14ac:dyDescent="0.3">
      <c r="A20" t="s">
        <v>286</v>
      </c>
      <c r="C20" t="s">
        <v>126</v>
      </c>
      <c r="D20" t="s">
        <v>127</v>
      </c>
      <c r="E20" t="s">
        <v>103</v>
      </c>
      <c r="F20" t="s">
        <v>144</v>
      </c>
      <c r="G20" t="s">
        <v>16</v>
      </c>
      <c r="H20" t="s">
        <v>16</v>
      </c>
      <c r="I20" t="s">
        <v>131</v>
      </c>
      <c r="J20" t="s">
        <v>145</v>
      </c>
      <c r="K20" t="s">
        <v>146</v>
      </c>
      <c r="L20" t="s">
        <v>147</v>
      </c>
      <c r="M20" t="s">
        <v>109</v>
      </c>
      <c r="N20" t="s">
        <v>110</v>
      </c>
      <c r="O20" s="1">
        <v>44609</v>
      </c>
      <c r="P20" s="1">
        <v>45778</v>
      </c>
      <c r="Q20" s="1">
        <v>45853</v>
      </c>
      <c r="R20">
        <v>117</v>
      </c>
      <c r="T20">
        <v>159</v>
      </c>
      <c r="V20">
        <v>105</v>
      </c>
      <c r="X20">
        <v>230</v>
      </c>
      <c r="Y20">
        <v>4842</v>
      </c>
      <c r="Z20">
        <f>Portefeuille_ProgPropose10[[#This Row],[AC 2025]]-Portefeuille_ProgPropose10[[#This Row],[AC 2025 Trimestre précédent]]</f>
        <v>-125</v>
      </c>
      <c r="AA20">
        <f>Portefeuille_ProgPropose10[[#This Row],[TR 2025]]-Portefeuille_ProgPropose10[[#This Row],[TR 2025 Trimestre précédent]]</f>
        <v>-4842</v>
      </c>
      <c r="AB20">
        <f>Portefeuille_ProgPropose10[[#This Row],[Écart AC 2025]]+Portefeuille_ProgPropose10[[#This Row],[Écart TR 2025]]</f>
        <v>-4967</v>
      </c>
      <c r="AC20">
        <v>342</v>
      </c>
      <c r="AD20">
        <v>9684</v>
      </c>
      <c r="AE20">
        <v>130</v>
      </c>
      <c r="AF20">
        <v>4842</v>
      </c>
      <c r="AG20">
        <f>Portefeuille_ProgPropose10[[#This Row],[AC 2026]]-Portefeuille_ProgPropose10[[#This Row],[AC 2026 Trimestre précédent]]</f>
        <v>212</v>
      </c>
      <c r="AH20">
        <f>Portefeuille_ProgPropose10[[#This Row],[TR 2026]]-Portefeuille_ProgPropose10[[#This Row],[TR 2026 Trimestre précédent]]</f>
        <v>4842</v>
      </c>
      <c r="AI20">
        <f>Portefeuille_ProgPropose10[[#This Row],[Écart AC 2026]]+Portefeuille_ProgPropose10[[#This Row],[Écart TR 2026]]</f>
        <v>5054</v>
      </c>
      <c r="AQ20"/>
      <c r="AZ20" s="14">
        <f>SUM(Portefeuille_ProgPropose10[[#This Row],[AC ANT]:[TR 2025]],Portefeuille_ProgPropose10[[#This Row],[AC 2026]:[TR 2026]],Portefeuille_ProgPropose10[[#This Row],[AC 2027]:[TR 2034]])</f>
        <v>10407</v>
      </c>
    </row>
    <row r="21" spans="1:52" x14ac:dyDescent="0.3">
      <c r="A21" t="s">
        <v>286</v>
      </c>
      <c r="C21" t="s">
        <v>101</v>
      </c>
      <c r="D21" t="s">
        <v>102</v>
      </c>
      <c r="E21" t="s">
        <v>136</v>
      </c>
      <c r="F21" t="s">
        <v>113</v>
      </c>
      <c r="G21" t="s">
        <v>16</v>
      </c>
      <c r="H21" t="s">
        <v>16</v>
      </c>
      <c r="I21" t="s">
        <v>131</v>
      </c>
      <c r="J21" t="s">
        <v>137</v>
      </c>
      <c r="K21" t="s">
        <v>138</v>
      </c>
      <c r="L21" t="s">
        <v>139</v>
      </c>
      <c r="M21" t="s">
        <v>109</v>
      </c>
      <c r="N21" t="s">
        <v>110</v>
      </c>
      <c r="O21" s="1">
        <v>45062</v>
      </c>
      <c r="P21" s="1">
        <v>45703</v>
      </c>
      <c r="Q21" s="1">
        <v>45962</v>
      </c>
      <c r="R21">
        <v>337</v>
      </c>
      <c r="S21">
        <v>41</v>
      </c>
      <c r="T21">
        <v>339</v>
      </c>
      <c r="V21">
        <v>350</v>
      </c>
      <c r="X21">
        <v>340</v>
      </c>
      <c r="Z21">
        <f>Portefeuille_ProgPropose10[[#This Row],[AC 2025]]-Portefeuille_ProgPropose10[[#This Row],[AC 2025 Trimestre précédent]]</f>
        <v>10</v>
      </c>
      <c r="AA21">
        <f>Portefeuille_ProgPropose10[[#This Row],[TR 2025]]-Portefeuille_ProgPropose10[[#This Row],[TR 2025 Trimestre précédent]]</f>
        <v>0</v>
      </c>
      <c r="AB21">
        <f>Portefeuille_ProgPropose10[[#This Row],[Écart AC 2025]]+Portefeuille_ProgPropose10[[#This Row],[Écart TR 2025]]</f>
        <v>10</v>
      </c>
      <c r="AC21">
        <v>1377</v>
      </c>
      <c r="AD21">
        <v>5741</v>
      </c>
      <c r="AE21">
        <v>1377</v>
      </c>
      <c r="AF21">
        <v>5741</v>
      </c>
      <c r="AG21">
        <f>Portefeuille_ProgPropose10[[#This Row],[AC 2026]]-Portefeuille_ProgPropose10[[#This Row],[AC 2026 Trimestre précédent]]</f>
        <v>0</v>
      </c>
      <c r="AH21">
        <f>Portefeuille_ProgPropose10[[#This Row],[TR 2026]]-Portefeuille_ProgPropose10[[#This Row],[TR 2026 Trimestre précédent]]</f>
        <v>0</v>
      </c>
      <c r="AI21">
        <f>Portefeuille_ProgPropose10[[#This Row],[Écart AC 2026]]+Portefeuille_ProgPropose10[[#This Row],[Écart TR 2026]]</f>
        <v>0</v>
      </c>
      <c r="AQ21"/>
      <c r="AZ21" s="14">
        <f>SUM(Portefeuille_ProgPropose10[[#This Row],[AC ANT]:[TR 2025]],Portefeuille_ProgPropose10[[#This Row],[AC 2026]:[TR 2026]],Portefeuille_ProgPropose10[[#This Row],[AC 2027]:[TR 2034]])</f>
        <v>8185</v>
      </c>
    </row>
    <row r="22" spans="1:52" x14ac:dyDescent="0.3">
      <c r="A22" t="s">
        <v>286</v>
      </c>
      <c r="C22" t="s">
        <v>101</v>
      </c>
      <c r="D22" t="s">
        <v>102</v>
      </c>
      <c r="E22" t="s">
        <v>128</v>
      </c>
      <c r="F22" t="s">
        <v>140</v>
      </c>
      <c r="G22" t="s">
        <v>16</v>
      </c>
      <c r="H22" t="s">
        <v>16</v>
      </c>
      <c r="I22" t="s">
        <v>105</v>
      </c>
      <c r="J22" t="s">
        <v>141</v>
      </c>
      <c r="K22" t="s">
        <v>142</v>
      </c>
      <c r="L22" t="s">
        <v>143</v>
      </c>
      <c r="M22" t="s">
        <v>109</v>
      </c>
      <c r="N22" t="s">
        <v>123</v>
      </c>
      <c r="O22" s="1">
        <v>42900</v>
      </c>
      <c r="P22" s="1">
        <v>45323</v>
      </c>
      <c r="Q22" s="1">
        <v>45884</v>
      </c>
      <c r="R22">
        <v>61</v>
      </c>
      <c r="Z22">
        <f>Portefeuille_ProgPropose10[[#This Row],[AC 2025]]-Portefeuille_ProgPropose10[[#This Row],[AC 2025 Trimestre précédent]]</f>
        <v>0</v>
      </c>
      <c r="AA22">
        <f>Portefeuille_ProgPropose10[[#This Row],[TR 2025]]-Portefeuille_ProgPropose10[[#This Row],[TR 2025 Trimestre précédent]]</f>
        <v>0</v>
      </c>
      <c r="AB22">
        <f>Portefeuille_ProgPropose10[[#This Row],[Écart AC 2025]]+Portefeuille_ProgPropose10[[#This Row],[Écart TR 2025]]</f>
        <v>0</v>
      </c>
      <c r="AC22">
        <v>370</v>
      </c>
      <c r="AD22">
        <v>4948</v>
      </c>
      <c r="AE22">
        <v>370</v>
      </c>
      <c r="AF22">
        <v>4948</v>
      </c>
      <c r="AG22">
        <f>Portefeuille_ProgPropose10[[#This Row],[AC 2026]]-Portefeuille_ProgPropose10[[#This Row],[AC 2026 Trimestre précédent]]</f>
        <v>0</v>
      </c>
      <c r="AH22">
        <f>Portefeuille_ProgPropose10[[#This Row],[TR 2026]]-Portefeuille_ProgPropose10[[#This Row],[TR 2026 Trimestre précédent]]</f>
        <v>0</v>
      </c>
      <c r="AI22">
        <f>Portefeuille_ProgPropose10[[#This Row],[Écart AC 2026]]+Portefeuille_ProgPropose10[[#This Row],[Écart TR 2026]]</f>
        <v>0</v>
      </c>
      <c r="AQ22"/>
      <c r="AZ22" s="14">
        <f>SUM(Portefeuille_ProgPropose10[[#This Row],[AC ANT]:[TR 2025]],Portefeuille_ProgPropose10[[#This Row],[AC 2026]:[TR 2026]],Portefeuille_ProgPropose10[[#This Row],[AC 2027]:[TR 2034]])</f>
        <v>5379</v>
      </c>
    </row>
    <row r="23" spans="1:52" x14ac:dyDescent="0.3">
      <c r="A23" t="s">
        <v>286</v>
      </c>
      <c r="B23">
        <v>1</v>
      </c>
      <c r="C23" t="s">
        <v>126</v>
      </c>
      <c r="D23" t="s">
        <v>127</v>
      </c>
      <c r="E23" t="s">
        <v>128</v>
      </c>
      <c r="F23" t="s">
        <v>129</v>
      </c>
      <c r="G23" t="s">
        <v>16</v>
      </c>
      <c r="H23" t="s">
        <v>130</v>
      </c>
      <c r="I23" t="s">
        <v>131</v>
      </c>
      <c r="J23" t="s">
        <v>132</v>
      </c>
      <c r="K23" t="s">
        <v>288</v>
      </c>
      <c r="L23" t="s">
        <v>134</v>
      </c>
      <c r="M23" t="s">
        <v>109</v>
      </c>
      <c r="N23" t="s">
        <v>110</v>
      </c>
      <c r="O23" s="1">
        <v>45218</v>
      </c>
      <c r="P23" s="1">
        <v>45695</v>
      </c>
      <c r="Q23" s="1">
        <v>45945</v>
      </c>
      <c r="T23">
        <v>10</v>
      </c>
      <c r="V23">
        <v>10</v>
      </c>
      <c r="X23">
        <v>10</v>
      </c>
      <c r="Z23">
        <f>Portefeuille_ProgPropose10[[#This Row],[AC 2025]]-Portefeuille_ProgPropose10[[#This Row],[AC 2025 Trimestre précédent]]</f>
        <v>0</v>
      </c>
      <c r="AA23">
        <f>Portefeuille_ProgPropose10[[#This Row],[TR 2025]]-Portefeuille_ProgPropose10[[#This Row],[TR 2025 Trimestre précédent]]</f>
        <v>0</v>
      </c>
      <c r="AB23">
        <f>Portefeuille_ProgPropose10[[#This Row],[Écart AC 2025]]+Portefeuille_ProgPropose10[[#This Row],[Écart TR 2025]]</f>
        <v>0</v>
      </c>
      <c r="AC23">
        <v>100</v>
      </c>
      <c r="AD23">
        <v>4584</v>
      </c>
      <c r="AE23">
        <v>100</v>
      </c>
      <c r="AF23">
        <v>6584</v>
      </c>
      <c r="AG23">
        <f>Portefeuille_ProgPropose10[[#This Row],[AC 2026]]-Portefeuille_ProgPropose10[[#This Row],[AC 2026 Trimestre précédent]]</f>
        <v>0</v>
      </c>
      <c r="AH23">
        <f>Portefeuille_ProgPropose10[[#This Row],[TR 2026]]-Portefeuille_ProgPropose10[[#This Row],[TR 2026 Trimestre précédent]]</f>
        <v>-2000</v>
      </c>
      <c r="AI23">
        <f>Portefeuille_ProgPropose10[[#This Row],[Écart AC 2026]]+Portefeuille_ProgPropose10[[#This Row],[Écart TR 2026]]</f>
        <v>-2000</v>
      </c>
      <c r="AQ23"/>
      <c r="AZ23" s="14">
        <f>SUM(Portefeuille_ProgPropose10[[#This Row],[AC ANT]:[TR 2025]],Portefeuille_ProgPropose10[[#This Row],[AC 2026]:[TR 2026]],Portefeuille_ProgPropose10[[#This Row],[AC 2027]:[TR 2034]])</f>
        <v>4704</v>
      </c>
    </row>
    <row r="24" spans="1:52" x14ac:dyDescent="0.3">
      <c r="A24" t="s">
        <v>286</v>
      </c>
      <c r="B24">
        <v>11</v>
      </c>
      <c r="C24" t="s">
        <v>101</v>
      </c>
      <c r="D24" t="s">
        <v>102</v>
      </c>
      <c r="E24" t="s">
        <v>128</v>
      </c>
      <c r="F24" t="s">
        <v>149</v>
      </c>
      <c r="G24" t="s">
        <v>16</v>
      </c>
      <c r="H24" t="s">
        <v>20</v>
      </c>
      <c r="I24" t="s">
        <v>131</v>
      </c>
      <c r="J24" t="s">
        <v>150</v>
      </c>
      <c r="K24" t="s">
        <v>151</v>
      </c>
      <c r="L24" t="s">
        <v>152</v>
      </c>
      <c r="M24" t="s">
        <v>109</v>
      </c>
      <c r="N24" t="s">
        <v>110</v>
      </c>
      <c r="O24" s="1">
        <v>45079</v>
      </c>
      <c r="P24" s="1">
        <v>45698</v>
      </c>
      <c r="Q24" s="1">
        <v>45860</v>
      </c>
      <c r="R24">
        <v>12</v>
      </c>
      <c r="T24">
        <v>162</v>
      </c>
      <c r="V24">
        <v>100</v>
      </c>
      <c r="X24">
        <v>144</v>
      </c>
      <c r="Y24">
        <v>3159</v>
      </c>
      <c r="Z24">
        <f>Portefeuille_ProgPropose10[[#This Row],[AC 2025]]-Portefeuille_ProgPropose10[[#This Row],[AC 2025 Trimestre précédent]]</f>
        <v>-44</v>
      </c>
      <c r="AA24">
        <f>Portefeuille_ProgPropose10[[#This Row],[TR 2025]]-Portefeuille_ProgPropose10[[#This Row],[TR 2025 Trimestre précédent]]</f>
        <v>-3159</v>
      </c>
      <c r="AB24">
        <f>Portefeuille_ProgPropose10[[#This Row],[Écart AC 2025]]+Portefeuille_ProgPropose10[[#This Row],[Écart TR 2025]]</f>
        <v>-3203</v>
      </c>
      <c r="AC24">
        <v>300</v>
      </c>
      <c r="AD24">
        <v>4221</v>
      </c>
      <c r="AE24">
        <v>43</v>
      </c>
      <c r="AF24">
        <v>2781</v>
      </c>
      <c r="AG24">
        <f>Portefeuille_ProgPropose10[[#This Row],[AC 2026]]-Portefeuille_ProgPropose10[[#This Row],[AC 2026 Trimestre précédent]]</f>
        <v>257</v>
      </c>
      <c r="AH24">
        <f>Portefeuille_ProgPropose10[[#This Row],[TR 2026]]-Portefeuille_ProgPropose10[[#This Row],[TR 2026 Trimestre précédent]]</f>
        <v>1440</v>
      </c>
      <c r="AI24">
        <f>Portefeuille_ProgPropose10[[#This Row],[Écart AC 2026]]+Portefeuille_ProgPropose10[[#This Row],[Écart TR 2026]]</f>
        <v>1697</v>
      </c>
      <c r="AJ24">
        <v>43</v>
      </c>
      <c r="AK24">
        <v>4139</v>
      </c>
      <c r="AQ24"/>
      <c r="AZ24" s="14">
        <f>SUM(Portefeuille_ProgPropose10[[#This Row],[AC ANT]:[TR 2025]],Portefeuille_ProgPropose10[[#This Row],[AC 2026]:[TR 2026]],Portefeuille_ProgPropose10[[#This Row],[AC 2027]:[TR 2034]])</f>
        <v>8977</v>
      </c>
    </row>
    <row r="25" spans="1:52" x14ac:dyDescent="0.3">
      <c r="A25" t="s">
        <v>286</v>
      </c>
      <c r="B25">
        <v>9</v>
      </c>
      <c r="C25" t="s">
        <v>118</v>
      </c>
      <c r="D25" t="s">
        <v>102</v>
      </c>
      <c r="E25" t="s">
        <v>136</v>
      </c>
      <c r="F25" t="s">
        <v>104</v>
      </c>
      <c r="G25" t="s">
        <v>20</v>
      </c>
      <c r="H25" t="s">
        <v>20</v>
      </c>
      <c r="I25" t="s">
        <v>131</v>
      </c>
      <c r="J25" t="s">
        <v>157</v>
      </c>
      <c r="K25" t="s">
        <v>158</v>
      </c>
      <c r="L25" t="s">
        <v>159</v>
      </c>
      <c r="M25" t="s">
        <v>109</v>
      </c>
      <c r="N25" t="s">
        <v>155</v>
      </c>
      <c r="O25" s="1">
        <v>45731</v>
      </c>
      <c r="P25" s="1"/>
      <c r="Q25" s="1">
        <v>45884</v>
      </c>
      <c r="V25">
        <v>150</v>
      </c>
      <c r="X25">
        <v>150</v>
      </c>
      <c r="Z25">
        <f>Portefeuille_ProgPropose10[[#This Row],[AC 2025]]-Portefeuille_ProgPropose10[[#This Row],[AC 2025 Trimestre précédent]]</f>
        <v>0</v>
      </c>
      <c r="AA25">
        <f>Portefeuille_ProgPropose10[[#This Row],[TR 2025]]-Portefeuille_ProgPropose10[[#This Row],[TR 2025 Trimestre précédent]]</f>
        <v>0</v>
      </c>
      <c r="AB25">
        <f>Portefeuille_ProgPropose10[[#This Row],[Écart AC 2025]]+Portefeuille_ProgPropose10[[#This Row],[Écart TR 2025]]</f>
        <v>0</v>
      </c>
      <c r="AC25">
        <v>150</v>
      </c>
      <c r="AD25">
        <v>650</v>
      </c>
      <c r="AE25">
        <v>150</v>
      </c>
      <c r="AF25">
        <v>650</v>
      </c>
      <c r="AG25">
        <f>Portefeuille_ProgPropose10[[#This Row],[AC 2026]]-Portefeuille_ProgPropose10[[#This Row],[AC 2026 Trimestre précédent]]</f>
        <v>0</v>
      </c>
      <c r="AH25">
        <f>Portefeuille_ProgPropose10[[#This Row],[TR 2026]]-Portefeuille_ProgPropose10[[#This Row],[TR 2026 Trimestre précédent]]</f>
        <v>0</v>
      </c>
      <c r="AI25">
        <f>Portefeuille_ProgPropose10[[#This Row],[Écart AC 2026]]+Portefeuille_ProgPropose10[[#This Row],[Écart TR 2026]]</f>
        <v>0</v>
      </c>
      <c r="AQ25"/>
      <c r="AZ25" s="14">
        <f>SUM(Portefeuille_ProgPropose10[[#This Row],[AC ANT]:[TR 2025]],Portefeuille_ProgPropose10[[#This Row],[AC 2026]:[TR 2026]],Portefeuille_ProgPropose10[[#This Row],[AC 2027]:[TR 2034]])</f>
        <v>950</v>
      </c>
    </row>
    <row r="26" spans="1:52" x14ac:dyDescent="0.3">
      <c r="A26" t="s">
        <v>286</v>
      </c>
      <c r="B26">
        <v>4</v>
      </c>
      <c r="C26" t="s">
        <v>101</v>
      </c>
      <c r="D26" t="s">
        <v>102</v>
      </c>
      <c r="E26" t="s">
        <v>119</v>
      </c>
      <c r="F26" t="s">
        <v>129</v>
      </c>
      <c r="G26" t="s">
        <v>20</v>
      </c>
      <c r="H26" t="s">
        <v>20</v>
      </c>
      <c r="I26" t="s">
        <v>131</v>
      </c>
      <c r="J26" t="s">
        <v>153</v>
      </c>
      <c r="K26" t="s">
        <v>154</v>
      </c>
      <c r="L26" t="s">
        <v>134</v>
      </c>
      <c r="M26" t="s">
        <v>109</v>
      </c>
      <c r="N26" t="s">
        <v>123</v>
      </c>
      <c r="O26" s="1">
        <v>45601</v>
      </c>
      <c r="P26" s="1">
        <v>45731</v>
      </c>
      <c r="Q26" s="1">
        <v>45976</v>
      </c>
      <c r="V26">
        <v>20</v>
      </c>
      <c r="X26">
        <v>75</v>
      </c>
      <c r="Z26">
        <f>Portefeuille_ProgPropose10[[#This Row],[AC 2025]]-Portefeuille_ProgPropose10[[#This Row],[AC 2025 Trimestre précédent]]</f>
        <v>-55</v>
      </c>
      <c r="AA26">
        <f>Portefeuille_ProgPropose10[[#This Row],[TR 2025]]-Portefeuille_ProgPropose10[[#This Row],[TR 2025 Trimestre précédent]]</f>
        <v>0</v>
      </c>
      <c r="AB26">
        <f>Portefeuille_ProgPropose10[[#This Row],[Écart AC 2025]]+Portefeuille_ProgPropose10[[#This Row],[Écart TR 2025]]</f>
        <v>-55</v>
      </c>
      <c r="AC26">
        <v>55</v>
      </c>
      <c r="AD26">
        <v>543</v>
      </c>
      <c r="AE26">
        <v>150</v>
      </c>
      <c r="AF26">
        <v>1000</v>
      </c>
      <c r="AG26">
        <f>Portefeuille_ProgPropose10[[#This Row],[AC 2026]]-Portefeuille_ProgPropose10[[#This Row],[AC 2026 Trimestre précédent]]</f>
        <v>-95</v>
      </c>
      <c r="AH26">
        <f>Portefeuille_ProgPropose10[[#This Row],[TR 2026]]-Portefeuille_ProgPropose10[[#This Row],[TR 2026 Trimestre précédent]]</f>
        <v>-457</v>
      </c>
      <c r="AI26">
        <f>Portefeuille_ProgPropose10[[#This Row],[Écart AC 2026]]+Portefeuille_ProgPropose10[[#This Row],[Écart TR 2026]]</f>
        <v>-552</v>
      </c>
      <c r="AQ26"/>
      <c r="AZ26" s="14">
        <f>SUM(Portefeuille_ProgPropose10[[#This Row],[AC ANT]:[TR 2025]],Portefeuille_ProgPropose10[[#This Row],[AC 2026]:[TR 2026]],Portefeuille_ProgPropose10[[#This Row],[AC 2027]:[TR 2034]])</f>
        <v>618</v>
      </c>
    </row>
    <row r="27" spans="1:52" x14ac:dyDescent="0.3">
      <c r="A27" t="s">
        <v>286</v>
      </c>
      <c r="B27">
        <v>2</v>
      </c>
      <c r="C27" t="s">
        <v>126</v>
      </c>
      <c r="D27" t="s">
        <v>127</v>
      </c>
      <c r="E27" t="s">
        <v>177</v>
      </c>
      <c r="F27" t="s">
        <v>206</v>
      </c>
      <c r="G27" t="s">
        <v>16</v>
      </c>
      <c r="H27" t="s">
        <v>130</v>
      </c>
      <c r="I27" t="s">
        <v>223</v>
      </c>
      <c r="J27" t="s">
        <v>224</v>
      </c>
      <c r="K27" t="s">
        <v>520</v>
      </c>
      <c r="L27" t="s">
        <v>180</v>
      </c>
      <c r="M27" t="s">
        <v>109</v>
      </c>
      <c r="N27" t="s">
        <v>110</v>
      </c>
      <c r="O27" s="1">
        <v>44623</v>
      </c>
      <c r="P27" s="1">
        <v>45731</v>
      </c>
      <c r="Q27" s="1">
        <v>46006</v>
      </c>
      <c r="R27">
        <v>180.00000000000003</v>
      </c>
      <c r="T27">
        <v>102</v>
      </c>
      <c r="V27">
        <v>283</v>
      </c>
      <c r="X27">
        <v>283</v>
      </c>
      <c r="Z27">
        <f>Portefeuille_ProgPropose10[[#This Row],[AC 2025]]-Portefeuille_ProgPropose10[[#This Row],[AC 2025 Trimestre précédent]]</f>
        <v>0</v>
      </c>
      <c r="AA27">
        <f>Portefeuille_ProgPropose10[[#This Row],[TR 2025]]-Portefeuille_ProgPropose10[[#This Row],[TR 2025 Trimestre précédent]]</f>
        <v>0</v>
      </c>
      <c r="AB27">
        <f>Portefeuille_ProgPropose10[[#This Row],[Écart AC 2025]]+Portefeuille_ProgPropose10[[#This Row],[Écart TR 2025]]</f>
        <v>0</v>
      </c>
      <c r="AC27">
        <v>53.000000000000007</v>
      </c>
      <c r="AD27">
        <v>354.99999999999994</v>
      </c>
      <c r="AE27">
        <v>53.000000000000014</v>
      </c>
      <c r="AG27">
        <f>Portefeuille_ProgPropose10[[#This Row],[AC 2026]]-Portefeuille_ProgPropose10[[#This Row],[AC 2026 Trimestre précédent]]</f>
        <v>0</v>
      </c>
      <c r="AH27">
        <f>Portefeuille_ProgPropose10[[#This Row],[TR 2026]]-Portefeuille_ProgPropose10[[#This Row],[TR 2026 Trimestre précédent]]</f>
        <v>354.99999999999994</v>
      </c>
      <c r="AI27">
        <f>Portefeuille_ProgPropose10[[#This Row],[Écart AC 2026]]+Portefeuille_ProgPropose10[[#This Row],[Écart TR 2026]]</f>
        <v>354.99999999999994</v>
      </c>
      <c r="AJ27">
        <v>106.00000000000001</v>
      </c>
      <c r="AK27">
        <v>1610</v>
      </c>
      <c r="AL27">
        <v>106.00000000000001</v>
      </c>
      <c r="AM27">
        <v>4929</v>
      </c>
      <c r="AN27">
        <v>159</v>
      </c>
      <c r="AO27">
        <v>6707.0000000000018</v>
      </c>
      <c r="AP27">
        <v>100</v>
      </c>
      <c r="AQ27">
        <v>6846.0000000000018</v>
      </c>
      <c r="AR27">
        <v>100</v>
      </c>
      <c r="AZ27" s="14">
        <f>SUM(Portefeuille_ProgPropose10[[#This Row],[AC ANT]:[TR 2025]],Portefeuille_ProgPropose10[[#This Row],[AC 2026]:[TR 2026]],Portefeuille_ProgPropose10[[#This Row],[AC 2027]:[TR 2034]])</f>
        <v>21636.000000000004</v>
      </c>
    </row>
    <row r="28" spans="1:52" x14ac:dyDescent="0.3">
      <c r="A28" t="s">
        <v>286</v>
      </c>
      <c r="C28" t="s">
        <v>126</v>
      </c>
      <c r="D28" t="s">
        <v>127</v>
      </c>
      <c r="E28" t="s">
        <v>136</v>
      </c>
      <c r="F28" t="s">
        <v>104</v>
      </c>
      <c r="G28" t="s">
        <v>16</v>
      </c>
      <c r="H28" t="s">
        <v>16</v>
      </c>
      <c r="I28" t="s">
        <v>105</v>
      </c>
      <c r="J28" t="s">
        <v>162</v>
      </c>
      <c r="K28" t="s">
        <v>163</v>
      </c>
      <c r="L28" t="s">
        <v>122</v>
      </c>
      <c r="M28" t="s">
        <v>176</v>
      </c>
      <c r="N28" t="s">
        <v>164</v>
      </c>
      <c r="O28" s="1"/>
      <c r="P28" s="1"/>
      <c r="Q28" s="1"/>
      <c r="R28">
        <v>5398</v>
      </c>
      <c r="S28">
        <v>28152</v>
      </c>
      <c r="T28">
        <v>79</v>
      </c>
      <c r="U28">
        <v>891</v>
      </c>
      <c r="V28">
        <v>399</v>
      </c>
      <c r="W28">
        <v>67</v>
      </c>
      <c r="X28">
        <v>49</v>
      </c>
      <c r="Y28">
        <v>67</v>
      </c>
      <c r="Z28">
        <f>Portefeuille_ProgPropose10[[#This Row],[AC 2025]]-Portefeuille_ProgPropose10[[#This Row],[AC 2025 Trimestre précédent]]</f>
        <v>350</v>
      </c>
      <c r="AA28">
        <f>Portefeuille_ProgPropose10[[#This Row],[TR 2025]]-Portefeuille_ProgPropose10[[#This Row],[TR 2025 Trimestre précédent]]</f>
        <v>0</v>
      </c>
      <c r="AB28">
        <f>Portefeuille_ProgPropose10[[#This Row],[Écart AC 2025]]+Portefeuille_ProgPropose10[[#This Row],[Écart TR 2025]]</f>
        <v>350</v>
      </c>
      <c r="AC28">
        <v>60</v>
      </c>
      <c r="AD28"/>
      <c r="AE28">
        <v>30</v>
      </c>
      <c r="AG28">
        <f>Portefeuille_ProgPropose10[[#This Row],[AC 2026]]-Portefeuille_ProgPropose10[[#This Row],[AC 2026 Trimestre précédent]]</f>
        <v>30</v>
      </c>
      <c r="AH28">
        <f>Portefeuille_ProgPropose10[[#This Row],[TR 2026]]-Portefeuille_ProgPropose10[[#This Row],[TR 2026 Trimestre précédent]]</f>
        <v>0</v>
      </c>
      <c r="AI28">
        <f>Portefeuille_ProgPropose10[[#This Row],[Écart AC 2026]]+Portefeuille_ProgPropose10[[#This Row],[Écart TR 2026]]</f>
        <v>30</v>
      </c>
      <c r="AQ28"/>
      <c r="AZ28" s="14">
        <f>SUM(Portefeuille_ProgPropose10[[#This Row],[AC ANT]:[TR 2025]],Portefeuille_ProgPropose10[[#This Row],[AC 2026]:[TR 2026]],Portefeuille_ProgPropose10[[#This Row],[AC 2027]:[TR 2034]])</f>
        <v>35046</v>
      </c>
    </row>
    <row r="29" spans="1:52" x14ac:dyDescent="0.3">
      <c r="A29" t="s">
        <v>286</v>
      </c>
      <c r="C29" t="s">
        <v>101</v>
      </c>
      <c r="D29" t="s">
        <v>102</v>
      </c>
      <c r="E29" t="s">
        <v>103</v>
      </c>
      <c r="F29" t="s">
        <v>140</v>
      </c>
      <c r="G29" t="s">
        <v>16</v>
      </c>
      <c r="H29" t="s">
        <v>16</v>
      </c>
      <c r="I29" t="s">
        <v>105</v>
      </c>
      <c r="J29" t="s">
        <v>174</v>
      </c>
      <c r="K29" t="s">
        <v>175</v>
      </c>
      <c r="L29" t="s">
        <v>143</v>
      </c>
      <c r="M29" t="s">
        <v>176</v>
      </c>
      <c r="N29" t="s">
        <v>164</v>
      </c>
      <c r="O29" s="1">
        <v>44014</v>
      </c>
      <c r="P29" s="1">
        <v>44294</v>
      </c>
      <c r="Q29" s="1">
        <v>45239</v>
      </c>
      <c r="R29">
        <v>389</v>
      </c>
      <c r="S29">
        <v>4986</v>
      </c>
      <c r="T29">
        <v>729</v>
      </c>
      <c r="U29">
        <v>28833</v>
      </c>
      <c r="V29">
        <v>399</v>
      </c>
      <c r="W29">
        <v>11768</v>
      </c>
      <c r="X29">
        <v>300</v>
      </c>
      <c r="Y29">
        <v>16142</v>
      </c>
      <c r="Z29">
        <f>Portefeuille_ProgPropose10[[#This Row],[AC 2025]]-Portefeuille_ProgPropose10[[#This Row],[AC 2025 Trimestre précédent]]</f>
        <v>99</v>
      </c>
      <c r="AA29">
        <f>Portefeuille_ProgPropose10[[#This Row],[TR 2025]]-Portefeuille_ProgPropose10[[#This Row],[TR 2025 Trimestre précédent]]</f>
        <v>-4374</v>
      </c>
      <c r="AB29">
        <f>Portefeuille_ProgPropose10[[#This Row],[Écart AC 2025]]+Portefeuille_ProgPropose10[[#This Row],[Écart TR 2025]]</f>
        <v>-4275</v>
      </c>
      <c r="AD29"/>
      <c r="AG29">
        <f>Portefeuille_ProgPropose10[[#This Row],[AC 2026]]-Portefeuille_ProgPropose10[[#This Row],[AC 2026 Trimestre précédent]]</f>
        <v>0</v>
      </c>
      <c r="AH29">
        <f>Portefeuille_ProgPropose10[[#This Row],[TR 2026]]-Portefeuille_ProgPropose10[[#This Row],[TR 2026 Trimestre précédent]]</f>
        <v>0</v>
      </c>
      <c r="AI29">
        <f>Portefeuille_ProgPropose10[[#This Row],[Écart AC 2026]]+Portefeuille_ProgPropose10[[#This Row],[Écart TR 2026]]</f>
        <v>0</v>
      </c>
      <c r="AQ29"/>
      <c r="AZ29" s="14">
        <f>SUM(Portefeuille_ProgPropose10[[#This Row],[AC ANT]:[TR 2025]],Portefeuille_ProgPropose10[[#This Row],[AC 2026]:[TR 2026]],Portefeuille_ProgPropose10[[#This Row],[AC 2027]:[TR 2034]])</f>
        <v>47104</v>
      </c>
    </row>
    <row r="30" spans="1:52" x14ac:dyDescent="0.3">
      <c r="A30" t="s">
        <v>286</v>
      </c>
      <c r="C30" t="s">
        <v>101</v>
      </c>
      <c r="D30" t="s">
        <v>102</v>
      </c>
      <c r="E30" t="s">
        <v>136</v>
      </c>
      <c r="F30" t="s">
        <v>104</v>
      </c>
      <c r="G30" t="s">
        <v>16</v>
      </c>
      <c r="H30" t="s">
        <v>20</v>
      </c>
      <c r="I30" t="s">
        <v>105</v>
      </c>
      <c r="J30" t="s">
        <v>170</v>
      </c>
      <c r="K30" t="s">
        <v>171</v>
      </c>
      <c r="L30" t="s">
        <v>172</v>
      </c>
      <c r="M30" t="s">
        <v>173</v>
      </c>
      <c r="N30" t="s">
        <v>110</v>
      </c>
      <c r="O30" s="1">
        <v>44833</v>
      </c>
      <c r="P30" s="1">
        <v>46006</v>
      </c>
      <c r="Q30" s="1">
        <v>46310</v>
      </c>
      <c r="R30">
        <v>497</v>
      </c>
      <c r="S30">
        <v>8</v>
      </c>
      <c r="T30">
        <v>217</v>
      </c>
      <c r="V30">
        <v>1064</v>
      </c>
      <c r="X30">
        <v>443</v>
      </c>
      <c r="Z30">
        <f>Portefeuille_ProgPropose10[[#This Row],[AC 2025]]-Portefeuille_ProgPropose10[[#This Row],[AC 2025 Trimestre précédent]]</f>
        <v>621</v>
      </c>
      <c r="AA30">
        <f>Portefeuille_ProgPropose10[[#This Row],[TR 2025]]-Portefeuille_ProgPropose10[[#This Row],[TR 2025 Trimestre précédent]]</f>
        <v>0</v>
      </c>
      <c r="AB30">
        <f>Portefeuille_ProgPropose10[[#This Row],[Écart AC 2025]]+Portefeuille_ProgPropose10[[#This Row],[Écart TR 2025]]</f>
        <v>621</v>
      </c>
      <c r="AC30">
        <v>1008</v>
      </c>
      <c r="AD30"/>
      <c r="AE30">
        <v>346</v>
      </c>
      <c r="AG30">
        <f>Portefeuille_ProgPropose10[[#This Row],[AC 2026]]-Portefeuille_ProgPropose10[[#This Row],[AC 2026 Trimestre précédent]]</f>
        <v>662</v>
      </c>
      <c r="AH30">
        <f>Portefeuille_ProgPropose10[[#This Row],[TR 2026]]-Portefeuille_ProgPropose10[[#This Row],[TR 2026 Trimestre précédent]]</f>
        <v>0</v>
      </c>
      <c r="AI30">
        <f>Portefeuille_ProgPropose10[[#This Row],[Écart AC 2026]]+Portefeuille_ProgPropose10[[#This Row],[Écart TR 2026]]</f>
        <v>662</v>
      </c>
      <c r="AJ30">
        <v>1886</v>
      </c>
      <c r="AK30">
        <v>15737</v>
      </c>
      <c r="AL30">
        <v>704</v>
      </c>
      <c r="AM30">
        <v>4000</v>
      </c>
      <c r="AQ30"/>
      <c r="AZ30" s="14">
        <f>SUM(Portefeuille_ProgPropose10[[#This Row],[AC ANT]:[TR 2025]],Portefeuille_ProgPropose10[[#This Row],[AC 2026]:[TR 2026]],Portefeuille_ProgPropose10[[#This Row],[AC 2027]:[TR 2034]])</f>
        <v>25121</v>
      </c>
    </row>
    <row r="31" spans="1:52" x14ac:dyDescent="0.3">
      <c r="A31" t="s">
        <v>286</v>
      </c>
      <c r="C31" t="s">
        <v>101</v>
      </c>
      <c r="D31" t="s">
        <v>102</v>
      </c>
      <c r="E31" t="s">
        <v>177</v>
      </c>
      <c r="F31" t="s">
        <v>129</v>
      </c>
      <c r="G31" t="s">
        <v>16</v>
      </c>
      <c r="H31" t="s">
        <v>16</v>
      </c>
      <c r="I31" t="s">
        <v>131</v>
      </c>
      <c r="J31" t="s">
        <v>178</v>
      </c>
      <c r="K31" t="s">
        <v>179</v>
      </c>
      <c r="L31" t="s">
        <v>180</v>
      </c>
      <c r="M31" t="s">
        <v>176</v>
      </c>
      <c r="N31" t="s">
        <v>164</v>
      </c>
      <c r="O31" s="1"/>
      <c r="P31" s="1"/>
      <c r="Q31" s="1">
        <v>45195</v>
      </c>
      <c r="R31">
        <v>75</v>
      </c>
      <c r="S31">
        <v>101.00000000000001</v>
      </c>
      <c r="T31">
        <v>25</v>
      </c>
      <c r="U31">
        <v>1110</v>
      </c>
      <c r="V31">
        <v>73</v>
      </c>
      <c r="W31">
        <v>580</v>
      </c>
      <c r="X31">
        <v>15</v>
      </c>
      <c r="Y31">
        <v>548</v>
      </c>
      <c r="Z31">
        <f>Portefeuille_ProgPropose10[[#This Row],[AC 2025]]-Portefeuille_ProgPropose10[[#This Row],[AC 2025 Trimestre précédent]]</f>
        <v>58</v>
      </c>
      <c r="AA31">
        <f>Portefeuille_ProgPropose10[[#This Row],[TR 2025]]-Portefeuille_ProgPropose10[[#This Row],[TR 2025 Trimestre précédent]]</f>
        <v>32</v>
      </c>
      <c r="AB31">
        <f>Portefeuille_ProgPropose10[[#This Row],[Écart AC 2025]]+Portefeuille_ProgPropose10[[#This Row],[Écart TR 2025]]</f>
        <v>90</v>
      </c>
      <c r="AD31"/>
      <c r="AG31">
        <f>Portefeuille_ProgPropose10[[#This Row],[AC 2026]]-Portefeuille_ProgPropose10[[#This Row],[AC 2026 Trimestre précédent]]</f>
        <v>0</v>
      </c>
      <c r="AH31">
        <f>Portefeuille_ProgPropose10[[#This Row],[TR 2026]]-Portefeuille_ProgPropose10[[#This Row],[TR 2026 Trimestre précédent]]</f>
        <v>0</v>
      </c>
      <c r="AI31">
        <f>Portefeuille_ProgPropose10[[#This Row],[Écart AC 2026]]+Portefeuille_ProgPropose10[[#This Row],[Écart TR 2026]]</f>
        <v>0</v>
      </c>
      <c r="AQ31"/>
      <c r="AZ31" s="14">
        <f>SUM(Portefeuille_ProgPropose10[[#This Row],[AC ANT]:[TR 2025]],Portefeuille_ProgPropose10[[#This Row],[AC 2026]:[TR 2026]],Portefeuille_ProgPropose10[[#This Row],[AC 2027]:[TR 2034]])</f>
        <v>1964</v>
      </c>
    </row>
    <row r="32" spans="1:52" x14ac:dyDescent="0.3">
      <c r="A32" t="s">
        <v>286</v>
      </c>
      <c r="C32" t="s">
        <v>101</v>
      </c>
      <c r="D32" t="s">
        <v>102</v>
      </c>
      <c r="E32" t="s">
        <v>136</v>
      </c>
      <c r="F32" t="s">
        <v>113</v>
      </c>
      <c r="G32" t="s">
        <v>16</v>
      </c>
      <c r="H32" t="s">
        <v>20</v>
      </c>
      <c r="I32" t="s">
        <v>105</v>
      </c>
      <c r="J32" t="s">
        <v>166</v>
      </c>
      <c r="K32" t="s">
        <v>167</v>
      </c>
      <c r="L32" t="s">
        <v>168</v>
      </c>
      <c r="M32" t="s">
        <v>169</v>
      </c>
      <c r="N32" t="s">
        <v>155</v>
      </c>
      <c r="O32" s="1">
        <v>45884</v>
      </c>
      <c r="P32" s="1">
        <v>46402</v>
      </c>
      <c r="Q32" s="1">
        <v>46980</v>
      </c>
      <c r="R32">
        <v>71</v>
      </c>
      <c r="T32">
        <v>5</v>
      </c>
      <c r="V32">
        <v>120</v>
      </c>
      <c r="X32">
        <v>120</v>
      </c>
      <c r="Z32">
        <f>Portefeuille_ProgPropose10[[#This Row],[AC 2025]]-Portefeuille_ProgPropose10[[#This Row],[AC 2025 Trimestre précédent]]</f>
        <v>0</v>
      </c>
      <c r="AA32">
        <f>Portefeuille_ProgPropose10[[#This Row],[TR 2025]]-Portefeuille_ProgPropose10[[#This Row],[TR 2025 Trimestre précédent]]</f>
        <v>0</v>
      </c>
      <c r="AB32">
        <f>Portefeuille_ProgPropose10[[#This Row],[Écart AC 2025]]+Portefeuille_ProgPropose10[[#This Row],[Écart TR 2025]]</f>
        <v>0</v>
      </c>
      <c r="AC32">
        <v>210</v>
      </c>
      <c r="AD32"/>
      <c r="AE32">
        <v>210</v>
      </c>
      <c r="AG32">
        <f>Portefeuille_ProgPropose10[[#This Row],[AC 2026]]-Portefeuille_ProgPropose10[[#This Row],[AC 2026 Trimestre précédent]]</f>
        <v>0</v>
      </c>
      <c r="AH32">
        <f>Portefeuille_ProgPropose10[[#This Row],[TR 2026]]-Portefeuille_ProgPropose10[[#This Row],[TR 2026 Trimestre précédent]]</f>
        <v>0</v>
      </c>
      <c r="AI32">
        <f>Portefeuille_ProgPropose10[[#This Row],[Écart AC 2026]]+Portefeuille_ProgPropose10[[#This Row],[Écart TR 2026]]</f>
        <v>0</v>
      </c>
      <c r="AJ32">
        <v>310</v>
      </c>
      <c r="AL32">
        <v>310</v>
      </c>
      <c r="AN32">
        <v>395</v>
      </c>
      <c r="AO32">
        <v>2000</v>
      </c>
      <c r="AP32">
        <v>395</v>
      </c>
      <c r="AQ32">
        <v>2000</v>
      </c>
      <c r="AR32">
        <v>395</v>
      </c>
      <c r="AS32">
        <v>18319</v>
      </c>
      <c r="AZ32" s="14">
        <f>SUM(Portefeuille_ProgPropose10[[#This Row],[AC ANT]:[TR 2025]],Portefeuille_ProgPropose10[[#This Row],[AC 2026]:[TR 2026]],Portefeuille_ProgPropose10[[#This Row],[AC 2027]:[TR 2034]])</f>
        <v>24530</v>
      </c>
    </row>
    <row r="33" spans="1:52" x14ac:dyDescent="0.3">
      <c r="A33" t="s">
        <v>286</v>
      </c>
      <c r="C33" t="s">
        <v>118</v>
      </c>
      <c r="D33" t="s">
        <v>102</v>
      </c>
      <c r="E33" t="s">
        <v>103</v>
      </c>
      <c r="F33" t="s">
        <v>149</v>
      </c>
      <c r="G33" t="s">
        <v>16</v>
      </c>
      <c r="H33" t="s">
        <v>16</v>
      </c>
      <c r="I33" t="s">
        <v>131</v>
      </c>
      <c r="J33" t="s">
        <v>192</v>
      </c>
      <c r="K33" t="s">
        <v>193</v>
      </c>
      <c r="L33" t="s">
        <v>194</v>
      </c>
      <c r="M33" t="s">
        <v>176</v>
      </c>
      <c r="N33" t="s">
        <v>164</v>
      </c>
      <c r="O33" s="1">
        <v>44547</v>
      </c>
      <c r="P33" s="1">
        <v>45091</v>
      </c>
      <c r="Q33" s="1">
        <v>45375</v>
      </c>
      <c r="R33">
        <v>7</v>
      </c>
      <c r="T33">
        <v>81</v>
      </c>
      <c r="U33">
        <v>1350</v>
      </c>
      <c r="V33">
        <v>185</v>
      </c>
      <c r="W33">
        <v>4398</v>
      </c>
      <c r="X33">
        <v>185</v>
      </c>
      <c r="Y33">
        <v>5471</v>
      </c>
      <c r="Z33">
        <f>Portefeuille_ProgPropose10[[#This Row],[AC 2025]]-Portefeuille_ProgPropose10[[#This Row],[AC 2025 Trimestre précédent]]</f>
        <v>0</v>
      </c>
      <c r="AA33">
        <f>Portefeuille_ProgPropose10[[#This Row],[TR 2025]]-Portefeuille_ProgPropose10[[#This Row],[TR 2025 Trimestre précédent]]</f>
        <v>-1073</v>
      </c>
      <c r="AB33">
        <f>Portefeuille_ProgPropose10[[#This Row],[Écart AC 2025]]+Portefeuille_ProgPropose10[[#This Row],[Écart TR 2025]]</f>
        <v>-1073</v>
      </c>
      <c r="AD33"/>
      <c r="AG33">
        <f>Portefeuille_ProgPropose10[[#This Row],[AC 2026]]-Portefeuille_ProgPropose10[[#This Row],[AC 2026 Trimestre précédent]]</f>
        <v>0</v>
      </c>
      <c r="AH33">
        <f>Portefeuille_ProgPropose10[[#This Row],[TR 2026]]-Portefeuille_ProgPropose10[[#This Row],[TR 2026 Trimestre précédent]]</f>
        <v>0</v>
      </c>
      <c r="AI33">
        <f>Portefeuille_ProgPropose10[[#This Row],[Écart AC 2026]]+Portefeuille_ProgPropose10[[#This Row],[Écart TR 2026]]</f>
        <v>0</v>
      </c>
      <c r="AQ33"/>
      <c r="AZ33" s="14">
        <f>SUM(Portefeuille_ProgPropose10[[#This Row],[AC ANT]:[TR 2025]],Portefeuille_ProgPropose10[[#This Row],[AC 2026]:[TR 2026]],Portefeuille_ProgPropose10[[#This Row],[AC 2027]:[TR 2034]])</f>
        <v>6021</v>
      </c>
    </row>
    <row r="34" spans="1:52" x14ac:dyDescent="0.3">
      <c r="A34" t="s">
        <v>286</v>
      </c>
      <c r="B34">
        <v>1</v>
      </c>
      <c r="C34" t="s">
        <v>101</v>
      </c>
      <c r="D34" t="s">
        <v>102</v>
      </c>
      <c r="E34" t="s">
        <v>103</v>
      </c>
      <c r="F34" t="s">
        <v>104</v>
      </c>
      <c r="G34" t="s">
        <v>16</v>
      </c>
      <c r="H34" t="s">
        <v>130</v>
      </c>
      <c r="I34" t="s">
        <v>105</v>
      </c>
      <c r="J34" t="s">
        <v>215</v>
      </c>
      <c r="K34" t="s">
        <v>216</v>
      </c>
      <c r="L34" t="s">
        <v>217</v>
      </c>
      <c r="M34" t="s">
        <v>148</v>
      </c>
      <c r="N34" t="s">
        <v>164</v>
      </c>
      <c r="O34" s="1">
        <v>44838</v>
      </c>
      <c r="P34" s="1">
        <v>45441</v>
      </c>
      <c r="Q34" s="1">
        <v>45623</v>
      </c>
      <c r="R34">
        <v>218</v>
      </c>
      <c r="S34">
        <v>3</v>
      </c>
      <c r="T34">
        <v>98</v>
      </c>
      <c r="V34">
        <v>641</v>
      </c>
      <c r="W34">
        <v>12563</v>
      </c>
      <c r="X34">
        <v>641</v>
      </c>
      <c r="Y34">
        <v>11754</v>
      </c>
      <c r="Z34">
        <f>Portefeuille_ProgPropose10[[#This Row],[AC 2025]]-Portefeuille_ProgPropose10[[#This Row],[AC 2025 Trimestre précédent]]</f>
        <v>0</v>
      </c>
      <c r="AA34">
        <f>Portefeuille_ProgPropose10[[#This Row],[TR 2025]]-Portefeuille_ProgPropose10[[#This Row],[TR 2025 Trimestre précédent]]</f>
        <v>809</v>
      </c>
      <c r="AB34">
        <f>Portefeuille_ProgPropose10[[#This Row],[Écart AC 2025]]+Portefeuille_ProgPropose10[[#This Row],[Écart TR 2025]]</f>
        <v>809</v>
      </c>
      <c r="AD34"/>
      <c r="AG34">
        <f>Portefeuille_ProgPropose10[[#This Row],[AC 2026]]-Portefeuille_ProgPropose10[[#This Row],[AC 2026 Trimestre précédent]]</f>
        <v>0</v>
      </c>
      <c r="AH34">
        <f>Portefeuille_ProgPropose10[[#This Row],[TR 2026]]-Portefeuille_ProgPropose10[[#This Row],[TR 2026 Trimestre précédent]]</f>
        <v>0</v>
      </c>
      <c r="AI34">
        <f>Portefeuille_ProgPropose10[[#This Row],[Écart AC 2026]]+Portefeuille_ProgPropose10[[#This Row],[Écart TR 2026]]</f>
        <v>0</v>
      </c>
      <c r="AQ34"/>
      <c r="AZ34" s="14">
        <f>SUM(Portefeuille_ProgPropose10[[#This Row],[AC ANT]:[TR 2025]],Portefeuille_ProgPropose10[[#This Row],[AC 2026]:[TR 2026]],Portefeuille_ProgPropose10[[#This Row],[AC 2027]:[TR 2034]])</f>
        <v>13523</v>
      </c>
    </row>
    <row r="35" spans="1:52" x14ac:dyDescent="0.3">
      <c r="A35" t="s">
        <v>286</v>
      </c>
      <c r="C35" t="s">
        <v>101</v>
      </c>
      <c r="D35" t="s">
        <v>102</v>
      </c>
      <c r="E35" t="s">
        <v>200</v>
      </c>
      <c r="F35" t="s">
        <v>104</v>
      </c>
      <c r="G35" t="s">
        <v>16</v>
      </c>
      <c r="H35" t="s">
        <v>16</v>
      </c>
      <c r="I35" t="s">
        <v>105</v>
      </c>
      <c r="J35" t="s">
        <v>330</v>
      </c>
      <c r="K35" t="s">
        <v>331</v>
      </c>
      <c r="L35" t="s">
        <v>180</v>
      </c>
      <c r="M35" t="s">
        <v>176</v>
      </c>
      <c r="N35" t="s">
        <v>164</v>
      </c>
      <c r="O35" s="1">
        <v>43360</v>
      </c>
      <c r="P35" s="1">
        <v>43671</v>
      </c>
      <c r="Q35" s="1">
        <v>44217</v>
      </c>
      <c r="R35">
        <v>432</v>
      </c>
      <c r="S35">
        <v>3057</v>
      </c>
      <c r="T35">
        <v>260</v>
      </c>
      <c r="U35">
        <v>73</v>
      </c>
      <c r="V35">
        <v>13</v>
      </c>
      <c r="Z35">
        <f>Portefeuille_ProgPropose10[[#This Row],[AC 2025]]-Portefeuille_ProgPropose10[[#This Row],[AC 2025 Trimestre précédent]]</f>
        <v>13</v>
      </c>
      <c r="AA35">
        <f>Portefeuille_ProgPropose10[[#This Row],[TR 2025]]-Portefeuille_ProgPropose10[[#This Row],[TR 2025 Trimestre précédent]]</f>
        <v>0</v>
      </c>
      <c r="AB35">
        <f>Portefeuille_ProgPropose10[[#This Row],[Écart AC 2025]]+Portefeuille_ProgPropose10[[#This Row],[Écart TR 2025]]</f>
        <v>13</v>
      </c>
      <c r="AD35"/>
      <c r="AG35">
        <f>Portefeuille_ProgPropose10[[#This Row],[AC 2026]]-Portefeuille_ProgPropose10[[#This Row],[AC 2026 Trimestre précédent]]</f>
        <v>0</v>
      </c>
      <c r="AH35">
        <f>Portefeuille_ProgPropose10[[#This Row],[TR 2026]]-Portefeuille_ProgPropose10[[#This Row],[TR 2026 Trimestre précédent]]</f>
        <v>0</v>
      </c>
      <c r="AI35">
        <f>Portefeuille_ProgPropose10[[#This Row],[Écart AC 2026]]+Portefeuille_ProgPropose10[[#This Row],[Écart TR 2026]]</f>
        <v>0</v>
      </c>
      <c r="AQ35"/>
      <c r="AZ35" s="14">
        <f>SUM(Portefeuille_ProgPropose10[[#This Row],[AC ANT]:[TR 2025]],Portefeuille_ProgPropose10[[#This Row],[AC 2026]:[TR 2026]],Portefeuille_ProgPropose10[[#This Row],[AC 2027]:[TR 2034]])</f>
        <v>3835</v>
      </c>
    </row>
    <row r="36" spans="1:52" x14ac:dyDescent="0.3">
      <c r="A36" t="s">
        <v>286</v>
      </c>
      <c r="B36">
        <v>1</v>
      </c>
      <c r="C36" t="s">
        <v>118</v>
      </c>
      <c r="D36" t="s">
        <v>102</v>
      </c>
      <c r="E36" t="s">
        <v>136</v>
      </c>
      <c r="F36" t="s">
        <v>129</v>
      </c>
      <c r="G36" t="s">
        <v>16</v>
      </c>
      <c r="H36" t="s">
        <v>130</v>
      </c>
      <c r="I36" t="s">
        <v>131</v>
      </c>
      <c r="J36" t="s">
        <v>218</v>
      </c>
      <c r="K36" t="s">
        <v>219</v>
      </c>
      <c r="L36" t="s">
        <v>152</v>
      </c>
      <c r="M36" t="s">
        <v>148</v>
      </c>
      <c r="N36" t="s">
        <v>123</v>
      </c>
      <c r="O36" s="1">
        <v>45370</v>
      </c>
      <c r="P36" s="1"/>
      <c r="Q36" s="1">
        <v>45706</v>
      </c>
      <c r="R36">
        <v>6</v>
      </c>
      <c r="T36">
        <v>60</v>
      </c>
      <c r="V36">
        <v>54</v>
      </c>
      <c r="W36">
        <v>610</v>
      </c>
      <c r="X36">
        <v>54</v>
      </c>
      <c r="Y36">
        <v>610</v>
      </c>
      <c r="Z36">
        <f>Portefeuille_ProgPropose10[[#This Row],[AC 2025]]-Portefeuille_ProgPropose10[[#This Row],[AC 2025 Trimestre précédent]]</f>
        <v>0</v>
      </c>
      <c r="AA36">
        <f>Portefeuille_ProgPropose10[[#This Row],[TR 2025]]-Portefeuille_ProgPropose10[[#This Row],[TR 2025 Trimestre précédent]]</f>
        <v>0</v>
      </c>
      <c r="AB36">
        <f>Portefeuille_ProgPropose10[[#This Row],[Écart AC 2025]]+Portefeuille_ProgPropose10[[#This Row],[Écart TR 2025]]</f>
        <v>0</v>
      </c>
      <c r="AD36"/>
      <c r="AG36">
        <f>Portefeuille_ProgPropose10[[#This Row],[AC 2026]]-Portefeuille_ProgPropose10[[#This Row],[AC 2026 Trimestre précédent]]</f>
        <v>0</v>
      </c>
      <c r="AH36">
        <f>Portefeuille_ProgPropose10[[#This Row],[TR 2026]]-Portefeuille_ProgPropose10[[#This Row],[TR 2026 Trimestre précédent]]</f>
        <v>0</v>
      </c>
      <c r="AI36">
        <f>Portefeuille_ProgPropose10[[#This Row],[Écart AC 2026]]+Portefeuille_ProgPropose10[[#This Row],[Écart TR 2026]]</f>
        <v>0</v>
      </c>
      <c r="AQ36"/>
      <c r="AZ36" s="14">
        <f>SUM(Portefeuille_ProgPropose10[[#This Row],[AC ANT]:[TR 2025]],Portefeuille_ProgPropose10[[#This Row],[AC 2026]:[TR 2026]],Portefeuille_ProgPropose10[[#This Row],[AC 2027]:[TR 2034]])</f>
        <v>730</v>
      </c>
    </row>
    <row r="37" spans="1:52" x14ac:dyDescent="0.3">
      <c r="A37" t="s">
        <v>286</v>
      </c>
      <c r="B37">
        <v>10</v>
      </c>
      <c r="C37" t="s">
        <v>118</v>
      </c>
      <c r="D37" t="s">
        <v>102</v>
      </c>
      <c r="E37" t="s">
        <v>119</v>
      </c>
      <c r="F37" t="s">
        <v>113</v>
      </c>
      <c r="G37" t="s">
        <v>20</v>
      </c>
      <c r="H37" t="s">
        <v>20</v>
      </c>
      <c r="I37" t="s">
        <v>105</v>
      </c>
      <c r="J37" t="s">
        <v>120</v>
      </c>
      <c r="K37" t="s">
        <v>289</v>
      </c>
      <c r="L37" t="s">
        <v>122</v>
      </c>
      <c r="M37" t="s">
        <v>148</v>
      </c>
      <c r="N37" t="s">
        <v>291</v>
      </c>
      <c r="O37" s="1"/>
      <c r="P37" s="1"/>
      <c r="Q37" s="1">
        <v>45731</v>
      </c>
      <c r="V37">
        <v>322</v>
      </c>
      <c r="W37">
        <v>1000</v>
      </c>
      <c r="X37">
        <v>22</v>
      </c>
      <c r="Z37">
        <f>Portefeuille_ProgPropose10[[#This Row],[AC 2025]]-Portefeuille_ProgPropose10[[#This Row],[AC 2025 Trimestre précédent]]</f>
        <v>300</v>
      </c>
      <c r="AA37">
        <f>Portefeuille_ProgPropose10[[#This Row],[TR 2025]]-Portefeuille_ProgPropose10[[#This Row],[TR 2025 Trimestre précédent]]</f>
        <v>1000</v>
      </c>
      <c r="AB37">
        <f>Portefeuille_ProgPropose10[[#This Row],[Écart AC 2025]]+Portefeuille_ProgPropose10[[#This Row],[Écart TR 2025]]</f>
        <v>1300</v>
      </c>
      <c r="AD37"/>
      <c r="AE37">
        <v>300</v>
      </c>
      <c r="AF37">
        <v>6704</v>
      </c>
      <c r="AG37">
        <f>Portefeuille_ProgPropose10[[#This Row],[AC 2026]]-Portefeuille_ProgPropose10[[#This Row],[AC 2026 Trimestre précédent]]</f>
        <v>-300</v>
      </c>
      <c r="AH37">
        <f>Portefeuille_ProgPropose10[[#This Row],[TR 2026]]-Portefeuille_ProgPropose10[[#This Row],[TR 2026 Trimestre précédent]]</f>
        <v>-6704</v>
      </c>
      <c r="AI37">
        <f>Portefeuille_ProgPropose10[[#This Row],[Écart AC 2026]]+Portefeuille_ProgPropose10[[#This Row],[Écart TR 2026]]</f>
        <v>-7004</v>
      </c>
      <c r="AQ37"/>
      <c r="AZ37" s="14">
        <f>SUM(Portefeuille_ProgPropose10[[#This Row],[AC ANT]:[TR 2025]],Portefeuille_ProgPropose10[[#This Row],[AC 2026]:[TR 2026]],Portefeuille_ProgPropose10[[#This Row],[AC 2027]:[TR 2034]])</f>
        <v>1322</v>
      </c>
    </row>
    <row r="38" spans="1:52" x14ac:dyDescent="0.3">
      <c r="A38" t="s">
        <v>286</v>
      </c>
      <c r="C38" t="s">
        <v>101</v>
      </c>
      <c r="D38" t="s">
        <v>102</v>
      </c>
      <c r="E38" t="s">
        <v>200</v>
      </c>
      <c r="F38" t="s">
        <v>104</v>
      </c>
      <c r="G38" t="s">
        <v>16</v>
      </c>
      <c r="H38" t="s">
        <v>20</v>
      </c>
      <c r="I38" t="s">
        <v>105</v>
      </c>
      <c r="J38" t="s">
        <v>201</v>
      </c>
      <c r="K38" t="s">
        <v>202</v>
      </c>
      <c r="L38" t="s">
        <v>108</v>
      </c>
      <c r="M38" s="2"/>
      <c r="N38" t="s">
        <v>155</v>
      </c>
      <c r="O38" s="1"/>
      <c r="P38" s="1"/>
      <c r="Q38" s="1"/>
      <c r="R38">
        <v>277</v>
      </c>
      <c r="S38">
        <v>4</v>
      </c>
      <c r="Z38">
        <f>Portefeuille_ProgPropose10[[#This Row],[AC 2025]]-Portefeuille_ProgPropose10[[#This Row],[AC 2025 Trimestre précédent]]</f>
        <v>0</v>
      </c>
      <c r="AA38">
        <f>Portefeuille_ProgPropose10[[#This Row],[TR 2025]]-Portefeuille_ProgPropose10[[#This Row],[TR 2025 Trimestre précédent]]</f>
        <v>0</v>
      </c>
      <c r="AB38">
        <f>Portefeuille_ProgPropose10[[#This Row],[Écart AC 2025]]+Portefeuille_ProgPropose10[[#This Row],[Écart TR 2025]]</f>
        <v>0</v>
      </c>
      <c r="AC38">
        <v>127</v>
      </c>
      <c r="AD38"/>
      <c r="AE38">
        <v>127</v>
      </c>
      <c r="AG38">
        <f>Portefeuille_ProgPropose10[[#This Row],[AC 2026]]-Portefeuille_ProgPropose10[[#This Row],[AC 2026 Trimestre précédent]]</f>
        <v>0</v>
      </c>
      <c r="AH38">
        <f>Portefeuille_ProgPropose10[[#This Row],[TR 2026]]-Portefeuille_ProgPropose10[[#This Row],[TR 2026 Trimestre précédent]]</f>
        <v>0</v>
      </c>
      <c r="AI38">
        <f>Portefeuille_ProgPropose10[[#This Row],[Écart AC 2026]]+Portefeuille_ProgPropose10[[#This Row],[Écart TR 2026]]</f>
        <v>0</v>
      </c>
      <c r="AJ38">
        <v>125</v>
      </c>
      <c r="AL38">
        <v>471</v>
      </c>
      <c r="AQ38"/>
      <c r="AZ38" s="14">
        <f>SUM(Portefeuille_ProgPropose10[[#This Row],[AC ANT]:[TR 2025]],Portefeuille_ProgPropose10[[#This Row],[AC 2026]:[TR 2026]],Portefeuille_ProgPropose10[[#This Row],[AC 2027]:[TR 2034]])</f>
        <v>1004</v>
      </c>
    </row>
    <row r="39" spans="1:52" x14ac:dyDescent="0.3">
      <c r="A39" t="s">
        <v>286</v>
      </c>
      <c r="C39" t="s">
        <v>101</v>
      </c>
      <c r="D39" t="s">
        <v>102</v>
      </c>
      <c r="E39" t="s">
        <v>136</v>
      </c>
      <c r="F39" t="s">
        <v>113</v>
      </c>
      <c r="G39" t="s">
        <v>16</v>
      </c>
      <c r="H39" t="s">
        <v>20</v>
      </c>
      <c r="I39" t="s">
        <v>131</v>
      </c>
      <c r="J39" t="s">
        <v>185</v>
      </c>
      <c r="K39" t="s">
        <v>186</v>
      </c>
      <c r="L39" t="s">
        <v>187</v>
      </c>
      <c r="M39" t="s">
        <v>173</v>
      </c>
      <c r="N39" t="s">
        <v>110</v>
      </c>
      <c r="O39" s="1">
        <v>44823</v>
      </c>
      <c r="P39" s="1">
        <v>46096</v>
      </c>
      <c r="Q39" s="1">
        <v>46461</v>
      </c>
      <c r="R39">
        <v>282</v>
      </c>
      <c r="T39">
        <v>452</v>
      </c>
      <c r="V39">
        <v>835</v>
      </c>
      <c r="X39">
        <v>835</v>
      </c>
      <c r="Z39">
        <f>Portefeuille_ProgPropose10[[#This Row],[AC 2025]]-Portefeuille_ProgPropose10[[#This Row],[AC 2025 Trimestre précédent]]</f>
        <v>0</v>
      </c>
      <c r="AA39">
        <f>Portefeuille_ProgPropose10[[#This Row],[TR 2025]]-Portefeuille_ProgPropose10[[#This Row],[TR 2025 Trimestre précédent]]</f>
        <v>0</v>
      </c>
      <c r="AB39">
        <f>Portefeuille_ProgPropose10[[#This Row],[Écart AC 2025]]+Portefeuille_ProgPropose10[[#This Row],[Écart TR 2025]]</f>
        <v>0</v>
      </c>
      <c r="AC39">
        <v>630</v>
      </c>
      <c r="AD39"/>
      <c r="AE39">
        <v>630</v>
      </c>
      <c r="AG39">
        <f>Portefeuille_ProgPropose10[[#This Row],[AC 2026]]-Portefeuille_ProgPropose10[[#This Row],[AC 2026 Trimestre précédent]]</f>
        <v>0</v>
      </c>
      <c r="AH39">
        <f>Portefeuille_ProgPropose10[[#This Row],[TR 2026]]-Portefeuille_ProgPropose10[[#This Row],[TR 2026 Trimestre précédent]]</f>
        <v>0</v>
      </c>
      <c r="AI39">
        <f>Portefeuille_ProgPropose10[[#This Row],[Écart AC 2026]]+Portefeuille_ProgPropose10[[#This Row],[Écart TR 2026]]</f>
        <v>0</v>
      </c>
      <c r="AJ39">
        <v>225</v>
      </c>
      <c r="AK39">
        <v>1806</v>
      </c>
      <c r="AL39">
        <v>225</v>
      </c>
      <c r="AM39">
        <v>5369</v>
      </c>
      <c r="AN39">
        <v>225</v>
      </c>
      <c r="AO39">
        <v>9000</v>
      </c>
      <c r="AQ39"/>
      <c r="AZ39" s="14">
        <f>SUM(Portefeuille_ProgPropose10[[#This Row],[AC ANT]:[TR 2025]],Portefeuille_ProgPropose10[[#This Row],[AC 2026]:[TR 2026]],Portefeuille_ProgPropose10[[#This Row],[AC 2027]:[TR 2034]])</f>
        <v>19049</v>
      </c>
    </row>
    <row r="40" spans="1:52" x14ac:dyDescent="0.3">
      <c r="A40" t="s">
        <v>286</v>
      </c>
      <c r="B40">
        <v>8</v>
      </c>
      <c r="C40" t="s">
        <v>101</v>
      </c>
      <c r="D40" t="s">
        <v>102</v>
      </c>
      <c r="E40" t="s">
        <v>103</v>
      </c>
      <c r="F40" t="s">
        <v>149</v>
      </c>
      <c r="G40" t="s">
        <v>16</v>
      </c>
      <c r="H40" t="s">
        <v>20</v>
      </c>
      <c r="I40" t="s">
        <v>105</v>
      </c>
      <c r="J40" t="s">
        <v>228</v>
      </c>
      <c r="K40" t="s">
        <v>229</v>
      </c>
      <c r="L40" t="s">
        <v>230</v>
      </c>
      <c r="M40" t="s">
        <v>148</v>
      </c>
      <c r="N40" t="s">
        <v>164</v>
      </c>
      <c r="O40" s="1">
        <v>45022</v>
      </c>
      <c r="P40" s="1">
        <v>45463</v>
      </c>
      <c r="Q40" s="1">
        <v>45590</v>
      </c>
      <c r="R40">
        <v>61</v>
      </c>
      <c r="T40">
        <v>21</v>
      </c>
      <c r="V40">
        <v>580</v>
      </c>
      <c r="W40">
        <v>11581</v>
      </c>
      <c r="X40">
        <v>580</v>
      </c>
      <c r="Y40">
        <v>11581</v>
      </c>
      <c r="Z40">
        <f>Portefeuille_ProgPropose10[[#This Row],[AC 2025]]-Portefeuille_ProgPropose10[[#This Row],[AC 2025 Trimestre précédent]]</f>
        <v>0</v>
      </c>
      <c r="AA40">
        <f>Portefeuille_ProgPropose10[[#This Row],[TR 2025]]-Portefeuille_ProgPropose10[[#This Row],[TR 2025 Trimestre précédent]]</f>
        <v>0</v>
      </c>
      <c r="AB40">
        <f>Portefeuille_ProgPropose10[[#This Row],[Écart AC 2025]]+Portefeuille_ProgPropose10[[#This Row],[Écart TR 2025]]</f>
        <v>0</v>
      </c>
      <c r="AD40"/>
      <c r="AG40">
        <f>Portefeuille_ProgPropose10[[#This Row],[AC 2026]]-Portefeuille_ProgPropose10[[#This Row],[AC 2026 Trimestre précédent]]</f>
        <v>0</v>
      </c>
      <c r="AH40">
        <f>Portefeuille_ProgPropose10[[#This Row],[TR 2026]]-Portefeuille_ProgPropose10[[#This Row],[TR 2026 Trimestre précédent]]</f>
        <v>0</v>
      </c>
      <c r="AI40">
        <f>Portefeuille_ProgPropose10[[#This Row],[Écart AC 2026]]+Portefeuille_ProgPropose10[[#This Row],[Écart TR 2026]]</f>
        <v>0</v>
      </c>
      <c r="AQ40"/>
      <c r="AZ40" s="14">
        <f>SUM(Portefeuille_ProgPropose10[[#This Row],[AC ANT]:[TR 2025]],Portefeuille_ProgPropose10[[#This Row],[AC 2026]:[TR 2026]],Portefeuille_ProgPropose10[[#This Row],[AC 2027]:[TR 2034]])</f>
        <v>12243</v>
      </c>
    </row>
    <row r="41" spans="1:52" x14ac:dyDescent="0.3">
      <c r="A41" t="s">
        <v>286</v>
      </c>
      <c r="B41">
        <v>4</v>
      </c>
      <c r="C41" t="s">
        <v>126</v>
      </c>
      <c r="D41" t="s">
        <v>127</v>
      </c>
      <c r="E41" t="s">
        <v>128</v>
      </c>
      <c r="F41" t="s">
        <v>252</v>
      </c>
      <c r="G41" t="s">
        <v>20</v>
      </c>
      <c r="H41" t="s">
        <v>20</v>
      </c>
      <c r="I41" t="s">
        <v>131</v>
      </c>
      <c r="J41" t="s">
        <v>253</v>
      </c>
      <c r="K41" s="82" t="s">
        <v>254</v>
      </c>
      <c r="L41" t="s">
        <v>147</v>
      </c>
      <c r="M41" t="s">
        <v>148</v>
      </c>
      <c r="N41" t="s">
        <v>110</v>
      </c>
      <c r="O41" s="1">
        <v>45378</v>
      </c>
      <c r="P41" s="1"/>
      <c r="Q41" s="1">
        <v>45611</v>
      </c>
      <c r="V41">
        <v>10</v>
      </c>
      <c r="W41">
        <v>39</v>
      </c>
      <c r="X41">
        <v>10</v>
      </c>
      <c r="Y41">
        <v>39</v>
      </c>
      <c r="Z41">
        <f>Portefeuille_ProgPropose10[[#This Row],[AC 2025]]-Portefeuille_ProgPropose10[[#This Row],[AC 2025 Trimestre précédent]]</f>
        <v>0</v>
      </c>
      <c r="AA41">
        <f>Portefeuille_ProgPropose10[[#This Row],[TR 2025]]-Portefeuille_ProgPropose10[[#This Row],[TR 2025 Trimestre précédent]]</f>
        <v>0</v>
      </c>
      <c r="AB41">
        <f>Portefeuille_ProgPropose10[[#This Row],[Écart AC 2025]]+Portefeuille_ProgPropose10[[#This Row],[Écart TR 2025]]</f>
        <v>0</v>
      </c>
      <c r="AD41"/>
      <c r="AG41">
        <f>Portefeuille_ProgPropose10[[#This Row],[AC 2026]]-Portefeuille_ProgPropose10[[#This Row],[AC 2026 Trimestre précédent]]</f>
        <v>0</v>
      </c>
      <c r="AH41">
        <f>Portefeuille_ProgPropose10[[#This Row],[TR 2026]]-Portefeuille_ProgPropose10[[#This Row],[TR 2026 Trimestre précédent]]</f>
        <v>0</v>
      </c>
      <c r="AI41">
        <f>Portefeuille_ProgPropose10[[#This Row],[Écart AC 2026]]+Portefeuille_ProgPropose10[[#This Row],[Écart TR 2026]]</f>
        <v>0</v>
      </c>
      <c r="AQ41"/>
      <c r="AZ41" s="14">
        <f>SUM(Portefeuille_ProgPropose10[[#This Row],[AC ANT]:[TR 2025]],Portefeuille_ProgPropose10[[#This Row],[AC 2026]:[TR 2026]],Portefeuille_ProgPropose10[[#This Row],[AC 2027]:[TR 2034]])</f>
        <v>49</v>
      </c>
    </row>
    <row r="42" spans="1:52" x14ac:dyDescent="0.3">
      <c r="A42" t="s">
        <v>286</v>
      </c>
      <c r="C42" t="s">
        <v>101</v>
      </c>
      <c r="D42" t="s">
        <v>102</v>
      </c>
      <c r="E42" t="s">
        <v>200</v>
      </c>
      <c r="F42" t="s">
        <v>104</v>
      </c>
      <c r="G42" t="s">
        <v>16</v>
      </c>
      <c r="H42" t="s">
        <v>16</v>
      </c>
      <c r="I42" t="s">
        <v>105</v>
      </c>
      <c r="J42" t="s">
        <v>338</v>
      </c>
      <c r="K42" t="s">
        <v>339</v>
      </c>
      <c r="L42" t="s">
        <v>180</v>
      </c>
      <c r="N42" t="s">
        <v>164</v>
      </c>
      <c r="O42" s="1">
        <v>43360</v>
      </c>
      <c r="P42" s="1">
        <v>43671</v>
      </c>
      <c r="Q42" s="1">
        <v>44217</v>
      </c>
      <c r="R42">
        <v>128</v>
      </c>
      <c r="S42">
        <v>2061</v>
      </c>
      <c r="T42">
        <v>164</v>
      </c>
      <c r="V42">
        <v>43</v>
      </c>
      <c r="Z42">
        <f>Portefeuille_ProgPropose10[[#This Row],[AC 2025]]-Portefeuille_ProgPropose10[[#This Row],[AC 2025 Trimestre précédent]]</f>
        <v>43</v>
      </c>
      <c r="AA42">
        <f>Portefeuille_ProgPropose10[[#This Row],[TR 2025]]-Portefeuille_ProgPropose10[[#This Row],[TR 2025 Trimestre précédent]]</f>
        <v>0</v>
      </c>
      <c r="AB42">
        <f>Portefeuille_ProgPropose10[[#This Row],[Écart AC 2025]]+Portefeuille_ProgPropose10[[#This Row],[Écart TR 2025]]</f>
        <v>43</v>
      </c>
      <c r="AD42"/>
      <c r="AG42">
        <f>Portefeuille_ProgPropose10[[#This Row],[AC 2026]]-Portefeuille_ProgPropose10[[#This Row],[AC 2026 Trimestre précédent]]</f>
        <v>0</v>
      </c>
      <c r="AH42">
        <f>Portefeuille_ProgPropose10[[#This Row],[TR 2026]]-Portefeuille_ProgPropose10[[#This Row],[TR 2026 Trimestre précédent]]</f>
        <v>0</v>
      </c>
      <c r="AI42">
        <f>Portefeuille_ProgPropose10[[#This Row],[Écart AC 2026]]+Portefeuille_ProgPropose10[[#This Row],[Écart TR 2026]]</f>
        <v>0</v>
      </c>
      <c r="AQ42"/>
      <c r="AZ42" s="14">
        <f>SUM(Portefeuille_ProgPropose10[[#This Row],[AC ANT]:[TR 2025]],Portefeuille_ProgPropose10[[#This Row],[AC 2026]:[TR 2026]],Portefeuille_ProgPropose10[[#This Row],[AC 2027]:[TR 2034]])</f>
        <v>2396</v>
      </c>
    </row>
    <row r="43" spans="1:52" x14ac:dyDescent="0.3">
      <c r="A43" t="s">
        <v>286</v>
      </c>
      <c r="B43">
        <v>11</v>
      </c>
      <c r="C43" t="s">
        <v>118</v>
      </c>
      <c r="D43" t="s">
        <v>102</v>
      </c>
      <c r="E43" t="s">
        <v>136</v>
      </c>
      <c r="F43" t="s">
        <v>252</v>
      </c>
      <c r="G43" t="s">
        <v>20</v>
      </c>
      <c r="H43" t="s">
        <v>20</v>
      </c>
      <c r="I43" t="s">
        <v>131</v>
      </c>
      <c r="J43" t="s">
        <v>255</v>
      </c>
      <c r="K43" t="s">
        <v>256</v>
      </c>
      <c r="L43" t="s">
        <v>209</v>
      </c>
      <c r="M43" t="s">
        <v>148</v>
      </c>
      <c r="N43" t="s">
        <v>291</v>
      </c>
      <c r="O43" s="1"/>
      <c r="P43" s="1"/>
      <c r="Q43" s="1"/>
      <c r="W43">
        <v>300</v>
      </c>
      <c r="Y43">
        <v>300</v>
      </c>
      <c r="Z43">
        <f>Portefeuille_ProgPropose10[[#This Row],[AC 2025]]-Portefeuille_ProgPropose10[[#This Row],[AC 2025 Trimestre précédent]]</f>
        <v>0</v>
      </c>
      <c r="AA43">
        <f>Portefeuille_ProgPropose10[[#This Row],[TR 2025]]-Portefeuille_ProgPropose10[[#This Row],[TR 2025 Trimestre précédent]]</f>
        <v>0</v>
      </c>
      <c r="AB43">
        <f>Portefeuille_ProgPropose10[[#This Row],[Écart AC 2025]]+Portefeuille_ProgPropose10[[#This Row],[Écart TR 2025]]</f>
        <v>0</v>
      </c>
      <c r="AD43"/>
      <c r="AG43">
        <f>Portefeuille_ProgPropose10[[#This Row],[AC 2026]]-Portefeuille_ProgPropose10[[#This Row],[AC 2026 Trimestre précédent]]</f>
        <v>0</v>
      </c>
      <c r="AH43">
        <f>Portefeuille_ProgPropose10[[#This Row],[TR 2026]]-Portefeuille_ProgPropose10[[#This Row],[TR 2026 Trimestre précédent]]</f>
        <v>0</v>
      </c>
      <c r="AI43">
        <f>Portefeuille_ProgPropose10[[#This Row],[Écart AC 2026]]+Portefeuille_ProgPropose10[[#This Row],[Écart TR 2026]]</f>
        <v>0</v>
      </c>
      <c r="AQ43"/>
      <c r="AZ43" s="14">
        <f>SUM(Portefeuille_ProgPropose10[[#This Row],[AC ANT]:[TR 2025]],Portefeuille_ProgPropose10[[#This Row],[AC 2026]:[TR 2026]],Portefeuille_ProgPropose10[[#This Row],[AC 2027]:[TR 2034]])</f>
        <v>300</v>
      </c>
    </row>
    <row r="44" spans="1:52" x14ac:dyDescent="0.3">
      <c r="A44" t="s">
        <v>286</v>
      </c>
      <c r="B44">
        <v>5</v>
      </c>
      <c r="C44" t="s">
        <v>101</v>
      </c>
      <c r="D44" t="s">
        <v>102</v>
      </c>
      <c r="E44" t="s">
        <v>128</v>
      </c>
      <c r="F44" t="s">
        <v>113</v>
      </c>
      <c r="G44" t="s">
        <v>16</v>
      </c>
      <c r="H44" t="s">
        <v>130</v>
      </c>
      <c r="I44" t="s">
        <v>105</v>
      </c>
      <c r="J44" t="s">
        <v>160</v>
      </c>
      <c r="K44" t="s">
        <v>161</v>
      </c>
      <c r="L44" t="s">
        <v>122</v>
      </c>
      <c r="M44" t="s">
        <v>148</v>
      </c>
      <c r="N44" t="s">
        <v>123</v>
      </c>
      <c r="O44" s="1">
        <v>44956</v>
      </c>
      <c r="P44" s="1">
        <v>45321</v>
      </c>
      <c r="Q44" s="1">
        <v>45687</v>
      </c>
      <c r="R44">
        <v>6</v>
      </c>
      <c r="T44">
        <v>19</v>
      </c>
      <c r="V44">
        <v>320</v>
      </c>
      <c r="W44">
        <v>4503</v>
      </c>
      <c r="X44">
        <v>200</v>
      </c>
      <c r="Y44">
        <v>4422</v>
      </c>
      <c r="Z44">
        <f>Portefeuille_ProgPropose10[[#This Row],[AC 2025]]-Portefeuille_ProgPropose10[[#This Row],[AC 2025 Trimestre précédent]]</f>
        <v>120</v>
      </c>
      <c r="AA44">
        <f>Portefeuille_ProgPropose10[[#This Row],[TR 2025]]-Portefeuille_ProgPropose10[[#This Row],[TR 2025 Trimestre précédent]]</f>
        <v>81</v>
      </c>
      <c r="AB44">
        <f>Portefeuille_ProgPropose10[[#This Row],[Écart AC 2025]]+Portefeuille_ProgPropose10[[#This Row],[Écart TR 2025]]</f>
        <v>201</v>
      </c>
      <c r="AD44"/>
      <c r="AE44">
        <v>69</v>
      </c>
      <c r="AF44">
        <v>216</v>
      </c>
      <c r="AG44">
        <f>Portefeuille_ProgPropose10[[#This Row],[AC 2026]]-Portefeuille_ProgPropose10[[#This Row],[AC 2026 Trimestre précédent]]</f>
        <v>-69</v>
      </c>
      <c r="AH44">
        <f>Portefeuille_ProgPropose10[[#This Row],[TR 2026]]-Portefeuille_ProgPropose10[[#This Row],[TR 2026 Trimestre précédent]]</f>
        <v>-216</v>
      </c>
      <c r="AI44">
        <f>Portefeuille_ProgPropose10[[#This Row],[Écart AC 2026]]+Portefeuille_ProgPropose10[[#This Row],[Écart TR 2026]]</f>
        <v>-285</v>
      </c>
      <c r="AQ44"/>
      <c r="AZ44" s="14">
        <f>SUM(Portefeuille_ProgPropose10[[#This Row],[AC ANT]:[TR 2025]],Portefeuille_ProgPropose10[[#This Row],[AC 2026]:[TR 2026]],Portefeuille_ProgPropose10[[#This Row],[AC 2027]:[TR 2034]])</f>
        <v>4848</v>
      </c>
    </row>
    <row r="45" spans="1:52" x14ac:dyDescent="0.3">
      <c r="A45" t="s">
        <v>286</v>
      </c>
      <c r="C45" t="s">
        <v>101</v>
      </c>
      <c r="D45" t="s">
        <v>102</v>
      </c>
      <c r="E45" t="s">
        <v>136</v>
      </c>
      <c r="F45" t="s">
        <v>144</v>
      </c>
      <c r="G45" t="s">
        <v>16</v>
      </c>
      <c r="H45" t="s">
        <v>20</v>
      </c>
      <c r="I45" t="s">
        <v>131</v>
      </c>
      <c r="J45" t="s">
        <v>195</v>
      </c>
      <c r="K45" t="s">
        <v>196</v>
      </c>
      <c r="L45" t="s">
        <v>180</v>
      </c>
      <c r="M45" t="s">
        <v>197</v>
      </c>
      <c r="N45" t="s">
        <v>110</v>
      </c>
      <c r="O45" s="1">
        <v>44889</v>
      </c>
      <c r="P45" s="1">
        <v>46068</v>
      </c>
      <c r="Q45" s="1">
        <v>46583</v>
      </c>
      <c r="R45">
        <v>337</v>
      </c>
      <c r="T45">
        <v>59.999999999999993</v>
      </c>
      <c r="V45">
        <v>1657.9999999999998</v>
      </c>
      <c r="X45">
        <v>1230</v>
      </c>
      <c r="Z45">
        <f>Portefeuille_ProgPropose10[[#This Row],[AC 2025]]-Portefeuille_ProgPropose10[[#This Row],[AC 2025 Trimestre précédent]]</f>
        <v>427.99999999999977</v>
      </c>
      <c r="AA45">
        <f>Portefeuille_ProgPropose10[[#This Row],[TR 2025]]-Portefeuille_ProgPropose10[[#This Row],[TR 2025 Trimestre précédent]]</f>
        <v>0</v>
      </c>
      <c r="AB45">
        <f>Portefeuille_ProgPropose10[[#This Row],[Écart AC 2025]]+Portefeuille_ProgPropose10[[#This Row],[Écart TR 2025]]</f>
        <v>427.99999999999977</v>
      </c>
      <c r="AC45">
        <v>1529</v>
      </c>
      <c r="AD45"/>
      <c r="AE45">
        <v>1600</v>
      </c>
      <c r="AG45">
        <f>Portefeuille_ProgPropose10[[#This Row],[AC 2026]]-Portefeuille_ProgPropose10[[#This Row],[AC 2026 Trimestre précédent]]</f>
        <v>-71</v>
      </c>
      <c r="AH45">
        <f>Portefeuille_ProgPropose10[[#This Row],[TR 2026]]-Portefeuille_ProgPropose10[[#This Row],[TR 2026 Trimestre précédent]]</f>
        <v>0</v>
      </c>
      <c r="AI45">
        <f>Portefeuille_ProgPropose10[[#This Row],[Écart AC 2026]]+Portefeuille_ProgPropose10[[#This Row],[Écart TR 2026]]</f>
        <v>-71</v>
      </c>
      <c r="AJ45">
        <v>1529</v>
      </c>
      <c r="AL45">
        <v>1325</v>
      </c>
      <c r="AM45">
        <v>7500</v>
      </c>
      <c r="AN45">
        <v>1200</v>
      </c>
      <c r="AO45">
        <v>9500</v>
      </c>
      <c r="AP45">
        <v>455</v>
      </c>
      <c r="AQ45">
        <v>18000</v>
      </c>
      <c r="AZ45" s="14">
        <f>SUM(Portefeuille_ProgPropose10[[#This Row],[AC ANT]:[TR 2025]],Portefeuille_ProgPropose10[[#This Row],[AC 2026]:[TR 2026]],Portefeuille_ProgPropose10[[#This Row],[AC 2027]:[TR 2034]])</f>
        <v>43093</v>
      </c>
    </row>
    <row r="46" spans="1:52" x14ac:dyDescent="0.3">
      <c r="A46" t="s">
        <v>286</v>
      </c>
      <c r="C46" t="s">
        <v>126</v>
      </c>
      <c r="D46" t="s">
        <v>127</v>
      </c>
      <c r="E46" t="s">
        <v>136</v>
      </c>
      <c r="F46" t="s">
        <v>144</v>
      </c>
      <c r="G46" t="s">
        <v>16</v>
      </c>
      <c r="H46" t="s">
        <v>20</v>
      </c>
      <c r="I46" t="s">
        <v>131</v>
      </c>
      <c r="J46" t="s">
        <v>231</v>
      </c>
      <c r="K46" t="s">
        <v>232</v>
      </c>
      <c r="L46" t="s">
        <v>147</v>
      </c>
      <c r="M46" t="s">
        <v>173</v>
      </c>
      <c r="N46" t="s">
        <v>110</v>
      </c>
      <c r="O46" s="1">
        <v>45099</v>
      </c>
      <c r="P46" s="1">
        <v>45945</v>
      </c>
      <c r="Q46" s="1">
        <v>46371</v>
      </c>
      <c r="R46">
        <v>9</v>
      </c>
      <c r="T46">
        <v>21</v>
      </c>
      <c r="V46">
        <v>672</v>
      </c>
      <c r="X46">
        <v>503</v>
      </c>
      <c r="Z46">
        <f>Portefeuille_ProgPropose10[[#This Row],[AC 2025]]-Portefeuille_ProgPropose10[[#This Row],[AC 2025 Trimestre précédent]]</f>
        <v>169</v>
      </c>
      <c r="AA46">
        <f>Portefeuille_ProgPropose10[[#This Row],[TR 2025]]-Portefeuille_ProgPropose10[[#This Row],[TR 2025 Trimestre précédent]]</f>
        <v>0</v>
      </c>
      <c r="AB46">
        <f>Portefeuille_ProgPropose10[[#This Row],[Écart AC 2025]]+Portefeuille_ProgPropose10[[#This Row],[Écart TR 2025]]</f>
        <v>169</v>
      </c>
      <c r="AC46">
        <v>553</v>
      </c>
      <c r="AD46"/>
      <c r="AE46">
        <v>553</v>
      </c>
      <c r="AG46">
        <f>Portefeuille_ProgPropose10[[#This Row],[AC 2026]]-Portefeuille_ProgPropose10[[#This Row],[AC 2026 Trimestre précédent]]</f>
        <v>0</v>
      </c>
      <c r="AH46">
        <f>Portefeuille_ProgPropose10[[#This Row],[TR 2026]]-Portefeuille_ProgPropose10[[#This Row],[TR 2026 Trimestre précédent]]</f>
        <v>0</v>
      </c>
      <c r="AI46">
        <f>Portefeuille_ProgPropose10[[#This Row],[Écart AC 2026]]+Portefeuille_ProgPropose10[[#This Row],[Écart TR 2026]]</f>
        <v>0</v>
      </c>
      <c r="AJ46">
        <v>1175</v>
      </c>
      <c r="AK46">
        <v>6475</v>
      </c>
      <c r="AL46">
        <v>1602</v>
      </c>
      <c r="AM46">
        <v>6677</v>
      </c>
      <c r="AQ46"/>
      <c r="AZ46" s="14">
        <f>SUM(Portefeuille_ProgPropose10[[#This Row],[AC ANT]:[TR 2025]],Portefeuille_ProgPropose10[[#This Row],[AC 2026]:[TR 2026]],Portefeuille_ProgPropose10[[#This Row],[AC 2027]:[TR 2034]])</f>
        <v>17184</v>
      </c>
    </row>
    <row r="47" spans="1:52" x14ac:dyDescent="0.3">
      <c r="A47" t="s">
        <v>286</v>
      </c>
      <c r="C47" t="s">
        <v>101</v>
      </c>
      <c r="D47" t="s">
        <v>102</v>
      </c>
      <c r="E47" t="s">
        <v>136</v>
      </c>
      <c r="F47" t="s">
        <v>140</v>
      </c>
      <c r="G47" t="s">
        <v>16</v>
      </c>
      <c r="H47" t="s">
        <v>20</v>
      </c>
      <c r="I47" t="s">
        <v>131</v>
      </c>
      <c r="J47" t="s">
        <v>181</v>
      </c>
      <c r="K47" t="s">
        <v>296</v>
      </c>
      <c r="L47" t="s">
        <v>183</v>
      </c>
      <c r="M47" t="s">
        <v>173</v>
      </c>
      <c r="N47" t="s">
        <v>110</v>
      </c>
      <c r="O47" s="1">
        <v>45590</v>
      </c>
      <c r="P47" s="1">
        <v>46157</v>
      </c>
      <c r="Q47" s="1">
        <v>46157</v>
      </c>
      <c r="V47">
        <v>466</v>
      </c>
      <c r="X47">
        <v>50</v>
      </c>
      <c r="Z47">
        <f>Portefeuille_ProgPropose10[[#This Row],[AC 2025]]-Portefeuille_ProgPropose10[[#This Row],[AC 2025 Trimestre précédent]]</f>
        <v>416</v>
      </c>
      <c r="AA47">
        <f>Portefeuille_ProgPropose10[[#This Row],[TR 2025]]-Portefeuille_ProgPropose10[[#This Row],[TR 2025 Trimestre précédent]]</f>
        <v>0</v>
      </c>
      <c r="AB47">
        <f>Portefeuille_ProgPropose10[[#This Row],[Écart AC 2025]]+Portefeuille_ProgPropose10[[#This Row],[Écart TR 2025]]</f>
        <v>416</v>
      </c>
      <c r="AC47">
        <v>475</v>
      </c>
      <c r="AD47"/>
      <c r="AE47">
        <v>50</v>
      </c>
      <c r="AG47">
        <f>Portefeuille_ProgPropose10[[#This Row],[AC 2026]]-Portefeuille_ProgPropose10[[#This Row],[AC 2026 Trimestre précédent]]</f>
        <v>425</v>
      </c>
      <c r="AH47">
        <f>Portefeuille_ProgPropose10[[#This Row],[TR 2026]]-Portefeuille_ProgPropose10[[#This Row],[TR 2026 Trimestre précédent]]</f>
        <v>0</v>
      </c>
      <c r="AI47">
        <f>Portefeuille_ProgPropose10[[#This Row],[Écart AC 2026]]+Portefeuille_ProgPropose10[[#This Row],[Écart TR 2026]]</f>
        <v>425</v>
      </c>
      <c r="AJ47">
        <v>468</v>
      </c>
      <c r="AK47">
        <v>1461</v>
      </c>
      <c r="AQ47"/>
      <c r="AZ47" s="14">
        <f>SUM(Portefeuille_ProgPropose10[[#This Row],[AC ANT]:[TR 2025]],Portefeuille_ProgPropose10[[#This Row],[AC 2026]:[TR 2026]],Portefeuille_ProgPropose10[[#This Row],[AC 2027]:[TR 2034]])</f>
        <v>2870</v>
      </c>
    </row>
    <row r="48" spans="1:52" x14ac:dyDescent="0.3">
      <c r="A48" t="s">
        <v>286</v>
      </c>
      <c r="C48" t="s">
        <v>118</v>
      </c>
      <c r="D48" t="s">
        <v>102</v>
      </c>
      <c r="E48" t="s">
        <v>103</v>
      </c>
      <c r="F48" t="s">
        <v>206</v>
      </c>
      <c r="G48" t="s">
        <v>16</v>
      </c>
      <c r="H48" t="s">
        <v>20</v>
      </c>
      <c r="I48" t="s">
        <v>131</v>
      </c>
      <c r="J48" t="s">
        <v>210</v>
      </c>
      <c r="K48" t="s">
        <v>211</v>
      </c>
      <c r="L48" t="s">
        <v>209</v>
      </c>
      <c r="M48" t="s">
        <v>197</v>
      </c>
      <c r="N48" t="s">
        <v>155</v>
      </c>
      <c r="O48" s="1">
        <v>45792</v>
      </c>
      <c r="P48" s="1">
        <v>46310</v>
      </c>
      <c r="Q48" s="1">
        <v>46675</v>
      </c>
      <c r="R48">
        <v>8</v>
      </c>
      <c r="V48">
        <v>100</v>
      </c>
      <c r="X48">
        <v>100</v>
      </c>
      <c r="Z48">
        <f>Portefeuille_ProgPropose10[[#This Row],[AC 2025]]-Portefeuille_ProgPropose10[[#This Row],[AC 2025 Trimestre précédent]]</f>
        <v>0</v>
      </c>
      <c r="AA48">
        <f>Portefeuille_ProgPropose10[[#This Row],[TR 2025]]-Portefeuille_ProgPropose10[[#This Row],[TR 2025 Trimestre précédent]]</f>
        <v>0</v>
      </c>
      <c r="AB48">
        <f>Portefeuille_ProgPropose10[[#This Row],[Écart AC 2025]]+Portefeuille_ProgPropose10[[#This Row],[Écart TR 2025]]</f>
        <v>0</v>
      </c>
      <c r="AC48">
        <v>100</v>
      </c>
      <c r="AD48"/>
      <c r="AE48">
        <v>100</v>
      </c>
      <c r="AG48">
        <f>Portefeuille_ProgPropose10[[#This Row],[AC 2026]]-Portefeuille_ProgPropose10[[#This Row],[AC 2026 Trimestre précédent]]</f>
        <v>0</v>
      </c>
      <c r="AH48">
        <f>Portefeuille_ProgPropose10[[#This Row],[TR 2026]]-Portefeuille_ProgPropose10[[#This Row],[TR 2026 Trimestre précédent]]</f>
        <v>0</v>
      </c>
      <c r="AI48">
        <f>Portefeuille_ProgPropose10[[#This Row],[Écart AC 2026]]+Portefeuille_ProgPropose10[[#This Row],[Écart TR 2026]]</f>
        <v>0</v>
      </c>
      <c r="AJ48">
        <v>100</v>
      </c>
      <c r="AL48">
        <v>250</v>
      </c>
      <c r="AM48">
        <v>7500</v>
      </c>
      <c r="AQ48"/>
      <c r="AZ48" s="14">
        <f>SUM(Portefeuille_ProgPropose10[[#This Row],[AC ANT]:[TR 2025]],Portefeuille_ProgPropose10[[#This Row],[AC 2026]:[TR 2026]],Portefeuille_ProgPropose10[[#This Row],[AC 2027]:[TR 2034]])</f>
        <v>8058</v>
      </c>
    </row>
    <row r="49" spans="1:52" x14ac:dyDescent="0.3">
      <c r="A49" t="s">
        <v>286</v>
      </c>
      <c r="C49" t="s">
        <v>101</v>
      </c>
      <c r="D49" t="s">
        <v>102</v>
      </c>
      <c r="E49" t="s">
        <v>136</v>
      </c>
      <c r="F49" t="s">
        <v>149</v>
      </c>
      <c r="G49" t="s">
        <v>16</v>
      </c>
      <c r="H49" t="s">
        <v>20</v>
      </c>
      <c r="I49" t="s">
        <v>131</v>
      </c>
      <c r="J49" t="s">
        <v>212</v>
      </c>
      <c r="K49" t="s">
        <v>213</v>
      </c>
      <c r="L49" t="s">
        <v>214</v>
      </c>
      <c r="M49" t="s">
        <v>184</v>
      </c>
      <c r="N49" t="s">
        <v>155</v>
      </c>
      <c r="O49" s="1">
        <v>45792</v>
      </c>
      <c r="P49" s="1">
        <v>46157</v>
      </c>
      <c r="Q49" s="1">
        <v>46522</v>
      </c>
      <c r="R49">
        <v>47</v>
      </c>
      <c r="T49">
        <v>174</v>
      </c>
      <c r="V49">
        <v>150</v>
      </c>
      <c r="X49">
        <v>150</v>
      </c>
      <c r="Z49">
        <f>Portefeuille_ProgPropose10[[#This Row],[AC 2025]]-Portefeuille_ProgPropose10[[#This Row],[AC 2025 Trimestre précédent]]</f>
        <v>0</v>
      </c>
      <c r="AA49">
        <f>Portefeuille_ProgPropose10[[#This Row],[TR 2025]]-Portefeuille_ProgPropose10[[#This Row],[TR 2025 Trimestre précédent]]</f>
        <v>0</v>
      </c>
      <c r="AB49">
        <f>Portefeuille_ProgPropose10[[#This Row],[Écart AC 2025]]+Portefeuille_ProgPropose10[[#This Row],[Écart TR 2025]]</f>
        <v>0</v>
      </c>
      <c r="AC49">
        <v>125</v>
      </c>
      <c r="AD49"/>
      <c r="AE49">
        <v>125</v>
      </c>
      <c r="AG49">
        <f>Portefeuille_ProgPropose10[[#This Row],[AC 2026]]-Portefeuille_ProgPropose10[[#This Row],[AC 2026 Trimestre précédent]]</f>
        <v>0</v>
      </c>
      <c r="AH49">
        <f>Portefeuille_ProgPropose10[[#This Row],[TR 2026]]-Portefeuille_ProgPropose10[[#This Row],[TR 2026 Trimestre précédent]]</f>
        <v>0</v>
      </c>
      <c r="AI49">
        <f>Portefeuille_ProgPropose10[[#This Row],[Écart AC 2026]]+Portefeuille_ProgPropose10[[#This Row],[Écart TR 2026]]</f>
        <v>0</v>
      </c>
      <c r="AJ49">
        <v>125</v>
      </c>
      <c r="AL49">
        <v>125</v>
      </c>
      <c r="AN49">
        <v>125</v>
      </c>
      <c r="AP49">
        <v>300</v>
      </c>
      <c r="AQ49">
        <v>5000</v>
      </c>
      <c r="AR49">
        <v>350</v>
      </c>
      <c r="AS49">
        <v>10000</v>
      </c>
      <c r="AZ49" s="14">
        <f>SUM(Portefeuille_ProgPropose10[[#This Row],[AC ANT]:[TR 2025]],Portefeuille_ProgPropose10[[#This Row],[AC 2026]:[TR 2026]],Portefeuille_ProgPropose10[[#This Row],[AC 2027]:[TR 2034]])</f>
        <v>16521</v>
      </c>
    </row>
    <row r="50" spans="1:52" x14ac:dyDescent="0.3">
      <c r="A50" t="s">
        <v>286</v>
      </c>
      <c r="C50" t="s">
        <v>118</v>
      </c>
      <c r="D50" t="s">
        <v>102</v>
      </c>
      <c r="E50" t="s">
        <v>188</v>
      </c>
      <c r="F50" t="s">
        <v>113</v>
      </c>
      <c r="G50" t="s">
        <v>16</v>
      </c>
      <c r="H50" t="s">
        <v>130</v>
      </c>
      <c r="I50" t="s">
        <v>131</v>
      </c>
      <c r="J50" t="s">
        <v>189</v>
      </c>
      <c r="K50" t="s">
        <v>190</v>
      </c>
      <c r="L50" t="s">
        <v>191</v>
      </c>
      <c r="M50" t="s">
        <v>173</v>
      </c>
      <c r="N50" t="s">
        <v>110</v>
      </c>
      <c r="O50" s="1">
        <v>45684</v>
      </c>
      <c r="P50" s="1">
        <v>46157</v>
      </c>
      <c r="Q50" s="1">
        <v>46157</v>
      </c>
      <c r="V50">
        <v>80</v>
      </c>
      <c r="X50">
        <v>141</v>
      </c>
      <c r="Z50">
        <f>Portefeuille_ProgPropose10[[#This Row],[AC 2025]]-Portefeuille_ProgPropose10[[#This Row],[AC 2025 Trimestre précédent]]</f>
        <v>-61</v>
      </c>
      <c r="AA50">
        <f>Portefeuille_ProgPropose10[[#This Row],[TR 2025]]-Portefeuille_ProgPropose10[[#This Row],[TR 2025 Trimestre précédent]]</f>
        <v>0</v>
      </c>
      <c r="AB50">
        <f>Portefeuille_ProgPropose10[[#This Row],[Écart AC 2025]]+Portefeuille_ProgPropose10[[#This Row],[Écart TR 2025]]</f>
        <v>-61</v>
      </c>
      <c r="AC50">
        <v>87</v>
      </c>
      <c r="AD50"/>
      <c r="AE50">
        <v>50</v>
      </c>
      <c r="AG50">
        <f>Portefeuille_ProgPropose10[[#This Row],[AC 2026]]-Portefeuille_ProgPropose10[[#This Row],[AC 2026 Trimestre précédent]]</f>
        <v>37</v>
      </c>
      <c r="AH50">
        <f>Portefeuille_ProgPropose10[[#This Row],[TR 2026]]-Portefeuille_ProgPropose10[[#This Row],[TR 2026 Trimestre précédent]]</f>
        <v>0</v>
      </c>
      <c r="AI50">
        <f>Portefeuille_ProgPropose10[[#This Row],[Écart AC 2026]]+Portefeuille_ProgPropose10[[#This Row],[Écart TR 2026]]</f>
        <v>37</v>
      </c>
      <c r="AJ50">
        <v>227</v>
      </c>
      <c r="AK50">
        <v>899</v>
      </c>
      <c r="AQ50"/>
      <c r="AZ50" s="14">
        <f>SUM(Portefeuille_ProgPropose10[[#This Row],[AC ANT]:[TR 2025]],Portefeuille_ProgPropose10[[#This Row],[AC 2026]:[TR 2026]],Portefeuille_ProgPropose10[[#This Row],[AC 2027]:[TR 2034]])</f>
        <v>1293</v>
      </c>
    </row>
    <row r="51" spans="1:52" x14ac:dyDescent="0.3">
      <c r="A51" t="s">
        <v>286</v>
      </c>
      <c r="C51" t="s">
        <v>126</v>
      </c>
      <c r="D51" t="s">
        <v>127</v>
      </c>
      <c r="E51" t="s">
        <v>136</v>
      </c>
      <c r="F51" t="s">
        <v>113</v>
      </c>
      <c r="G51" t="s">
        <v>16</v>
      </c>
      <c r="H51" t="s">
        <v>20</v>
      </c>
      <c r="I51" t="s">
        <v>131</v>
      </c>
      <c r="J51" t="s">
        <v>226</v>
      </c>
      <c r="K51" t="s">
        <v>227</v>
      </c>
      <c r="L51" t="s">
        <v>139</v>
      </c>
      <c r="M51" s="2" t="s">
        <v>184</v>
      </c>
      <c r="N51" t="s">
        <v>110</v>
      </c>
      <c r="O51" s="1">
        <v>45330</v>
      </c>
      <c r="P51" s="1">
        <v>45960</v>
      </c>
      <c r="Q51" s="1">
        <v>46625</v>
      </c>
      <c r="R51">
        <v>44</v>
      </c>
      <c r="T51">
        <v>45</v>
      </c>
      <c r="V51">
        <v>100</v>
      </c>
      <c r="X51">
        <v>100</v>
      </c>
      <c r="Z51">
        <f>Portefeuille_ProgPropose10[[#This Row],[AC 2025]]-Portefeuille_ProgPropose10[[#This Row],[AC 2025 Trimestre précédent]]</f>
        <v>0</v>
      </c>
      <c r="AA51">
        <f>Portefeuille_ProgPropose10[[#This Row],[TR 2025]]-Portefeuille_ProgPropose10[[#This Row],[TR 2025 Trimestre précédent]]</f>
        <v>0</v>
      </c>
      <c r="AB51">
        <f>Portefeuille_ProgPropose10[[#This Row],[Écart AC 2025]]+Portefeuille_ProgPropose10[[#This Row],[Écart TR 2025]]</f>
        <v>0</v>
      </c>
      <c r="AC51">
        <v>288</v>
      </c>
      <c r="AD51"/>
      <c r="AE51">
        <v>288</v>
      </c>
      <c r="AG51">
        <f>Portefeuille_ProgPropose10[[#This Row],[AC 2026]]-Portefeuille_ProgPropose10[[#This Row],[AC 2026 Trimestre précédent]]</f>
        <v>0</v>
      </c>
      <c r="AH51">
        <f>Portefeuille_ProgPropose10[[#This Row],[TR 2026]]-Portefeuille_ProgPropose10[[#This Row],[TR 2026 Trimestre précédent]]</f>
        <v>0</v>
      </c>
      <c r="AI51">
        <f>Portefeuille_ProgPropose10[[#This Row],[Écart AC 2026]]+Portefeuille_ProgPropose10[[#This Row],[Écart TR 2026]]</f>
        <v>0</v>
      </c>
      <c r="AJ51">
        <v>475</v>
      </c>
      <c r="AL51">
        <v>475</v>
      </c>
      <c r="AN51">
        <v>573</v>
      </c>
      <c r="AP51">
        <v>1000</v>
      </c>
      <c r="AQ51">
        <v>4362</v>
      </c>
      <c r="AR51">
        <v>1077</v>
      </c>
      <c r="AS51">
        <v>12800</v>
      </c>
      <c r="AZ51" s="14">
        <f>SUM(Portefeuille_ProgPropose10[[#This Row],[AC ANT]:[TR 2025]],Portefeuille_ProgPropose10[[#This Row],[AC 2026]:[TR 2026]],Portefeuille_ProgPropose10[[#This Row],[AC 2027]:[TR 2034]])</f>
        <v>21239</v>
      </c>
    </row>
    <row r="52" spans="1:52" x14ac:dyDescent="0.3">
      <c r="A52" t="s">
        <v>286</v>
      </c>
      <c r="B52">
        <v>12</v>
      </c>
      <c r="C52" t="s">
        <v>101</v>
      </c>
      <c r="D52" t="s">
        <v>102</v>
      </c>
      <c r="E52" t="s">
        <v>103</v>
      </c>
      <c r="F52" t="s">
        <v>140</v>
      </c>
      <c r="G52" t="s">
        <v>20</v>
      </c>
      <c r="H52" t="s">
        <v>20</v>
      </c>
      <c r="I52" t="s">
        <v>131</v>
      </c>
      <c r="J52" t="s">
        <v>246</v>
      </c>
      <c r="K52" t="s">
        <v>515</v>
      </c>
      <c r="L52" t="s">
        <v>180</v>
      </c>
      <c r="M52" t="s">
        <v>173</v>
      </c>
      <c r="N52" t="s">
        <v>110</v>
      </c>
      <c r="O52" s="1">
        <v>45679</v>
      </c>
      <c r="P52" s="1">
        <v>46006</v>
      </c>
      <c r="Q52" s="1">
        <v>46371</v>
      </c>
      <c r="V52">
        <v>130</v>
      </c>
      <c r="X52">
        <v>50</v>
      </c>
      <c r="Z52">
        <f>Portefeuille_ProgPropose10[[#This Row],[AC 2025]]-Portefeuille_ProgPropose10[[#This Row],[AC 2025 Trimestre précédent]]</f>
        <v>80</v>
      </c>
      <c r="AA52">
        <f>Portefeuille_ProgPropose10[[#This Row],[TR 2025]]-Portefeuille_ProgPropose10[[#This Row],[TR 2025 Trimestre précédent]]</f>
        <v>0</v>
      </c>
      <c r="AB52">
        <f>Portefeuille_ProgPropose10[[#This Row],[Écart AC 2025]]+Portefeuille_ProgPropose10[[#This Row],[Écart TR 2025]]</f>
        <v>80</v>
      </c>
      <c r="AC52">
        <v>60</v>
      </c>
      <c r="AD52"/>
      <c r="AE52">
        <v>100</v>
      </c>
      <c r="AG52">
        <f>Portefeuille_ProgPropose10[[#This Row],[AC 2026]]-Portefeuille_ProgPropose10[[#This Row],[AC 2026 Trimestre précédent]]</f>
        <v>-40</v>
      </c>
      <c r="AH52">
        <f>Portefeuille_ProgPropose10[[#This Row],[TR 2026]]-Portefeuille_ProgPropose10[[#This Row],[TR 2026 Trimestre précédent]]</f>
        <v>0</v>
      </c>
      <c r="AI52">
        <f>Portefeuille_ProgPropose10[[#This Row],[Écart AC 2026]]+Portefeuille_ProgPropose10[[#This Row],[Écart TR 2026]]</f>
        <v>-40</v>
      </c>
      <c r="AJ52">
        <v>283</v>
      </c>
      <c r="AK52">
        <v>3902</v>
      </c>
      <c r="AQ52"/>
      <c r="AZ52" s="14">
        <f>SUM(Portefeuille_ProgPropose10[[#This Row],[AC ANT]:[TR 2025]],Portefeuille_ProgPropose10[[#This Row],[AC 2026]:[TR 2026]],Portefeuille_ProgPropose10[[#This Row],[AC 2027]:[TR 2034]])</f>
        <v>4375</v>
      </c>
    </row>
    <row r="53" spans="1:52" x14ac:dyDescent="0.3">
      <c r="A53" t="s">
        <v>286</v>
      </c>
      <c r="B53">
        <v>8</v>
      </c>
      <c r="C53" t="s">
        <v>118</v>
      </c>
      <c r="D53" t="s">
        <v>102</v>
      </c>
      <c r="E53" t="s">
        <v>136</v>
      </c>
      <c r="F53" t="s">
        <v>113</v>
      </c>
      <c r="G53" t="s">
        <v>20</v>
      </c>
      <c r="H53" t="s">
        <v>20</v>
      </c>
      <c r="I53" t="s">
        <v>105</v>
      </c>
      <c r="J53" t="s">
        <v>248</v>
      </c>
      <c r="K53" t="s">
        <v>249</v>
      </c>
      <c r="L53" t="s">
        <v>180</v>
      </c>
      <c r="M53" t="s">
        <v>173</v>
      </c>
      <c r="N53" t="s">
        <v>110</v>
      </c>
      <c r="O53" s="1">
        <v>45476</v>
      </c>
      <c r="P53" s="1">
        <v>45945</v>
      </c>
      <c r="Q53" s="1">
        <v>46096</v>
      </c>
      <c r="V53">
        <v>100</v>
      </c>
      <c r="X53">
        <v>100</v>
      </c>
      <c r="Z53">
        <f>Portefeuille_ProgPropose10[[#This Row],[AC 2025]]-Portefeuille_ProgPropose10[[#This Row],[AC 2025 Trimestre précédent]]</f>
        <v>0</v>
      </c>
      <c r="AA53">
        <f>Portefeuille_ProgPropose10[[#This Row],[TR 2025]]-Portefeuille_ProgPropose10[[#This Row],[TR 2025 Trimestre précédent]]</f>
        <v>0</v>
      </c>
      <c r="AB53">
        <f>Portefeuille_ProgPropose10[[#This Row],[Écart AC 2025]]+Portefeuille_ProgPropose10[[#This Row],[Écart TR 2025]]</f>
        <v>0</v>
      </c>
      <c r="AC53">
        <v>110</v>
      </c>
      <c r="AD53"/>
      <c r="AE53">
        <v>110</v>
      </c>
      <c r="AG53">
        <f>Portefeuille_ProgPropose10[[#This Row],[AC 2026]]-Portefeuille_ProgPropose10[[#This Row],[AC 2026 Trimestre précédent]]</f>
        <v>0</v>
      </c>
      <c r="AH53">
        <f>Portefeuille_ProgPropose10[[#This Row],[TR 2026]]-Portefeuille_ProgPropose10[[#This Row],[TR 2026 Trimestre précédent]]</f>
        <v>0</v>
      </c>
      <c r="AI53">
        <f>Portefeuille_ProgPropose10[[#This Row],[Écart AC 2026]]+Portefeuille_ProgPropose10[[#This Row],[Écart TR 2026]]</f>
        <v>0</v>
      </c>
      <c r="AJ53">
        <v>110</v>
      </c>
      <c r="AK53">
        <v>1415</v>
      </c>
      <c r="AM53">
        <v>2030</v>
      </c>
      <c r="AQ53"/>
      <c r="AZ53" s="14">
        <f>SUM(Portefeuille_ProgPropose10[[#This Row],[AC ANT]:[TR 2025]],Portefeuille_ProgPropose10[[#This Row],[AC 2026]:[TR 2026]],Portefeuille_ProgPropose10[[#This Row],[AC 2027]:[TR 2034]])</f>
        <v>3765</v>
      </c>
    </row>
    <row r="54" spans="1:52" x14ac:dyDescent="0.3">
      <c r="A54" t="s">
        <v>286</v>
      </c>
      <c r="C54" t="s">
        <v>118</v>
      </c>
      <c r="D54" t="s">
        <v>102</v>
      </c>
      <c r="E54" t="s">
        <v>119</v>
      </c>
      <c r="F54" t="s">
        <v>206</v>
      </c>
      <c r="G54" t="s">
        <v>16</v>
      </c>
      <c r="H54" t="s">
        <v>130</v>
      </c>
      <c r="I54" t="s">
        <v>131</v>
      </c>
      <c r="J54" t="s">
        <v>207</v>
      </c>
      <c r="K54" t="s">
        <v>208</v>
      </c>
      <c r="L54" t="s">
        <v>209</v>
      </c>
      <c r="M54" t="s">
        <v>173</v>
      </c>
      <c r="N54" t="s">
        <v>155</v>
      </c>
      <c r="O54" s="1">
        <v>45731</v>
      </c>
      <c r="P54" s="1">
        <v>46006</v>
      </c>
      <c r="Q54" s="1">
        <v>46310</v>
      </c>
      <c r="R54">
        <v>196</v>
      </c>
      <c r="V54">
        <v>40</v>
      </c>
      <c r="X54">
        <v>40</v>
      </c>
      <c r="Z54">
        <f>Portefeuille_ProgPropose10[[#This Row],[AC 2025]]-Portefeuille_ProgPropose10[[#This Row],[AC 2025 Trimestre précédent]]</f>
        <v>0</v>
      </c>
      <c r="AA54">
        <f>Portefeuille_ProgPropose10[[#This Row],[TR 2025]]-Portefeuille_ProgPropose10[[#This Row],[TR 2025 Trimestre précédent]]</f>
        <v>0</v>
      </c>
      <c r="AB54">
        <f>Portefeuille_ProgPropose10[[#This Row],[Écart AC 2025]]+Portefeuille_ProgPropose10[[#This Row],[Écart TR 2025]]</f>
        <v>0</v>
      </c>
      <c r="AC54">
        <v>255</v>
      </c>
      <c r="AD54"/>
      <c r="AE54">
        <v>255</v>
      </c>
      <c r="AG54">
        <f>Portefeuille_ProgPropose10[[#This Row],[AC 2026]]-Portefeuille_ProgPropose10[[#This Row],[AC 2026 Trimestre précédent]]</f>
        <v>0</v>
      </c>
      <c r="AH54">
        <f>Portefeuille_ProgPropose10[[#This Row],[TR 2026]]-Portefeuille_ProgPropose10[[#This Row],[TR 2026 Trimestre précédent]]</f>
        <v>0</v>
      </c>
      <c r="AI54">
        <f>Portefeuille_ProgPropose10[[#This Row],[Écart AC 2026]]+Portefeuille_ProgPropose10[[#This Row],[Écart TR 2026]]</f>
        <v>0</v>
      </c>
      <c r="AJ54">
        <v>396</v>
      </c>
      <c r="AK54">
        <v>1500</v>
      </c>
      <c r="AQ54"/>
      <c r="AZ54" s="14">
        <f>SUM(Portefeuille_ProgPropose10[[#This Row],[AC ANT]:[TR 2025]],Portefeuille_ProgPropose10[[#This Row],[AC 2026]:[TR 2026]],Portefeuille_ProgPropose10[[#This Row],[AC 2027]:[TR 2034]])</f>
        <v>2387</v>
      </c>
    </row>
    <row r="55" spans="1:52" x14ac:dyDescent="0.3">
      <c r="A55" t="s">
        <v>286</v>
      </c>
      <c r="C55" t="s">
        <v>126</v>
      </c>
      <c r="D55" t="s">
        <v>127</v>
      </c>
      <c r="E55" t="s">
        <v>103</v>
      </c>
      <c r="F55" t="s">
        <v>104</v>
      </c>
      <c r="G55" t="s">
        <v>16</v>
      </c>
      <c r="H55" t="s">
        <v>130</v>
      </c>
      <c r="I55" t="s">
        <v>131</v>
      </c>
      <c r="J55" t="s">
        <v>220</v>
      </c>
      <c r="K55" t="s">
        <v>221</v>
      </c>
      <c r="L55" t="s">
        <v>159</v>
      </c>
      <c r="M55" t="s">
        <v>173</v>
      </c>
      <c r="N55" t="s">
        <v>155</v>
      </c>
      <c r="O55" s="1">
        <v>45807</v>
      </c>
      <c r="P55" s="1">
        <v>46164</v>
      </c>
      <c r="Q55" s="1">
        <v>46402</v>
      </c>
      <c r="V55">
        <v>130</v>
      </c>
      <c r="X55">
        <v>5</v>
      </c>
      <c r="Z55">
        <f>Portefeuille_ProgPropose10[[#This Row],[AC 2025]]-Portefeuille_ProgPropose10[[#This Row],[AC 2025 Trimestre précédent]]</f>
        <v>125</v>
      </c>
      <c r="AA55">
        <f>Portefeuille_ProgPropose10[[#This Row],[TR 2025]]-Portefeuille_ProgPropose10[[#This Row],[TR 2025 Trimestre précédent]]</f>
        <v>0</v>
      </c>
      <c r="AB55">
        <f>Portefeuille_ProgPropose10[[#This Row],[Écart AC 2025]]+Portefeuille_ProgPropose10[[#This Row],[Écart TR 2025]]</f>
        <v>125</v>
      </c>
      <c r="AC55">
        <v>125</v>
      </c>
      <c r="AD55"/>
      <c r="AE55">
        <v>170</v>
      </c>
      <c r="AG55">
        <f>Portefeuille_ProgPropose10[[#This Row],[AC 2026]]-Portefeuille_ProgPropose10[[#This Row],[AC 2026 Trimestre précédent]]</f>
        <v>-45</v>
      </c>
      <c r="AH55">
        <f>Portefeuille_ProgPropose10[[#This Row],[TR 2026]]-Portefeuille_ProgPropose10[[#This Row],[TR 2026 Trimestre précédent]]</f>
        <v>0</v>
      </c>
      <c r="AI55">
        <f>Portefeuille_ProgPropose10[[#This Row],[Écart AC 2026]]+Portefeuille_ProgPropose10[[#This Row],[Écart TR 2026]]</f>
        <v>-45</v>
      </c>
      <c r="AJ55">
        <v>100</v>
      </c>
      <c r="AK55">
        <v>12180</v>
      </c>
      <c r="AL55">
        <v>70</v>
      </c>
      <c r="AM55">
        <v>7570</v>
      </c>
      <c r="AN55">
        <v>55</v>
      </c>
      <c r="AO55">
        <v>10250</v>
      </c>
      <c r="AQ55"/>
      <c r="AZ55" s="14">
        <f>SUM(Portefeuille_ProgPropose10[[#This Row],[AC ANT]:[TR 2025]],Portefeuille_ProgPropose10[[#This Row],[AC 2026]:[TR 2026]],Portefeuille_ProgPropose10[[#This Row],[AC 2027]:[TR 2034]])</f>
        <v>30480</v>
      </c>
    </row>
    <row r="56" spans="1:52" x14ac:dyDescent="0.3">
      <c r="A56" t="s">
        <v>286</v>
      </c>
      <c r="B56">
        <v>6</v>
      </c>
      <c r="C56" t="s">
        <v>101</v>
      </c>
      <c r="D56" t="s">
        <v>102</v>
      </c>
      <c r="E56" t="s">
        <v>136</v>
      </c>
      <c r="F56" t="s">
        <v>149</v>
      </c>
      <c r="G56" t="s">
        <v>20</v>
      </c>
      <c r="H56" t="s">
        <v>20</v>
      </c>
      <c r="I56" t="s">
        <v>105</v>
      </c>
      <c r="J56" t="s">
        <v>203</v>
      </c>
      <c r="K56" t="s">
        <v>204</v>
      </c>
      <c r="L56" t="s">
        <v>205</v>
      </c>
      <c r="M56" t="s">
        <v>173</v>
      </c>
      <c r="N56" t="s">
        <v>155</v>
      </c>
      <c r="O56" s="1">
        <v>45703</v>
      </c>
      <c r="P56" s="1">
        <v>45915</v>
      </c>
      <c r="Q56" s="1">
        <v>46295</v>
      </c>
      <c r="V56">
        <v>85</v>
      </c>
      <c r="X56">
        <v>85</v>
      </c>
      <c r="Z56">
        <f>Portefeuille_ProgPropose10[[#This Row],[AC 2025]]-Portefeuille_ProgPropose10[[#This Row],[AC 2025 Trimestre précédent]]</f>
        <v>0</v>
      </c>
      <c r="AA56">
        <f>Portefeuille_ProgPropose10[[#This Row],[TR 2025]]-Portefeuille_ProgPropose10[[#This Row],[TR 2025 Trimestre précédent]]</f>
        <v>0</v>
      </c>
      <c r="AB56">
        <f>Portefeuille_ProgPropose10[[#This Row],[Écart AC 2025]]+Portefeuille_ProgPropose10[[#This Row],[Écart TR 2025]]</f>
        <v>0</v>
      </c>
      <c r="AC56">
        <v>85</v>
      </c>
      <c r="AD56"/>
      <c r="AE56">
        <v>85</v>
      </c>
      <c r="AG56">
        <f>Portefeuille_ProgPropose10[[#This Row],[AC 2026]]-Portefeuille_ProgPropose10[[#This Row],[AC 2026 Trimestre précédent]]</f>
        <v>0</v>
      </c>
      <c r="AH56">
        <f>Portefeuille_ProgPropose10[[#This Row],[TR 2026]]-Portefeuille_ProgPropose10[[#This Row],[TR 2026 Trimestre précédent]]</f>
        <v>0</v>
      </c>
      <c r="AI56">
        <f>Portefeuille_ProgPropose10[[#This Row],[Écart AC 2026]]+Portefeuille_ProgPropose10[[#This Row],[Écart TR 2026]]</f>
        <v>0</v>
      </c>
      <c r="AJ56">
        <v>170</v>
      </c>
      <c r="AK56">
        <v>2000</v>
      </c>
      <c r="AQ56"/>
      <c r="AZ56" s="14">
        <f>SUM(Portefeuille_ProgPropose10[[#This Row],[AC ANT]:[TR 2025]],Portefeuille_ProgPropose10[[#This Row],[AC 2026]:[TR 2026]],Portefeuille_ProgPropose10[[#This Row],[AC 2027]:[TR 2034]])</f>
        <v>2340</v>
      </c>
    </row>
    <row r="57" spans="1:52" x14ac:dyDescent="0.3">
      <c r="A57" t="s">
        <v>286</v>
      </c>
      <c r="B57">
        <v>2</v>
      </c>
      <c r="C57" t="s">
        <v>118</v>
      </c>
      <c r="D57" t="s">
        <v>102</v>
      </c>
      <c r="E57" t="s">
        <v>242</v>
      </c>
      <c r="F57" t="s">
        <v>129</v>
      </c>
      <c r="G57" t="s">
        <v>20</v>
      </c>
      <c r="H57" t="s">
        <v>20</v>
      </c>
      <c r="I57" t="s">
        <v>131</v>
      </c>
      <c r="J57" t="s">
        <v>385</v>
      </c>
      <c r="K57" t="s">
        <v>386</v>
      </c>
      <c r="L57" t="s">
        <v>134</v>
      </c>
      <c r="M57" t="s">
        <v>197</v>
      </c>
      <c r="N57" t="s">
        <v>155</v>
      </c>
      <c r="O57" s="1">
        <v>45717</v>
      </c>
      <c r="P57" s="1">
        <v>46082</v>
      </c>
      <c r="Q57" s="1">
        <v>46569</v>
      </c>
      <c r="V57">
        <v>20</v>
      </c>
      <c r="Z57">
        <f>Portefeuille_ProgPropose10[[#This Row],[AC 2025]]-Portefeuille_ProgPropose10[[#This Row],[AC 2025 Trimestre précédent]]</f>
        <v>20</v>
      </c>
      <c r="AA57">
        <f>Portefeuille_ProgPropose10[[#This Row],[TR 2025]]-Portefeuille_ProgPropose10[[#This Row],[TR 2025 Trimestre précédent]]</f>
        <v>0</v>
      </c>
      <c r="AB57">
        <f>Portefeuille_ProgPropose10[[#This Row],[Écart AC 2025]]+Portefeuille_ProgPropose10[[#This Row],[Écart TR 2025]]</f>
        <v>20</v>
      </c>
      <c r="AC57">
        <v>50</v>
      </c>
      <c r="AD57"/>
      <c r="AG57">
        <f>Portefeuille_ProgPropose10[[#This Row],[AC 2026]]-Portefeuille_ProgPropose10[[#This Row],[AC 2026 Trimestre précédent]]</f>
        <v>50</v>
      </c>
      <c r="AH57">
        <f>Portefeuille_ProgPropose10[[#This Row],[TR 2026]]-Portefeuille_ProgPropose10[[#This Row],[TR 2026 Trimestre précédent]]</f>
        <v>0</v>
      </c>
      <c r="AI57">
        <f>Portefeuille_ProgPropose10[[#This Row],[Écart AC 2026]]+Portefeuille_ProgPropose10[[#This Row],[Écart TR 2026]]</f>
        <v>50</v>
      </c>
      <c r="AJ57">
        <v>50</v>
      </c>
      <c r="AL57">
        <v>200</v>
      </c>
      <c r="AM57">
        <v>2000</v>
      </c>
      <c r="AQ57"/>
      <c r="AZ57" s="14">
        <f>SUM(Portefeuille_ProgPropose10[[#This Row],[AC ANT]:[TR 2025]],Portefeuille_ProgPropose10[[#This Row],[AC 2026]:[TR 2026]],Portefeuille_ProgPropose10[[#This Row],[AC 2027]:[TR 2034]])</f>
        <v>2320</v>
      </c>
    </row>
    <row r="58" spans="1:52" x14ac:dyDescent="0.3">
      <c r="A58" t="s">
        <v>286</v>
      </c>
      <c r="B58">
        <v>9</v>
      </c>
      <c r="C58" t="s">
        <v>101</v>
      </c>
      <c r="D58" t="s">
        <v>102</v>
      </c>
      <c r="E58" t="s">
        <v>103</v>
      </c>
      <c r="F58" t="s">
        <v>149</v>
      </c>
      <c r="G58" t="s">
        <v>20</v>
      </c>
      <c r="H58" t="s">
        <v>20</v>
      </c>
      <c r="I58" t="s">
        <v>105</v>
      </c>
      <c r="J58" t="s">
        <v>235</v>
      </c>
      <c r="K58" t="s">
        <v>510</v>
      </c>
      <c r="L58" t="s">
        <v>205</v>
      </c>
      <c r="M58" t="s">
        <v>173</v>
      </c>
      <c r="N58" t="s">
        <v>155</v>
      </c>
      <c r="O58" s="1">
        <v>45716</v>
      </c>
      <c r="P58" s="1">
        <v>46055</v>
      </c>
      <c r="Q58" s="1">
        <v>46273</v>
      </c>
      <c r="V58">
        <v>20</v>
      </c>
      <c r="X58">
        <v>75</v>
      </c>
      <c r="Z58">
        <f>Portefeuille_ProgPropose10[[#This Row],[AC 2025]]-Portefeuille_ProgPropose10[[#This Row],[AC 2025 Trimestre précédent]]</f>
        <v>-55</v>
      </c>
      <c r="AA58">
        <f>Portefeuille_ProgPropose10[[#This Row],[TR 2025]]-Portefeuille_ProgPropose10[[#This Row],[TR 2025 Trimestre précédent]]</f>
        <v>0</v>
      </c>
      <c r="AB58">
        <f>Portefeuille_ProgPropose10[[#This Row],[Écart AC 2025]]+Portefeuille_ProgPropose10[[#This Row],[Écart TR 2025]]</f>
        <v>-55</v>
      </c>
      <c r="AC58">
        <v>200</v>
      </c>
      <c r="AD58"/>
      <c r="AE58">
        <v>300</v>
      </c>
      <c r="AG58">
        <f>Portefeuille_ProgPropose10[[#This Row],[AC 2026]]-Portefeuille_ProgPropose10[[#This Row],[AC 2026 Trimestre précédent]]</f>
        <v>-100</v>
      </c>
      <c r="AH58">
        <f>Portefeuille_ProgPropose10[[#This Row],[TR 2026]]-Portefeuille_ProgPropose10[[#This Row],[TR 2026 Trimestre précédent]]</f>
        <v>0</v>
      </c>
      <c r="AI58">
        <f>Portefeuille_ProgPropose10[[#This Row],[Écart AC 2026]]+Portefeuille_ProgPropose10[[#This Row],[Écart TR 2026]]</f>
        <v>-100</v>
      </c>
      <c r="AJ58">
        <v>864</v>
      </c>
      <c r="AK58">
        <v>12022</v>
      </c>
      <c r="AQ58"/>
      <c r="AZ58" s="14">
        <f>SUM(Portefeuille_ProgPropose10[[#This Row],[AC ANT]:[TR 2025]],Portefeuille_ProgPropose10[[#This Row],[AC 2026]:[TR 2026]],Portefeuille_ProgPropose10[[#This Row],[AC 2027]:[TR 2034]])</f>
        <v>13106</v>
      </c>
    </row>
    <row r="59" spans="1:52" x14ac:dyDescent="0.3">
      <c r="A59" t="s">
        <v>286</v>
      </c>
      <c r="B59">
        <v>3</v>
      </c>
      <c r="C59" t="s">
        <v>126</v>
      </c>
      <c r="D59" t="s">
        <v>127</v>
      </c>
      <c r="E59" t="s">
        <v>103</v>
      </c>
      <c r="F59" t="s">
        <v>149</v>
      </c>
      <c r="G59" t="s">
        <v>20</v>
      </c>
      <c r="H59" t="s">
        <v>20</v>
      </c>
      <c r="I59" t="s">
        <v>131</v>
      </c>
      <c r="J59" t="s">
        <v>233</v>
      </c>
      <c r="K59" t="s">
        <v>234</v>
      </c>
      <c r="L59" t="s">
        <v>152</v>
      </c>
      <c r="M59" t="s">
        <v>173</v>
      </c>
      <c r="N59" t="s">
        <v>155</v>
      </c>
      <c r="O59" s="1">
        <v>45823</v>
      </c>
      <c r="P59" s="1">
        <v>46310</v>
      </c>
      <c r="Q59" s="1">
        <v>46675</v>
      </c>
      <c r="V59">
        <v>100</v>
      </c>
      <c r="X59">
        <v>100</v>
      </c>
      <c r="Z59">
        <f>Portefeuille_ProgPropose10[[#This Row],[AC 2025]]-Portefeuille_ProgPropose10[[#This Row],[AC 2025 Trimestre précédent]]</f>
        <v>0</v>
      </c>
      <c r="AA59">
        <f>Portefeuille_ProgPropose10[[#This Row],[TR 2025]]-Portefeuille_ProgPropose10[[#This Row],[TR 2025 Trimestre précédent]]</f>
        <v>0</v>
      </c>
      <c r="AB59">
        <f>Portefeuille_ProgPropose10[[#This Row],[Écart AC 2025]]+Portefeuille_ProgPropose10[[#This Row],[Écart TR 2025]]</f>
        <v>0</v>
      </c>
      <c r="AC59">
        <v>150</v>
      </c>
      <c r="AD59"/>
      <c r="AE59">
        <v>150</v>
      </c>
      <c r="AG59">
        <f>Portefeuille_ProgPropose10[[#This Row],[AC 2026]]-Portefeuille_ProgPropose10[[#This Row],[AC 2026 Trimestre précédent]]</f>
        <v>0</v>
      </c>
      <c r="AH59">
        <f>Portefeuille_ProgPropose10[[#This Row],[TR 2026]]-Portefeuille_ProgPropose10[[#This Row],[TR 2026 Trimestre précédent]]</f>
        <v>0</v>
      </c>
      <c r="AI59">
        <f>Portefeuille_ProgPropose10[[#This Row],[Écart AC 2026]]+Portefeuille_ProgPropose10[[#This Row],[Écart TR 2026]]</f>
        <v>0</v>
      </c>
      <c r="AJ59">
        <v>500</v>
      </c>
      <c r="AK59">
        <v>7500</v>
      </c>
      <c r="AQ59"/>
      <c r="AZ59" s="14">
        <f>SUM(Portefeuille_ProgPropose10[[#This Row],[AC ANT]:[TR 2025]],Portefeuille_ProgPropose10[[#This Row],[AC 2026]:[TR 2026]],Portefeuille_ProgPropose10[[#This Row],[AC 2027]:[TR 2034]])</f>
        <v>8250</v>
      </c>
    </row>
    <row r="60" spans="1:52" x14ac:dyDescent="0.3">
      <c r="A60" t="s">
        <v>286</v>
      </c>
      <c r="B60">
        <v>10</v>
      </c>
      <c r="C60" t="s">
        <v>101</v>
      </c>
      <c r="D60" t="s">
        <v>102</v>
      </c>
      <c r="E60" t="s">
        <v>103</v>
      </c>
      <c r="F60" t="s">
        <v>149</v>
      </c>
      <c r="G60" t="s">
        <v>20</v>
      </c>
      <c r="H60" t="s">
        <v>20</v>
      </c>
      <c r="I60" t="s">
        <v>105</v>
      </c>
      <c r="J60" t="s">
        <v>237</v>
      </c>
      <c r="K60" t="s">
        <v>238</v>
      </c>
      <c r="L60" t="s">
        <v>239</v>
      </c>
      <c r="M60" t="s">
        <v>173</v>
      </c>
      <c r="N60" t="s">
        <v>155</v>
      </c>
      <c r="O60" s="1">
        <v>45703</v>
      </c>
      <c r="P60" s="1">
        <v>46022</v>
      </c>
      <c r="Q60" s="1">
        <v>46295</v>
      </c>
      <c r="V60">
        <v>100</v>
      </c>
      <c r="X60">
        <v>100</v>
      </c>
      <c r="Z60">
        <f>Portefeuille_ProgPropose10[[#This Row],[AC 2025]]-Portefeuille_ProgPropose10[[#This Row],[AC 2025 Trimestre précédent]]</f>
        <v>0</v>
      </c>
      <c r="AA60">
        <f>Portefeuille_ProgPropose10[[#This Row],[TR 2025]]-Portefeuille_ProgPropose10[[#This Row],[TR 2025 Trimestre précédent]]</f>
        <v>0</v>
      </c>
      <c r="AB60">
        <f>Portefeuille_ProgPropose10[[#This Row],[Écart AC 2025]]+Portefeuille_ProgPropose10[[#This Row],[Écart TR 2025]]</f>
        <v>0</v>
      </c>
      <c r="AC60">
        <v>200</v>
      </c>
      <c r="AD60"/>
      <c r="AE60">
        <v>200</v>
      </c>
      <c r="AG60">
        <f>Portefeuille_ProgPropose10[[#This Row],[AC 2026]]-Portefeuille_ProgPropose10[[#This Row],[AC 2026 Trimestre précédent]]</f>
        <v>0</v>
      </c>
      <c r="AH60">
        <f>Portefeuille_ProgPropose10[[#This Row],[TR 2026]]-Portefeuille_ProgPropose10[[#This Row],[TR 2026 Trimestre précédent]]</f>
        <v>0</v>
      </c>
      <c r="AI60">
        <f>Portefeuille_ProgPropose10[[#This Row],[Écart AC 2026]]+Portefeuille_ProgPropose10[[#This Row],[Écart TR 2026]]</f>
        <v>0</v>
      </c>
      <c r="AJ60">
        <v>475</v>
      </c>
      <c r="AK60">
        <v>11000</v>
      </c>
      <c r="AQ60"/>
      <c r="AZ60" s="14">
        <f>SUM(Portefeuille_ProgPropose10[[#This Row],[AC ANT]:[TR 2025]],Portefeuille_ProgPropose10[[#This Row],[AC 2026]:[TR 2026]],Portefeuille_ProgPropose10[[#This Row],[AC 2027]:[TR 2034]])</f>
        <v>11775</v>
      </c>
    </row>
    <row r="61" spans="1:52" x14ac:dyDescent="0.3">
      <c r="A61" t="s">
        <v>286</v>
      </c>
      <c r="B61">
        <v>6</v>
      </c>
      <c r="C61" t="s">
        <v>118</v>
      </c>
      <c r="D61" t="s">
        <v>102</v>
      </c>
      <c r="E61" t="s">
        <v>177</v>
      </c>
      <c r="F61" t="s">
        <v>113</v>
      </c>
      <c r="G61" t="s">
        <v>130</v>
      </c>
      <c r="H61" t="s">
        <v>20</v>
      </c>
      <c r="I61" t="s">
        <v>131</v>
      </c>
      <c r="J61" t="s">
        <v>240</v>
      </c>
      <c r="K61" t="s">
        <v>241</v>
      </c>
      <c r="L61" t="s">
        <v>187</v>
      </c>
      <c r="M61" t="s">
        <v>173</v>
      </c>
      <c r="N61" t="s">
        <v>155</v>
      </c>
      <c r="O61" s="1">
        <v>45708</v>
      </c>
      <c r="P61" s="1">
        <v>46127</v>
      </c>
      <c r="Q61" s="1">
        <v>46492</v>
      </c>
      <c r="T61">
        <v>10</v>
      </c>
      <c r="V61">
        <v>178</v>
      </c>
      <c r="X61">
        <v>100</v>
      </c>
      <c r="Z61">
        <f>Portefeuille_ProgPropose10[[#This Row],[AC 2025]]-Portefeuille_ProgPropose10[[#This Row],[AC 2025 Trimestre précédent]]</f>
        <v>78</v>
      </c>
      <c r="AA61">
        <f>Portefeuille_ProgPropose10[[#This Row],[TR 2025]]-Portefeuille_ProgPropose10[[#This Row],[TR 2025 Trimestre précédent]]</f>
        <v>0</v>
      </c>
      <c r="AB61">
        <f>Portefeuille_ProgPropose10[[#This Row],[Écart AC 2025]]+Portefeuille_ProgPropose10[[#This Row],[Écart TR 2025]]</f>
        <v>78</v>
      </c>
      <c r="AC61">
        <v>176</v>
      </c>
      <c r="AD61"/>
      <c r="AE61">
        <v>100</v>
      </c>
      <c r="AG61">
        <f>Portefeuille_ProgPropose10[[#This Row],[AC 2026]]-Portefeuille_ProgPropose10[[#This Row],[AC 2026 Trimestre précédent]]</f>
        <v>76</v>
      </c>
      <c r="AH61">
        <f>Portefeuille_ProgPropose10[[#This Row],[TR 2026]]-Portefeuille_ProgPropose10[[#This Row],[TR 2026 Trimestre précédent]]</f>
        <v>0</v>
      </c>
      <c r="AI61">
        <f>Portefeuille_ProgPropose10[[#This Row],[Écart AC 2026]]+Portefeuille_ProgPropose10[[#This Row],[Écart TR 2026]]</f>
        <v>76</v>
      </c>
      <c r="AJ61">
        <v>212</v>
      </c>
      <c r="AK61">
        <v>4831</v>
      </c>
      <c r="AL61">
        <v>141</v>
      </c>
      <c r="AM61">
        <v>3298</v>
      </c>
      <c r="AQ61"/>
      <c r="AZ61" s="14">
        <f>SUM(Portefeuille_ProgPropose10[[#This Row],[AC ANT]:[TR 2025]],Portefeuille_ProgPropose10[[#This Row],[AC 2026]:[TR 2026]],Portefeuille_ProgPropose10[[#This Row],[AC 2027]:[TR 2034]])</f>
        <v>8846</v>
      </c>
    </row>
    <row r="62" spans="1:52" x14ac:dyDescent="0.3">
      <c r="A62" t="s">
        <v>286</v>
      </c>
      <c r="B62">
        <v>13</v>
      </c>
      <c r="C62" t="s">
        <v>101</v>
      </c>
      <c r="D62" t="s">
        <v>102</v>
      </c>
      <c r="E62" t="s">
        <v>128</v>
      </c>
      <c r="F62" t="s">
        <v>129</v>
      </c>
      <c r="G62" t="s">
        <v>20</v>
      </c>
      <c r="H62" t="s">
        <v>20</v>
      </c>
      <c r="I62" t="s">
        <v>131</v>
      </c>
      <c r="J62" t="s">
        <v>250</v>
      </c>
      <c r="K62" t="s">
        <v>251</v>
      </c>
      <c r="L62" t="s">
        <v>214</v>
      </c>
      <c r="M62" s="2" t="s">
        <v>197</v>
      </c>
      <c r="N62" t="s">
        <v>110</v>
      </c>
      <c r="O62" s="1">
        <v>45490</v>
      </c>
      <c r="P62" s="1"/>
      <c r="Q62" s="1">
        <v>46447</v>
      </c>
      <c r="V62">
        <v>37</v>
      </c>
      <c r="X62">
        <v>37</v>
      </c>
      <c r="Z62">
        <f>Portefeuille_ProgPropose10[[#This Row],[AC 2025]]-Portefeuille_ProgPropose10[[#This Row],[AC 2025 Trimestre précédent]]</f>
        <v>0</v>
      </c>
      <c r="AA62">
        <f>Portefeuille_ProgPropose10[[#This Row],[TR 2025]]-Portefeuille_ProgPropose10[[#This Row],[TR 2025 Trimestre précédent]]</f>
        <v>0</v>
      </c>
      <c r="AB62">
        <f>Portefeuille_ProgPropose10[[#This Row],[Écart AC 2025]]+Portefeuille_ProgPropose10[[#This Row],[Écart TR 2025]]</f>
        <v>0</v>
      </c>
      <c r="AC62">
        <v>10</v>
      </c>
      <c r="AD62"/>
      <c r="AE62">
        <v>10</v>
      </c>
      <c r="AG62">
        <f>Portefeuille_ProgPropose10[[#This Row],[AC 2026]]-Portefeuille_ProgPropose10[[#This Row],[AC 2026 Trimestre précédent]]</f>
        <v>0</v>
      </c>
      <c r="AH62">
        <f>Portefeuille_ProgPropose10[[#This Row],[TR 2026]]-Portefeuille_ProgPropose10[[#This Row],[TR 2026 Trimestre précédent]]</f>
        <v>0</v>
      </c>
      <c r="AI62">
        <f>Portefeuille_ProgPropose10[[#This Row],[Écart AC 2026]]+Portefeuille_ProgPropose10[[#This Row],[Écart TR 2026]]</f>
        <v>0</v>
      </c>
      <c r="AJ62">
        <v>12</v>
      </c>
      <c r="AL62">
        <v>30</v>
      </c>
      <c r="AM62">
        <v>194</v>
      </c>
      <c r="AQ62"/>
      <c r="AZ62" s="14">
        <f>SUM(Portefeuille_ProgPropose10[[#This Row],[AC ANT]:[TR 2025]],Portefeuille_ProgPropose10[[#This Row],[AC 2026]:[TR 2026]],Portefeuille_ProgPropose10[[#This Row],[AC 2027]:[TR 2034]])</f>
        <v>283</v>
      </c>
    </row>
    <row r="63" spans="1:52" x14ac:dyDescent="0.3">
      <c r="A63" t="s">
        <v>286</v>
      </c>
      <c r="B63">
        <v>7</v>
      </c>
      <c r="C63" t="s">
        <v>118</v>
      </c>
      <c r="D63" t="s">
        <v>102</v>
      </c>
      <c r="E63" t="s">
        <v>242</v>
      </c>
      <c r="F63" t="s">
        <v>113</v>
      </c>
      <c r="G63" t="s">
        <v>20</v>
      </c>
      <c r="H63" t="s">
        <v>20</v>
      </c>
      <c r="I63" t="s">
        <v>131</v>
      </c>
      <c r="J63" t="s">
        <v>243</v>
      </c>
      <c r="K63" t="s">
        <v>244</v>
      </c>
      <c r="L63" t="s">
        <v>245</v>
      </c>
      <c r="M63" t="s">
        <v>173</v>
      </c>
      <c r="N63" t="s">
        <v>155</v>
      </c>
      <c r="O63" s="1">
        <v>45703</v>
      </c>
      <c r="P63" s="1">
        <v>45976</v>
      </c>
      <c r="Q63" s="1">
        <v>46341</v>
      </c>
      <c r="V63">
        <v>50</v>
      </c>
      <c r="X63">
        <v>50</v>
      </c>
      <c r="Z63">
        <f>Portefeuille_ProgPropose10[[#This Row],[AC 2025]]-Portefeuille_ProgPropose10[[#This Row],[AC 2025 Trimestre précédent]]</f>
        <v>0</v>
      </c>
      <c r="AA63">
        <f>Portefeuille_ProgPropose10[[#This Row],[TR 2025]]-Portefeuille_ProgPropose10[[#This Row],[TR 2025 Trimestre précédent]]</f>
        <v>0</v>
      </c>
      <c r="AB63">
        <f>Portefeuille_ProgPropose10[[#This Row],[Écart AC 2025]]+Portefeuille_ProgPropose10[[#This Row],[Écart TR 2025]]</f>
        <v>0</v>
      </c>
      <c r="AC63">
        <v>150</v>
      </c>
      <c r="AD63"/>
      <c r="AE63">
        <v>150</v>
      </c>
      <c r="AG63">
        <f>Portefeuille_ProgPropose10[[#This Row],[AC 2026]]-Portefeuille_ProgPropose10[[#This Row],[AC 2026 Trimestre précédent]]</f>
        <v>0</v>
      </c>
      <c r="AH63">
        <f>Portefeuille_ProgPropose10[[#This Row],[TR 2026]]-Portefeuille_ProgPropose10[[#This Row],[TR 2026 Trimestre précédent]]</f>
        <v>0</v>
      </c>
      <c r="AI63">
        <f>Portefeuille_ProgPropose10[[#This Row],[Écart AC 2026]]+Portefeuille_ProgPropose10[[#This Row],[Écart TR 2026]]</f>
        <v>0</v>
      </c>
      <c r="AJ63">
        <v>150</v>
      </c>
      <c r="AK63">
        <v>2000</v>
      </c>
      <c r="AQ63"/>
      <c r="AZ63" s="14">
        <f>SUM(Portefeuille_ProgPropose10[[#This Row],[AC ANT]:[TR 2025]],Portefeuille_ProgPropose10[[#This Row],[AC 2026]:[TR 2026]],Portefeuille_ProgPropose10[[#This Row],[AC 2027]:[TR 2034]])</f>
        <v>2350</v>
      </c>
    </row>
    <row r="64" spans="1:52" x14ac:dyDescent="0.3">
      <c r="A64" t="s">
        <v>286</v>
      </c>
      <c r="B64">
        <v>2</v>
      </c>
      <c r="C64" t="s">
        <v>101</v>
      </c>
      <c r="D64" t="s">
        <v>102</v>
      </c>
      <c r="E64" t="s">
        <v>119</v>
      </c>
      <c r="F64" t="s">
        <v>129</v>
      </c>
      <c r="G64" t="s">
        <v>20</v>
      </c>
      <c r="H64" t="s">
        <v>20</v>
      </c>
      <c r="I64" t="s">
        <v>131</v>
      </c>
      <c r="J64" t="s">
        <v>440</v>
      </c>
      <c r="K64" t="s">
        <v>441</v>
      </c>
      <c r="L64" t="s">
        <v>152</v>
      </c>
      <c r="M64" t="s">
        <v>197</v>
      </c>
      <c r="N64" t="s">
        <v>155</v>
      </c>
      <c r="O64" s="1">
        <v>45748</v>
      </c>
      <c r="P64" s="1">
        <v>46113</v>
      </c>
      <c r="Q64" s="1">
        <v>46478</v>
      </c>
      <c r="V64">
        <v>20</v>
      </c>
      <c r="Z64">
        <f>Portefeuille_ProgPropose10[[#This Row],[AC 2025]]-Portefeuille_ProgPropose10[[#This Row],[AC 2025 Trimestre précédent]]</f>
        <v>20</v>
      </c>
      <c r="AA64">
        <f>Portefeuille_ProgPropose10[[#This Row],[TR 2025]]-Portefeuille_ProgPropose10[[#This Row],[TR 2025 Trimestre précédent]]</f>
        <v>0</v>
      </c>
      <c r="AB64">
        <f>Portefeuille_ProgPropose10[[#This Row],[Écart AC 2025]]+Portefeuille_ProgPropose10[[#This Row],[Écart TR 2025]]</f>
        <v>20</v>
      </c>
      <c r="AC64">
        <v>75</v>
      </c>
      <c r="AD64"/>
      <c r="AG64">
        <f>Portefeuille_ProgPropose10[[#This Row],[AC 2026]]-Portefeuille_ProgPropose10[[#This Row],[AC 2026 Trimestre précédent]]</f>
        <v>75</v>
      </c>
      <c r="AH64">
        <f>Portefeuille_ProgPropose10[[#This Row],[TR 2026]]-Portefeuille_ProgPropose10[[#This Row],[TR 2026 Trimestre précédent]]</f>
        <v>0</v>
      </c>
      <c r="AI64">
        <f>Portefeuille_ProgPropose10[[#This Row],[Écart AC 2026]]+Portefeuille_ProgPropose10[[#This Row],[Écart TR 2026]]</f>
        <v>75</v>
      </c>
      <c r="AJ64">
        <v>75</v>
      </c>
      <c r="AL64">
        <v>150</v>
      </c>
      <c r="AM64">
        <v>1000</v>
      </c>
      <c r="AQ64"/>
      <c r="AZ64" s="14">
        <f>SUM(Portefeuille_ProgPropose10[[#This Row],[AC ANT]:[TR 2025]],Portefeuille_ProgPropose10[[#This Row],[AC 2026]:[TR 2026]],Portefeuille_ProgPropose10[[#This Row],[AC 2027]:[TR 2034]])</f>
        <v>1320</v>
      </c>
    </row>
    <row r="65" spans="1:57" x14ac:dyDescent="0.3">
      <c r="A65" t="s">
        <v>11</v>
      </c>
      <c r="B65">
        <v>12</v>
      </c>
      <c r="C65" t="s">
        <v>118</v>
      </c>
      <c r="D65" t="s">
        <v>102</v>
      </c>
      <c r="E65" t="s">
        <v>103</v>
      </c>
      <c r="F65" t="s">
        <v>252</v>
      </c>
      <c r="G65" t="s">
        <v>20</v>
      </c>
      <c r="H65" t="s">
        <v>20</v>
      </c>
      <c r="I65" t="s">
        <v>131</v>
      </c>
      <c r="J65" t="s">
        <v>257</v>
      </c>
      <c r="K65" t="s">
        <v>258</v>
      </c>
      <c r="L65" t="s">
        <v>180</v>
      </c>
      <c r="M65" t="s">
        <v>148</v>
      </c>
      <c r="N65" t="s">
        <v>291</v>
      </c>
      <c r="O65" s="1"/>
      <c r="P65" s="1"/>
      <c r="Q65" s="1"/>
      <c r="W65">
        <v>300</v>
      </c>
      <c r="Y65">
        <v>300</v>
      </c>
      <c r="Z65">
        <f>Portefeuille_ProgPropose10[[#This Row],[AC 2025]]-Portefeuille_ProgPropose10[[#This Row],[AC 2025 Trimestre précédent]]</f>
        <v>0</v>
      </c>
      <c r="AA65">
        <f>Portefeuille_ProgPropose10[[#This Row],[TR 2025]]-Portefeuille_ProgPropose10[[#This Row],[TR 2025 Trimestre précédent]]</f>
        <v>0</v>
      </c>
      <c r="AB65">
        <f>Portefeuille_ProgPropose10[[#This Row],[Écart AC 2025]]+Portefeuille_ProgPropose10[[#This Row],[Écart TR 2025]]</f>
        <v>0</v>
      </c>
      <c r="AD65"/>
      <c r="AG65">
        <f>Portefeuille_ProgPropose10[[#This Row],[AC 2026]]-Portefeuille_ProgPropose10[[#This Row],[AC 2026 Trimestre précédent]]</f>
        <v>0</v>
      </c>
      <c r="AH65">
        <f>Portefeuille_ProgPropose10[[#This Row],[TR 2026]]-Portefeuille_ProgPropose10[[#This Row],[TR 2026 Trimestre précédent]]</f>
        <v>0</v>
      </c>
      <c r="AI65">
        <f>Portefeuille_ProgPropose10[[#This Row],[Écart AC 2026]]+Portefeuille_ProgPropose10[[#This Row],[Écart TR 2026]]</f>
        <v>0</v>
      </c>
      <c r="AQ65"/>
      <c r="AZ65" s="14">
        <f>SUM(Portefeuille_ProgPropose10[[#This Row],[AC ANT]:[TR 2025]],Portefeuille_ProgPropose10[[#This Row],[AC 2026]:[TR 2026]],Portefeuille_ProgPropose10[[#This Row],[AC 2027]:[TR 2034]])</f>
        <v>300</v>
      </c>
    </row>
    <row r="66" spans="1:57" x14ac:dyDescent="0.3">
      <c r="A66" t="s">
        <v>286</v>
      </c>
      <c r="B66">
        <v>5</v>
      </c>
      <c r="C66" t="s">
        <v>126</v>
      </c>
      <c r="D66" t="s">
        <v>127</v>
      </c>
      <c r="E66" t="s">
        <v>128</v>
      </c>
      <c r="F66" t="s">
        <v>252</v>
      </c>
      <c r="G66" t="s">
        <v>20</v>
      </c>
      <c r="H66" t="s">
        <v>20</v>
      </c>
      <c r="I66" t="s">
        <v>131</v>
      </c>
      <c r="J66" t="s">
        <v>259</v>
      </c>
      <c r="K66" t="s">
        <v>260</v>
      </c>
      <c r="L66" t="s">
        <v>159</v>
      </c>
      <c r="M66" t="s">
        <v>148</v>
      </c>
      <c r="N66" t="s">
        <v>291</v>
      </c>
      <c r="O66" s="1"/>
      <c r="P66" s="1"/>
      <c r="Q66" s="1"/>
      <c r="V66">
        <v>15</v>
      </c>
      <c r="W66">
        <v>85</v>
      </c>
      <c r="Y66">
        <v>100</v>
      </c>
      <c r="Z66">
        <f>Portefeuille_ProgPropose10[[#This Row],[AC 2025]]-Portefeuille_ProgPropose10[[#This Row],[AC 2025 Trimestre précédent]]</f>
        <v>15</v>
      </c>
      <c r="AA66">
        <f>Portefeuille_ProgPropose10[[#This Row],[TR 2025]]-Portefeuille_ProgPropose10[[#This Row],[TR 2025 Trimestre précédent]]</f>
        <v>-15</v>
      </c>
      <c r="AB66">
        <f>Portefeuille_ProgPropose10[[#This Row],[Écart AC 2025]]+Portefeuille_ProgPropose10[[#This Row],[Écart TR 2025]]</f>
        <v>0</v>
      </c>
      <c r="AD66"/>
      <c r="AG66">
        <f>Portefeuille_ProgPropose10[[#This Row],[AC 2026]]-Portefeuille_ProgPropose10[[#This Row],[AC 2026 Trimestre précédent]]</f>
        <v>0</v>
      </c>
      <c r="AH66">
        <f>Portefeuille_ProgPropose10[[#This Row],[TR 2026]]-Portefeuille_ProgPropose10[[#This Row],[TR 2026 Trimestre précédent]]</f>
        <v>0</v>
      </c>
      <c r="AI66">
        <f>Portefeuille_ProgPropose10[[#This Row],[Écart AC 2026]]+Portefeuille_ProgPropose10[[#This Row],[Écart TR 2026]]</f>
        <v>0</v>
      </c>
      <c r="AQ66"/>
      <c r="AZ66" s="14">
        <f>SUM(Portefeuille_ProgPropose10[[#This Row],[AC ANT]:[TR 2025]],Portefeuille_ProgPropose10[[#This Row],[AC 2026]:[TR 2026]],Portefeuille_ProgPropose10[[#This Row],[AC 2027]:[TR 2034]])</f>
        <v>100</v>
      </c>
    </row>
    <row r="67" spans="1:57" x14ac:dyDescent="0.3">
      <c r="A67" t="s">
        <v>286</v>
      </c>
      <c r="B67">
        <v>5</v>
      </c>
      <c r="C67" t="s">
        <v>118</v>
      </c>
      <c r="D67" t="s">
        <v>102</v>
      </c>
      <c r="E67" t="s">
        <v>177</v>
      </c>
      <c r="F67" t="s">
        <v>129</v>
      </c>
      <c r="G67" t="s">
        <v>20</v>
      </c>
      <c r="H67" t="s">
        <v>20</v>
      </c>
      <c r="I67" t="s">
        <v>131</v>
      </c>
      <c r="J67" t="s">
        <v>293</v>
      </c>
      <c r="K67" t="s">
        <v>294</v>
      </c>
      <c r="L67" t="s">
        <v>134</v>
      </c>
      <c r="M67" t="s">
        <v>148</v>
      </c>
      <c r="N67" t="s">
        <v>123</v>
      </c>
      <c r="O67" s="1">
        <v>45702</v>
      </c>
      <c r="P67" s="1">
        <v>45702</v>
      </c>
      <c r="Q67" s="1">
        <v>45702</v>
      </c>
      <c r="V67">
        <v>100</v>
      </c>
      <c r="W67">
        <v>4000</v>
      </c>
      <c r="Z67">
        <f>Portefeuille_ProgPropose10[[#This Row],[AC 2025]]-Portefeuille_ProgPropose10[[#This Row],[AC 2025 Trimestre précédent]]</f>
        <v>100</v>
      </c>
      <c r="AA67">
        <f>Portefeuille_ProgPropose10[[#This Row],[TR 2025]]-Portefeuille_ProgPropose10[[#This Row],[TR 2025 Trimestre précédent]]</f>
        <v>4000</v>
      </c>
      <c r="AB67">
        <f>Portefeuille_ProgPropose10[[#This Row],[Écart AC 2025]]+Portefeuille_ProgPropose10[[#This Row],[Écart TR 2025]]</f>
        <v>4100</v>
      </c>
      <c r="AD67"/>
      <c r="AG67">
        <f>Portefeuille_ProgPropose10[[#This Row],[AC 2026]]-Portefeuille_ProgPropose10[[#This Row],[AC 2026 Trimestre précédent]]</f>
        <v>0</v>
      </c>
      <c r="AH67">
        <f>Portefeuille_ProgPropose10[[#This Row],[TR 2026]]-Portefeuille_ProgPropose10[[#This Row],[TR 2026 Trimestre précédent]]</f>
        <v>0</v>
      </c>
      <c r="AI67">
        <f>Portefeuille_ProgPropose10[[#This Row],[Écart AC 2026]]+Portefeuille_ProgPropose10[[#This Row],[Écart TR 2026]]</f>
        <v>0</v>
      </c>
      <c r="AQ67"/>
      <c r="AZ67" s="14">
        <f>SUM(Portefeuille_ProgPropose10[[#This Row],[AC ANT]:[TR 2025]],Portefeuille_ProgPropose10[[#This Row],[AC 2026]:[TR 2026]],Portefeuille_ProgPropose10[[#This Row],[AC 2027]:[TR 2034]])</f>
        <v>4100</v>
      </c>
      <c r="BA67" s="57"/>
      <c r="BB67" s="57"/>
      <c r="BC67" s="57"/>
      <c r="BD67" s="57"/>
      <c r="BE67" s="57"/>
    </row>
    <row r="68" spans="1:57" x14ac:dyDescent="0.3">
      <c r="A68" t="s">
        <v>286</v>
      </c>
      <c r="B68">
        <v>3</v>
      </c>
      <c r="C68" t="s">
        <v>118</v>
      </c>
      <c r="D68" t="s">
        <v>102</v>
      </c>
      <c r="E68" t="s">
        <v>136</v>
      </c>
      <c r="G68" t="s">
        <v>20</v>
      </c>
      <c r="H68" t="s">
        <v>20</v>
      </c>
      <c r="I68" t="s">
        <v>105</v>
      </c>
      <c r="J68" t="s">
        <v>516</v>
      </c>
      <c r="K68" t="s">
        <v>517</v>
      </c>
      <c r="L68" t="s">
        <v>302</v>
      </c>
      <c r="M68" t="s">
        <v>173</v>
      </c>
      <c r="N68" t="s">
        <v>291</v>
      </c>
      <c r="O68" s="1"/>
      <c r="P68" s="1"/>
      <c r="Q68" s="1"/>
      <c r="V68">
        <v>25</v>
      </c>
      <c r="Z68">
        <f>Portefeuille_ProgPropose10[[#This Row],[AC 2025]]-Portefeuille_ProgPropose10[[#This Row],[AC 2025 Trimestre précédent]]</f>
        <v>25</v>
      </c>
      <c r="AA68">
        <f>Portefeuille_ProgPropose10[[#This Row],[TR 2025]]-Portefeuille_ProgPropose10[[#This Row],[TR 2025 Trimestre précédent]]</f>
        <v>0</v>
      </c>
      <c r="AB68">
        <f>Portefeuille_ProgPropose10[[#This Row],[Écart AC 2025]]+Portefeuille_ProgPropose10[[#This Row],[Écart TR 2025]]</f>
        <v>25</v>
      </c>
      <c r="AC68">
        <v>25</v>
      </c>
      <c r="AD68"/>
      <c r="AG68">
        <f>Portefeuille_ProgPropose10[[#This Row],[AC 2026]]-Portefeuille_ProgPropose10[[#This Row],[AC 2026 Trimestre précédent]]</f>
        <v>25</v>
      </c>
      <c r="AH68">
        <f>Portefeuille_ProgPropose10[[#This Row],[TR 2026]]-Portefeuille_ProgPropose10[[#This Row],[TR 2026 Trimestre précédent]]</f>
        <v>0</v>
      </c>
      <c r="AI68">
        <f>Portefeuille_ProgPropose10[[#This Row],[Écart AC 2026]]+Portefeuille_ProgPropose10[[#This Row],[Écart TR 2026]]</f>
        <v>25</v>
      </c>
      <c r="AK68">
        <v>250</v>
      </c>
      <c r="AQ68"/>
      <c r="AZ68" s="14">
        <f>SUM(Portefeuille_ProgPropose10[[#This Row],[AC ANT]:[TR 2025]],Portefeuille_ProgPropose10[[#This Row],[AC 2026]:[TR 2026]],Portefeuille_ProgPropose10[[#This Row],[AC 2027]:[TR 2034]])</f>
        <v>300</v>
      </c>
    </row>
    <row r="69" spans="1:57" x14ac:dyDescent="0.3">
      <c r="A69" t="s">
        <v>286</v>
      </c>
      <c r="B69">
        <v>4</v>
      </c>
      <c r="C69" t="s">
        <v>118</v>
      </c>
      <c r="D69" t="s">
        <v>102</v>
      </c>
      <c r="E69" t="s">
        <v>136</v>
      </c>
      <c r="G69" t="s">
        <v>20</v>
      </c>
      <c r="H69" t="s">
        <v>20</v>
      </c>
      <c r="I69" t="s">
        <v>105</v>
      </c>
      <c r="J69" t="s">
        <v>518</v>
      </c>
      <c r="K69" t="s">
        <v>519</v>
      </c>
      <c r="L69" t="s">
        <v>143</v>
      </c>
      <c r="M69" t="s">
        <v>173</v>
      </c>
      <c r="N69" t="s">
        <v>291</v>
      </c>
      <c r="O69" s="1"/>
      <c r="P69" s="1"/>
      <c r="Q69" s="1"/>
      <c r="V69">
        <v>25</v>
      </c>
      <c r="Z69">
        <f>Portefeuille_ProgPropose10[[#This Row],[AC 2025]]-Portefeuille_ProgPropose10[[#This Row],[AC 2025 Trimestre précédent]]</f>
        <v>25</v>
      </c>
      <c r="AA69">
        <f>Portefeuille_ProgPropose10[[#This Row],[TR 2025]]-Portefeuille_ProgPropose10[[#This Row],[TR 2025 Trimestre précédent]]</f>
        <v>0</v>
      </c>
      <c r="AB69">
        <f>Portefeuille_ProgPropose10[[#This Row],[Écart AC 2025]]+Portefeuille_ProgPropose10[[#This Row],[Écart TR 2025]]</f>
        <v>25</v>
      </c>
      <c r="AC69">
        <v>25</v>
      </c>
      <c r="AD69"/>
      <c r="AG69">
        <f>Portefeuille_ProgPropose10[[#This Row],[AC 2026]]-Portefeuille_ProgPropose10[[#This Row],[AC 2026 Trimestre précédent]]</f>
        <v>25</v>
      </c>
      <c r="AH69">
        <f>Portefeuille_ProgPropose10[[#This Row],[TR 2026]]-Portefeuille_ProgPropose10[[#This Row],[TR 2026 Trimestre précédent]]</f>
        <v>0</v>
      </c>
      <c r="AI69">
        <f>Portefeuille_ProgPropose10[[#This Row],[Écart AC 2026]]+Portefeuille_ProgPropose10[[#This Row],[Écart TR 2026]]</f>
        <v>25</v>
      </c>
      <c r="AK69">
        <v>150</v>
      </c>
      <c r="AQ69"/>
      <c r="AZ69" s="14">
        <f>SUM(Portefeuille_ProgPropose10[[#This Row],[AC ANT]:[TR 2025]],Portefeuille_ProgPropose10[[#This Row],[AC 2026]:[TR 2026]],Portefeuille_ProgPropose10[[#This Row],[AC 2027]:[TR 2034]])</f>
        <v>200</v>
      </c>
    </row>
    <row r="70" spans="1:57" x14ac:dyDescent="0.3">
      <c r="J70">
        <f>SUBTOTAL(103,Portefeuille_ProgPropose10[Numéro projet])</f>
        <v>52</v>
      </c>
      <c r="R70" s="14">
        <f>SUBTOTAL(109,Portefeuille_ProgPropose10[AC ANT])</f>
        <v>9289</v>
      </c>
      <c r="S70" s="14">
        <f>SUBTOTAL(109,Portefeuille_ProgPropose10[TR ANT])</f>
        <v>38413</v>
      </c>
      <c r="T70" s="14">
        <f>SUBTOTAL(109,Portefeuille_ProgPropose10[AC 2024])</f>
        <v>3530</v>
      </c>
      <c r="U70" s="14">
        <f>SUBTOTAL(109,Portefeuille_ProgPropose10[TR 2024])</f>
        <v>32257</v>
      </c>
      <c r="V70" s="14">
        <f>SUBTOTAL(109,Portefeuille_ProgPropose10[AC 2025])</f>
        <v>10705</v>
      </c>
      <c r="W70" s="14">
        <f>SUBTOTAL(109,Portefeuille_ProgPropose10[TR 2025])</f>
        <v>51794</v>
      </c>
      <c r="X70" s="14">
        <f>SUBTOTAL(109,Portefeuille_ProgPropose10[AC 2025 Trimestre précédent])</f>
        <v>7880</v>
      </c>
      <c r="Y70" s="14">
        <f>SUBTOTAL(109,Portefeuille_ProgPropose10[TR 2025 Trimestre précédent])</f>
        <v>59335</v>
      </c>
      <c r="Z70" s="14">
        <f>SUBTOTAL(109,Portefeuille_ProgPropose10[Écart AC 2025])</f>
        <v>2825</v>
      </c>
      <c r="AA70" s="14">
        <f>SUBTOTAL(109,Portefeuille_ProgPropose10[Écart TR 2025])</f>
        <v>-7541</v>
      </c>
      <c r="AB70" s="14">
        <f>SUBTOTAL(109,Portefeuille_ProgPropose10[Écart 2025 Total])</f>
        <v>-4716</v>
      </c>
      <c r="AC70" s="14">
        <f>SUBTOTAL(109,Portefeuille_ProgPropose10[AC 2026])</f>
        <v>11371</v>
      </c>
      <c r="AD70" s="14">
        <f>SUBTOTAL(109,Portefeuille_ProgPropose10[TR 2026])</f>
        <v>58357</v>
      </c>
      <c r="AE70" s="14">
        <f>SUBTOTAL(109,Portefeuille_ProgPropose10[AC 2026 Trimestre précédent])</f>
        <v>10189</v>
      </c>
      <c r="AF70" s="14">
        <f>SUBTOTAL(109,Portefeuille_ProgPropose10[TR 2026 Trimestre précédent])</f>
        <v>61097</v>
      </c>
      <c r="AG70" s="14">
        <f>SUBTOTAL(109,Portefeuille_ProgPropose10[Écart AC 2026])</f>
        <v>1182</v>
      </c>
      <c r="AH70" s="14">
        <f>SUBTOTAL(109,Portefeuille_ProgPropose10[Écart TR 2026])</f>
        <v>-2740</v>
      </c>
      <c r="AI70" s="14">
        <f>SUBTOTAL(109,Portefeuille_ProgPropose10[Écart 2026 Total])</f>
        <v>-1558</v>
      </c>
      <c r="AJ70" s="14">
        <f>SUBTOTAL(109,Portefeuille_ProgPropose10[AC 2027])</f>
        <v>10191</v>
      </c>
      <c r="AK70" s="14">
        <f>SUBTOTAL(109,Portefeuille_ProgPropose10[TR 2027])</f>
        <v>90877</v>
      </c>
      <c r="AL70" s="14">
        <f>SUBTOTAL(109,Portefeuille_ProgPropose10[AC 2028])</f>
        <v>6184</v>
      </c>
      <c r="AM70" s="14">
        <f>SUBTOTAL(109,Portefeuille_ProgPropose10[TR 2028])</f>
        <v>52067</v>
      </c>
      <c r="AN70" s="14">
        <f>SUBTOTAL(109,Portefeuille_ProgPropose10[AC 2029])</f>
        <v>2732</v>
      </c>
      <c r="AO70" s="14">
        <f>SUBTOTAL(109,Portefeuille_ProgPropose10[TR 2029])</f>
        <v>37457</v>
      </c>
      <c r="AP70" s="14">
        <f>SUBTOTAL(109,Portefeuille_ProgPropose10[AC 2030])</f>
        <v>2250</v>
      </c>
      <c r="AQ70" s="14">
        <f>SUBTOTAL(109,Portefeuille_ProgPropose10[TR 2030])</f>
        <v>36208</v>
      </c>
      <c r="AR70" s="14">
        <f>SUBTOTAL(109,Portefeuille_ProgPropose10[AC 2031])</f>
        <v>1922</v>
      </c>
      <c r="AS70" s="14">
        <f>SUBTOTAL(109,Portefeuille_ProgPropose10[TR 2031])</f>
        <v>41119</v>
      </c>
      <c r="AT70" s="14">
        <f>SUBTOTAL(109,Portefeuille_ProgPropose10[AC 2032])</f>
        <v>0</v>
      </c>
      <c r="AU70" s="14">
        <f>SUBTOTAL(109,Portefeuille_ProgPropose10[TR 2032])</f>
        <v>0</v>
      </c>
      <c r="AV70" s="14">
        <f>SUBTOTAL(109,Portefeuille_ProgPropose10[AC 2033])</f>
        <v>0</v>
      </c>
      <c r="AW70" s="14">
        <f>SUBTOTAL(109,Portefeuille_ProgPropose10[TR 2033])</f>
        <v>0</v>
      </c>
      <c r="AX70" s="14">
        <f>SUBTOTAL(109,Portefeuille_ProgPropose10[AC 2034])</f>
        <v>0</v>
      </c>
      <c r="AY70" s="14">
        <f>SUBTOTAL(109,Portefeuille_ProgPropose10[TR 2034])</f>
        <v>0</v>
      </c>
      <c r="AZ70" s="14">
        <f>SUBTOTAL(109,Portefeuille_ProgPropose10[Total Projet])</f>
        <v>496723</v>
      </c>
    </row>
    <row r="72" spans="1:57" x14ac:dyDescent="0.3">
      <c r="AS72" s="57"/>
      <c r="AT72" s="57"/>
      <c r="AU72" s="57"/>
      <c r="AV72" s="57"/>
      <c r="AW72" s="57"/>
      <c r="AX72" s="57"/>
      <c r="AY72" s="57"/>
      <c r="AZ72" s="57"/>
    </row>
    <row r="147" spans="58:59" x14ac:dyDescent="0.3">
      <c r="BF147" s="57"/>
      <c r="BG147" s="57"/>
    </row>
  </sheetData>
  <mergeCells count="211">
    <mergeCell ref="AT14:AU14"/>
    <mergeCell ref="AV14:AW14"/>
    <mergeCell ref="AX14:AY14"/>
    <mergeCell ref="R15:S15"/>
    <mergeCell ref="T15:U15"/>
    <mergeCell ref="V15:W15"/>
    <mergeCell ref="X15:Y15"/>
    <mergeCell ref="AC15:AD15"/>
    <mergeCell ref="R16:S16"/>
    <mergeCell ref="T16:U16"/>
    <mergeCell ref="V16:W16"/>
    <mergeCell ref="X16:Y16"/>
    <mergeCell ref="AC16:AD16"/>
    <mergeCell ref="AE16:AF16"/>
    <mergeCell ref="AJ16:AK16"/>
    <mergeCell ref="AE15:AF15"/>
    <mergeCell ref="AJ15:AK15"/>
    <mergeCell ref="AX16:AY16"/>
    <mergeCell ref="AL16:AM16"/>
    <mergeCell ref="AN16:AO16"/>
    <mergeCell ref="AP16:AQ16"/>
    <mergeCell ref="AR16:AS16"/>
    <mergeCell ref="AT16:AU16"/>
    <mergeCell ref="AV16:AW16"/>
    <mergeCell ref="AT15:AU15"/>
    <mergeCell ref="AV15:AW15"/>
    <mergeCell ref="AX15:AY15"/>
    <mergeCell ref="AL15:AM15"/>
    <mergeCell ref="AN15:AO15"/>
    <mergeCell ref="AP15:AQ15"/>
    <mergeCell ref="AR15:AS15"/>
    <mergeCell ref="AX13:AY13"/>
    <mergeCell ref="R14:S14"/>
    <mergeCell ref="T14:U14"/>
    <mergeCell ref="V14:W14"/>
    <mergeCell ref="X14:Y14"/>
    <mergeCell ref="AC14:AD14"/>
    <mergeCell ref="AE14:AF14"/>
    <mergeCell ref="AJ14:AK14"/>
    <mergeCell ref="AL14:AM14"/>
    <mergeCell ref="AN14:AO14"/>
    <mergeCell ref="AL13:AM13"/>
    <mergeCell ref="AN13:AO13"/>
    <mergeCell ref="AP13:AQ13"/>
    <mergeCell ref="AR13:AS13"/>
    <mergeCell ref="AT13:AU13"/>
    <mergeCell ref="AV13:AW13"/>
    <mergeCell ref="T13:U13"/>
    <mergeCell ref="V13:W13"/>
    <mergeCell ref="X13:Y13"/>
    <mergeCell ref="AC13:AD13"/>
    <mergeCell ref="AE13:AF13"/>
    <mergeCell ref="AJ13:AK13"/>
    <mergeCell ref="AP14:AQ14"/>
    <mergeCell ref="AR14:AS14"/>
    <mergeCell ref="R12:S12"/>
    <mergeCell ref="T12:U12"/>
    <mergeCell ref="V12:W12"/>
    <mergeCell ref="X12:Y12"/>
    <mergeCell ref="AC12:AD12"/>
    <mergeCell ref="AE12:AF12"/>
    <mergeCell ref="AJ12:AK12"/>
    <mergeCell ref="AL12:AM12"/>
    <mergeCell ref="AJ11:AK11"/>
    <mergeCell ref="AL11:AM11"/>
    <mergeCell ref="R11:S11"/>
    <mergeCell ref="T11:U11"/>
    <mergeCell ref="V11:W11"/>
    <mergeCell ref="X11:Y11"/>
    <mergeCell ref="Z11:AB11"/>
    <mergeCell ref="AC11:AD11"/>
    <mergeCell ref="AE11:AF11"/>
    <mergeCell ref="AG11:AI11"/>
    <mergeCell ref="AR10:AS10"/>
    <mergeCell ref="AT10:AU10"/>
    <mergeCell ref="AN12:AO12"/>
    <mergeCell ref="AP12:AQ12"/>
    <mergeCell ref="AR12:AS12"/>
    <mergeCell ref="AT12:AU12"/>
    <mergeCell ref="AV12:AW12"/>
    <mergeCell ref="AX12:AY12"/>
    <mergeCell ref="AV11:AW11"/>
    <mergeCell ref="AX11:AY11"/>
    <mergeCell ref="AN11:AO11"/>
    <mergeCell ref="AP11:AQ11"/>
    <mergeCell ref="AR11:AS11"/>
    <mergeCell ref="AT11:AU11"/>
    <mergeCell ref="AP10:AQ10"/>
    <mergeCell ref="AJ10:AK10"/>
    <mergeCell ref="AP8:AQ8"/>
    <mergeCell ref="AR8:AS8"/>
    <mergeCell ref="AT8:AU8"/>
    <mergeCell ref="AV9:AW9"/>
    <mergeCell ref="AX9:AY9"/>
    <mergeCell ref="R10:S10"/>
    <mergeCell ref="T10:U10"/>
    <mergeCell ref="V10:W10"/>
    <mergeCell ref="X10:Y10"/>
    <mergeCell ref="Z10:AB10"/>
    <mergeCell ref="AC10:AD10"/>
    <mergeCell ref="AE10:AF10"/>
    <mergeCell ref="AG10:AI10"/>
    <mergeCell ref="AJ9:AK9"/>
    <mergeCell ref="AL9:AM9"/>
    <mergeCell ref="AN9:AO9"/>
    <mergeCell ref="AP9:AQ9"/>
    <mergeCell ref="AR9:AS9"/>
    <mergeCell ref="AT9:AU9"/>
    <mergeCell ref="AV10:AW10"/>
    <mergeCell ref="AX10:AY10"/>
    <mergeCell ref="AL10:AM10"/>
    <mergeCell ref="AN10:AO10"/>
    <mergeCell ref="R9:S9"/>
    <mergeCell ref="T9:U9"/>
    <mergeCell ref="V9:W9"/>
    <mergeCell ref="X9:Y9"/>
    <mergeCell ref="Z9:AB9"/>
    <mergeCell ref="AC9:AD9"/>
    <mergeCell ref="AE9:AF9"/>
    <mergeCell ref="AG9:AI9"/>
    <mergeCell ref="AJ8:AK8"/>
    <mergeCell ref="AN6:AO6"/>
    <mergeCell ref="AP6:AQ6"/>
    <mergeCell ref="AR6:AS6"/>
    <mergeCell ref="AT6:AU6"/>
    <mergeCell ref="AV7:AW7"/>
    <mergeCell ref="AX7:AY7"/>
    <mergeCell ref="R8:S8"/>
    <mergeCell ref="T8:U8"/>
    <mergeCell ref="V8:W8"/>
    <mergeCell ref="X8:Y8"/>
    <mergeCell ref="Z8:AB8"/>
    <mergeCell ref="AC8:AD8"/>
    <mergeCell ref="AE8:AF8"/>
    <mergeCell ref="AG8:AI8"/>
    <mergeCell ref="AJ7:AK7"/>
    <mergeCell ref="AL7:AM7"/>
    <mergeCell ref="AN7:AO7"/>
    <mergeCell ref="AP7:AQ7"/>
    <mergeCell ref="AR7:AS7"/>
    <mergeCell ref="AT7:AU7"/>
    <mergeCell ref="AV8:AW8"/>
    <mergeCell ref="AX8:AY8"/>
    <mergeCell ref="AL8:AM8"/>
    <mergeCell ref="AN8:AO8"/>
    <mergeCell ref="R7:S7"/>
    <mergeCell ref="T7:U7"/>
    <mergeCell ref="V7:W7"/>
    <mergeCell ref="X7:Y7"/>
    <mergeCell ref="Z7:AB7"/>
    <mergeCell ref="AC7:AD7"/>
    <mergeCell ref="AE7:AF7"/>
    <mergeCell ref="AG7:AI7"/>
    <mergeCell ref="AJ6:AK6"/>
    <mergeCell ref="AL4:AM4"/>
    <mergeCell ref="AN4:AO4"/>
    <mergeCell ref="AP4:AQ4"/>
    <mergeCell ref="AR4:AS4"/>
    <mergeCell ref="AT4:AU4"/>
    <mergeCell ref="AV5:AW5"/>
    <mergeCell ref="AX5:AY5"/>
    <mergeCell ref="R6:S6"/>
    <mergeCell ref="T6:U6"/>
    <mergeCell ref="V6:W6"/>
    <mergeCell ref="X6:Y6"/>
    <mergeCell ref="Z6:AB6"/>
    <mergeCell ref="AC6:AD6"/>
    <mergeCell ref="AE6:AF6"/>
    <mergeCell ref="AG6:AI6"/>
    <mergeCell ref="AJ5:AK5"/>
    <mergeCell ref="AL5:AM5"/>
    <mergeCell ref="AN5:AO5"/>
    <mergeCell ref="AP5:AQ5"/>
    <mergeCell ref="AR5:AS5"/>
    <mergeCell ref="AT5:AU5"/>
    <mergeCell ref="AV6:AW6"/>
    <mergeCell ref="AX6:AY6"/>
    <mergeCell ref="AL6:AM6"/>
    <mergeCell ref="R5:S5"/>
    <mergeCell ref="T5:U5"/>
    <mergeCell ref="V5:W5"/>
    <mergeCell ref="X5:Y5"/>
    <mergeCell ref="Z5:AB5"/>
    <mergeCell ref="AC5:AD5"/>
    <mergeCell ref="AE5:AF5"/>
    <mergeCell ref="AG5:AI5"/>
    <mergeCell ref="AJ4:AK4"/>
    <mergeCell ref="AR3:AS3"/>
    <mergeCell ref="AT3:AU3"/>
    <mergeCell ref="AV3:AW3"/>
    <mergeCell ref="AX3:AY3"/>
    <mergeCell ref="R4:S4"/>
    <mergeCell ref="T4:U4"/>
    <mergeCell ref="V4:W4"/>
    <mergeCell ref="X4:Y4"/>
    <mergeCell ref="AC4:AD4"/>
    <mergeCell ref="AE4:AF4"/>
    <mergeCell ref="AE3:AF3"/>
    <mergeCell ref="AG3:AI3"/>
    <mergeCell ref="AJ3:AK3"/>
    <mergeCell ref="AL3:AM3"/>
    <mergeCell ref="AN3:AO3"/>
    <mergeCell ref="AP3:AQ3"/>
    <mergeCell ref="R3:S3"/>
    <mergeCell ref="T3:U3"/>
    <mergeCell ref="V3:W3"/>
    <mergeCell ref="X3:Y3"/>
    <mergeCell ref="Z3:AB3"/>
    <mergeCell ref="AC3:AD3"/>
    <mergeCell ref="AV4:AW4"/>
    <mergeCell ref="AX4:AY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3C3A-7215-4043-8972-2F8C9DE15EC4}">
  <dimension ref="A1:BG151"/>
  <sheetViews>
    <sheetView topLeftCell="G1" workbookViewId="0"/>
  </sheetViews>
  <sheetFormatPr baseColWidth="10" defaultColWidth="11.44140625" defaultRowHeight="14.4" outlineLevelCol="1" x14ac:dyDescent="0.3"/>
  <cols>
    <col min="1" max="1" width="14.6640625" hidden="1" customWidth="1" outlineLevel="1"/>
    <col min="2" max="2" width="11.44140625" hidden="1" customWidth="1" outlineLevel="1"/>
    <col min="3" max="3" width="18.109375" hidden="1" customWidth="1" outlineLevel="1"/>
    <col min="4" max="4" width="18.6640625" hidden="1" customWidth="1" outlineLevel="1"/>
    <col min="5" max="5" width="15.88671875" hidden="1" customWidth="1" outlineLevel="1"/>
    <col min="6" max="6" width="16" hidden="1" customWidth="1" outlineLevel="1"/>
    <col min="7" max="7" width="15.88671875" customWidth="1" collapsed="1"/>
    <col min="8" max="8" width="17.88671875" bestFit="1" customWidth="1"/>
    <col min="9" max="9" width="18.44140625" customWidth="1"/>
    <col min="10" max="10" width="92.6640625" customWidth="1"/>
    <col min="11" max="11" width="23.33203125" customWidth="1"/>
    <col min="12" max="12" width="13.6640625" customWidth="1" collapsed="1"/>
    <col min="13" max="13" width="21.5546875" customWidth="1"/>
    <col min="14" max="14" width="13.6640625" customWidth="1"/>
    <col min="15" max="15" width="14.5546875" customWidth="1"/>
    <col min="16" max="16" width="13.6640625" customWidth="1"/>
    <col min="17" max="17" width="17.33203125" hidden="1" customWidth="1" outlineLevel="1"/>
    <col min="18" max="18" width="17.44140625" hidden="1" customWidth="1" outlineLevel="1"/>
    <col min="19" max="19" width="17.33203125" hidden="1" customWidth="1" outlineLevel="1"/>
    <col min="20" max="20" width="17.44140625" hidden="1" customWidth="1" outlineLevel="1"/>
    <col min="21" max="21" width="17.33203125" hidden="1" customWidth="1" outlineLevel="1"/>
    <col min="22" max="22" width="14.6640625" customWidth="1" collapsed="1"/>
    <col min="23" max="23" width="12.88671875" customWidth="1"/>
    <col min="24" max="24" width="16.109375" customWidth="1"/>
    <col min="25" max="25" width="18.109375" customWidth="1"/>
    <col min="26" max="26" width="15.109375" customWidth="1"/>
    <col min="27" max="27" width="21" customWidth="1"/>
    <col min="28" max="31" width="9.88671875" hidden="1" customWidth="1" outlineLevel="1"/>
    <col min="32" max="32" width="9.88671875" style="25" customWidth="1" collapsed="1"/>
    <col min="33" max="33" width="9.88671875" customWidth="1"/>
    <col min="34" max="34" width="9.88671875" customWidth="1" collapsed="1"/>
    <col min="35" max="35" width="11.109375" customWidth="1"/>
    <col min="36" max="36" width="12.33203125" customWidth="1"/>
    <col min="37" max="37" width="11" customWidth="1"/>
    <col min="38" max="41" width="9.88671875" customWidth="1"/>
    <col min="42" max="42" width="9.88671875" style="8" customWidth="1"/>
    <col min="43" max="51" width="9.88671875" customWidth="1"/>
    <col min="52" max="52" width="16.109375" customWidth="1"/>
    <col min="53" max="53" width="17" customWidth="1"/>
    <col min="54" max="64" width="11.33203125" customWidth="1"/>
    <col min="65" max="65" width="12.5546875" customWidth="1"/>
    <col min="66" max="66" width="13.44140625" customWidth="1"/>
    <col min="67" max="67" width="13.109375" customWidth="1"/>
    <col min="68" max="68" width="14" customWidth="1"/>
    <col min="69" max="74" width="17.33203125" customWidth="1"/>
    <col min="75" max="75" width="18.109375" customWidth="1"/>
    <col min="76" max="76" width="17.5546875" customWidth="1"/>
  </cols>
  <sheetData>
    <row r="1" spans="1:59" ht="21" x14ac:dyDescent="0.4">
      <c r="A1" s="32"/>
      <c r="B1" s="32"/>
      <c r="C1" s="32"/>
      <c r="D1" s="32"/>
      <c r="E1" s="32"/>
      <c r="F1" s="32"/>
      <c r="G1" s="32" t="s">
        <v>298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7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</row>
    <row r="2" spans="1:59" x14ac:dyDescent="0.3">
      <c r="X2" s="25"/>
      <c r="Y2" s="25"/>
      <c r="Z2" s="25"/>
      <c r="AA2" s="25"/>
      <c r="AB2" s="25"/>
      <c r="AC2" s="25"/>
      <c r="AD2" s="25"/>
      <c r="AE2" s="8"/>
      <c r="AF2"/>
      <c r="AP2"/>
    </row>
    <row r="3" spans="1:59" ht="26.4" customHeight="1" x14ac:dyDescent="0.3">
      <c r="G3" s="306" t="s">
        <v>2</v>
      </c>
      <c r="H3" s="307"/>
      <c r="N3" s="65"/>
      <c r="P3" s="65"/>
      <c r="Q3" s="33"/>
      <c r="R3" s="33"/>
      <c r="S3" s="33"/>
      <c r="T3" s="33"/>
      <c r="U3" s="33"/>
      <c r="V3" s="33"/>
      <c r="W3" s="33"/>
      <c r="X3" s="4" t="s">
        <v>3</v>
      </c>
      <c r="Y3" s="80" t="s">
        <v>4</v>
      </c>
      <c r="Z3" s="160"/>
      <c r="AA3" s="128" t="s">
        <v>5</v>
      </c>
      <c r="AB3" s="265" t="s">
        <v>6</v>
      </c>
      <c r="AC3" s="264"/>
      <c r="AD3" s="263">
        <v>2024</v>
      </c>
      <c r="AE3" s="264"/>
      <c r="AF3" s="263">
        <v>2025</v>
      </c>
      <c r="AG3" s="264"/>
      <c r="AH3" s="263">
        <v>2026</v>
      </c>
      <c r="AI3" s="264"/>
      <c r="AJ3" s="263">
        <v>2027</v>
      </c>
      <c r="AK3" s="264"/>
      <c r="AL3" s="263">
        <v>2028</v>
      </c>
      <c r="AM3" s="264"/>
      <c r="AN3" s="263">
        <v>2029</v>
      </c>
      <c r="AO3" s="264"/>
      <c r="AP3" s="263">
        <v>2030</v>
      </c>
      <c r="AQ3" s="264"/>
      <c r="AR3" s="263">
        <v>2031</v>
      </c>
      <c r="AS3" s="264"/>
      <c r="AT3" s="263">
        <v>2032</v>
      </c>
      <c r="AU3" s="264"/>
      <c r="AV3" s="263">
        <v>2033</v>
      </c>
      <c r="AW3" s="264"/>
      <c r="AX3" s="263">
        <v>2034</v>
      </c>
      <c r="AY3" s="264"/>
      <c r="AZ3" s="80"/>
      <c r="BA3" s="26" t="s">
        <v>7</v>
      </c>
      <c r="BB3" s="26" t="s">
        <v>8</v>
      </c>
    </row>
    <row r="4" spans="1:59" x14ac:dyDescent="0.3">
      <c r="G4" s="27" t="s">
        <v>9</v>
      </c>
      <c r="H4" s="28" t="s">
        <v>10</v>
      </c>
      <c r="N4" s="65"/>
      <c r="P4" s="65"/>
      <c r="Q4" s="34"/>
      <c r="R4" s="34"/>
      <c r="S4" s="34"/>
      <c r="T4" s="34"/>
      <c r="U4" s="34"/>
      <c r="V4" s="34"/>
      <c r="W4" s="34"/>
      <c r="X4" s="66"/>
      <c r="Y4" s="138"/>
      <c r="Z4" s="161"/>
      <c r="AA4" s="104" t="s">
        <v>11</v>
      </c>
      <c r="AB4" s="260"/>
      <c r="AC4" s="260"/>
      <c r="AD4" s="260">
        <f>SUMIFS(Portefeuille_MNT_PPS_Access11[AC 2024],Portefeuille_MNT_PPS_Access11[Numéro projet],"=154951716")+SUMIFS(Portefeuille_MNT_PPS_Access11[TR 2024],Portefeuille_MNT_PPS_Access11[Numéro projet],"=154951716")</f>
        <v>22</v>
      </c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78"/>
      <c r="BA4" s="16">
        <f t="shared" ref="BA4:BA10" si="0">SUM(AF4:AO4)</f>
        <v>0</v>
      </c>
      <c r="BB4" s="18">
        <f xml:space="preserve"> SUM(AF4:AY4)</f>
        <v>0</v>
      </c>
    </row>
    <row r="5" spans="1:59" x14ac:dyDescent="0.3">
      <c r="G5" s="27" t="s">
        <v>12</v>
      </c>
      <c r="H5" s="28" t="s">
        <v>13</v>
      </c>
      <c r="X5" s="67"/>
      <c r="Y5" s="139" t="s">
        <v>299</v>
      </c>
      <c r="Z5" s="162"/>
      <c r="AA5" s="104" t="s">
        <v>15</v>
      </c>
      <c r="AB5" s="260">
        <f>SUMIFS(Portefeuille_MNT_PPS_Access11[AC ANT],Portefeuille_MNT_PPS_Access11[État Composante AC],"=PR")</f>
        <v>23914</v>
      </c>
      <c r="AC5" s="260"/>
      <c r="AD5" s="260">
        <f>SUMIFS(Portefeuille_MNT_PPS_Access11[AC 2024],Portefeuille_MNT_PPS_Access11[État Composante AC],"=PR")</f>
        <v>6612</v>
      </c>
      <c r="AE5" s="260"/>
      <c r="AF5" s="260">
        <f>SUMIFS(Portefeuille_MNT_PPS_Access11[AC 2025],Portefeuille_MNT_PPS_Access11[État Composante AC],"=PR")</f>
        <v>9198</v>
      </c>
      <c r="AG5" s="260"/>
      <c r="AH5" s="260">
        <f>SUMIFS(Portefeuille_MNT_PPS_Access11[AC 2026],Portefeuille_MNT_PPS_Access11[État Composante AC],"=PR")</f>
        <v>9850</v>
      </c>
      <c r="AI5" s="260"/>
      <c r="AJ5" s="260">
        <f>SUMIFS(Portefeuille_MNT_PPS_Access11[AC 2027],Portefeuille_MNT_PPS_Access11[État Composante AC],"=PR")</f>
        <v>7290</v>
      </c>
      <c r="AK5" s="260"/>
      <c r="AL5" s="260">
        <f>SUMIFS(Portefeuille_MNT_PPS_Access11[AC 2028],Portefeuille_MNT_PPS_Access11[État Composante AC],"=PR")</f>
        <v>5663</v>
      </c>
      <c r="AM5" s="260"/>
      <c r="AN5" s="260">
        <f>SUMIFS(Portefeuille_MNT_PPS_Access11[AC 2029],Portefeuille_MNT_PPS_Access11[État Composante AC],"=PR")</f>
        <v>2732</v>
      </c>
      <c r="AO5" s="260"/>
      <c r="AP5" s="260">
        <f>SUMIFS(Portefeuille_MNT_PPS_Access11[AC 2030],Portefeuille_MNT_PPS_Access11[État Composante AC],"=PR")</f>
        <v>2250</v>
      </c>
      <c r="AQ5" s="260"/>
      <c r="AR5" s="260">
        <f>SUMIFS(Portefeuille_MNT_PPS_Access11[AC 2031],Portefeuille_MNT_PPS_Access11[État Composante AC],"=PR")</f>
        <v>1922</v>
      </c>
      <c r="AS5" s="260"/>
      <c r="AT5" s="260">
        <f>SUMIFS(Portefeuille_MNT_PPS_Access11[AC 2032],Portefeuille_MNT_PPS_Access11[État Composante AC],"=PR")</f>
        <v>0</v>
      </c>
      <c r="AU5" s="260"/>
      <c r="AV5" s="260">
        <f>SUMIFS(Portefeuille_MNT_PPS_Access11[AC 2033],Portefeuille_MNT_PPS_Access11[État Composante AC],"=PR")</f>
        <v>0</v>
      </c>
      <c r="AW5" s="260"/>
      <c r="AX5" s="260">
        <f>SUMIFS(Portefeuille_MNT_PPS_Access11[AC 2034],Portefeuille_MNT_PPS_Access11[État Composante AC],"=PR")</f>
        <v>0</v>
      </c>
      <c r="AY5" s="260"/>
      <c r="AZ5" s="78"/>
      <c r="BA5" s="16">
        <f t="shared" si="0"/>
        <v>34733</v>
      </c>
      <c r="BB5" s="18">
        <f t="shared" ref="BB5:BB10" si="1" xml:space="preserve"> SUM(AF5:AY5)</f>
        <v>38905</v>
      </c>
    </row>
    <row r="6" spans="1:59" x14ac:dyDescent="0.3">
      <c r="G6" s="29" t="s">
        <v>16</v>
      </c>
      <c r="H6" s="28" t="s">
        <v>17</v>
      </c>
      <c r="X6" s="35" t="s">
        <v>18</v>
      </c>
      <c r="Y6" s="140">
        <v>1</v>
      </c>
      <c r="Z6" s="163"/>
      <c r="AA6" s="83" t="s">
        <v>19</v>
      </c>
      <c r="AB6" s="260">
        <f>SUMIFS(Portefeuille_MNT_PPS_Access11[TR ANT],Portefeuille_MNT_PPS_Access11[État Composante TR],"=PR")</f>
        <v>149199</v>
      </c>
      <c r="AC6" s="260"/>
      <c r="AD6" s="260">
        <f>SUMIFS(Portefeuille_MNT_PPS_Access11[TR 2024],Portefeuille_MNT_PPS_Access11[État Composante TR],"=PR")</f>
        <v>75022</v>
      </c>
      <c r="AE6" s="260"/>
      <c r="AF6" s="260">
        <f>SUMIFS(Portefeuille_MNT_PPS_Access11[TR 2025],Portefeuille_MNT_PPS_Access11[État Composante TR],"=PR")</f>
        <v>16813</v>
      </c>
      <c r="AG6" s="260"/>
      <c r="AH6" s="260">
        <f>SUMIFS(Portefeuille_MNT_PPS_Access11[TR 2026],Portefeuille_MNT_PPS_Access11[État Composante TR],"=PR")</f>
        <v>20373</v>
      </c>
      <c r="AI6" s="260"/>
      <c r="AJ6" s="260">
        <f>SUMIFS(Portefeuille_MNT_PPS_Access11[TR 2027],Portefeuille_MNT_PPS_Access11[État Composante TR],"=PR")</f>
        <v>0</v>
      </c>
      <c r="AK6" s="260"/>
      <c r="AL6" s="260">
        <f>SUMIFS(Portefeuille_MNT_PPS_Access11[TR 2028],Portefeuille_MNT_PPS_Access11[État Composante TR],"=PR")</f>
        <v>0</v>
      </c>
      <c r="AM6" s="260"/>
      <c r="AN6" s="260">
        <f>SUMIFS(Portefeuille_MNT_PPS_Access11[TR 2029],Portefeuille_MNT_PPS_Access11[État Composante TR],"=PR")</f>
        <v>0</v>
      </c>
      <c r="AO6" s="260"/>
      <c r="AP6" s="260">
        <f>SUMIFS(Portefeuille_MNT_PPS_Access11[TR 2030],Portefeuille_MNT_PPS_Access11[État Composante TR],"=PR")</f>
        <v>0</v>
      </c>
      <c r="AQ6" s="260"/>
      <c r="AR6" s="260">
        <f>SUMIFS(Portefeuille_MNT_PPS_Access11[TR 2031],Portefeuille_MNT_PPS_Access11[État Composante TR],"=PR")</f>
        <v>0</v>
      </c>
      <c r="AS6" s="260"/>
      <c r="AT6" s="260">
        <f>SUMIFS(Portefeuille_MNT_PPS_Access11[TR 2032],Portefeuille_MNT_PPS_Access11[État Composante TR],"=PR")</f>
        <v>0</v>
      </c>
      <c r="AU6" s="260"/>
      <c r="AV6" s="260">
        <f>SUMIFS(Portefeuille_MNT_PPS_Access11[TR 2033],Portefeuille_MNT_PPS_Access11[État Composante TR],"=PR")</f>
        <v>0</v>
      </c>
      <c r="AW6" s="260"/>
      <c r="AX6" s="260">
        <f>SUMIFS(Portefeuille_MNT_PPS_Access11[TR 2034],Portefeuille_MNT_PPS_Access11[État Composante TR],"=PR")</f>
        <v>0</v>
      </c>
      <c r="AY6" s="260"/>
      <c r="AZ6" s="78"/>
      <c r="BA6" s="16">
        <f t="shared" si="0"/>
        <v>37186</v>
      </c>
      <c r="BB6" s="18">
        <f t="shared" si="1"/>
        <v>37186</v>
      </c>
    </row>
    <row r="7" spans="1:59" x14ac:dyDescent="0.3">
      <c r="G7" s="30" t="s">
        <v>20</v>
      </c>
      <c r="H7" s="31" t="s">
        <v>21</v>
      </c>
      <c r="X7" s="35" t="s">
        <v>22</v>
      </c>
      <c r="Y7" s="140">
        <v>0.25</v>
      </c>
      <c r="Z7" s="163"/>
      <c r="AA7" s="116" t="s">
        <v>23</v>
      </c>
      <c r="AB7" s="262">
        <f>AB5+AB6</f>
        <v>173113</v>
      </c>
      <c r="AC7" s="262"/>
      <c r="AD7" s="262">
        <f>AD5+AD6</f>
        <v>81634</v>
      </c>
      <c r="AE7" s="262"/>
      <c r="AF7" s="262">
        <f>AF5+AF6</f>
        <v>26011</v>
      </c>
      <c r="AG7" s="262"/>
      <c r="AH7" s="262">
        <f>AH5+AH6</f>
        <v>30223</v>
      </c>
      <c r="AI7" s="262"/>
      <c r="AJ7" s="262">
        <f>AJ5+AJ6</f>
        <v>7290</v>
      </c>
      <c r="AK7" s="262"/>
      <c r="AL7" s="262">
        <f>AL5+AL6</f>
        <v>5663</v>
      </c>
      <c r="AM7" s="262"/>
      <c r="AN7" s="262">
        <f>AN5+AN6</f>
        <v>2732</v>
      </c>
      <c r="AO7" s="262"/>
      <c r="AP7" s="262">
        <f>AP5+AP6</f>
        <v>2250</v>
      </c>
      <c r="AQ7" s="262"/>
      <c r="AR7" s="262">
        <f>AR5+AR6</f>
        <v>1922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/>
      <c r="BA7" s="20">
        <f t="shared" si="0"/>
        <v>71919</v>
      </c>
      <c r="BB7" s="20">
        <f t="shared" si="1"/>
        <v>76091</v>
      </c>
    </row>
    <row r="8" spans="1:59" x14ac:dyDescent="0.3">
      <c r="X8" s="35" t="s">
        <v>24</v>
      </c>
      <c r="Y8" s="140">
        <v>0.25</v>
      </c>
      <c r="Z8" s="163"/>
      <c r="AA8" s="83" t="s">
        <v>25</v>
      </c>
      <c r="AB8" s="260">
        <f>SUMIFS(Portefeuille_MNT_PPS_Access11[AC ANT],Portefeuille_MNT_PPS_Access11[État Composante AC],"&lt;&gt;PR")</f>
        <v>0</v>
      </c>
      <c r="AC8" s="260"/>
      <c r="AD8" s="260">
        <f>SUMIFS(Portefeuille_MNT_PPS_Access11[AC 2024],Portefeuille_MNT_PPS_Access11[État Composante AC],"&lt;&gt;PR")</f>
        <v>10</v>
      </c>
      <c r="AE8" s="260"/>
      <c r="AF8" s="260">
        <f>SUMIFS(Portefeuille_MNT_PPS_Access11[AC 2025],Portefeuille_MNT_PPS_Access11[État Composante AC],"&lt;&gt;PR")</f>
        <v>1507</v>
      </c>
      <c r="AG8" s="260"/>
      <c r="AH8" s="260">
        <f>SUMIFS(Portefeuille_MNT_PPS_Access11[AC 2026],Portefeuille_MNT_PPS_Access11[État Composante AC],"&lt;&gt;PR")</f>
        <v>2996</v>
      </c>
      <c r="AI8" s="260"/>
      <c r="AJ8" s="260">
        <f>SUMIFS(Portefeuille_MNT_PPS_Access11[AC 2027],Portefeuille_MNT_PPS_Access11[État Composante AC],"&lt;&gt;PR")</f>
        <v>5531</v>
      </c>
      <c r="AK8" s="260"/>
      <c r="AL8" s="260">
        <f>SUMIFS(Portefeuille_MNT_PPS_Access11[AC 2028],Portefeuille_MNT_PPS_Access11[État Composante AC],"&lt;&gt;PR")</f>
        <v>7241</v>
      </c>
      <c r="AM8" s="260"/>
      <c r="AN8" s="260">
        <f>SUMIFS(Portefeuille_MNT_PPS_Access11[AC 2029],Portefeuille_MNT_PPS_Access11[État Composante AC],"&lt;&gt;PR")</f>
        <v>6120</v>
      </c>
      <c r="AO8" s="260"/>
      <c r="AP8" s="260">
        <f>SUMIFS(Portefeuille_MNT_PPS_Access11[AC 2030],Portefeuille_MNT_PPS_Access11[État Composante AC],"&lt;&gt;PR")</f>
        <v>5900</v>
      </c>
      <c r="AQ8" s="260"/>
      <c r="AR8" s="260">
        <f>SUMIFS(Portefeuille_MNT_PPS_Access11[AC 2031],Portefeuille_MNT_PPS_Access11[État Composante AC],"&lt;&gt;PR")</f>
        <v>4775</v>
      </c>
      <c r="AS8" s="260"/>
      <c r="AT8" s="260">
        <f>SUMIFS(Portefeuille_MNT_PPS_Access11[AC 2032],Portefeuille_MNT_PPS_Access11[État Composante AC],"&lt;&gt;PR")</f>
        <v>7425</v>
      </c>
      <c r="AU8" s="260"/>
      <c r="AV8" s="260">
        <f>SUMIFS(Portefeuille_MNT_PPS_Access11[AC 2033],Portefeuille_MNT_PPS_Access11[État Composante AC],"&lt;&gt;PR")</f>
        <v>3750</v>
      </c>
      <c r="AW8" s="260"/>
      <c r="AX8" s="260">
        <f>SUMIFS(Portefeuille_MNT_PPS_Access11[AC 2034],Portefeuille_MNT_PPS_Access11[État Composante AC],"&lt;&gt;PR")</f>
        <v>3700</v>
      </c>
      <c r="AY8" s="260"/>
      <c r="AZ8" s="78"/>
      <c r="BA8" s="16">
        <f t="shared" si="0"/>
        <v>23395</v>
      </c>
      <c r="BB8" s="18">
        <f t="shared" si="1"/>
        <v>48945</v>
      </c>
    </row>
    <row r="9" spans="1:59" x14ac:dyDescent="0.3">
      <c r="X9" s="35" t="s">
        <v>26</v>
      </c>
      <c r="Y9" s="140">
        <v>0.25</v>
      </c>
      <c r="Z9" s="163"/>
      <c r="AA9" s="83" t="s">
        <v>27</v>
      </c>
      <c r="AB9" s="260">
        <f>SUMIFS(Portefeuille_MNT_PPS_Access11[TR ANT],Portefeuille_MNT_PPS_Access11[État Composante TR],"&lt;&gt;PR")</f>
        <v>3593</v>
      </c>
      <c r="AC9" s="260"/>
      <c r="AD9" s="260">
        <f>SUMIFS(Portefeuille_MNT_PPS_Access11[TR 2024],Portefeuille_MNT_PPS_Access11[État Composante TR],"&lt;&gt;PR")</f>
        <v>0</v>
      </c>
      <c r="AE9" s="260"/>
      <c r="AF9" s="260">
        <f>SUMIFS(Portefeuille_MNT_PPS_Access11[TR 2025],Portefeuille_MNT_PPS_Access11[État Composante TR],"&lt;&gt;PR")</f>
        <v>34981</v>
      </c>
      <c r="AG9" s="260"/>
      <c r="AH9" s="260">
        <f>SUMIFS(Portefeuille_MNT_PPS_Access11[TR 2026],Portefeuille_MNT_PPS_Access11[État Composante TR],"&lt;&gt;PR")</f>
        <v>38374</v>
      </c>
      <c r="AI9" s="260"/>
      <c r="AJ9" s="260">
        <f>SUMIFS(Portefeuille_MNT_PPS_Access11[TR 2027],Portefeuille_MNT_PPS_Access11[État Composante TR],"&lt;&gt;PR")</f>
        <v>91127</v>
      </c>
      <c r="AK9" s="260"/>
      <c r="AL9" s="260">
        <f>SUMIFS(Portefeuille_MNT_PPS_Access11[TR 2028],Portefeuille_MNT_PPS_Access11[État Composante TR],"&lt;&gt;PR")</f>
        <v>98067</v>
      </c>
      <c r="AM9" s="260"/>
      <c r="AN9" s="260">
        <f>SUMIFS(Portefeuille_MNT_PPS_Access11[TR 2029],Portefeuille_MNT_PPS_Access11[État Composante TR],"&lt;&gt;PR")</f>
        <v>95457</v>
      </c>
      <c r="AO9" s="260"/>
      <c r="AP9" s="260">
        <f>SUMIFS(Portefeuille_MNT_PPS_Access11[TR 2030],Portefeuille_MNT_PPS_Access11[État Composante TR],"&lt;&gt;PR")</f>
        <v>85708</v>
      </c>
      <c r="AQ9" s="260"/>
      <c r="AR9" s="260">
        <f>SUMIFS(Portefeuille_MNT_PPS_Access11[TR 2031],Portefeuille_MNT_PPS_Access11[État Composante TR],"&lt;&gt;PR")</f>
        <v>92119</v>
      </c>
      <c r="AS9" s="260"/>
      <c r="AT9" s="260">
        <f>SUMIFS(Portefeuille_MNT_PPS_Access11[TR 2032],Portefeuille_MNT_PPS_Access11[État Composante TR],"&lt;&gt;PR")</f>
        <v>93600</v>
      </c>
      <c r="AU9" s="260"/>
      <c r="AV9" s="260">
        <f>SUMIFS(Portefeuille_MNT_PPS_Access11[TR 2033],Portefeuille_MNT_PPS_Access11[État Composante TR],"&lt;&gt;PR")</f>
        <v>101700</v>
      </c>
      <c r="AW9" s="260"/>
      <c r="AX9" s="260">
        <f>SUMIFS(Portefeuille_MNT_PPS_Access11[TR 2034],Portefeuille_MNT_PPS_Access11[État Composante TR],"&lt;&gt;PR")</f>
        <v>105400</v>
      </c>
      <c r="AY9" s="260"/>
      <c r="AZ9" s="78"/>
      <c r="BA9" s="16">
        <f t="shared" si="0"/>
        <v>358006</v>
      </c>
      <c r="BB9" s="18">
        <f t="shared" si="1"/>
        <v>836533</v>
      </c>
    </row>
    <row r="10" spans="1:59" x14ac:dyDescent="0.3">
      <c r="Q10" s="36"/>
      <c r="R10" s="36"/>
      <c r="S10" s="36"/>
      <c r="T10" s="36"/>
      <c r="U10" s="36"/>
      <c r="X10" s="35" t="s">
        <v>28</v>
      </c>
      <c r="Y10" s="140">
        <v>0.25</v>
      </c>
      <c r="Z10" s="164"/>
      <c r="AA10" s="117" t="s">
        <v>29</v>
      </c>
      <c r="AB10" s="262">
        <f>AB8+AB9</f>
        <v>3593</v>
      </c>
      <c r="AC10" s="262"/>
      <c r="AD10" s="262">
        <f>AD8+AD9</f>
        <v>10</v>
      </c>
      <c r="AE10" s="262"/>
      <c r="AF10" s="262">
        <f>AF8+AF9</f>
        <v>36488</v>
      </c>
      <c r="AG10" s="262"/>
      <c r="AH10" s="262">
        <f>AH8+AH9</f>
        <v>41370</v>
      </c>
      <c r="AI10" s="262"/>
      <c r="AJ10" s="262">
        <f>AJ8+AJ9</f>
        <v>96658</v>
      </c>
      <c r="AK10" s="262"/>
      <c r="AL10" s="262">
        <f>AL8+AL9</f>
        <v>105308</v>
      </c>
      <c r="AM10" s="262"/>
      <c r="AN10" s="262">
        <f>AN8+AN9</f>
        <v>101577</v>
      </c>
      <c r="AO10" s="262"/>
      <c r="AP10" s="262">
        <f>AP8+AP9</f>
        <v>91608</v>
      </c>
      <c r="AQ10" s="262"/>
      <c r="AR10" s="262">
        <f>AR8+AR9</f>
        <v>96894</v>
      </c>
      <c r="AS10" s="262"/>
      <c r="AT10" s="262">
        <f>AT8+AT9</f>
        <v>101025</v>
      </c>
      <c r="AU10" s="262"/>
      <c r="AV10" s="262">
        <f>AV8+AV9</f>
        <v>105450</v>
      </c>
      <c r="AW10" s="262"/>
      <c r="AX10" s="262">
        <f>AX8+AX9</f>
        <v>109100</v>
      </c>
      <c r="AY10" s="262"/>
      <c r="AZ10" s="20"/>
      <c r="BA10" s="20">
        <f t="shared" si="0"/>
        <v>381401</v>
      </c>
      <c r="BB10" s="20">
        <f t="shared" si="1"/>
        <v>885478</v>
      </c>
    </row>
    <row r="11" spans="1:59" ht="15.6" x14ac:dyDescent="0.3">
      <c r="X11" s="70" t="s">
        <v>30</v>
      </c>
      <c r="Y11" s="141">
        <f>SUM(Y7:Y10)</f>
        <v>1</v>
      </c>
      <c r="Z11" s="164"/>
      <c r="AA11" s="143" t="s">
        <v>31</v>
      </c>
      <c r="AB11" s="261">
        <f>AB10+AB7</f>
        <v>176706</v>
      </c>
      <c r="AC11" s="259"/>
      <c r="AD11" s="258">
        <f>AD10+AD7</f>
        <v>81644</v>
      </c>
      <c r="AE11" s="259"/>
      <c r="AF11" s="258">
        <f>AF10+AF7-AF4</f>
        <v>62499</v>
      </c>
      <c r="AG11" s="259"/>
      <c r="AH11" s="258">
        <f t="shared" ref="AH11" si="2">AH10+AH7-AH4</f>
        <v>71593</v>
      </c>
      <c r="AI11" s="259"/>
      <c r="AJ11" s="258">
        <f t="shared" ref="AJ11" si="3">AJ10+AJ7-AJ4</f>
        <v>103948</v>
      </c>
      <c r="AK11" s="259"/>
      <c r="AL11" s="258">
        <f t="shared" ref="AL11" si="4">AL10+AL7-AL4</f>
        <v>110971</v>
      </c>
      <c r="AM11" s="259"/>
      <c r="AN11" s="258">
        <f t="shared" ref="AN11" si="5">AN10+AN7-AN4</f>
        <v>104309</v>
      </c>
      <c r="AO11" s="259"/>
      <c r="AP11" s="258">
        <f t="shared" ref="AP11" si="6">AP10+AP7-AP4</f>
        <v>93858</v>
      </c>
      <c r="AQ11" s="259"/>
      <c r="AR11" s="258">
        <f t="shared" ref="AR11" si="7">AR10+AR7-AR4</f>
        <v>98816</v>
      </c>
      <c r="AS11" s="259"/>
      <c r="AT11" s="258">
        <f t="shared" ref="AT11" si="8">AT10+AT7-AT4</f>
        <v>101025</v>
      </c>
      <c r="AU11" s="259"/>
      <c r="AV11" s="258">
        <f t="shared" ref="AV11" si="9">AV10+AV7-AV4</f>
        <v>105450</v>
      </c>
      <c r="AW11" s="259"/>
      <c r="AX11" s="258">
        <f t="shared" ref="AX11" si="10">AX10+AX7-AX4</f>
        <v>109100</v>
      </c>
      <c r="AY11" s="259"/>
      <c r="AZ11" s="167"/>
      <c r="BA11" s="21">
        <f>SUM(AF11:AO11)</f>
        <v>453320</v>
      </c>
      <c r="BB11" s="21">
        <f xml:space="preserve"> SUM(AF11:AY11)</f>
        <v>961569</v>
      </c>
    </row>
    <row r="12" spans="1:59" ht="15.6" x14ac:dyDescent="0.3">
      <c r="X12" s="24"/>
      <c r="Y12" s="7"/>
      <c r="Z12" s="163"/>
      <c r="AA12" s="83" t="s">
        <v>32</v>
      </c>
      <c r="AB12" s="260"/>
      <c r="AC12" s="260"/>
      <c r="AD12" s="260"/>
      <c r="AE12" s="260"/>
      <c r="AF12" s="260"/>
      <c r="AG12" s="28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/>
      <c r="BA12" s="76">
        <v>0</v>
      </c>
      <c r="BB12" s="77">
        <v>0</v>
      </c>
    </row>
    <row r="13" spans="1:59" ht="15.6" x14ac:dyDescent="0.3">
      <c r="X13" s="24"/>
      <c r="Y13" s="158"/>
      <c r="Z13" s="142"/>
      <c r="AA13" s="159" t="s">
        <v>33</v>
      </c>
      <c r="AB13" s="21"/>
      <c r="AC13" s="64"/>
      <c r="AD13" s="258">
        <f>AD12+AD11</f>
        <v>81644</v>
      </c>
      <c r="AE13" s="259"/>
      <c r="AF13" s="258">
        <f t="shared" ref="AF13" si="11">AF12+AF11</f>
        <v>62499</v>
      </c>
      <c r="AG13" s="259"/>
      <c r="AH13" s="258">
        <f t="shared" ref="AH13" si="12">AH12+AH11</f>
        <v>71593</v>
      </c>
      <c r="AI13" s="259"/>
      <c r="AJ13" s="258">
        <f t="shared" ref="AJ13" si="13">AJ12+AJ11</f>
        <v>103948</v>
      </c>
      <c r="AK13" s="259"/>
      <c r="AL13" s="258">
        <f t="shared" ref="AL13" si="14">AL12+AL11</f>
        <v>110971</v>
      </c>
      <c r="AM13" s="259"/>
      <c r="AN13" s="258">
        <f t="shared" ref="AN13" si="15">AN12+AN11</f>
        <v>104309</v>
      </c>
      <c r="AO13" s="259"/>
      <c r="AP13" s="258">
        <f t="shared" ref="AP13" si="16">AP12+AP11</f>
        <v>93858</v>
      </c>
      <c r="AQ13" s="259"/>
      <c r="AR13" s="258">
        <f t="shared" ref="AR13" si="17">AR12+AR11</f>
        <v>98816</v>
      </c>
      <c r="AS13" s="259"/>
      <c r="AT13" s="258">
        <f t="shared" ref="AT13" si="18">AT12+AT11</f>
        <v>101025</v>
      </c>
      <c r="AU13" s="259"/>
      <c r="AV13" s="258">
        <f t="shared" ref="AV13" si="19">AV12+AV11</f>
        <v>105450</v>
      </c>
      <c r="AW13" s="259"/>
      <c r="AX13" s="258">
        <f t="shared" ref="AX13" si="20">AX12+AX11</f>
        <v>109100</v>
      </c>
      <c r="AY13" s="259"/>
      <c r="AZ13" s="167"/>
      <c r="BA13" s="21">
        <f>BA12+BA11</f>
        <v>453320</v>
      </c>
      <c r="BB13" s="21">
        <f>BB12+BB11</f>
        <v>961569</v>
      </c>
    </row>
    <row r="14" spans="1:59" ht="15.6" x14ac:dyDescent="0.3">
      <c r="Z14" s="165"/>
      <c r="AA14" s="144" t="s">
        <v>34</v>
      </c>
      <c r="AB14" s="256"/>
      <c r="AC14" s="257"/>
      <c r="AD14" s="256">
        <v>61550</v>
      </c>
      <c r="AE14" s="257"/>
      <c r="AF14" s="256">
        <f>75500-8285</f>
        <v>67215</v>
      </c>
      <c r="AG14" s="257"/>
      <c r="AH14" s="256">
        <v>75500</v>
      </c>
      <c r="AI14" s="257"/>
      <c r="AJ14" s="256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81"/>
      <c r="BA14" s="17">
        <f>SUM(AF14:AO14)</f>
        <v>369215</v>
      </c>
      <c r="BB14" s="19">
        <f xml:space="preserve"> SUM(AF14:AY14)</f>
        <v>746715</v>
      </c>
    </row>
    <row r="15" spans="1:59" ht="15.6" x14ac:dyDescent="0.3">
      <c r="Z15" s="165"/>
      <c r="AA15" s="84" t="s">
        <v>35</v>
      </c>
      <c r="AB15" s="252"/>
      <c r="AC15" s="253"/>
      <c r="AD15" s="252">
        <f>AD14-AD13</f>
        <v>-20094</v>
      </c>
      <c r="AE15" s="253"/>
      <c r="AF15" s="252">
        <f>AF14-AF13</f>
        <v>4716</v>
      </c>
      <c r="AG15" s="253"/>
      <c r="AH15" s="252">
        <f>AH14-AH13</f>
        <v>3907</v>
      </c>
      <c r="AI15" s="253"/>
      <c r="AJ15" s="252">
        <f t="shared" ref="AJ15" si="21">AJ14-AJ13</f>
        <v>-28448</v>
      </c>
      <c r="AK15" s="253"/>
      <c r="AL15" s="252">
        <f t="shared" ref="AL15" si="22">AL14-AL13</f>
        <v>-35471</v>
      </c>
      <c r="AM15" s="253"/>
      <c r="AN15" s="252">
        <f t="shared" ref="AN15" si="23">AN14-AN13</f>
        <v>-28809</v>
      </c>
      <c r="AO15" s="253"/>
      <c r="AP15" s="252">
        <f t="shared" ref="AP15" si="24">AP14-AP13</f>
        <v>-18358</v>
      </c>
      <c r="AQ15" s="253"/>
      <c r="AR15" s="252">
        <f t="shared" ref="AR15" si="25">AR14-AR13</f>
        <v>-23316</v>
      </c>
      <c r="AS15" s="253"/>
      <c r="AT15" s="252">
        <f t="shared" ref="AT15" si="26">AT14-AT13</f>
        <v>-25525</v>
      </c>
      <c r="AU15" s="253"/>
      <c r="AV15" s="252">
        <f t="shared" ref="AV15" si="27">AV14-AV13</f>
        <v>-29950</v>
      </c>
      <c r="AW15" s="253"/>
      <c r="AX15" s="252">
        <f t="shared" ref="AX15" si="28">AX14-AX13</f>
        <v>-33600</v>
      </c>
      <c r="AY15" s="253"/>
      <c r="AZ15" s="79"/>
      <c r="BA15" s="23">
        <f>BA14-BA13</f>
        <v>-84105</v>
      </c>
      <c r="BB15" s="23">
        <f>BB14-BB13</f>
        <v>-214854</v>
      </c>
    </row>
    <row r="16" spans="1:59" ht="15.6" x14ac:dyDescent="0.3">
      <c r="Z16" s="166"/>
      <c r="AA16" s="145" t="s">
        <v>36</v>
      </c>
      <c r="AB16" s="254"/>
      <c r="AC16" s="255"/>
      <c r="AD16" s="254">
        <f>(AD13-AD14)/AD14</f>
        <v>0.32646628757108043</v>
      </c>
      <c r="AE16" s="255"/>
      <c r="AF16" s="254">
        <f t="shared" ref="AF16" si="29">(AF13-AF14)/AF14</f>
        <v>-7.0162910064717698E-2</v>
      </c>
      <c r="AG16" s="255"/>
      <c r="AH16" s="254">
        <f>(AH14-AH13)/AH14</f>
        <v>5.1748344370860927E-2</v>
      </c>
      <c r="AI16" s="255"/>
      <c r="AJ16" s="254">
        <f t="shared" ref="AJ16" si="30">(AJ14-AJ13)/AJ14</f>
        <v>-0.37679470198675497</v>
      </c>
      <c r="AK16" s="255"/>
      <c r="AL16" s="254">
        <f t="shared" ref="AL16" si="31">(AL14-AL13)/AL14</f>
        <v>-0.46981456953642386</v>
      </c>
      <c r="AM16" s="255"/>
      <c r="AN16" s="254">
        <f t="shared" ref="AN16" si="32">(AN14-AN13)/AN14</f>
        <v>-0.38157615894039737</v>
      </c>
      <c r="AO16" s="255"/>
      <c r="AP16" s="254">
        <f t="shared" ref="AP16" si="33">(AP14-AP13)/AP14</f>
        <v>-0.24315231788079469</v>
      </c>
      <c r="AQ16" s="255"/>
      <c r="AR16" s="254">
        <f t="shared" ref="AR16" si="34">(AR14-AR13)/AR14</f>
        <v>-0.30882119205298014</v>
      </c>
      <c r="AS16" s="255"/>
      <c r="AT16" s="254">
        <f t="shared" ref="AT16" si="35">(AT14-AT13)/AT14</f>
        <v>-0.33807947019867551</v>
      </c>
      <c r="AU16" s="255"/>
      <c r="AV16" s="254">
        <f t="shared" ref="AV16" si="36">(AV14-AV13)/AV14</f>
        <v>-0.39668874172185431</v>
      </c>
      <c r="AW16" s="255"/>
      <c r="AX16" s="254">
        <f t="shared" ref="AX16" si="37">(AX14-AX13)/AX14</f>
        <v>-0.44503311258278144</v>
      </c>
      <c r="AY16" s="255"/>
      <c r="AZ16" s="22"/>
      <c r="BA16" s="22">
        <f>(BA13-BA14)/BA14</f>
        <v>0.22779410370651246</v>
      </c>
      <c r="BB16" s="22">
        <f>(BB13-BB14)/BB14</f>
        <v>0.2877322673309094</v>
      </c>
    </row>
    <row r="17" spans="1:52" ht="13.95" customHeight="1" thickBot="1" x14ac:dyDescent="0.35">
      <c r="AE17" s="8"/>
      <c r="AF17"/>
      <c r="AP17"/>
    </row>
    <row r="18" spans="1:52" s="11" customFormat="1" ht="75.599999999999994" customHeight="1" x14ac:dyDescent="0.3">
      <c r="A18" t="s">
        <v>274</v>
      </c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  <c r="H18" s="11" t="s">
        <v>44</v>
      </c>
      <c r="I18" s="11" t="s">
        <v>45</v>
      </c>
      <c r="J18" s="11" t="s">
        <v>46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51</v>
      </c>
      <c r="P18" s="11" t="s">
        <v>52</v>
      </c>
      <c r="Q18" s="9" t="s">
        <v>53</v>
      </c>
      <c r="R18" s="9" t="s">
        <v>54</v>
      </c>
      <c r="S18" s="9" t="s">
        <v>55</v>
      </c>
      <c r="T18" s="9" t="s">
        <v>56</v>
      </c>
      <c r="U18" s="9" t="s">
        <v>69</v>
      </c>
      <c r="V18" s="9" t="s">
        <v>72</v>
      </c>
      <c r="W18" s="9" t="s">
        <v>26</v>
      </c>
      <c r="X18" s="9" t="s">
        <v>73</v>
      </c>
      <c r="Y18" s="9" t="s">
        <v>74</v>
      </c>
      <c r="Z18" s="9" t="s">
        <v>71</v>
      </c>
      <c r="AA18" s="10" t="s">
        <v>75</v>
      </c>
      <c r="AB18" s="9" t="s">
        <v>76</v>
      </c>
      <c r="AC18" s="9" t="s">
        <v>77</v>
      </c>
      <c r="AD18" s="9" t="s">
        <v>78</v>
      </c>
      <c r="AE18" s="9" t="s">
        <v>79</v>
      </c>
      <c r="AF18" s="9" t="s">
        <v>80</v>
      </c>
      <c r="AG18" s="9" t="s">
        <v>81</v>
      </c>
      <c r="AH18" s="9" t="s">
        <v>82</v>
      </c>
      <c r="AI18" s="9" t="s">
        <v>83</v>
      </c>
      <c r="AJ18" s="9" t="s">
        <v>84</v>
      </c>
      <c r="AK18" s="9" t="s">
        <v>85</v>
      </c>
      <c r="AL18" s="9" t="s">
        <v>86</v>
      </c>
      <c r="AM18" s="9" t="s">
        <v>87</v>
      </c>
      <c r="AN18" s="9" t="s">
        <v>88</v>
      </c>
      <c r="AO18" s="9" t="s">
        <v>89</v>
      </c>
      <c r="AP18" s="9" t="s">
        <v>90</v>
      </c>
      <c r="AQ18" s="9" t="s">
        <v>91</v>
      </c>
      <c r="AR18" s="9" t="s">
        <v>92</v>
      </c>
      <c r="AS18" s="9" t="s">
        <v>93</v>
      </c>
      <c r="AT18" s="9" t="s">
        <v>94</v>
      </c>
      <c r="AU18" s="9" t="s">
        <v>95</v>
      </c>
      <c r="AV18" s="9" t="s">
        <v>96</v>
      </c>
      <c r="AW18" s="9" t="s">
        <v>97</v>
      </c>
      <c r="AX18" s="9" t="s">
        <v>98</v>
      </c>
      <c r="AY18" s="9" t="s">
        <v>99</v>
      </c>
      <c r="AZ18" s="9" t="s">
        <v>100</v>
      </c>
    </row>
    <row r="19" spans="1:52" x14ac:dyDescent="0.3">
      <c r="B19" t="s">
        <v>101</v>
      </c>
      <c r="C19" t="s">
        <v>102</v>
      </c>
      <c r="D19" t="s">
        <v>136</v>
      </c>
      <c r="E19" t="s">
        <v>104</v>
      </c>
      <c r="F19" t="s">
        <v>16</v>
      </c>
      <c r="G19" t="s">
        <v>20</v>
      </c>
      <c r="H19" t="s">
        <v>105</v>
      </c>
      <c r="I19" t="s">
        <v>170</v>
      </c>
      <c r="J19" t="s">
        <v>171</v>
      </c>
      <c r="K19" t="s">
        <v>172</v>
      </c>
      <c r="L19" t="s">
        <v>173</v>
      </c>
      <c r="M19" t="s">
        <v>110</v>
      </c>
      <c r="N19" s="1">
        <v>44833</v>
      </c>
      <c r="O19" s="1">
        <v>46006</v>
      </c>
      <c r="P19" s="1">
        <v>46310</v>
      </c>
      <c r="Q19">
        <v>1</v>
      </c>
      <c r="R19">
        <v>1</v>
      </c>
      <c r="S19">
        <v>1</v>
      </c>
      <c r="T19">
        <v>5</v>
      </c>
      <c r="U19" t="s">
        <v>112</v>
      </c>
      <c r="V1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19" s="12" t="e">
        <f>_xlfn.XLOOKUP(Portefeuille_MNT_PPS_Access11[[#This Row],[Numéro projet]],Tableau5[Numéro projet],Tableau5[IND_Site_Prioritaire])</f>
        <v>#N/A</v>
      </c>
      <c r="X19" s="2" t="e">
        <f>_xlfn.XLOOKUP(Portefeuille_MNT_PPS_Access11[[#This Row],[Numéro projet]],Tableau5[Numéro projet],Tableau5[Critère Etat Infrastructure])</f>
        <v>#N/A</v>
      </c>
      <c r="Y1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9" s="2"/>
      <c r="AA19" s="63"/>
      <c r="AB19">
        <v>497</v>
      </c>
      <c r="AC19">
        <v>8</v>
      </c>
      <c r="AD19">
        <v>217</v>
      </c>
      <c r="AF19">
        <v>1064</v>
      </c>
      <c r="AH19">
        <v>1008</v>
      </c>
      <c r="AJ19">
        <v>1886</v>
      </c>
      <c r="AK19">
        <v>15737</v>
      </c>
      <c r="AL19">
        <v>704</v>
      </c>
      <c r="AM19">
        <v>4000</v>
      </c>
      <c r="AP19"/>
      <c r="AZ19" s="14">
        <f>SUM(Portefeuille_MNT_PPS_Access11[[#This Row],[AC ANT]:[TR 2034]])</f>
        <v>25121</v>
      </c>
    </row>
    <row r="20" spans="1:52" x14ac:dyDescent="0.3">
      <c r="B20" t="s">
        <v>126</v>
      </c>
      <c r="C20" t="s">
        <v>127</v>
      </c>
      <c r="D20" t="s">
        <v>103</v>
      </c>
      <c r="E20" t="s">
        <v>104</v>
      </c>
      <c r="F20" t="s">
        <v>16</v>
      </c>
      <c r="G20" t="s">
        <v>130</v>
      </c>
      <c r="H20" t="s">
        <v>131</v>
      </c>
      <c r="I20" t="s">
        <v>220</v>
      </c>
      <c r="J20" t="s">
        <v>221</v>
      </c>
      <c r="K20" t="s">
        <v>159</v>
      </c>
      <c r="L20" t="s">
        <v>173</v>
      </c>
      <c r="M20" t="s">
        <v>155</v>
      </c>
      <c r="N20" s="1">
        <v>45807</v>
      </c>
      <c r="O20" s="1">
        <v>46164</v>
      </c>
      <c r="P20" s="1">
        <v>46402</v>
      </c>
      <c r="Q20">
        <v>1</v>
      </c>
      <c r="R20">
        <v>1</v>
      </c>
      <c r="S20">
        <v>1</v>
      </c>
      <c r="T20">
        <v>1</v>
      </c>
      <c r="U20" t="s">
        <v>156</v>
      </c>
      <c r="V2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0" s="12" t="e">
        <f>_xlfn.XLOOKUP(Portefeuille_MNT_PPS_Access11[[#This Row],[Numéro projet]],Tableau5[Numéro projet],Tableau5[IND_Site_Prioritaire])</f>
        <v>#N/A</v>
      </c>
      <c r="X20" s="2" t="e">
        <f>_xlfn.XLOOKUP(Portefeuille_MNT_PPS_Access11[[#This Row],[Numéro projet]],Tableau5[Numéro projet],Tableau5[Critère Etat Infrastructure])</f>
        <v>#N/A</v>
      </c>
      <c r="Y2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0" s="2"/>
      <c r="AA20" s="62"/>
      <c r="AF20">
        <v>130</v>
      </c>
      <c r="AH20">
        <v>125</v>
      </c>
      <c r="AJ20">
        <v>100</v>
      </c>
      <c r="AK20">
        <v>12180</v>
      </c>
      <c r="AL20">
        <v>70</v>
      </c>
      <c r="AM20">
        <v>7570</v>
      </c>
      <c r="AN20">
        <v>55</v>
      </c>
      <c r="AO20">
        <v>10250</v>
      </c>
      <c r="AP20"/>
      <c r="AZ20" s="14">
        <f>SUM(Portefeuille_MNT_PPS_Access11[[#This Row],[AC ANT]:[TR 2034]])</f>
        <v>30480</v>
      </c>
    </row>
    <row r="21" spans="1:52" x14ac:dyDescent="0.3">
      <c r="A21">
        <v>9</v>
      </c>
      <c r="B21" t="s">
        <v>101</v>
      </c>
      <c r="C21" t="s">
        <v>102</v>
      </c>
      <c r="D21" t="s">
        <v>103</v>
      </c>
      <c r="E21" t="s">
        <v>149</v>
      </c>
      <c r="F21" t="s">
        <v>20</v>
      </c>
      <c r="G21" t="s">
        <v>20</v>
      </c>
      <c r="H21" t="s">
        <v>105</v>
      </c>
      <c r="I21" t="s">
        <v>235</v>
      </c>
      <c r="J21" t="s">
        <v>510</v>
      </c>
      <c r="K21" t="s">
        <v>205</v>
      </c>
      <c r="L21" t="s">
        <v>173</v>
      </c>
      <c r="M21" t="s">
        <v>155</v>
      </c>
      <c r="N21" s="1">
        <v>45716</v>
      </c>
      <c r="O21" s="1">
        <v>46055</v>
      </c>
      <c r="P21" s="1">
        <v>46273</v>
      </c>
      <c r="Q21">
        <v>1</v>
      </c>
      <c r="R21">
        <v>1</v>
      </c>
      <c r="S21">
        <v>1</v>
      </c>
      <c r="T21">
        <v>1</v>
      </c>
      <c r="U21" t="s">
        <v>156</v>
      </c>
      <c r="V2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1" s="12" t="e">
        <f>_xlfn.XLOOKUP(Portefeuille_MNT_PPS_Access11[[#This Row],[Numéro projet]],Tableau5[Numéro projet],Tableau5[IND_Site_Prioritaire])</f>
        <v>#N/A</v>
      </c>
      <c r="X21" s="2" t="e">
        <f>_xlfn.XLOOKUP(Portefeuille_MNT_PPS_Access11[[#This Row],[Numéro projet]],Tableau5[Numéro projet],Tableau5[Critère Etat Infrastructure])</f>
        <v>#N/A</v>
      </c>
      <c r="Y2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1" s="2"/>
      <c r="AA21" s="63"/>
      <c r="AF21">
        <v>20</v>
      </c>
      <c r="AH21">
        <v>200</v>
      </c>
      <c r="AJ21">
        <v>864</v>
      </c>
      <c r="AK21">
        <v>12022</v>
      </c>
      <c r="AP21"/>
      <c r="AZ21" s="14">
        <f>SUM(Portefeuille_MNT_PPS_Access11[[#This Row],[AC ANT]:[TR 2034]])</f>
        <v>13106</v>
      </c>
    </row>
    <row r="22" spans="1:52" x14ac:dyDescent="0.3">
      <c r="A22">
        <v>10</v>
      </c>
      <c r="B22" t="s">
        <v>101</v>
      </c>
      <c r="C22" t="s">
        <v>102</v>
      </c>
      <c r="D22" t="s">
        <v>103</v>
      </c>
      <c r="E22" t="s">
        <v>149</v>
      </c>
      <c r="F22" t="s">
        <v>20</v>
      </c>
      <c r="G22" t="s">
        <v>20</v>
      </c>
      <c r="H22" t="s">
        <v>105</v>
      </c>
      <c r="I22" t="s">
        <v>237</v>
      </c>
      <c r="J22" t="s">
        <v>238</v>
      </c>
      <c r="K22" t="s">
        <v>239</v>
      </c>
      <c r="L22" t="s">
        <v>173</v>
      </c>
      <c r="M22" t="s">
        <v>155</v>
      </c>
      <c r="N22" s="1">
        <v>45703</v>
      </c>
      <c r="O22" s="1">
        <v>46022</v>
      </c>
      <c r="P22" s="1">
        <v>46295</v>
      </c>
      <c r="Q22">
        <v>1</v>
      </c>
      <c r="R22">
        <v>1</v>
      </c>
      <c r="S22">
        <v>1</v>
      </c>
      <c r="T22">
        <v>1</v>
      </c>
      <c r="U22" t="s">
        <v>156</v>
      </c>
      <c r="V2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2" s="12" t="e">
        <f>_xlfn.XLOOKUP(Portefeuille_MNT_PPS_Access11[[#This Row],[Numéro projet]],Tableau5[Numéro projet],Tableau5[IND_Site_Prioritaire])</f>
        <v>#N/A</v>
      </c>
      <c r="X22" s="2" t="e">
        <f>_xlfn.XLOOKUP(Portefeuille_MNT_PPS_Access11[[#This Row],[Numéro projet]],Tableau5[Numéro projet],Tableau5[Critère Etat Infrastructure])</f>
        <v>#N/A</v>
      </c>
      <c r="Y2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2" s="2"/>
      <c r="AA22" s="63"/>
      <c r="AF22">
        <v>100</v>
      </c>
      <c r="AH22">
        <v>200</v>
      </c>
      <c r="AJ22">
        <v>475</v>
      </c>
      <c r="AK22">
        <v>11000</v>
      </c>
      <c r="AP22"/>
      <c r="AZ22" s="14">
        <f>SUM(Portefeuille_MNT_PPS_Access11[[#This Row],[AC ANT]:[TR 2034]])</f>
        <v>11775</v>
      </c>
    </row>
    <row r="23" spans="1:52" x14ac:dyDescent="0.3">
      <c r="A23">
        <v>3</v>
      </c>
      <c r="B23" t="s">
        <v>126</v>
      </c>
      <c r="C23" t="s">
        <v>127</v>
      </c>
      <c r="D23" t="s">
        <v>103</v>
      </c>
      <c r="E23" t="s">
        <v>149</v>
      </c>
      <c r="F23" t="s">
        <v>20</v>
      </c>
      <c r="G23" t="s">
        <v>20</v>
      </c>
      <c r="H23" t="s">
        <v>131</v>
      </c>
      <c r="I23" t="s">
        <v>233</v>
      </c>
      <c r="J23" t="s">
        <v>234</v>
      </c>
      <c r="K23" t="s">
        <v>152</v>
      </c>
      <c r="L23" t="s">
        <v>173</v>
      </c>
      <c r="M23" t="s">
        <v>155</v>
      </c>
      <c r="N23" s="1">
        <v>45823</v>
      </c>
      <c r="O23" s="1">
        <v>46310</v>
      </c>
      <c r="P23" s="1">
        <v>46675</v>
      </c>
      <c r="Q23">
        <v>1</v>
      </c>
      <c r="R23">
        <v>1</v>
      </c>
      <c r="S23">
        <v>1</v>
      </c>
      <c r="T23">
        <v>1</v>
      </c>
      <c r="U23" t="s">
        <v>156</v>
      </c>
      <c r="V2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3" s="12" t="e">
        <f>_xlfn.XLOOKUP(Portefeuille_MNT_PPS_Access11[[#This Row],[Numéro projet]],Tableau5[Numéro projet],Tableau5[IND_Site_Prioritaire])</f>
        <v>#N/A</v>
      </c>
      <c r="X23" s="2" t="e">
        <f>_xlfn.XLOOKUP(Portefeuille_MNT_PPS_Access11[[#This Row],[Numéro projet]],Tableau5[Numéro projet],Tableau5[Critère Etat Infrastructure])</f>
        <v>#N/A</v>
      </c>
      <c r="Y2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3" s="2"/>
      <c r="AA23" s="63"/>
      <c r="AF23">
        <v>100</v>
      </c>
      <c r="AH23">
        <v>150</v>
      </c>
      <c r="AJ23">
        <v>500</v>
      </c>
      <c r="AK23">
        <v>7500</v>
      </c>
      <c r="AP23"/>
      <c r="AZ23" s="14">
        <f>SUM(Portefeuille_MNT_PPS_Access11[[#This Row],[AC ANT]:[TR 2034]])</f>
        <v>8250</v>
      </c>
    </row>
    <row r="24" spans="1:52" x14ac:dyDescent="0.3">
      <c r="B24" t="s">
        <v>126</v>
      </c>
      <c r="C24" t="s">
        <v>127</v>
      </c>
      <c r="D24" t="s">
        <v>136</v>
      </c>
      <c r="E24" t="s">
        <v>144</v>
      </c>
      <c r="F24" t="s">
        <v>16</v>
      </c>
      <c r="G24" t="s">
        <v>20</v>
      </c>
      <c r="H24" t="s">
        <v>131</v>
      </c>
      <c r="I24" t="s">
        <v>231</v>
      </c>
      <c r="J24" t="s">
        <v>232</v>
      </c>
      <c r="K24" t="s">
        <v>147</v>
      </c>
      <c r="L24" t="s">
        <v>173</v>
      </c>
      <c r="M24" t="s">
        <v>110</v>
      </c>
      <c r="N24" s="1">
        <v>45099</v>
      </c>
      <c r="O24" s="1">
        <v>45945</v>
      </c>
      <c r="P24" s="1">
        <v>46371</v>
      </c>
      <c r="Q24">
        <v>1</v>
      </c>
      <c r="R24">
        <v>1</v>
      </c>
      <c r="S24">
        <v>1</v>
      </c>
      <c r="T24">
        <v>5</v>
      </c>
      <c r="U24" t="s">
        <v>112</v>
      </c>
      <c r="V2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24" s="12" t="e">
        <f>_xlfn.XLOOKUP(Portefeuille_MNT_PPS_Access11[[#This Row],[Numéro projet]],Tableau5[Numéro projet],Tableau5[IND_Site_Prioritaire])</f>
        <v>#N/A</v>
      </c>
      <c r="X24" s="2" t="e">
        <f>_xlfn.XLOOKUP(Portefeuille_MNT_PPS_Access11[[#This Row],[Numéro projet]],Tableau5[Numéro projet],Tableau5[Critère Etat Infrastructure])</f>
        <v>#N/A</v>
      </c>
      <c r="Y2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4" s="2"/>
      <c r="AA24" s="63"/>
      <c r="AB24">
        <v>9</v>
      </c>
      <c r="AD24">
        <v>21</v>
      </c>
      <c r="AF24">
        <v>672</v>
      </c>
      <c r="AH24">
        <v>553</v>
      </c>
      <c r="AJ24">
        <v>1175</v>
      </c>
      <c r="AK24">
        <v>6475</v>
      </c>
      <c r="AL24">
        <v>1602</v>
      </c>
      <c r="AM24">
        <v>6677</v>
      </c>
      <c r="AP24"/>
      <c r="AZ24" s="14">
        <f>SUM(Portefeuille_MNT_PPS_Access11[[#This Row],[AC ANT]:[TR 2034]])</f>
        <v>17184</v>
      </c>
    </row>
    <row r="25" spans="1:52" x14ac:dyDescent="0.3">
      <c r="A25">
        <v>6</v>
      </c>
      <c r="B25" t="s">
        <v>118</v>
      </c>
      <c r="C25" t="s">
        <v>102</v>
      </c>
      <c r="D25" t="s">
        <v>177</v>
      </c>
      <c r="E25" t="s">
        <v>113</v>
      </c>
      <c r="F25" t="s">
        <v>130</v>
      </c>
      <c r="G25" t="s">
        <v>20</v>
      </c>
      <c r="H25" t="s">
        <v>131</v>
      </c>
      <c r="I25" t="s">
        <v>240</v>
      </c>
      <c r="J25" t="s">
        <v>241</v>
      </c>
      <c r="K25" t="s">
        <v>187</v>
      </c>
      <c r="L25" t="s">
        <v>173</v>
      </c>
      <c r="M25" t="s">
        <v>155</v>
      </c>
      <c r="N25" s="1">
        <v>45708</v>
      </c>
      <c r="O25" s="1">
        <v>46127</v>
      </c>
      <c r="P25" s="1">
        <v>46492</v>
      </c>
      <c r="Q25">
        <v>1</v>
      </c>
      <c r="R25">
        <v>1</v>
      </c>
      <c r="S25">
        <v>1</v>
      </c>
      <c r="T25">
        <v>1</v>
      </c>
      <c r="U25" t="s">
        <v>156</v>
      </c>
      <c r="V2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5" s="12" t="e">
        <f>_xlfn.XLOOKUP(Portefeuille_MNT_PPS_Access11[[#This Row],[Numéro projet]],Tableau5[Numéro projet],Tableau5[IND_Site_Prioritaire])</f>
        <v>#N/A</v>
      </c>
      <c r="X25" s="2" t="e">
        <f>_xlfn.XLOOKUP(Portefeuille_MNT_PPS_Access11[[#This Row],[Numéro projet]],Tableau5[Numéro projet],Tableau5[Critère Etat Infrastructure])</f>
        <v>#N/A</v>
      </c>
      <c r="Y2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5" s="2"/>
      <c r="AA25" s="62"/>
      <c r="AD25">
        <v>10</v>
      </c>
      <c r="AF25">
        <v>178</v>
      </c>
      <c r="AH25">
        <v>176</v>
      </c>
      <c r="AJ25">
        <v>212</v>
      </c>
      <c r="AK25">
        <v>4831</v>
      </c>
      <c r="AL25">
        <v>141</v>
      </c>
      <c r="AM25">
        <v>3298</v>
      </c>
      <c r="AP25"/>
      <c r="AZ25" s="14">
        <f>SUM(Portefeuille_MNT_PPS_Access11[[#This Row],[AC ANT]:[TR 2034]])</f>
        <v>8846</v>
      </c>
    </row>
    <row r="26" spans="1:52" x14ac:dyDescent="0.3">
      <c r="A26">
        <v>11</v>
      </c>
      <c r="B26" t="s">
        <v>101</v>
      </c>
      <c r="C26" t="s">
        <v>102</v>
      </c>
      <c r="D26" t="s">
        <v>128</v>
      </c>
      <c r="E26" t="s">
        <v>149</v>
      </c>
      <c r="F26" t="s">
        <v>16</v>
      </c>
      <c r="G26" t="s">
        <v>20</v>
      </c>
      <c r="H26" t="s">
        <v>131</v>
      </c>
      <c r="I26" t="s">
        <v>150</v>
      </c>
      <c r="J26" t="s">
        <v>151</v>
      </c>
      <c r="K26" t="s">
        <v>152</v>
      </c>
      <c r="L26" t="s">
        <v>109</v>
      </c>
      <c r="M26" t="s">
        <v>110</v>
      </c>
      <c r="N26" s="1">
        <v>45079</v>
      </c>
      <c r="O26" s="1">
        <v>45698</v>
      </c>
      <c r="P26" s="1">
        <v>45860</v>
      </c>
      <c r="Q26">
        <v>1</v>
      </c>
      <c r="R26">
        <v>1</v>
      </c>
      <c r="S26">
        <v>1</v>
      </c>
      <c r="T26">
        <v>5</v>
      </c>
      <c r="U26" t="s">
        <v>112</v>
      </c>
      <c r="V2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26" s="12" t="e">
        <f>_xlfn.XLOOKUP(Portefeuille_MNT_PPS_Access11[[#This Row],[Numéro projet]],Tableau5[Numéro projet],Tableau5[IND_Site_Prioritaire])</f>
        <v>#N/A</v>
      </c>
      <c r="X26" s="2" t="e">
        <f>_xlfn.XLOOKUP(Portefeuille_MNT_PPS_Access11[[#This Row],[Numéro projet]],Tableau5[Numéro projet],Tableau5[Critère Etat Infrastructure])</f>
        <v>#N/A</v>
      </c>
      <c r="Y2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6" s="2"/>
      <c r="AA26" s="63"/>
      <c r="AB26">
        <v>12</v>
      </c>
      <c r="AD26">
        <v>162</v>
      </c>
      <c r="AF26">
        <v>100</v>
      </c>
      <c r="AH26">
        <v>300</v>
      </c>
      <c r="AI26">
        <v>4221</v>
      </c>
      <c r="AJ26">
        <v>43</v>
      </c>
      <c r="AK26">
        <v>4139</v>
      </c>
      <c r="AP26"/>
      <c r="AZ26" s="14">
        <f>SUM(Portefeuille_MNT_PPS_Access11[[#This Row],[AC ANT]:[TR 2034]])</f>
        <v>8977</v>
      </c>
    </row>
    <row r="27" spans="1:52" x14ac:dyDescent="0.3">
      <c r="A27">
        <v>12</v>
      </c>
      <c r="B27" t="s">
        <v>101</v>
      </c>
      <c r="C27" t="s">
        <v>102</v>
      </c>
      <c r="D27" t="s">
        <v>103</v>
      </c>
      <c r="E27" t="s">
        <v>140</v>
      </c>
      <c r="F27" t="s">
        <v>20</v>
      </c>
      <c r="G27" t="s">
        <v>20</v>
      </c>
      <c r="H27" t="s">
        <v>131</v>
      </c>
      <c r="I27" t="s">
        <v>246</v>
      </c>
      <c r="J27" t="s">
        <v>515</v>
      </c>
      <c r="K27" t="s">
        <v>180</v>
      </c>
      <c r="L27" t="s">
        <v>173</v>
      </c>
      <c r="M27" t="s">
        <v>110</v>
      </c>
      <c r="N27" s="1">
        <v>45679</v>
      </c>
      <c r="O27" s="1">
        <v>46006</v>
      </c>
      <c r="P27" s="1">
        <v>46371</v>
      </c>
      <c r="Q27">
        <v>1</v>
      </c>
      <c r="R27">
        <v>1</v>
      </c>
      <c r="S27">
        <v>1</v>
      </c>
      <c r="T27">
        <v>1</v>
      </c>
      <c r="U27" t="s">
        <v>112</v>
      </c>
      <c r="V2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27" s="12" t="e">
        <f>_xlfn.XLOOKUP(Portefeuille_MNT_PPS_Access11[[#This Row],[Numéro projet]],Tableau5[Numéro projet],Tableau5[IND_Site_Prioritaire])</f>
        <v>#N/A</v>
      </c>
      <c r="X27" s="2" t="e">
        <f>_xlfn.XLOOKUP(Portefeuille_MNT_PPS_Access11[[#This Row],[Numéro projet]],Tableau5[Numéro projet],Tableau5[Critère Etat Infrastructure])</f>
        <v>#N/A</v>
      </c>
      <c r="Y2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7" s="2"/>
      <c r="AA27" s="63"/>
      <c r="AF27">
        <v>130</v>
      </c>
      <c r="AH27">
        <v>60</v>
      </c>
      <c r="AJ27">
        <v>283</v>
      </c>
      <c r="AK27">
        <v>3902</v>
      </c>
      <c r="AP27"/>
      <c r="AZ27" s="14">
        <f>SUM(Portefeuille_MNT_PPS_Access11[[#This Row],[AC ANT]:[TR 2034]])</f>
        <v>4375</v>
      </c>
    </row>
    <row r="28" spans="1:52" x14ac:dyDescent="0.3">
      <c r="A28">
        <v>6</v>
      </c>
      <c r="B28" t="s">
        <v>101</v>
      </c>
      <c r="C28" t="s">
        <v>102</v>
      </c>
      <c r="D28" t="s">
        <v>136</v>
      </c>
      <c r="E28" t="s">
        <v>149</v>
      </c>
      <c r="F28" t="s">
        <v>20</v>
      </c>
      <c r="G28" t="s">
        <v>20</v>
      </c>
      <c r="H28" t="s">
        <v>105</v>
      </c>
      <c r="I28" t="s">
        <v>203</v>
      </c>
      <c r="J28" t="s">
        <v>204</v>
      </c>
      <c r="K28" t="s">
        <v>205</v>
      </c>
      <c r="L28" t="s">
        <v>173</v>
      </c>
      <c r="M28" t="s">
        <v>155</v>
      </c>
      <c r="N28" s="1">
        <v>45703</v>
      </c>
      <c r="O28" s="1">
        <v>45915</v>
      </c>
      <c r="P28" s="1">
        <v>46295</v>
      </c>
      <c r="Q28">
        <v>1</v>
      </c>
      <c r="R28">
        <v>1</v>
      </c>
      <c r="S28">
        <v>1</v>
      </c>
      <c r="T28">
        <v>1</v>
      </c>
      <c r="U28" t="s">
        <v>156</v>
      </c>
      <c r="V2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8" s="12" t="e">
        <f>_xlfn.XLOOKUP(Portefeuille_MNT_PPS_Access11[[#This Row],[Numéro projet]],Tableau5[Numéro projet],Tableau5[IND_Site_Prioritaire])</f>
        <v>#N/A</v>
      </c>
      <c r="X28" s="2" t="e">
        <f>_xlfn.XLOOKUP(Portefeuille_MNT_PPS_Access11[[#This Row],[Numéro projet]],Tableau5[Numéro projet],Tableau5[Critère Etat Infrastructure])</f>
        <v>#N/A</v>
      </c>
      <c r="Y2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8" s="2"/>
      <c r="AA28" s="63"/>
      <c r="AF28">
        <v>85</v>
      </c>
      <c r="AH28">
        <v>85</v>
      </c>
      <c r="AJ28">
        <v>170</v>
      </c>
      <c r="AK28">
        <v>2000</v>
      </c>
      <c r="AP28"/>
      <c r="AZ28" s="14">
        <f>SUM(Portefeuille_MNT_PPS_Access11[[#This Row],[AC ANT]:[TR 2034]])</f>
        <v>2340</v>
      </c>
    </row>
    <row r="29" spans="1:52" x14ac:dyDescent="0.3">
      <c r="A29">
        <v>7</v>
      </c>
      <c r="B29" t="s">
        <v>118</v>
      </c>
      <c r="C29" t="s">
        <v>102</v>
      </c>
      <c r="D29" t="s">
        <v>242</v>
      </c>
      <c r="E29" t="s">
        <v>113</v>
      </c>
      <c r="F29" t="s">
        <v>20</v>
      </c>
      <c r="G29" t="s">
        <v>20</v>
      </c>
      <c r="H29" t="s">
        <v>131</v>
      </c>
      <c r="I29" t="s">
        <v>243</v>
      </c>
      <c r="J29" t="s">
        <v>244</v>
      </c>
      <c r="K29" t="s">
        <v>245</v>
      </c>
      <c r="L29" t="s">
        <v>173</v>
      </c>
      <c r="M29" t="s">
        <v>155</v>
      </c>
      <c r="N29" s="1">
        <v>45703</v>
      </c>
      <c r="O29" s="1">
        <v>45976</v>
      </c>
      <c r="P29" s="1">
        <v>46341</v>
      </c>
      <c r="Q29">
        <v>1</v>
      </c>
      <c r="R29">
        <v>1</v>
      </c>
      <c r="S29">
        <v>1</v>
      </c>
      <c r="T29">
        <v>1</v>
      </c>
      <c r="U29" t="s">
        <v>156</v>
      </c>
      <c r="V2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29" s="12" t="e">
        <f>_xlfn.XLOOKUP(Portefeuille_MNT_PPS_Access11[[#This Row],[Numéro projet]],Tableau5[Numéro projet],Tableau5[IND_Site_Prioritaire])</f>
        <v>#N/A</v>
      </c>
      <c r="X29" s="2" t="e">
        <f>_xlfn.XLOOKUP(Portefeuille_MNT_PPS_Access11[[#This Row],[Numéro projet]],Tableau5[Numéro projet],Tableau5[Critère Etat Infrastructure])</f>
        <v>#N/A</v>
      </c>
      <c r="Y2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29" s="2"/>
      <c r="AA29" s="63"/>
      <c r="AF29">
        <v>50</v>
      </c>
      <c r="AH29">
        <v>150</v>
      </c>
      <c r="AJ29">
        <v>150</v>
      </c>
      <c r="AK29">
        <v>2000</v>
      </c>
      <c r="AP29"/>
      <c r="AZ29" s="14">
        <f>SUM(Portefeuille_MNT_PPS_Access11[[#This Row],[AC ANT]:[TR 2034]])</f>
        <v>2350</v>
      </c>
    </row>
    <row r="30" spans="1:52" x14ac:dyDescent="0.3">
      <c r="B30" t="s">
        <v>101</v>
      </c>
      <c r="C30" t="s">
        <v>102</v>
      </c>
      <c r="D30" t="s">
        <v>136</v>
      </c>
      <c r="E30" t="s">
        <v>113</v>
      </c>
      <c r="F30" t="s">
        <v>16</v>
      </c>
      <c r="G30" t="s">
        <v>20</v>
      </c>
      <c r="H30" t="s">
        <v>131</v>
      </c>
      <c r="I30" t="s">
        <v>185</v>
      </c>
      <c r="J30" t="s">
        <v>186</v>
      </c>
      <c r="K30" t="s">
        <v>187</v>
      </c>
      <c r="L30" t="s">
        <v>173</v>
      </c>
      <c r="M30" t="s">
        <v>110</v>
      </c>
      <c r="N30" s="1">
        <v>44823</v>
      </c>
      <c r="O30" s="1">
        <v>46096</v>
      </c>
      <c r="P30" s="1">
        <v>46461</v>
      </c>
      <c r="Q30">
        <v>1</v>
      </c>
      <c r="R30">
        <v>1</v>
      </c>
      <c r="S30">
        <v>1</v>
      </c>
      <c r="T30">
        <v>5</v>
      </c>
      <c r="U30" t="s">
        <v>112</v>
      </c>
      <c r="V3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30" s="12" t="e">
        <f>_xlfn.XLOOKUP(Portefeuille_MNT_PPS_Access11[[#This Row],[Numéro projet]],Tableau5[Numéro projet],Tableau5[IND_Site_Prioritaire])</f>
        <v>#N/A</v>
      </c>
      <c r="X30" s="2" t="e">
        <f>_xlfn.XLOOKUP(Portefeuille_MNT_PPS_Access11[[#This Row],[Numéro projet]],Tableau5[Numéro projet],Tableau5[Critère Etat Infrastructure])</f>
        <v>#N/A</v>
      </c>
      <c r="Y3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0" s="2"/>
      <c r="AA30" s="63"/>
      <c r="AB30">
        <v>282</v>
      </c>
      <c r="AD30">
        <v>452</v>
      </c>
      <c r="AF30">
        <v>835</v>
      </c>
      <c r="AH30">
        <v>630</v>
      </c>
      <c r="AJ30">
        <v>225</v>
      </c>
      <c r="AK30">
        <v>1806</v>
      </c>
      <c r="AL30">
        <v>225</v>
      </c>
      <c r="AM30">
        <v>5369</v>
      </c>
      <c r="AN30">
        <v>225</v>
      </c>
      <c r="AO30">
        <v>9000</v>
      </c>
      <c r="AP30"/>
      <c r="AZ30" s="14">
        <f>SUM(Portefeuille_MNT_PPS_Access11[[#This Row],[AC ANT]:[TR 2034]])</f>
        <v>19049</v>
      </c>
    </row>
    <row r="31" spans="1:52" x14ac:dyDescent="0.3">
      <c r="A31">
        <v>2</v>
      </c>
      <c r="B31" t="s">
        <v>126</v>
      </c>
      <c r="C31" t="s">
        <v>127</v>
      </c>
      <c r="D31" t="s">
        <v>177</v>
      </c>
      <c r="E31" t="s">
        <v>206</v>
      </c>
      <c r="F31" t="s">
        <v>16</v>
      </c>
      <c r="G31" t="s">
        <v>130</v>
      </c>
      <c r="H31" t="s">
        <v>223</v>
      </c>
      <c r="I31" t="s">
        <v>224</v>
      </c>
      <c r="J31" t="s">
        <v>520</v>
      </c>
      <c r="K31" t="s">
        <v>180</v>
      </c>
      <c r="L31" t="s">
        <v>109</v>
      </c>
      <c r="M31" t="s">
        <v>110</v>
      </c>
      <c r="N31" s="1">
        <v>44623</v>
      </c>
      <c r="O31" s="1">
        <v>45731</v>
      </c>
      <c r="P31" s="1">
        <v>46006</v>
      </c>
      <c r="Q31">
        <v>1</v>
      </c>
      <c r="R31">
        <v>1</v>
      </c>
      <c r="S31">
        <v>1</v>
      </c>
      <c r="T31">
        <v>5</v>
      </c>
      <c r="U31" t="s">
        <v>112</v>
      </c>
      <c r="V3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31" s="12" t="e">
        <f>_xlfn.XLOOKUP(Portefeuille_MNT_PPS_Access11[[#This Row],[Numéro projet]],Tableau5[Numéro projet],Tableau5[IND_Site_Prioritaire])</f>
        <v>#N/A</v>
      </c>
      <c r="X31" s="2" t="e">
        <f>_xlfn.XLOOKUP(Portefeuille_MNT_PPS_Access11[[#This Row],[Numéro projet]],Tableau5[Numéro projet],Tableau5[Critère Etat Infrastructure])</f>
        <v>#N/A</v>
      </c>
      <c r="Y3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1" s="2"/>
      <c r="AA31" s="63"/>
      <c r="AB31">
        <v>180.00000000000003</v>
      </c>
      <c r="AD31">
        <v>102</v>
      </c>
      <c r="AF31">
        <v>283</v>
      </c>
      <c r="AH31">
        <v>53.000000000000007</v>
      </c>
      <c r="AI31">
        <v>354.99999999999994</v>
      </c>
      <c r="AJ31">
        <v>106.00000000000001</v>
      </c>
      <c r="AK31">
        <v>1610</v>
      </c>
      <c r="AL31">
        <v>106.00000000000001</v>
      </c>
      <c r="AM31">
        <v>4929</v>
      </c>
      <c r="AN31">
        <v>159</v>
      </c>
      <c r="AO31">
        <v>6707.0000000000018</v>
      </c>
      <c r="AP31">
        <v>100</v>
      </c>
      <c r="AQ31">
        <v>6846.0000000000018</v>
      </c>
      <c r="AR31">
        <v>100</v>
      </c>
      <c r="AZ31" s="14">
        <f>SUM(Portefeuille_MNT_PPS_Access11[[#This Row],[AC ANT]:[TR 2034]])</f>
        <v>21636.000000000004</v>
      </c>
    </row>
    <row r="32" spans="1:52" x14ac:dyDescent="0.3">
      <c r="B32" t="s">
        <v>118</v>
      </c>
      <c r="C32" t="s">
        <v>102</v>
      </c>
      <c r="D32" t="s">
        <v>119</v>
      </c>
      <c r="E32" t="s">
        <v>206</v>
      </c>
      <c r="F32" t="s">
        <v>16</v>
      </c>
      <c r="G32" t="s">
        <v>130</v>
      </c>
      <c r="H32" t="s">
        <v>131</v>
      </c>
      <c r="I32" t="s">
        <v>207</v>
      </c>
      <c r="J32" t="s">
        <v>208</v>
      </c>
      <c r="K32" t="s">
        <v>209</v>
      </c>
      <c r="L32" t="s">
        <v>173</v>
      </c>
      <c r="M32" t="s">
        <v>155</v>
      </c>
      <c r="N32" s="1">
        <v>45731</v>
      </c>
      <c r="O32" s="1">
        <v>46006</v>
      </c>
      <c r="P32" s="1">
        <v>46310</v>
      </c>
      <c r="Q32">
        <v>1</v>
      </c>
      <c r="R32">
        <v>1</v>
      </c>
      <c r="S32">
        <v>1</v>
      </c>
      <c r="T32">
        <v>1</v>
      </c>
      <c r="U32" t="s">
        <v>156</v>
      </c>
      <c r="V3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32" s="12" t="e">
        <f>_xlfn.XLOOKUP(Portefeuille_MNT_PPS_Access11[[#This Row],[Numéro projet]],Tableau5[Numéro projet],Tableau5[IND_Site_Prioritaire])</f>
        <v>#N/A</v>
      </c>
      <c r="X32" s="2" t="e">
        <f>_xlfn.XLOOKUP(Portefeuille_MNT_PPS_Access11[[#This Row],[Numéro projet]],Tableau5[Numéro projet],Tableau5[Critère Etat Infrastructure])</f>
        <v>#N/A</v>
      </c>
      <c r="Y3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2" s="2"/>
      <c r="AA32" s="63"/>
      <c r="AB32">
        <v>196</v>
      </c>
      <c r="AF32">
        <v>40</v>
      </c>
      <c r="AH32">
        <v>255</v>
      </c>
      <c r="AJ32">
        <v>396</v>
      </c>
      <c r="AK32">
        <v>1500</v>
      </c>
      <c r="AP32"/>
      <c r="AZ32" s="14">
        <f>SUM(Portefeuille_MNT_PPS_Access11[[#This Row],[AC ANT]:[TR 2034]])</f>
        <v>2387</v>
      </c>
    </row>
    <row r="33" spans="1:52" x14ac:dyDescent="0.3">
      <c r="B33" t="s">
        <v>101</v>
      </c>
      <c r="C33" t="s">
        <v>102</v>
      </c>
      <c r="D33" t="s">
        <v>136</v>
      </c>
      <c r="E33" t="s">
        <v>140</v>
      </c>
      <c r="F33" t="s">
        <v>16</v>
      </c>
      <c r="G33" t="s">
        <v>20</v>
      </c>
      <c r="H33" t="s">
        <v>131</v>
      </c>
      <c r="I33" t="s">
        <v>181</v>
      </c>
      <c r="J33" t="s">
        <v>296</v>
      </c>
      <c r="K33" t="s">
        <v>183</v>
      </c>
      <c r="L33" t="s">
        <v>173</v>
      </c>
      <c r="M33" t="s">
        <v>110</v>
      </c>
      <c r="N33" s="1">
        <v>45590</v>
      </c>
      <c r="O33" s="1">
        <v>46157</v>
      </c>
      <c r="P33" s="1">
        <v>46157</v>
      </c>
      <c r="Q33">
        <v>1</v>
      </c>
      <c r="R33">
        <v>1</v>
      </c>
      <c r="S33">
        <v>1</v>
      </c>
      <c r="T33">
        <v>5</v>
      </c>
      <c r="U33" t="s">
        <v>112</v>
      </c>
      <c r="V3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33" s="12" t="e">
        <f>_xlfn.XLOOKUP(Portefeuille_MNT_PPS_Access11[[#This Row],[Numéro projet]],Tableau5[Numéro projet],Tableau5[IND_Site_Prioritaire])</f>
        <v>#N/A</v>
      </c>
      <c r="X33" s="2" t="e">
        <f>_xlfn.XLOOKUP(Portefeuille_MNT_PPS_Access11[[#This Row],[Numéro projet]],Tableau5[Numéro projet],Tableau5[Critère Etat Infrastructure])</f>
        <v>#N/A</v>
      </c>
      <c r="Y3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3" s="2"/>
      <c r="AA33" s="63"/>
      <c r="AF33">
        <v>466</v>
      </c>
      <c r="AH33">
        <v>475</v>
      </c>
      <c r="AJ33">
        <v>468</v>
      </c>
      <c r="AK33">
        <v>1461</v>
      </c>
      <c r="AP33"/>
      <c r="AZ33" s="14">
        <f>SUM(Portefeuille_MNT_PPS_Access11[[#This Row],[AC ANT]:[TR 2034]])</f>
        <v>2870</v>
      </c>
    </row>
    <row r="34" spans="1:52" x14ac:dyDescent="0.3">
      <c r="A34">
        <v>8</v>
      </c>
      <c r="B34" t="s">
        <v>118</v>
      </c>
      <c r="C34" t="s">
        <v>102</v>
      </c>
      <c r="D34" t="s">
        <v>136</v>
      </c>
      <c r="E34" t="s">
        <v>113</v>
      </c>
      <c r="F34" t="s">
        <v>20</v>
      </c>
      <c r="G34" t="s">
        <v>20</v>
      </c>
      <c r="H34" t="s">
        <v>105</v>
      </c>
      <c r="I34" t="s">
        <v>248</v>
      </c>
      <c r="J34" t="s">
        <v>249</v>
      </c>
      <c r="K34" t="s">
        <v>180</v>
      </c>
      <c r="L34" t="s">
        <v>173</v>
      </c>
      <c r="M34" t="s">
        <v>110</v>
      </c>
      <c r="N34" s="1">
        <v>45476</v>
      </c>
      <c r="O34" s="1">
        <v>45945</v>
      </c>
      <c r="P34" s="1">
        <v>46096</v>
      </c>
      <c r="Q34">
        <v>1</v>
      </c>
      <c r="R34">
        <v>1</v>
      </c>
      <c r="S34">
        <v>1</v>
      </c>
      <c r="T34">
        <v>5</v>
      </c>
      <c r="U34" t="s">
        <v>112</v>
      </c>
      <c r="V3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34" s="12" t="e">
        <f>_xlfn.XLOOKUP(Portefeuille_MNT_PPS_Access11[[#This Row],[Numéro projet]],Tableau5[Numéro projet],Tableau5[IND_Site_Prioritaire])</f>
        <v>#N/A</v>
      </c>
      <c r="X34" s="2" t="e">
        <f>_xlfn.XLOOKUP(Portefeuille_MNT_PPS_Access11[[#This Row],[Numéro projet]],Tableau5[Numéro projet],Tableau5[Critère Etat Infrastructure])</f>
        <v>#N/A</v>
      </c>
      <c r="Y3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4" s="2"/>
      <c r="AA34" s="63"/>
      <c r="AF34">
        <v>100</v>
      </c>
      <c r="AH34">
        <v>110</v>
      </c>
      <c r="AJ34">
        <v>110</v>
      </c>
      <c r="AK34">
        <v>1415</v>
      </c>
      <c r="AM34">
        <v>2030</v>
      </c>
      <c r="AP34"/>
      <c r="AZ34" s="14">
        <f>SUM(Portefeuille_MNT_PPS_Access11[[#This Row],[AC ANT]:[TR 2034]])</f>
        <v>3765</v>
      </c>
    </row>
    <row r="35" spans="1:52" x14ac:dyDescent="0.3">
      <c r="B35" t="s">
        <v>118</v>
      </c>
      <c r="C35" t="s">
        <v>102</v>
      </c>
      <c r="D35" t="s">
        <v>188</v>
      </c>
      <c r="E35" t="s">
        <v>113</v>
      </c>
      <c r="F35" t="s">
        <v>16</v>
      </c>
      <c r="G35" t="s">
        <v>130</v>
      </c>
      <c r="H35" t="s">
        <v>131</v>
      </c>
      <c r="I35" t="s">
        <v>189</v>
      </c>
      <c r="J35" t="s">
        <v>190</v>
      </c>
      <c r="K35" t="s">
        <v>191</v>
      </c>
      <c r="L35" t="s">
        <v>173</v>
      </c>
      <c r="M35" t="s">
        <v>110</v>
      </c>
      <c r="N35" s="1">
        <v>45684</v>
      </c>
      <c r="O35" s="1">
        <v>46157</v>
      </c>
      <c r="P35" s="1">
        <v>46157</v>
      </c>
      <c r="Q35">
        <v>1</v>
      </c>
      <c r="R35">
        <v>1</v>
      </c>
      <c r="S35">
        <v>1</v>
      </c>
      <c r="T35">
        <v>1</v>
      </c>
      <c r="U35" t="s">
        <v>112</v>
      </c>
      <c r="V3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35" s="12" t="e">
        <f>_xlfn.XLOOKUP(Portefeuille_MNT_PPS_Access11[[#This Row],[Numéro projet]],Tableau5[Numéro projet],Tableau5[IND_Site_Prioritaire])</f>
        <v>#N/A</v>
      </c>
      <c r="X35" s="2" t="e">
        <f>_xlfn.XLOOKUP(Portefeuille_MNT_PPS_Access11[[#This Row],[Numéro projet]],Tableau5[Numéro projet],Tableau5[Critère Etat Infrastructure])</f>
        <v>#N/A</v>
      </c>
      <c r="Y3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5" s="2"/>
      <c r="AA35" s="63"/>
      <c r="AF35">
        <v>80</v>
      </c>
      <c r="AH35">
        <v>87</v>
      </c>
      <c r="AJ35">
        <v>227</v>
      </c>
      <c r="AK35">
        <v>899</v>
      </c>
      <c r="AP35"/>
      <c r="AZ35" s="14">
        <f>SUM(Portefeuille_MNT_PPS_Access11[[#This Row],[AC ANT]:[TR 2034]])</f>
        <v>1293</v>
      </c>
    </row>
    <row r="36" spans="1:52" x14ac:dyDescent="0.3">
      <c r="B36" t="s">
        <v>118</v>
      </c>
      <c r="C36" t="s">
        <v>102</v>
      </c>
      <c r="D36" t="s">
        <v>136</v>
      </c>
      <c r="E36" t="s">
        <v>149</v>
      </c>
      <c r="F36" t="s">
        <v>20</v>
      </c>
      <c r="G36" t="s">
        <v>20</v>
      </c>
      <c r="H36" t="s">
        <v>131</v>
      </c>
      <c r="I36" t="s">
        <v>381</v>
      </c>
      <c r="J36" t="s">
        <v>382</v>
      </c>
      <c r="K36" t="s">
        <v>194</v>
      </c>
      <c r="L36" t="s">
        <v>173</v>
      </c>
      <c r="M36" t="s">
        <v>291</v>
      </c>
      <c r="N36" s="1"/>
      <c r="O36" s="1"/>
      <c r="P36" s="1"/>
      <c r="Q36">
        <v>1</v>
      </c>
      <c r="U36" t="s">
        <v>311</v>
      </c>
      <c r="V3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36" s="12" t="e">
        <f>_xlfn.XLOOKUP(Portefeuille_MNT_PPS_Access11[[#This Row],[Numéro projet]],Tableau5[Numéro projet],Tableau5[IND_Site_Prioritaire])</f>
        <v>#N/A</v>
      </c>
      <c r="X36" s="2" t="e">
        <f>_xlfn.XLOOKUP(Portefeuille_MNT_PPS_Access11[[#This Row],[Numéro projet]],Tableau5[Numéro projet],Tableau5[Critère Etat Infrastructure])</f>
        <v>#N/A</v>
      </c>
      <c r="Y3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6" s="2"/>
      <c r="AA36" s="63"/>
      <c r="AF36"/>
      <c r="AH36">
        <v>50</v>
      </c>
      <c r="AJ36">
        <v>50</v>
      </c>
      <c r="AK36">
        <v>250</v>
      </c>
      <c r="AP36"/>
      <c r="AZ36" s="14">
        <f>SUM(Portefeuille_MNT_PPS_Access11[[#This Row],[AC ANT]:[TR 2034]])</f>
        <v>350</v>
      </c>
    </row>
    <row r="37" spans="1:52" x14ac:dyDescent="0.3">
      <c r="A37">
        <v>3</v>
      </c>
      <c r="B37" t="s">
        <v>118</v>
      </c>
      <c r="C37" t="s">
        <v>102</v>
      </c>
      <c r="D37" t="s">
        <v>136</v>
      </c>
      <c r="F37" t="s">
        <v>20</v>
      </c>
      <c r="G37" t="s">
        <v>20</v>
      </c>
      <c r="H37" t="s">
        <v>105</v>
      </c>
      <c r="I37" t="s">
        <v>516</v>
      </c>
      <c r="J37" t="s">
        <v>517</v>
      </c>
      <c r="K37" t="s">
        <v>302</v>
      </c>
      <c r="L37" t="s">
        <v>173</v>
      </c>
      <c r="M37" t="s">
        <v>291</v>
      </c>
      <c r="N37" s="1"/>
      <c r="O37" s="1"/>
      <c r="P37" s="1"/>
      <c r="Q37">
        <v>1</v>
      </c>
      <c r="U37" t="s">
        <v>311</v>
      </c>
      <c r="V3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37" s="12" t="e">
        <f>_xlfn.XLOOKUP(Portefeuille_MNT_PPS_Access11[[#This Row],[Numéro projet]],Tableau5[Numéro projet],Tableau5[IND_Site_Prioritaire])</f>
        <v>#N/A</v>
      </c>
      <c r="X37" s="2" t="e">
        <f>_xlfn.XLOOKUP(Portefeuille_MNT_PPS_Access11[[#This Row],[Numéro projet]],Tableau5[Numéro projet],Tableau5[Critère Etat Infrastructure])</f>
        <v>#N/A</v>
      </c>
      <c r="Y3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7" s="2"/>
      <c r="AA37" s="63"/>
      <c r="AF37">
        <v>25</v>
      </c>
      <c r="AH37">
        <v>25</v>
      </c>
      <c r="AK37">
        <v>250</v>
      </c>
      <c r="AP37"/>
      <c r="AZ37" s="14">
        <f>SUM(Portefeuille_MNT_PPS_Access11[[#This Row],[AC ANT]:[TR 2034]])</f>
        <v>300</v>
      </c>
    </row>
    <row r="38" spans="1:52" x14ac:dyDescent="0.3">
      <c r="A38">
        <v>4</v>
      </c>
      <c r="B38" t="s">
        <v>118</v>
      </c>
      <c r="C38" t="s">
        <v>102</v>
      </c>
      <c r="D38" t="s">
        <v>136</v>
      </c>
      <c r="F38" t="s">
        <v>20</v>
      </c>
      <c r="G38" t="s">
        <v>20</v>
      </c>
      <c r="H38" t="s">
        <v>105</v>
      </c>
      <c r="I38" t="s">
        <v>518</v>
      </c>
      <c r="J38" t="s">
        <v>519</v>
      </c>
      <c r="K38" t="s">
        <v>143</v>
      </c>
      <c r="L38" t="s">
        <v>173</v>
      </c>
      <c r="M38" t="s">
        <v>291</v>
      </c>
      <c r="N38" s="1"/>
      <c r="O38" s="1"/>
      <c r="P38" s="1"/>
      <c r="Q38">
        <v>1</v>
      </c>
      <c r="U38" t="s">
        <v>311</v>
      </c>
      <c r="V3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38" s="12" t="e">
        <f>_xlfn.XLOOKUP(Portefeuille_MNT_PPS_Access11[[#This Row],[Numéro projet]],Tableau5[Numéro projet],Tableau5[IND_Site_Prioritaire])</f>
        <v>#N/A</v>
      </c>
      <c r="X38" s="2" t="e">
        <f>_xlfn.XLOOKUP(Portefeuille_MNT_PPS_Access11[[#This Row],[Numéro projet]],Tableau5[Numéro projet],Tableau5[Critère Etat Infrastructure])</f>
        <v>#N/A</v>
      </c>
      <c r="Y3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8" s="2"/>
      <c r="AA38" s="63"/>
      <c r="AF38">
        <v>25</v>
      </c>
      <c r="AH38">
        <v>25</v>
      </c>
      <c r="AK38">
        <v>150</v>
      </c>
      <c r="AP38"/>
      <c r="AZ38" s="14">
        <f>SUM(Portefeuille_MNT_PPS_Access11[[#This Row],[AC ANT]:[TR 2034]])</f>
        <v>200</v>
      </c>
    </row>
    <row r="39" spans="1:52" x14ac:dyDescent="0.3">
      <c r="B39" t="s">
        <v>101</v>
      </c>
      <c r="C39" t="s">
        <v>102</v>
      </c>
      <c r="D39" t="s">
        <v>103</v>
      </c>
      <c r="E39" t="s">
        <v>129</v>
      </c>
      <c r="F39" t="s">
        <v>20</v>
      </c>
      <c r="G39" t="s">
        <v>20</v>
      </c>
      <c r="H39" t="s">
        <v>105</v>
      </c>
      <c r="I39" t="s">
        <v>400</v>
      </c>
      <c r="J39" t="s">
        <v>401</v>
      </c>
      <c r="K39" t="s">
        <v>402</v>
      </c>
      <c r="L39" t="s">
        <v>197</v>
      </c>
      <c r="M39" t="s">
        <v>155</v>
      </c>
      <c r="N39" s="1">
        <v>46082</v>
      </c>
      <c r="O39" s="1">
        <v>46571</v>
      </c>
      <c r="P39" s="1">
        <v>46661</v>
      </c>
      <c r="Q39">
        <v>1</v>
      </c>
      <c r="R39">
        <v>1</v>
      </c>
      <c r="S39">
        <v>1</v>
      </c>
      <c r="T39">
        <v>1</v>
      </c>
      <c r="U39" t="s">
        <v>156</v>
      </c>
      <c r="V3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39" s="12" t="e">
        <f>_xlfn.XLOOKUP(Portefeuille_MNT_PPS_Access11[[#This Row],[Numéro projet]],Tableau5[Numéro projet],Tableau5[IND_Site_Prioritaire])</f>
        <v>#N/A</v>
      </c>
      <c r="X39" s="2" t="e">
        <f>_xlfn.XLOOKUP(Portefeuille_MNT_PPS_Access11[[#This Row],[Numéro projet]],Tableau5[Numéro projet],Tableau5[Critère Etat Infrastructure])</f>
        <v>#N/A</v>
      </c>
      <c r="Y3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39" s="2"/>
      <c r="AA39" s="62"/>
      <c r="AF39"/>
      <c r="AH39">
        <v>200</v>
      </c>
      <c r="AJ39">
        <v>200</v>
      </c>
      <c r="AL39">
        <v>800</v>
      </c>
      <c r="AM39">
        <v>16000</v>
      </c>
      <c r="AP39"/>
      <c r="AZ39" s="14">
        <f>SUM(Portefeuille_MNT_PPS_Access11[[#This Row],[AC ANT]:[TR 2034]])</f>
        <v>17200</v>
      </c>
    </row>
    <row r="40" spans="1:52" x14ac:dyDescent="0.3">
      <c r="B40" t="s">
        <v>118</v>
      </c>
      <c r="C40" t="s">
        <v>102</v>
      </c>
      <c r="D40" t="s">
        <v>103</v>
      </c>
      <c r="F40" t="s">
        <v>20</v>
      </c>
      <c r="G40" t="s">
        <v>20</v>
      </c>
      <c r="H40" t="s">
        <v>131</v>
      </c>
      <c r="I40" t="s">
        <v>396</v>
      </c>
      <c r="J40" t="s">
        <v>397</v>
      </c>
      <c r="K40" t="s">
        <v>194</v>
      </c>
      <c r="L40" t="s">
        <v>197</v>
      </c>
      <c r="M40" t="s">
        <v>291</v>
      </c>
      <c r="N40" s="1"/>
      <c r="O40" s="1"/>
      <c r="P40" s="1"/>
      <c r="Q40">
        <v>1</v>
      </c>
      <c r="U40" t="s">
        <v>311</v>
      </c>
      <c r="V4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40" s="12" t="e">
        <f>_xlfn.XLOOKUP(Portefeuille_MNT_PPS_Access11[[#This Row],[Numéro projet]],Tableau5[Numéro projet],Tableau5[IND_Site_Prioritaire])</f>
        <v>#N/A</v>
      </c>
      <c r="X40" s="2" t="e">
        <f>_xlfn.XLOOKUP(Portefeuille_MNT_PPS_Access11[[#This Row],[Numéro projet]],Tableau5[Numéro projet],Tableau5[Critère Etat Infrastructure])</f>
        <v>#N/A</v>
      </c>
      <c r="Y4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0" s="2"/>
      <c r="AA40" s="62"/>
      <c r="AF40"/>
      <c r="AH40">
        <v>150</v>
      </c>
      <c r="AJ40">
        <v>250</v>
      </c>
      <c r="AL40">
        <v>600</v>
      </c>
      <c r="AM40">
        <v>10500</v>
      </c>
      <c r="AP40"/>
      <c r="AZ40" s="14">
        <f>SUM(Portefeuille_MNT_PPS_Access11[[#This Row],[AC ANT]:[TR 2034]])</f>
        <v>11500</v>
      </c>
    </row>
    <row r="41" spans="1:52" x14ac:dyDescent="0.3">
      <c r="B41" t="s">
        <v>118</v>
      </c>
      <c r="C41" t="s">
        <v>102</v>
      </c>
      <c r="D41" t="s">
        <v>103</v>
      </c>
      <c r="E41" t="s">
        <v>113</v>
      </c>
      <c r="F41" t="s">
        <v>20</v>
      </c>
      <c r="G41" t="s">
        <v>20</v>
      </c>
      <c r="H41" t="s">
        <v>131</v>
      </c>
      <c r="I41" t="s">
        <v>377</v>
      </c>
      <c r="J41" t="s">
        <v>378</v>
      </c>
      <c r="K41" t="s">
        <v>191</v>
      </c>
      <c r="L41" t="s">
        <v>197</v>
      </c>
      <c r="M41" t="s">
        <v>291</v>
      </c>
      <c r="N41" s="1"/>
      <c r="O41" s="1"/>
      <c r="P41" s="1"/>
      <c r="Q41">
        <v>1</v>
      </c>
      <c r="U41" t="s">
        <v>311</v>
      </c>
      <c r="V4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41" s="12" t="e">
        <f>_xlfn.XLOOKUP(Portefeuille_MNT_PPS_Access11[[#This Row],[Numéro projet]],Tableau5[Numéro projet],Tableau5[IND_Site_Prioritaire])</f>
        <v>#N/A</v>
      </c>
      <c r="X41" s="2" t="e">
        <f>_xlfn.XLOOKUP(Portefeuille_MNT_PPS_Access11[[#This Row],[Numéro projet]],Tableau5[Numéro projet],Tableau5[Critère Etat Infrastructure])</f>
        <v>#N/A</v>
      </c>
      <c r="Y4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1" s="2"/>
      <c r="AA41" s="63"/>
      <c r="AF41"/>
      <c r="AH41">
        <v>100</v>
      </c>
      <c r="AJ41">
        <v>200</v>
      </c>
      <c r="AL41">
        <v>495</v>
      </c>
      <c r="AM41">
        <v>8000</v>
      </c>
      <c r="AP41"/>
      <c r="AZ41" s="14">
        <f>SUM(Portefeuille_MNT_PPS_Access11[[#This Row],[AC ANT]:[TR 2034]])</f>
        <v>8795</v>
      </c>
    </row>
    <row r="42" spans="1:52" x14ac:dyDescent="0.3">
      <c r="B42" t="s">
        <v>101</v>
      </c>
      <c r="C42" t="s">
        <v>102</v>
      </c>
      <c r="D42" t="s">
        <v>136</v>
      </c>
      <c r="E42" t="s">
        <v>144</v>
      </c>
      <c r="F42" t="s">
        <v>16</v>
      </c>
      <c r="G42" t="s">
        <v>20</v>
      </c>
      <c r="H42" t="s">
        <v>131</v>
      </c>
      <c r="I42" t="s">
        <v>195</v>
      </c>
      <c r="J42" t="s">
        <v>196</v>
      </c>
      <c r="K42" t="s">
        <v>180</v>
      </c>
      <c r="L42" t="s">
        <v>197</v>
      </c>
      <c r="M42" t="s">
        <v>110</v>
      </c>
      <c r="N42" s="1">
        <v>44889</v>
      </c>
      <c r="O42" s="1">
        <v>46068</v>
      </c>
      <c r="P42" s="1">
        <v>46583</v>
      </c>
      <c r="Q42">
        <v>1</v>
      </c>
      <c r="R42">
        <v>1</v>
      </c>
      <c r="S42">
        <v>1</v>
      </c>
      <c r="T42">
        <v>5</v>
      </c>
      <c r="U42" t="s">
        <v>112</v>
      </c>
      <c r="V4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42" s="12" t="e">
        <f>_xlfn.XLOOKUP(Portefeuille_MNT_PPS_Access11[[#This Row],[Numéro projet]],Tableau5[Numéro projet],Tableau5[IND_Site_Prioritaire])</f>
        <v>#N/A</v>
      </c>
      <c r="X42" s="2" t="e">
        <f>_xlfn.XLOOKUP(Portefeuille_MNT_PPS_Access11[[#This Row],[Numéro projet]],Tableau5[Numéro projet],Tableau5[Critère Etat Infrastructure])</f>
        <v>#N/A</v>
      </c>
      <c r="Y4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2" s="2"/>
      <c r="AA42" s="63"/>
      <c r="AB42">
        <v>337</v>
      </c>
      <c r="AD42">
        <v>59.999999999999993</v>
      </c>
      <c r="AF42">
        <v>1657.9999999999998</v>
      </c>
      <c r="AH42">
        <v>1529</v>
      </c>
      <c r="AJ42">
        <v>1529</v>
      </c>
      <c r="AL42">
        <v>1325</v>
      </c>
      <c r="AM42">
        <v>7500</v>
      </c>
      <c r="AN42">
        <v>1200</v>
      </c>
      <c r="AO42">
        <v>9500</v>
      </c>
      <c r="AP42">
        <v>455</v>
      </c>
      <c r="AQ42">
        <v>18000</v>
      </c>
      <c r="AZ42" s="14">
        <f>SUM(Portefeuille_MNT_PPS_Access11[[#This Row],[AC ANT]:[TR 2034]])</f>
        <v>43093</v>
      </c>
    </row>
    <row r="43" spans="1:52" x14ac:dyDescent="0.3">
      <c r="B43" t="s">
        <v>118</v>
      </c>
      <c r="C43" t="s">
        <v>102</v>
      </c>
      <c r="D43" t="s">
        <v>103</v>
      </c>
      <c r="E43" t="s">
        <v>206</v>
      </c>
      <c r="F43" t="s">
        <v>16</v>
      </c>
      <c r="G43" t="s">
        <v>20</v>
      </c>
      <c r="H43" t="s">
        <v>131</v>
      </c>
      <c r="I43" t="s">
        <v>210</v>
      </c>
      <c r="J43" t="s">
        <v>211</v>
      </c>
      <c r="K43" t="s">
        <v>209</v>
      </c>
      <c r="L43" t="s">
        <v>197</v>
      </c>
      <c r="M43" t="s">
        <v>155</v>
      </c>
      <c r="N43" s="1">
        <v>45792</v>
      </c>
      <c r="O43" s="1">
        <v>46310</v>
      </c>
      <c r="P43" s="1">
        <v>46675</v>
      </c>
      <c r="Q43">
        <v>1</v>
      </c>
      <c r="R43">
        <v>1</v>
      </c>
      <c r="S43">
        <v>1</v>
      </c>
      <c r="T43">
        <v>1</v>
      </c>
      <c r="U43" t="s">
        <v>156</v>
      </c>
      <c r="V4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43" s="12" t="e">
        <f>_xlfn.XLOOKUP(Portefeuille_MNT_PPS_Access11[[#This Row],[Numéro projet]],Tableau5[Numéro projet],Tableau5[IND_Site_Prioritaire])</f>
        <v>#N/A</v>
      </c>
      <c r="X43" s="2" t="e">
        <f>_xlfn.XLOOKUP(Portefeuille_MNT_PPS_Access11[[#This Row],[Numéro projet]],Tableau5[Numéro projet],Tableau5[Critère Etat Infrastructure])</f>
        <v>#N/A</v>
      </c>
      <c r="Y4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3" s="2"/>
      <c r="AA43" s="63"/>
      <c r="AB43">
        <v>8</v>
      </c>
      <c r="AF43">
        <v>100</v>
      </c>
      <c r="AH43">
        <v>100</v>
      </c>
      <c r="AJ43">
        <v>100</v>
      </c>
      <c r="AL43">
        <v>250</v>
      </c>
      <c r="AM43">
        <v>7500</v>
      </c>
      <c r="AP43"/>
      <c r="AZ43" s="14">
        <f>SUM(Portefeuille_MNT_PPS_Access11[[#This Row],[AC ANT]:[TR 2034]])</f>
        <v>8058</v>
      </c>
    </row>
    <row r="44" spans="1:52" x14ac:dyDescent="0.3">
      <c r="B44" t="s">
        <v>101</v>
      </c>
      <c r="C44" t="s">
        <v>102</v>
      </c>
      <c r="D44" t="s">
        <v>136</v>
      </c>
      <c r="E44" t="s">
        <v>206</v>
      </c>
      <c r="F44" t="s">
        <v>130</v>
      </c>
      <c r="G44" t="s">
        <v>20</v>
      </c>
      <c r="H44" t="s">
        <v>131</v>
      </c>
      <c r="I44" t="s">
        <v>375</v>
      </c>
      <c r="J44" t="s">
        <v>376</v>
      </c>
      <c r="K44" t="s">
        <v>209</v>
      </c>
      <c r="L44" t="s">
        <v>197</v>
      </c>
      <c r="M44" t="s">
        <v>155</v>
      </c>
      <c r="N44" s="1">
        <v>46006</v>
      </c>
      <c r="O44" s="1">
        <v>46371</v>
      </c>
      <c r="P44" s="1">
        <v>46736</v>
      </c>
      <c r="Q44">
        <v>1</v>
      </c>
      <c r="R44">
        <v>1</v>
      </c>
      <c r="S44">
        <v>1</v>
      </c>
      <c r="T44">
        <v>1</v>
      </c>
      <c r="U44" t="s">
        <v>156</v>
      </c>
      <c r="V4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44" s="12" t="e">
        <f>_xlfn.XLOOKUP(Portefeuille_MNT_PPS_Access11[[#This Row],[Numéro projet]],Tableau5[Numéro projet],Tableau5[IND_Site_Prioritaire])</f>
        <v>#N/A</v>
      </c>
      <c r="X44" s="2" t="e">
        <f>_xlfn.XLOOKUP(Portefeuille_MNT_PPS_Access11[[#This Row],[Numéro projet]],Tableau5[Numéro projet],Tableau5[Critère Etat Infrastructure])</f>
        <v>#N/A</v>
      </c>
      <c r="Y4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4" s="2"/>
      <c r="AA44" s="63"/>
      <c r="AF44"/>
      <c r="AH44">
        <v>250</v>
      </c>
      <c r="AJ44">
        <v>300</v>
      </c>
      <c r="AL44">
        <v>500</v>
      </c>
      <c r="AM44">
        <v>4000</v>
      </c>
      <c r="AN44">
        <v>800</v>
      </c>
      <c r="AO44">
        <v>15000</v>
      </c>
      <c r="AP44"/>
      <c r="AZ44" s="14">
        <f>SUM(Portefeuille_MNT_PPS_Access11[[#This Row],[AC ANT]:[TR 2034]])</f>
        <v>20850</v>
      </c>
    </row>
    <row r="45" spans="1:52" x14ac:dyDescent="0.3">
      <c r="B45" t="s">
        <v>101</v>
      </c>
      <c r="C45" t="s">
        <v>102</v>
      </c>
      <c r="D45" t="s">
        <v>136</v>
      </c>
      <c r="F45" t="s">
        <v>130</v>
      </c>
      <c r="G45" t="s">
        <v>130</v>
      </c>
      <c r="H45" t="s">
        <v>105</v>
      </c>
      <c r="I45" t="s">
        <v>407</v>
      </c>
      <c r="J45" t="s">
        <v>514</v>
      </c>
      <c r="K45" t="s">
        <v>108</v>
      </c>
      <c r="L45" t="s">
        <v>197</v>
      </c>
      <c r="M45" t="s">
        <v>291</v>
      </c>
      <c r="N45" s="1"/>
      <c r="O45" s="1"/>
      <c r="P45" s="1"/>
      <c r="Q45">
        <v>1</v>
      </c>
      <c r="U45" t="s">
        <v>311</v>
      </c>
      <c r="V4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45" s="12" t="e">
        <f>_xlfn.XLOOKUP(Portefeuille_MNT_PPS_Access11[[#This Row],[Numéro projet]],Tableau5[Numéro projet],Tableau5[IND_Site_Prioritaire])</f>
        <v>#N/A</v>
      </c>
      <c r="X45" s="2" t="e">
        <f>_xlfn.XLOOKUP(Portefeuille_MNT_PPS_Access11[[#This Row],[Numéro projet]],Tableau5[Numéro projet],Tableau5[Critère Etat Infrastructure])</f>
        <v>#N/A</v>
      </c>
      <c r="Y4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5" s="2"/>
      <c r="AA45" s="63"/>
      <c r="AF45"/>
      <c r="AH45">
        <v>150</v>
      </c>
      <c r="AJ45">
        <v>150</v>
      </c>
      <c r="AL45">
        <v>550</v>
      </c>
      <c r="AM45">
        <v>4000</v>
      </c>
      <c r="AP45"/>
      <c r="AZ45" s="14">
        <f>SUM(Portefeuille_MNT_PPS_Access11[[#This Row],[AC ANT]:[TR 2034]])</f>
        <v>4850</v>
      </c>
    </row>
    <row r="46" spans="1:52" x14ac:dyDescent="0.3">
      <c r="B46" t="s">
        <v>118</v>
      </c>
      <c r="C46" t="s">
        <v>102</v>
      </c>
      <c r="D46" t="s">
        <v>177</v>
      </c>
      <c r="F46" t="s">
        <v>20</v>
      </c>
      <c r="G46" t="s">
        <v>20</v>
      </c>
      <c r="H46" t="s">
        <v>131</v>
      </c>
      <c r="I46" t="s">
        <v>511</v>
      </c>
      <c r="J46" t="s">
        <v>512</v>
      </c>
      <c r="K46" t="s">
        <v>187</v>
      </c>
      <c r="L46" s="2" t="s">
        <v>197</v>
      </c>
      <c r="M46" t="s">
        <v>291</v>
      </c>
      <c r="N46" s="1"/>
      <c r="O46" s="1"/>
      <c r="P46" s="1"/>
      <c r="Q46">
        <v>1</v>
      </c>
      <c r="U46" t="s">
        <v>311</v>
      </c>
      <c r="V4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46" s="12" t="e">
        <f>_xlfn.XLOOKUP(Portefeuille_MNT_PPS_Access11[[#This Row],[Numéro projet]],Tableau5[Numéro projet],Tableau5[IND_Site_Prioritaire])</f>
        <v>#N/A</v>
      </c>
      <c r="X46" s="2" t="e">
        <f>_xlfn.XLOOKUP(Portefeuille_MNT_PPS_Access11[[#This Row],[Numéro projet]],Tableau5[Numéro projet],Tableau5[Critère Etat Infrastructure])</f>
        <v>#N/A</v>
      </c>
      <c r="Y4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6" s="2"/>
      <c r="AA46" s="63"/>
      <c r="AF46"/>
      <c r="AH46">
        <v>75</v>
      </c>
      <c r="AJ46">
        <v>100</v>
      </c>
      <c r="AL46">
        <v>350</v>
      </c>
      <c r="AM46">
        <v>3500</v>
      </c>
      <c r="AP46"/>
      <c r="AZ46" s="14">
        <f>SUM(Portefeuille_MNT_PPS_Access11[[#This Row],[AC ANT]:[TR 2034]])</f>
        <v>4025</v>
      </c>
    </row>
    <row r="47" spans="1:52" x14ac:dyDescent="0.3">
      <c r="A47">
        <v>2</v>
      </c>
      <c r="B47" t="s">
        <v>118</v>
      </c>
      <c r="C47" t="s">
        <v>102</v>
      </c>
      <c r="D47" t="s">
        <v>242</v>
      </c>
      <c r="E47" t="s">
        <v>129</v>
      </c>
      <c r="F47" t="s">
        <v>20</v>
      </c>
      <c r="G47" t="s">
        <v>20</v>
      </c>
      <c r="H47" t="s">
        <v>131</v>
      </c>
      <c r="I47" t="s">
        <v>385</v>
      </c>
      <c r="J47" t="s">
        <v>386</v>
      </c>
      <c r="K47" t="s">
        <v>134</v>
      </c>
      <c r="L47" t="s">
        <v>197</v>
      </c>
      <c r="M47" t="s">
        <v>155</v>
      </c>
      <c r="N47" s="1">
        <v>45717</v>
      </c>
      <c r="O47" s="1">
        <v>46082</v>
      </c>
      <c r="P47" s="1">
        <v>46569</v>
      </c>
      <c r="Q47">
        <v>1</v>
      </c>
      <c r="R47">
        <v>1</v>
      </c>
      <c r="S47">
        <v>1</v>
      </c>
      <c r="T47">
        <v>1</v>
      </c>
      <c r="U47" t="s">
        <v>156</v>
      </c>
      <c r="V4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47" s="12" t="e">
        <f>_xlfn.XLOOKUP(Portefeuille_MNT_PPS_Access11[[#This Row],[Numéro projet]],Tableau5[Numéro projet],Tableau5[IND_Site_Prioritaire])</f>
        <v>#N/A</v>
      </c>
      <c r="X47" s="2" t="e">
        <f>_xlfn.XLOOKUP(Portefeuille_MNT_PPS_Access11[[#This Row],[Numéro projet]],Tableau5[Numéro projet],Tableau5[Critère Etat Infrastructure])</f>
        <v>#N/A</v>
      </c>
      <c r="Y4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7" s="2"/>
      <c r="AA47" s="63"/>
      <c r="AF47">
        <v>20</v>
      </c>
      <c r="AH47">
        <v>50</v>
      </c>
      <c r="AJ47">
        <v>50</v>
      </c>
      <c r="AL47">
        <v>200</v>
      </c>
      <c r="AM47">
        <v>2000</v>
      </c>
      <c r="AP47"/>
      <c r="AZ47" s="14">
        <f>SUM(Portefeuille_MNT_PPS_Access11[[#This Row],[AC ANT]:[TR 2034]])</f>
        <v>2320</v>
      </c>
    </row>
    <row r="48" spans="1:52" x14ac:dyDescent="0.3">
      <c r="A48">
        <v>2</v>
      </c>
      <c r="B48" t="s">
        <v>101</v>
      </c>
      <c r="C48" t="s">
        <v>102</v>
      </c>
      <c r="D48" t="s">
        <v>119</v>
      </c>
      <c r="E48" t="s">
        <v>129</v>
      </c>
      <c r="F48" t="s">
        <v>20</v>
      </c>
      <c r="G48" t="s">
        <v>20</v>
      </c>
      <c r="H48" t="s">
        <v>131</v>
      </c>
      <c r="I48" t="s">
        <v>440</v>
      </c>
      <c r="J48" t="s">
        <v>441</v>
      </c>
      <c r="K48" t="s">
        <v>152</v>
      </c>
      <c r="L48" t="s">
        <v>197</v>
      </c>
      <c r="M48" t="s">
        <v>155</v>
      </c>
      <c r="N48" s="1">
        <v>45748</v>
      </c>
      <c r="O48" s="1">
        <v>46113</v>
      </c>
      <c r="P48" s="1">
        <v>46478</v>
      </c>
      <c r="Q48">
        <v>1</v>
      </c>
      <c r="R48">
        <v>1</v>
      </c>
      <c r="S48">
        <v>1</v>
      </c>
      <c r="T48">
        <v>1</v>
      </c>
      <c r="U48" t="s">
        <v>156</v>
      </c>
      <c r="V4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48" s="12" t="e">
        <f>_xlfn.XLOOKUP(Portefeuille_MNT_PPS_Access11[[#This Row],[Numéro projet]],Tableau5[Numéro projet],Tableau5[IND_Site_Prioritaire])</f>
        <v>#N/A</v>
      </c>
      <c r="X48" s="2" t="e">
        <f>_xlfn.XLOOKUP(Portefeuille_MNT_PPS_Access11[[#This Row],[Numéro projet]],Tableau5[Numéro projet],Tableau5[Critère Etat Infrastructure])</f>
        <v>#N/A</v>
      </c>
      <c r="Y4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8" s="2"/>
      <c r="AA48" s="63"/>
      <c r="AF48">
        <v>20</v>
      </c>
      <c r="AH48">
        <v>75</v>
      </c>
      <c r="AJ48">
        <v>75</v>
      </c>
      <c r="AL48">
        <v>150</v>
      </c>
      <c r="AM48">
        <v>1000</v>
      </c>
      <c r="AP48"/>
      <c r="AZ48" s="14">
        <f>SUM(Portefeuille_MNT_PPS_Access11[[#This Row],[AC ANT]:[TR 2034]])</f>
        <v>1320</v>
      </c>
    </row>
    <row r="49" spans="1:52" x14ac:dyDescent="0.3">
      <c r="A49">
        <v>13</v>
      </c>
      <c r="B49" t="s">
        <v>101</v>
      </c>
      <c r="C49" t="s">
        <v>102</v>
      </c>
      <c r="D49" t="s">
        <v>128</v>
      </c>
      <c r="E49" t="s">
        <v>129</v>
      </c>
      <c r="F49" t="s">
        <v>20</v>
      </c>
      <c r="G49" t="s">
        <v>20</v>
      </c>
      <c r="H49" t="s">
        <v>131</v>
      </c>
      <c r="I49" t="s">
        <v>250</v>
      </c>
      <c r="J49" t="s">
        <v>251</v>
      </c>
      <c r="K49" t="s">
        <v>214</v>
      </c>
      <c r="L49" t="s">
        <v>197</v>
      </c>
      <c r="M49" t="s">
        <v>110</v>
      </c>
      <c r="N49" s="1">
        <v>45490</v>
      </c>
      <c r="O49" s="1"/>
      <c r="P49" s="1">
        <v>46447</v>
      </c>
      <c r="Q49">
        <v>1</v>
      </c>
      <c r="R49">
        <v>1</v>
      </c>
      <c r="T49">
        <v>5</v>
      </c>
      <c r="U49" t="s">
        <v>112</v>
      </c>
      <c r="V4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49" s="12" t="e">
        <f>_xlfn.XLOOKUP(Portefeuille_MNT_PPS_Access11[[#This Row],[Numéro projet]],Tableau5[Numéro projet],Tableau5[IND_Site_Prioritaire])</f>
        <v>#N/A</v>
      </c>
      <c r="X49" s="2" t="e">
        <f>_xlfn.XLOOKUP(Portefeuille_MNT_PPS_Access11[[#This Row],[Numéro projet]],Tableau5[Numéro projet],Tableau5[Critère Etat Infrastructure])</f>
        <v>#N/A</v>
      </c>
      <c r="Y4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49" s="2"/>
      <c r="AA49" s="63"/>
      <c r="AF49">
        <v>37</v>
      </c>
      <c r="AH49">
        <v>10</v>
      </c>
      <c r="AJ49">
        <v>12</v>
      </c>
      <c r="AL49">
        <v>30</v>
      </c>
      <c r="AM49">
        <v>194</v>
      </c>
      <c r="AP49"/>
      <c r="AZ49" s="14">
        <f>SUM(Portefeuille_MNT_PPS_Access11[[#This Row],[AC ANT]:[TR 2034]])</f>
        <v>283</v>
      </c>
    </row>
    <row r="50" spans="1:52" x14ac:dyDescent="0.3">
      <c r="A50">
        <v>3</v>
      </c>
      <c r="B50" t="s">
        <v>101</v>
      </c>
      <c r="C50" t="s">
        <v>102</v>
      </c>
      <c r="D50" t="s">
        <v>103</v>
      </c>
      <c r="E50" t="s">
        <v>104</v>
      </c>
      <c r="F50" t="s">
        <v>16</v>
      </c>
      <c r="G50" t="s">
        <v>20</v>
      </c>
      <c r="H50" t="s">
        <v>105</v>
      </c>
      <c r="I50" t="s">
        <v>106</v>
      </c>
      <c r="J50" t="s">
        <v>107</v>
      </c>
      <c r="K50" t="s">
        <v>108</v>
      </c>
      <c r="L50" t="s">
        <v>109</v>
      </c>
      <c r="M50" t="s">
        <v>110</v>
      </c>
      <c r="N50" s="1">
        <v>45014</v>
      </c>
      <c r="O50" s="1">
        <v>45366</v>
      </c>
      <c r="P50" s="1">
        <v>45871</v>
      </c>
      <c r="Q50">
        <v>1</v>
      </c>
      <c r="R50">
        <v>1</v>
      </c>
      <c r="S50">
        <v>5</v>
      </c>
      <c r="T50">
        <v>5</v>
      </c>
      <c r="U50" t="s">
        <v>112</v>
      </c>
      <c r="V50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50" s="12" t="e">
        <f>_xlfn.XLOOKUP(Portefeuille_MNT_PPS_Access11[[#This Row],[Numéro projet]],Tableau5[Numéro projet],Tableau5[IND_Site_Prioritaire])</f>
        <v>#N/A</v>
      </c>
      <c r="X50" s="2" t="e">
        <f>_xlfn.XLOOKUP(Portefeuille_MNT_PPS_Access11[[#This Row],[Numéro projet]],Tableau5[Numéro projet],Tableau5[Critère Etat Infrastructure])</f>
        <v>#N/A</v>
      </c>
      <c r="Y5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0" s="2"/>
      <c r="AA50" s="63"/>
      <c r="AB50">
        <v>69</v>
      </c>
      <c r="AD50">
        <v>225</v>
      </c>
      <c r="AF50">
        <v>180</v>
      </c>
      <c r="AH50">
        <v>881</v>
      </c>
      <c r="AI50">
        <v>16557</v>
      </c>
      <c r="AP50"/>
      <c r="AZ50" s="14">
        <f>SUM(Portefeuille_MNT_PPS_Access11[[#This Row],[AC ANT]:[TR 2034]])</f>
        <v>17912</v>
      </c>
    </row>
    <row r="51" spans="1:52" x14ac:dyDescent="0.3">
      <c r="A51">
        <v>7</v>
      </c>
      <c r="B51" t="s">
        <v>101</v>
      </c>
      <c r="C51" t="s">
        <v>102</v>
      </c>
      <c r="D51" t="s">
        <v>103</v>
      </c>
      <c r="E51" t="s">
        <v>113</v>
      </c>
      <c r="F51" t="s">
        <v>16</v>
      </c>
      <c r="G51" t="s">
        <v>20</v>
      </c>
      <c r="H51" t="s">
        <v>105</v>
      </c>
      <c r="I51" t="s">
        <v>114</v>
      </c>
      <c r="J51" t="s">
        <v>115</v>
      </c>
      <c r="K51" t="s">
        <v>116</v>
      </c>
      <c r="L51" t="s">
        <v>109</v>
      </c>
      <c r="M51" t="s">
        <v>110</v>
      </c>
      <c r="N51" s="1">
        <v>45105</v>
      </c>
      <c r="O51" s="1">
        <v>45731</v>
      </c>
      <c r="P51" s="1">
        <v>45940</v>
      </c>
      <c r="Q51">
        <v>1</v>
      </c>
      <c r="R51">
        <v>1</v>
      </c>
      <c r="S51">
        <v>1</v>
      </c>
      <c r="T51">
        <v>5</v>
      </c>
      <c r="U51" t="s">
        <v>112</v>
      </c>
      <c r="V5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51" s="12" t="e">
        <f>_xlfn.XLOOKUP(Portefeuille_MNT_PPS_Access11[[#This Row],[Numéro projet]],Tableau5[Numéro projet],Tableau5[IND_Site_Prioritaire])</f>
        <v>#N/A</v>
      </c>
      <c r="X51" s="2" t="e">
        <f>_xlfn.XLOOKUP(Portefeuille_MNT_PPS_Access11[[#This Row],[Numéro projet]],Tableau5[Numéro projet],Tableau5[Critère Etat Infrastructure])</f>
        <v>#N/A</v>
      </c>
      <c r="Y5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1" s="2"/>
      <c r="AA51" s="63"/>
      <c r="AB51">
        <v>25</v>
      </c>
      <c r="AD51">
        <v>13</v>
      </c>
      <c r="AF51">
        <v>48</v>
      </c>
      <c r="AH51">
        <v>855</v>
      </c>
      <c r="AI51">
        <v>11074</v>
      </c>
      <c r="AP51"/>
      <c r="AZ51" s="14">
        <f>SUM(Portefeuille_MNT_PPS_Access11[[#This Row],[AC ANT]:[TR 2034]])</f>
        <v>12015</v>
      </c>
    </row>
    <row r="52" spans="1:52" x14ac:dyDescent="0.3">
      <c r="B52" t="s">
        <v>126</v>
      </c>
      <c r="C52" t="s">
        <v>127</v>
      </c>
      <c r="D52" t="s">
        <v>103</v>
      </c>
      <c r="E52" t="s">
        <v>144</v>
      </c>
      <c r="F52" t="s">
        <v>16</v>
      </c>
      <c r="G52" t="s">
        <v>16</v>
      </c>
      <c r="H52" t="s">
        <v>131</v>
      </c>
      <c r="I52" t="s">
        <v>145</v>
      </c>
      <c r="J52" t="s">
        <v>146</v>
      </c>
      <c r="K52" t="s">
        <v>147</v>
      </c>
      <c r="L52" t="s">
        <v>109</v>
      </c>
      <c r="M52" t="s">
        <v>110</v>
      </c>
      <c r="N52" s="1">
        <v>44609</v>
      </c>
      <c r="O52" s="1">
        <v>45778</v>
      </c>
      <c r="P52" s="1">
        <v>45853</v>
      </c>
      <c r="Q52">
        <v>5</v>
      </c>
      <c r="R52">
        <v>1</v>
      </c>
      <c r="S52">
        <v>1</v>
      </c>
      <c r="T52">
        <v>5</v>
      </c>
      <c r="U52" t="s">
        <v>112</v>
      </c>
      <c r="V5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52" s="12" t="e">
        <f>_xlfn.XLOOKUP(Portefeuille_MNT_PPS_Access11[[#This Row],[Numéro projet]],Tableau5[Numéro projet],Tableau5[IND_Site_Prioritaire])</f>
        <v>#N/A</v>
      </c>
      <c r="X52" s="2" t="e">
        <f>_xlfn.XLOOKUP(Portefeuille_MNT_PPS_Access11[[#This Row],[Numéro projet]],Tableau5[Numéro projet],Tableau5[Critère Etat Infrastructure])</f>
        <v>#N/A</v>
      </c>
      <c r="Y5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2" s="2"/>
      <c r="AA52" s="63"/>
      <c r="AB52">
        <v>117</v>
      </c>
      <c r="AD52">
        <v>159</v>
      </c>
      <c r="AF52">
        <v>105</v>
      </c>
      <c r="AH52">
        <v>342</v>
      </c>
      <c r="AI52">
        <v>9684</v>
      </c>
      <c r="AP52"/>
      <c r="AZ52" s="14">
        <f>SUM(Portefeuille_MNT_PPS_Access11[[#This Row],[AC ANT]:[TR 2034]])</f>
        <v>10407</v>
      </c>
    </row>
    <row r="53" spans="1:52" x14ac:dyDescent="0.3">
      <c r="B53" t="s">
        <v>101</v>
      </c>
      <c r="C53" t="s">
        <v>102</v>
      </c>
      <c r="D53" t="s">
        <v>136</v>
      </c>
      <c r="E53" t="s">
        <v>113</v>
      </c>
      <c r="F53" t="s">
        <v>16</v>
      </c>
      <c r="G53" t="s">
        <v>16</v>
      </c>
      <c r="H53" t="s">
        <v>131</v>
      </c>
      <c r="I53" t="s">
        <v>137</v>
      </c>
      <c r="J53" t="s">
        <v>138</v>
      </c>
      <c r="K53" t="s">
        <v>139</v>
      </c>
      <c r="L53" t="s">
        <v>109</v>
      </c>
      <c r="M53" t="s">
        <v>110</v>
      </c>
      <c r="N53" s="1">
        <v>45062</v>
      </c>
      <c r="O53" s="1">
        <v>45703</v>
      </c>
      <c r="P53" s="1">
        <v>45962</v>
      </c>
      <c r="Q53">
        <v>1</v>
      </c>
      <c r="R53">
        <v>1</v>
      </c>
      <c r="S53">
        <v>1</v>
      </c>
      <c r="T53">
        <v>5</v>
      </c>
      <c r="U53" t="s">
        <v>112</v>
      </c>
      <c r="V5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53" s="12" t="e">
        <f>_xlfn.XLOOKUP(Portefeuille_MNT_PPS_Access11[[#This Row],[Numéro projet]],Tableau5[Numéro projet],Tableau5[IND_Site_Prioritaire])</f>
        <v>#N/A</v>
      </c>
      <c r="X53" s="2" t="e">
        <f>_xlfn.XLOOKUP(Portefeuille_MNT_PPS_Access11[[#This Row],[Numéro projet]],Tableau5[Numéro projet],Tableau5[Critère Etat Infrastructure])</f>
        <v>#N/A</v>
      </c>
      <c r="Y5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3" s="2"/>
      <c r="AA53" s="63"/>
      <c r="AB53">
        <v>337</v>
      </c>
      <c r="AC53">
        <v>41</v>
      </c>
      <c r="AD53">
        <v>339</v>
      </c>
      <c r="AF53">
        <v>350</v>
      </c>
      <c r="AH53">
        <v>1377</v>
      </c>
      <c r="AI53">
        <v>5741</v>
      </c>
      <c r="AP53"/>
      <c r="AZ53" s="14">
        <f>SUM(Portefeuille_MNT_PPS_Access11[[#This Row],[AC ANT]:[TR 2034]])</f>
        <v>8185</v>
      </c>
    </row>
    <row r="54" spans="1:52" x14ac:dyDescent="0.3">
      <c r="B54" t="s">
        <v>101</v>
      </c>
      <c r="C54" t="s">
        <v>102</v>
      </c>
      <c r="D54" t="s">
        <v>128</v>
      </c>
      <c r="E54" t="s">
        <v>140</v>
      </c>
      <c r="F54" t="s">
        <v>16</v>
      </c>
      <c r="G54" t="s">
        <v>16</v>
      </c>
      <c r="H54" t="s">
        <v>105</v>
      </c>
      <c r="I54" t="s">
        <v>141</v>
      </c>
      <c r="J54" t="s">
        <v>142</v>
      </c>
      <c r="K54" t="s">
        <v>143</v>
      </c>
      <c r="L54" t="s">
        <v>109</v>
      </c>
      <c r="M54" t="s">
        <v>123</v>
      </c>
      <c r="N54" s="1">
        <v>42900</v>
      </c>
      <c r="O54" s="1">
        <v>45323</v>
      </c>
      <c r="P54" s="1">
        <v>45884</v>
      </c>
      <c r="Q54">
        <v>5</v>
      </c>
      <c r="R54">
        <v>1</v>
      </c>
      <c r="S54">
        <v>5</v>
      </c>
      <c r="T54">
        <v>5</v>
      </c>
      <c r="U54" t="s">
        <v>125</v>
      </c>
      <c r="V54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54" s="12" t="e">
        <f>_xlfn.XLOOKUP(Portefeuille_MNT_PPS_Access11[[#This Row],[Numéro projet]],Tableau5[Numéro projet],Tableau5[IND_Site_Prioritaire])</f>
        <v>#N/A</v>
      </c>
      <c r="X54" s="2" t="e">
        <f>_xlfn.XLOOKUP(Portefeuille_MNT_PPS_Access11[[#This Row],[Numéro projet]],Tableau5[Numéro projet],Tableau5[Critère Etat Infrastructure])</f>
        <v>#N/A</v>
      </c>
      <c r="Y5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4" s="2"/>
      <c r="AA54" s="63"/>
      <c r="AB54">
        <v>61</v>
      </c>
      <c r="AF54"/>
      <c r="AH54">
        <v>370</v>
      </c>
      <c r="AI54">
        <v>4948</v>
      </c>
      <c r="AP54"/>
      <c r="AZ54" s="14">
        <f>SUM(Portefeuille_MNT_PPS_Access11[[#This Row],[AC ANT]:[TR 2034]])</f>
        <v>5379</v>
      </c>
    </row>
    <row r="55" spans="1:52" x14ac:dyDescent="0.3">
      <c r="A55">
        <v>1</v>
      </c>
      <c r="B55" t="s">
        <v>126</v>
      </c>
      <c r="C55" t="s">
        <v>127</v>
      </c>
      <c r="D55" t="s">
        <v>128</v>
      </c>
      <c r="E55" t="s">
        <v>129</v>
      </c>
      <c r="F55" t="s">
        <v>16</v>
      </c>
      <c r="G55" t="s">
        <v>130</v>
      </c>
      <c r="H55" t="s">
        <v>131</v>
      </c>
      <c r="I55" t="s">
        <v>132</v>
      </c>
      <c r="J55" t="s">
        <v>288</v>
      </c>
      <c r="K55" t="s">
        <v>134</v>
      </c>
      <c r="L55" t="s">
        <v>109</v>
      </c>
      <c r="M55" t="s">
        <v>110</v>
      </c>
      <c r="N55" s="1">
        <v>45218</v>
      </c>
      <c r="O55" s="1">
        <v>45695</v>
      </c>
      <c r="P55" s="1">
        <v>45945</v>
      </c>
      <c r="Q55">
        <v>1</v>
      </c>
      <c r="R55">
        <v>1</v>
      </c>
      <c r="S55">
        <v>1</v>
      </c>
      <c r="T55">
        <v>5</v>
      </c>
      <c r="U55" t="s">
        <v>112</v>
      </c>
      <c r="V5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55" s="12" t="e">
        <f>_xlfn.XLOOKUP(Portefeuille_MNT_PPS_Access11[[#This Row],[Numéro projet]],Tableau5[Numéro projet],Tableau5[IND_Site_Prioritaire])</f>
        <v>#N/A</v>
      </c>
      <c r="X55" s="2" t="e">
        <f>_xlfn.XLOOKUP(Portefeuille_MNT_PPS_Access11[[#This Row],[Numéro projet]],Tableau5[Numéro projet],Tableau5[Critère Etat Infrastructure])</f>
        <v>#N/A</v>
      </c>
      <c r="Y5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5" s="2"/>
      <c r="AA55" s="63"/>
      <c r="AD55">
        <v>10</v>
      </c>
      <c r="AF55">
        <v>10</v>
      </c>
      <c r="AH55">
        <v>100</v>
      </c>
      <c r="AI55">
        <v>4584</v>
      </c>
      <c r="AP55"/>
      <c r="AZ55" s="14">
        <f>SUM(Portefeuille_MNT_PPS_Access11[[#This Row],[AC ANT]:[TR 2034]])</f>
        <v>4704</v>
      </c>
    </row>
    <row r="56" spans="1:52" x14ac:dyDescent="0.3">
      <c r="A56">
        <v>9</v>
      </c>
      <c r="B56" t="s">
        <v>118</v>
      </c>
      <c r="C56" t="s">
        <v>102</v>
      </c>
      <c r="D56" t="s">
        <v>136</v>
      </c>
      <c r="E56" t="s">
        <v>104</v>
      </c>
      <c r="F56" t="s">
        <v>20</v>
      </c>
      <c r="G56" t="s">
        <v>20</v>
      </c>
      <c r="H56" t="s">
        <v>131</v>
      </c>
      <c r="I56" t="s">
        <v>157</v>
      </c>
      <c r="J56" t="s">
        <v>158</v>
      </c>
      <c r="K56" t="s">
        <v>159</v>
      </c>
      <c r="L56" t="s">
        <v>109</v>
      </c>
      <c r="M56" t="s">
        <v>155</v>
      </c>
      <c r="N56" s="1">
        <v>45731</v>
      </c>
      <c r="O56" s="1"/>
      <c r="P56" s="1">
        <v>45884</v>
      </c>
      <c r="Q56">
        <v>1</v>
      </c>
      <c r="R56">
        <v>1</v>
      </c>
      <c r="T56">
        <v>1</v>
      </c>
      <c r="U56" t="s">
        <v>156</v>
      </c>
      <c r="V5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56" s="12" t="e">
        <f>_xlfn.XLOOKUP(Portefeuille_MNT_PPS_Access11[[#This Row],[Numéro projet]],Tableau5[Numéro projet],Tableau5[IND_Site_Prioritaire])</f>
        <v>#N/A</v>
      </c>
      <c r="X56" s="2" t="e">
        <f>_xlfn.XLOOKUP(Portefeuille_MNT_PPS_Access11[[#This Row],[Numéro projet]],Tableau5[Numéro projet],Tableau5[Critère Etat Infrastructure])</f>
        <v>#N/A</v>
      </c>
      <c r="Y5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6" s="2"/>
      <c r="AA56" s="63"/>
      <c r="AF56">
        <v>150</v>
      </c>
      <c r="AH56">
        <v>150</v>
      </c>
      <c r="AI56">
        <v>650</v>
      </c>
      <c r="AP56"/>
      <c r="AZ56" s="14">
        <f>SUM(Portefeuille_MNT_PPS_Access11[[#This Row],[AC ANT]:[TR 2034]])</f>
        <v>950</v>
      </c>
    </row>
    <row r="57" spans="1:52" x14ac:dyDescent="0.3">
      <c r="A57">
        <v>4</v>
      </c>
      <c r="B57" t="s">
        <v>101</v>
      </c>
      <c r="C57" t="s">
        <v>102</v>
      </c>
      <c r="D57" t="s">
        <v>119</v>
      </c>
      <c r="E57" t="s">
        <v>129</v>
      </c>
      <c r="F57" t="s">
        <v>20</v>
      </c>
      <c r="G57" t="s">
        <v>20</v>
      </c>
      <c r="H57" t="s">
        <v>131</v>
      </c>
      <c r="I57" t="s">
        <v>153</v>
      </c>
      <c r="J57" t="s">
        <v>154</v>
      </c>
      <c r="K57" t="s">
        <v>134</v>
      </c>
      <c r="L57" t="s">
        <v>109</v>
      </c>
      <c r="M57" t="s">
        <v>123</v>
      </c>
      <c r="N57" s="1">
        <v>45601</v>
      </c>
      <c r="O57" s="1">
        <v>45731</v>
      </c>
      <c r="P57" s="1">
        <v>45976</v>
      </c>
      <c r="Q57">
        <v>1</v>
      </c>
      <c r="R57">
        <v>1</v>
      </c>
      <c r="S57">
        <v>1</v>
      </c>
      <c r="T57">
        <v>5</v>
      </c>
      <c r="U57" t="s">
        <v>125</v>
      </c>
      <c r="V5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57" s="12" t="e">
        <f>_xlfn.XLOOKUP(Portefeuille_MNT_PPS_Access11[[#This Row],[Numéro projet]],Tableau5[Numéro projet],Tableau5[IND_Site_Prioritaire])</f>
        <v>#N/A</v>
      </c>
      <c r="X57" s="2" t="e">
        <f>_xlfn.XLOOKUP(Portefeuille_MNT_PPS_Access11[[#This Row],[Numéro projet]],Tableau5[Numéro projet],Tableau5[Critère Etat Infrastructure])</f>
        <v>#N/A</v>
      </c>
      <c r="Y5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7" s="2"/>
      <c r="AA57" s="63"/>
      <c r="AF57">
        <v>20</v>
      </c>
      <c r="AH57">
        <v>55</v>
      </c>
      <c r="AI57">
        <v>543</v>
      </c>
      <c r="AP57"/>
      <c r="AZ57" s="14">
        <f>SUM(Portefeuille_MNT_PPS_Access11[[#This Row],[AC ANT]:[TR 2034]])</f>
        <v>618</v>
      </c>
    </row>
    <row r="58" spans="1:52" x14ac:dyDescent="0.3">
      <c r="B58" t="s">
        <v>101</v>
      </c>
      <c r="C58" t="s">
        <v>102</v>
      </c>
      <c r="D58" t="s">
        <v>389</v>
      </c>
      <c r="E58" t="s">
        <v>252</v>
      </c>
      <c r="F58" t="s">
        <v>20</v>
      </c>
      <c r="G58" t="s">
        <v>20</v>
      </c>
      <c r="H58" t="s">
        <v>131</v>
      </c>
      <c r="I58" t="s">
        <v>452</v>
      </c>
      <c r="J58" t="s">
        <v>453</v>
      </c>
      <c r="K58" t="s">
        <v>159</v>
      </c>
      <c r="L58" t="s">
        <v>109</v>
      </c>
      <c r="M58" t="s">
        <v>291</v>
      </c>
      <c r="N58" s="1"/>
      <c r="O58" s="1"/>
      <c r="P58" s="1"/>
      <c r="Q58">
        <v>1</v>
      </c>
      <c r="U58" t="s">
        <v>311</v>
      </c>
      <c r="V5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58" s="12" t="e">
        <f>_xlfn.XLOOKUP(Portefeuille_MNT_PPS_Access11[[#This Row],[Numéro projet]],Tableau5[Numéro projet],Tableau5[IND_Site_Prioritaire])</f>
        <v>#N/A</v>
      </c>
      <c r="X58" s="2" t="e">
        <f>_xlfn.XLOOKUP(Portefeuille_MNT_PPS_Access11[[#This Row],[Numéro projet]],Tableau5[Numéro projet],Tableau5[Critère Etat Infrastructure])</f>
        <v>#N/A</v>
      </c>
      <c r="Y5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8" s="2"/>
      <c r="AA58" s="63"/>
      <c r="AF58"/>
      <c r="AI58">
        <v>250</v>
      </c>
      <c r="AP58"/>
      <c r="AZ58" s="14">
        <f>SUM(Portefeuille_MNT_PPS_Access11[[#This Row],[AC ANT]:[TR 2034]])</f>
        <v>250</v>
      </c>
    </row>
    <row r="59" spans="1:52" x14ac:dyDescent="0.3">
      <c r="B59" t="s">
        <v>118</v>
      </c>
      <c r="C59" t="s">
        <v>102</v>
      </c>
      <c r="D59" t="s">
        <v>177</v>
      </c>
      <c r="E59" t="s">
        <v>252</v>
      </c>
      <c r="F59" t="s">
        <v>20</v>
      </c>
      <c r="G59" t="s">
        <v>20</v>
      </c>
      <c r="H59" t="s">
        <v>131</v>
      </c>
      <c r="I59" t="s">
        <v>448</v>
      </c>
      <c r="J59" t="s">
        <v>449</v>
      </c>
      <c r="K59" t="s">
        <v>159</v>
      </c>
      <c r="L59" t="s">
        <v>109</v>
      </c>
      <c r="M59" t="s">
        <v>291</v>
      </c>
      <c r="N59" s="1"/>
      <c r="O59" s="1"/>
      <c r="P59" s="1"/>
      <c r="Q59">
        <v>1</v>
      </c>
      <c r="U59" t="s">
        <v>311</v>
      </c>
      <c r="V5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59" s="12" t="e">
        <f>_xlfn.XLOOKUP(Portefeuille_MNT_PPS_Access11[[#This Row],[Numéro projet]],Tableau5[Numéro projet],Tableau5[IND_Site_Prioritaire])</f>
        <v>#N/A</v>
      </c>
      <c r="X59" s="2" t="e">
        <f>_xlfn.XLOOKUP(Portefeuille_MNT_PPS_Access11[[#This Row],[Numéro projet]],Tableau5[Numéro projet],Tableau5[Critère Etat Infrastructure])</f>
        <v>#N/A</v>
      </c>
      <c r="Y5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59" s="2"/>
      <c r="AA59" s="63"/>
      <c r="AF59"/>
      <c r="AI59">
        <v>100</v>
      </c>
      <c r="AP59"/>
      <c r="AZ59" s="14">
        <f>SUM(Portefeuille_MNT_PPS_Access11[[#This Row],[AC ANT]:[TR 2034]])</f>
        <v>100</v>
      </c>
    </row>
    <row r="60" spans="1:52" x14ac:dyDescent="0.3">
      <c r="B60" t="s">
        <v>118</v>
      </c>
      <c r="C60" t="s">
        <v>102</v>
      </c>
      <c r="D60" t="s">
        <v>119</v>
      </c>
      <c r="E60" t="s">
        <v>252</v>
      </c>
      <c r="F60" t="s">
        <v>20</v>
      </c>
      <c r="G60" t="s">
        <v>20</v>
      </c>
      <c r="H60" t="s">
        <v>131</v>
      </c>
      <c r="I60" t="s">
        <v>450</v>
      </c>
      <c r="J60" t="s">
        <v>451</v>
      </c>
      <c r="K60" t="s">
        <v>214</v>
      </c>
      <c r="L60" t="s">
        <v>109</v>
      </c>
      <c r="M60" t="s">
        <v>291</v>
      </c>
      <c r="N60" s="1"/>
      <c r="O60" s="1"/>
      <c r="P60" s="1"/>
      <c r="Q60">
        <v>1</v>
      </c>
      <c r="U60" t="s">
        <v>311</v>
      </c>
      <c r="V6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60" s="12" t="e">
        <f>_xlfn.XLOOKUP(Portefeuille_MNT_PPS_Access11[[#This Row],[Numéro projet]],Tableau5[Numéro projet],Tableau5[IND_Site_Prioritaire])</f>
        <v>#N/A</v>
      </c>
      <c r="X60" s="2" t="e">
        <f>_xlfn.XLOOKUP(Portefeuille_MNT_PPS_Access11[[#This Row],[Numéro projet]],Tableau5[Numéro projet],Tableau5[Critère Etat Infrastructure])</f>
        <v>#N/A</v>
      </c>
      <c r="Y6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60" s="2"/>
      <c r="AA60" s="63"/>
      <c r="AF60"/>
      <c r="AI60">
        <v>40</v>
      </c>
      <c r="AP60"/>
      <c r="AZ60" s="14">
        <f>SUM(Portefeuille_MNT_PPS_Access11[[#This Row],[AC ANT]:[TR 2034]])</f>
        <v>40</v>
      </c>
    </row>
    <row r="61" spans="1:52" x14ac:dyDescent="0.3">
      <c r="B61" t="s">
        <v>101</v>
      </c>
      <c r="C61" t="s">
        <v>102</v>
      </c>
      <c r="D61" t="s">
        <v>103</v>
      </c>
      <c r="E61" t="s">
        <v>140</v>
      </c>
      <c r="F61" t="s">
        <v>16</v>
      </c>
      <c r="G61" t="s">
        <v>16</v>
      </c>
      <c r="H61" t="s">
        <v>105</v>
      </c>
      <c r="I61" t="s">
        <v>174</v>
      </c>
      <c r="J61" t="s">
        <v>175</v>
      </c>
      <c r="K61" t="s">
        <v>143</v>
      </c>
      <c r="L61" t="s">
        <v>176</v>
      </c>
      <c r="M61" t="s">
        <v>164</v>
      </c>
      <c r="N61" s="1">
        <v>44014</v>
      </c>
      <c r="O61" s="1">
        <v>44294</v>
      </c>
      <c r="P61" s="1">
        <v>45239</v>
      </c>
      <c r="Q61">
        <v>5</v>
      </c>
      <c r="R61">
        <v>5</v>
      </c>
      <c r="S61">
        <v>5</v>
      </c>
      <c r="T61">
        <v>5</v>
      </c>
      <c r="U61" t="s">
        <v>165</v>
      </c>
      <c r="V61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1" s="12" t="e">
        <f>_xlfn.XLOOKUP(Portefeuille_MNT_PPS_Access11[[#This Row],[Numéro projet]],Tableau5[Numéro projet],Tableau5[IND_Site_Prioritaire])</f>
        <v>#N/A</v>
      </c>
      <c r="X61" s="2" t="e">
        <f>_xlfn.XLOOKUP(Portefeuille_MNT_PPS_Access11[[#This Row],[Numéro projet]],Tableau5[Numéro projet],Tableau5[Critère Etat Infrastructure])</f>
        <v>#N/A</v>
      </c>
      <c r="Y61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61" s="2">
        <v>5</v>
      </c>
      <c r="AA61" s="63"/>
      <c r="AB61">
        <v>389</v>
      </c>
      <c r="AC61">
        <v>4986</v>
      </c>
      <c r="AD61">
        <v>729</v>
      </c>
      <c r="AE61">
        <v>28833</v>
      </c>
      <c r="AF61">
        <v>399</v>
      </c>
      <c r="AG61">
        <v>11768</v>
      </c>
      <c r="AP61"/>
      <c r="AZ61" s="14">
        <f>SUM(Portefeuille_MNT_PPS_Access11[[#This Row],[AC ANT]:[TR 2034]])</f>
        <v>47104</v>
      </c>
    </row>
    <row r="62" spans="1:52" x14ac:dyDescent="0.3">
      <c r="B62" t="s">
        <v>101</v>
      </c>
      <c r="C62" t="s">
        <v>102</v>
      </c>
      <c r="D62" t="s">
        <v>103</v>
      </c>
      <c r="E62" t="s">
        <v>113</v>
      </c>
      <c r="F62" t="s">
        <v>16</v>
      </c>
      <c r="G62" t="s">
        <v>16</v>
      </c>
      <c r="H62" t="s">
        <v>105</v>
      </c>
      <c r="I62" t="s">
        <v>362</v>
      </c>
      <c r="J62" t="s">
        <v>363</v>
      </c>
      <c r="K62" t="s">
        <v>122</v>
      </c>
      <c r="L62" t="s">
        <v>176</v>
      </c>
      <c r="M62" t="s">
        <v>164</v>
      </c>
      <c r="N62" s="1">
        <v>44316</v>
      </c>
      <c r="O62" s="1">
        <v>44636</v>
      </c>
      <c r="P62" s="1">
        <v>45084</v>
      </c>
      <c r="Q62">
        <v>5</v>
      </c>
      <c r="R62">
        <v>5</v>
      </c>
      <c r="S62">
        <v>5</v>
      </c>
      <c r="T62">
        <v>5</v>
      </c>
      <c r="U62" t="s">
        <v>165</v>
      </c>
      <c r="V62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2" s="12" t="e">
        <f>_xlfn.XLOOKUP(Portefeuille_MNT_PPS_Access11[[#This Row],[Numéro projet]],Tableau5[Numéro projet],Tableau5[IND_Site_Prioritaire])</f>
        <v>#N/A</v>
      </c>
      <c r="X62" s="2" t="e">
        <f>_xlfn.XLOOKUP(Portefeuille_MNT_PPS_Access11[[#This Row],[Numéro projet]],Tableau5[Numéro projet],Tableau5[Critère Etat Infrastructure])</f>
        <v>#N/A</v>
      </c>
      <c r="Y62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62" s="2">
        <v>5</v>
      </c>
      <c r="AA62" s="63"/>
      <c r="AB62">
        <v>123</v>
      </c>
      <c r="AD62">
        <v>259</v>
      </c>
      <c r="AE62">
        <v>10778</v>
      </c>
      <c r="AF62"/>
      <c r="AP62"/>
      <c r="AZ62" s="14">
        <f>SUM(Portefeuille_MNT_PPS_Access11[[#This Row],[AC ANT]:[TR 2034]])</f>
        <v>11160</v>
      </c>
    </row>
    <row r="63" spans="1:52" x14ac:dyDescent="0.3">
      <c r="B63" t="s">
        <v>101</v>
      </c>
      <c r="C63" t="s">
        <v>102</v>
      </c>
      <c r="D63" t="s">
        <v>103</v>
      </c>
      <c r="E63" t="s">
        <v>206</v>
      </c>
      <c r="F63" t="s">
        <v>16</v>
      </c>
      <c r="G63" t="s">
        <v>16</v>
      </c>
      <c r="H63" t="s">
        <v>105</v>
      </c>
      <c r="I63" t="s">
        <v>314</v>
      </c>
      <c r="J63" t="s">
        <v>315</v>
      </c>
      <c r="K63" t="s">
        <v>316</v>
      </c>
      <c r="L63" t="s">
        <v>176</v>
      </c>
      <c r="M63" t="s">
        <v>164</v>
      </c>
      <c r="N63" s="1">
        <v>43882</v>
      </c>
      <c r="O63" s="1">
        <v>44033</v>
      </c>
      <c r="P63" s="1">
        <v>45225</v>
      </c>
      <c r="Q63">
        <v>5</v>
      </c>
      <c r="R63">
        <v>5</v>
      </c>
      <c r="S63">
        <v>5</v>
      </c>
      <c r="T63">
        <v>5</v>
      </c>
      <c r="U63" t="s">
        <v>165</v>
      </c>
      <c r="V63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3" s="12" t="e">
        <f>_xlfn.XLOOKUP(Portefeuille_MNT_PPS_Access11[[#This Row],[Numéro projet]],Tableau5[Numéro projet],Tableau5[IND_Site_Prioritaire])</f>
        <v>#N/A</v>
      </c>
      <c r="X63" s="2" t="e">
        <f>_xlfn.XLOOKUP(Portefeuille_MNT_PPS_Access11[[#This Row],[Numéro projet]],Tableau5[Numéro projet],Tableau5[Critère Etat Infrastructure])</f>
        <v>#N/A</v>
      </c>
      <c r="Y63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63" s="2">
        <v>5</v>
      </c>
      <c r="AA63" s="63"/>
      <c r="AB63">
        <v>257</v>
      </c>
      <c r="AC63">
        <v>2407</v>
      </c>
      <c r="AD63">
        <v>518</v>
      </c>
      <c r="AE63">
        <v>8136</v>
      </c>
      <c r="AF63"/>
      <c r="AP63"/>
      <c r="AZ63" s="14">
        <f>SUM(Portefeuille_MNT_PPS_Access11[[#This Row],[AC ANT]:[TR 2034]])</f>
        <v>11318</v>
      </c>
    </row>
    <row r="64" spans="1:52" x14ac:dyDescent="0.3">
      <c r="A64">
        <v>1</v>
      </c>
      <c r="B64" t="s">
        <v>101</v>
      </c>
      <c r="C64" t="s">
        <v>102</v>
      </c>
      <c r="D64" t="s">
        <v>103</v>
      </c>
      <c r="E64" t="s">
        <v>104</v>
      </c>
      <c r="F64" t="s">
        <v>16</v>
      </c>
      <c r="G64" t="s">
        <v>130</v>
      </c>
      <c r="H64" t="s">
        <v>105</v>
      </c>
      <c r="I64" t="s">
        <v>215</v>
      </c>
      <c r="J64" t="s">
        <v>216</v>
      </c>
      <c r="K64" t="s">
        <v>217</v>
      </c>
      <c r="L64" t="s">
        <v>148</v>
      </c>
      <c r="M64" t="s">
        <v>164</v>
      </c>
      <c r="N64" s="1">
        <v>44838</v>
      </c>
      <c r="O64" s="1">
        <v>45441</v>
      </c>
      <c r="P64" s="1">
        <v>45623</v>
      </c>
      <c r="Q64">
        <v>1</v>
      </c>
      <c r="R64">
        <v>5</v>
      </c>
      <c r="S64">
        <v>5</v>
      </c>
      <c r="T64">
        <v>5</v>
      </c>
      <c r="U64" t="s">
        <v>165</v>
      </c>
      <c r="V64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4" s="12" t="e">
        <f>_xlfn.XLOOKUP(Portefeuille_MNT_PPS_Access11[[#This Row],[Numéro projet]],Tableau5[Numéro projet],Tableau5[IND_Site_Prioritaire])</f>
        <v>#N/A</v>
      </c>
      <c r="X64" s="2" t="e">
        <f>_xlfn.XLOOKUP(Portefeuille_MNT_PPS_Access11[[#This Row],[Numéro projet]],Tableau5[Numéro projet],Tableau5[Critère Etat Infrastructure])</f>
        <v>#N/A</v>
      </c>
      <c r="Y6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64" s="2"/>
      <c r="AA64" s="63"/>
      <c r="AB64">
        <v>218</v>
      </c>
      <c r="AC64">
        <v>3</v>
      </c>
      <c r="AD64">
        <v>98</v>
      </c>
      <c r="AF64">
        <v>641</v>
      </c>
      <c r="AG64">
        <v>12563</v>
      </c>
      <c r="AP64"/>
      <c r="AZ64" s="14">
        <f>SUM(Portefeuille_MNT_PPS_Access11[[#This Row],[AC ANT]:[TR 2034]])</f>
        <v>13523</v>
      </c>
    </row>
    <row r="65" spans="2:52" x14ac:dyDescent="0.3">
      <c r="B65" t="s">
        <v>101</v>
      </c>
      <c r="C65" t="s">
        <v>102</v>
      </c>
      <c r="D65" t="s">
        <v>103</v>
      </c>
      <c r="E65" t="s">
        <v>104</v>
      </c>
      <c r="F65" t="s">
        <v>16</v>
      </c>
      <c r="G65" t="s">
        <v>16</v>
      </c>
      <c r="H65" t="s">
        <v>105</v>
      </c>
      <c r="I65" t="s">
        <v>305</v>
      </c>
      <c r="J65" t="s">
        <v>306</v>
      </c>
      <c r="K65" t="s">
        <v>302</v>
      </c>
      <c r="M65" t="s">
        <v>164</v>
      </c>
      <c r="N65" s="1">
        <v>43612</v>
      </c>
      <c r="O65" s="1">
        <v>44098</v>
      </c>
      <c r="P65" s="1">
        <v>44188</v>
      </c>
      <c r="Q65">
        <v>1</v>
      </c>
      <c r="R65">
        <v>5</v>
      </c>
      <c r="S65">
        <v>5</v>
      </c>
      <c r="T65">
        <v>5</v>
      </c>
      <c r="U65" t="s">
        <v>165</v>
      </c>
      <c r="V6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65" s="12" t="e">
        <f>_xlfn.XLOOKUP(Portefeuille_MNT_PPS_Access11[[#This Row],[Numéro projet]],Tableau5[Numéro projet],Tableau5[IND_Site_Prioritaire])</f>
        <v>#N/A</v>
      </c>
      <c r="X65" s="2" t="e">
        <f>_xlfn.XLOOKUP(Portefeuille_MNT_PPS_Access11[[#This Row],[Numéro projet]],Tableau5[Numéro projet],Tableau5[Critère Etat Infrastructure])</f>
        <v>#N/A</v>
      </c>
      <c r="Y6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65" s="2"/>
      <c r="AA65" s="63"/>
      <c r="AB65">
        <v>640</v>
      </c>
      <c r="AC65">
        <v>6783</v>
      </c>
      <c r="AD65">
        <v>20</v>
      </c>
      <c r="AF65"/>
      <c r="AP65"/>
      <c r="AZ65" s="14">
        <f>SUM(Portefeuille_MNT_PPS_Access11[[#This Row],[AC ANT]:[TR 2034]])</f>
        <v>7443</v>
      </c>
    </row>
    <row r="66" spans="2:52" x14ac:dyDescent="0.3">
      <c r="B66" t="s">
        <v>126</v>
      </c>
      <c r="C66" t="s">
        <v>127</v>
      </c>
      <c r="D66" t="s">
        <v>136</v>
      </c>
      <c r="E66" t="s">
        <v>104</v>
      </c>
      <c r="F66" t="s">
        <v>16</v>
      </c>
      <c r="G66" t="s">
        <v>16</v>
      </c>
      <c r="H66" t="s">
        <v>131</v>
      </c>
      <c r="I66" t="s">
        <v>307</v>
      </c>
      <c r="J66" t="s">
        <v>308</v>
      </c>
      <c r="K66" t="s">
        <v>159</v>
      </c>
      <c r="M66" t="s">
        <v>164</v>
      </c>
      <c r="N66" s="1"/>
      <c r="O66" s="1">
        <v>42992</v>
      </c>
      <c r="P66" s="1">
        <v>43783</v>
      </c>
      <c r="Q66">
        <v>1</v>
      </c>
      <c r="R66">
        <v>5</v>
      </c>
      <c r="S66">
        <v>5</v>
      </c>
      <c r="U66" t="s">
        <v>165</v>
      </c>
      <c r="V6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66" s="12" t="e">
        <f>_xlfn.XLOOKUP(Portefeuille_MNT_PPS_Access11[[#This Row],[Numéro projet]],Tableau5[Numéro projet],Tableau5[IND_Site_Prioritaire])</f>
        <v>#N/A</v>
      </c>
      <c r="X66" s="2" t="e">
        <f>_xlfn.XLOOKUP(Portefeuille_MNT_PPS_Access11[[#This Row],[Numéro projet]],Tableau5[Numéro projet],Tableau5[Critère Etat Infrastructure])</f>
        <v>#N/A</v>
      </c>
      <c r="Y6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66" s="2"/>
      <c r="AA66" s="63"/>
      <c r="AB66">
        <v>2779</v>
      </c>
      <c r="AC66">
        <v>15336</v>
      </c>
      <c r="AD66">
        <v>119</v>
      </c>
      <c r="AF66"/>
      <c r="AP66"/>
      <c r="AZ66" s="14">
        <f>SUM(Portefeuille_MNT_PPS_Access11[[#This Row],[AC ANT]:[TR 2034]])</f>
        <v>18234</v>
      </c>
    </row>
    <row r="67" spans="2:52" x14ac:dyDescent="0.3">
      <c r="B67" t="s">
        <v>101</v>
      </c>
      <c r="C67" t="s">
        <v>102</v>
      </c>
      <c r="D67" t="s">
        <v>103</v>
      </c>
      <c r="F67" t="s">
        <v>16</v>
      </c>
      <c r="G67" t="s">
        <v>16</v>
      </c>
      <c r="H67" t="s">
        <v>105</v>
      </c>
      <c r="I67" t="s">
        <v>309</v>
      </c>
      <c r="J67" t="s">
        <v>310</v>
      </c>
      <c r="K67" t="s">
        <v>108</v>
      </c>
      <c r="M67" t="s">
        <v>291</v>
      </c>
      <c r="N67" s="1"/>
      <c r="O67" s="1"/>
      <c r="P67" s="1"/>
      <c r="Q67">
        <v>1</v>
      </c>
      <c r="U67" t="s">
        <v>311</v>
      </c>
      <c r="V6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67" s="12" t="e">
        <f>_xlfn.XLOOKUP(Portefeuille_MNT_PPS_Access11[[#This Row],[Numéro projet]],Tableau5[Numéro projet],Tableau5[IND_Site_Prioritaire])</f>
        <v>#N/A</v>
      </c>
      <c r="X67" s="2" t="e">
        <f>_xlfn.XLOOKUP(Portefeuille_MNT_PPS_Access11[[#This Row],[Numéro projet]],Tableau5[Numéro projet],Tableau5[Critère Etat Infrastructure])</f>
        <v>#N/A</v>
      </c>
      <c r="Y6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67" s="2"/>
      <c r="AA67" s="63"/>
      <c r="AB67">
        <v>467</v>
      </c>
      <c r="AC67">
        <v>5053</v>
      </c>
      <c r="AD67">
        <v>27</v>
      </c>
      <c r="AF67"/>
      <c r="AP67"/>
      <c r="AZ67" s="14">
        <f>SUM(Portefeuille_MNT_PPS_Access11[[#This Row],[AC ANT]:[TR 2034]])</f>
        <v>5547</v>
      </c>
    </row>
    <row r="68" spans="2:52" x14ac:dyDescent="0.3">
      <c r="B68" t="s">
        <v>101</v>
      </c>
      <c r="C68" t="s">
        <v>102</v>
      </c>
      <c r="D68" t="s">
        <v>200</v>
      </c>
      <c r="E68" t="s">
        <v>149</v>
      </c>
      <c r="F68" t="s">
        <v>16</v>
      </c>
      <c r="G68" t="s">
        <v>16</v>
      </c>
      <c r="H68" t="s">
        <v>105</v>
      </c>
      <c r="I68" t="s">
        <v>334</v>
      </c>
      <c r="J68" t="s">
        <v>335</v>
      </c>
      <c r="K68" t="s">
        <v>205</v>
      </c>
      <c r="L68" t="s">
        <v>176</v>
      </c>
      <c r="M68" t="s">
        <v>164</v>
      </c>
      <c r="N68" s="1">
        <v>44228</v>
      </c>
      <c r="O68" s="1">
        <v>44579</v>
      </c>
      <c r="P68" s="1">
        <v>44865</v>
      </c>
      <c r="Q68">
        <v>5</v>
      </c>
      <c r="R68">
        <v>5</v>
      </c>
      <c r="S68">
        <v>5</v>
      </c>
      <c r="T68">
        <v>5</v>
      </c>
      <c r="U68" t="s">
        <v>165</v>
      </c>
      <c r="V68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8" s="12" t="e">
        <f>_xlfn.XLOOKUP(Portefeuille_MNT_PPS_Access11[[#This Row],[Numéro projet]],Tableau5[Numéro projet],Tableau5[IND_Site_Prioritaire])</f>
        <v>#N/A</v>
      </c>
      <c r="X68" s="2" t="e">
        <f>_xlfn.XLOOKUP(Portefeuille_MNT_PPS_Access11[[#This Row],[Numéro projet]],Tableau5[Numéro projet],Tableau5[Critère Etat Infrastructure])</f>
        <v>#N/A</v>
      </c>
      <c r="Y68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68" s="2">
        <v>5</v>
      </c>
      <c r="AA68" s="63"/>
      <c r="AB68">
        <v>262</v>
      </c>
      <c r="AC68">
        <v>16</v>
      </c>
      <c r="AD68">
        <v>448</v>
      </c>
      <c r="AE68">
        <v>6487</v>
      </c>
      <c r="AF68"/>
      <c r="AP68"/>
      <c r="AZ68" s="14">
        <f>SUM(Portefeuille_MNT_PPS_Access11[[#This Row],[AC ANT]:[TR 2034]])</f>
        <v>7213</v>
      </c>
    </row>
    <row r="69" spans="2:52" x14ac:dyDescent="0.3">
      <c r="B69" t="s">
        <v>101</v>
      </c>
      <c r="C69" t="s">
        <v>102</v>
      </c>
      <c r="D69" t="s">
        <v>119</v>
      </c>
      <c r="E69" t="s">
        <v>113</v>
      </c>
      <c r="F69" t="s">
        <v>16</v>
      </c>
      <c r="G69" t="s">
        <v>16</v>
      </c>
      <c r="H69" t="s">
        <v>105</v>
      </c>
      <c r="I69" t="s">
        <v>332</v>
      </c>
      <c r="J69" t="s">
        <v>333</v>
      </c>
      <c r="K69" t="s">
        <v>122</v>
      </c>
      <c r="L69" t="s">
        <v>176</v>
      </c>
      <c r="M69" t="s">
        <v>164</v>
      </c>
      <c r="N69" s="1">
        <v>44162</v>
      </c>
      <c r="O69" s="1">
        <v>44489</v>
      </c>
      <c r="P69" s="1">
        <v>44608</v>
      </c>
      <c r="Q69">
        <v>5</v>
      </c>
      <c r="R69">
        <v>5</v>
      </c>
      <c r="S69">
        <v>5</v>
      </c>
      <c r="T69">
        <v>5</v>
      </c>
      <c r="U69" t="s">
        <v>165</v>
      </c>
      <c r="V69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69" s="12" t="e">
        <f>_xlfn.XLOOKUP(Portefeuille_MNT_PPS_Access11[[#This Row],[Numéro projet]],Tableau5[Numéro projet],Tableau5[IND_Site_Prioritaire])</f>
        <v>#N/A</v>
      </c>
      <c r="X69" s="2" t="e">
        <f>_xlfn.XLOOKUP(Portefeuille_MNT_PPS_Access11[[#This Row],[Numéro projet]],Tableau5[Numéro projet],Tableau5[Critère Etat Infrastructure])</f>
        <v>#N/A</v>
      </c>
      <c r="Y69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69" s="2">
        <v>5</v>
      </c>
      <c r="AA69" s="63"/>
      <c r="AB69">
        <v>183</v>
      </c>
      <c r="AC69">
        <v>33</v>
      </c>
      <c r="AD69">
        <v>459</v>
      </c>
      <c r="AE69">
        <v>6249</v>
      </c>
      <c r="AF69"/>
      <c r="AP69"/>
      <c r="AZ69" s="14">
        <f>SUM(Portefeuille_MNT_PPS_Access11[[#This Row],[AC ANT]:[TR 2034]])</f>
        <v>6924</v>
      </c>
    </row>
    <row r="70" spans="2:52" x14ac:dyDescent="0.3">
      <c r="B70" t="s">
        <v>118</v>
      </c>
      <c r="C70" t="s">
        <v>102</v>
      </c>
      <c r="D70" t="s">
        <v>103</v>
      </c>
      <c r="F70" t="s">
        <v>16</v>
      </c>
      <c r="G70" t="s">
        <v>16</v>
      </c>
      <c r="H70" t="s">
        <v>131</v>
      </c>
      <c r="I70" t="s">
        <v>317</v>
      </c>
      <c r="J70" t="s">
        <v>318</v>
      </c>
      <c r="K70" t="s">
        <v>187</v>
      </c>
      <c r="M70" t="s">
        <v>291</v>
      </c>
      <c r="N70" s="1"/>
      <c r="O70" s="1"/>
      <c r="P70" s="1"/>
      <c r="Q70">
        <v>1</v>
      </c>
      <c r="U70" t="s">
        <v>311</v>
      </c>
      <c r="V7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70" s="12" t="e">
        <f>_xlfn.XLOOKUP(Portefeuille_MNT_PPS_Access11[[#This Row],[Numéro projet]],Tableau5[Numéro projet],Tableau5[IND_Site_Prioritaire])</f>
        <v>#N/A</v>
      </c>
      <c r="X70" s="2" t="e">
        <f>_xlfn.XLOOKUP(Portefeuille_MNT_PPS_Access11[[#This Row],[Numéro projet]],Tableau5[Numéro projet],Tableau5[Critère Etat Infrastructure])</f>
        <v>#N/A</v>
      </c>
      <c r="Y7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0" s="2"/>
      <c r="AA70" s="63"/>
      <c r="AB70">
        <v>676</v>
      </c>
      <c r="AC70">
        <v>7943</v>
      </c>
      <c r="AD70">
        <v>41</v>
      </c>
      <c r="AF70"/>
      <c r="AP70"/>
      <c r="AZ70" s="14">
        <f>SUM(Portefeuille_MNT_PPS_Access11[[#This Row],[AC ANT]:[TR 2034]])</f>
        <v>8660</v>
      </c>
    </row>
    <row r="71" spans="2:52" x14ac:dyDescent="0.3">
      <c r="B71" t="s">
        <v>118</v>
      </c>
      <c r="C71" t="s">
        <v>102</v>
      </c>
      <c r="D71" t="s">
        <v>103</v>
      </c>
      <c r="E71" t="s">
        <v>104</v>
      </c>
      <c r="F71" t="s">
        <v>16</v>
      </c>
      <c r="G71" t="s">
        <v>16</v>
      </c>
      <c r="H71" t="s">
        <v>131</v>
      </c>
      <c r="I71" t="s">
        <v>319</v>
      </c>
      <c r="J71" t="s">
        <v>320</v>
      </c>
      <c r="K71" t="s">
        <v>159</v>
      </c>
      <c r="M71" t="s">
        <v>164</v>
      </c>
      <c r="N71" s="1">
        <v>44063</v>
      </c>
      <c r="O71" s="1">
        <v>44488</v>
      </c>
      <c r="P71" s="1">
        <v>44602</v>
      </c>
      <c r="Q71">
        <v>1</v>
      </c>
      <c r="R71">
        <v>5</v>
      </c>
      <c r="S71">
        <v>5</v>
      </c>
      <c r="T71">
        <v>5</v>
      </c>
      <c r="U71" t="s">
        <v>165</v>
      </c>
      <c r="V7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71" s="12" t="e">
        <f>_xlfn.XLOOKUP(Portefeuille_MNT_PPS_Access11[[#This Row],[Numéro projet]],Tableau5[Numéro projet],Tableau5[IND_Site_Prioritaire])</f>
        <v>#N/A</v>
      </c>
      <c r="X71" s="2" t="e">
        <f>_xlfn.XLOOKUP(Portefeuille_MNT_PPS_Access11[[#This Row],[Numéro projet]],Tableau5[Numéro projet],Tableau5[Critère Etat Infrastructure])</f>
        <v>#N/A</v>
      </c>
      <c r="Y7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1" s="2"/>
      <c r="AA71" s="63"/>
      <c r="AB71">
        <v>334</v>
      </c>
      <c r="AC71">
        <v>5521</v>
      </c>
      <c r="AD71">
        <v>52</v>
      </c>
      <c r="AF71"/>
      <c r="AP71"/>
      <c r="AZ71" s="14">
        <f>SUM(Portefeuille_MNT_PPS_Access11[[#This Row],[AC ANT]:[TR 2034]])</f>
        <v>5907</v>
      </c>
    </row>
    <row r="72" spans="2:52" x14ac:dyDescent="0.3">
      <c r="B72" t="s">
        <v>118</v>
      </c>
      <c r="C72" t="s">
        <v>102</v>
      </c>
      <c r="D72" t="s">
        <v>103</v>
      </c>
      <c r="F72" t="s">
        <v>16</v>
      </c>
      <c r="G72" t="s">
        <v>16</v>
      </c>
      <c r="H72" t="s">
        <v>131</v>
      </c>
      <c r="I72" t="s">
        <v>321</v>
      </c>
      <c r="J72" t="s">
        <v>322</v>
      </c>
      <c r="K72" t="s">
        <v>147</v>
      </c>
      <c r="M72" t="s">
        <v>291</v>
      </c>
      <c r="N72" s="1"/>
      <c r="O72" s="1"/>
      <c r="P72" s="1"/>
      <c r="Q72">
        <v>1</v>
      </c>
      <c r="U72" t="s">
        <v>311</v>
      </c>
      <c r="V7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72" s="12" t="e">
        <f>_xlfn.XLOOKUP(Portefeuille_MNT_PPS_Access11[[#This Row],[Numéro projet]],Tableau5[Numéro projet],Tableau5[IND_Site_Prioritaire])</f>
        <v>#N/A</v>
      </c>
      <c r="X72" s="2" t="e">
        <f>_xlfn.XLOOKUP(Portefeuille_MNT_PPS_Access11[[#This Row],[Numéro projet]],Tableau5[Numéro projet],Tableau5[Critère Etat Infrastructure])</f>
        <v>#N/A</v>
      </c>
      <c r="Y7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2" s="2"/>
      <c r="AA72" s="63"/>
      <c r="AB72">
        <v>468</v>
      </c>
      <c r="AC72">
        <v>4580</v>
      </c>
      <c r="AD72">
        <v>8</v>
      </c>
      <c r="AF72"/>
      <c r="AP72"/>
      <c r="AZ72" s="14">
        <f>SUM(Portefeuille_MNT_PPS_Access11[[#This Row],[AC ANT]:[TR 2034]])</f>
        <v>5056</v>
      </c>
    </row>
    <row r="73" spans="2:52" x14ac:dyDescent="0.3">
      <c r="B73" t="s">
        <v>101</v>
      </c>
      <c r="C73" t="s">
        <v>102</v>
      </c>
      <c r="D73" t="s">
        <v>103</v>
      </c>
      <c r="E73" t="s">
        <v>113</v>
      </c>
      <c r="F73" t="s">
        <v>16</v>
      </c>
      <c r="G73" t="s">
        <v>16</v>
      </c>
      <c r="H73" t="s">
        <v>105</v>
      </c>
      <c r="I73" t="s">
        <v>312</v>
      </c>
      <c r="J73" t="s">
        <v>313</v>
      </c>
      <c r="K73" t="s">
        <v>168</v>
      </c>
      <c r="L73" t="s">
        <v>176</v>
      </c>
      <c r="M73" t="s">
        <v>164</v>
      </c>
      <c r="N73" s="1">
        <v>44055</v>
      </c>
      <c r="O73" s="1">
        <v>44315</v>
      </c>
      <c r="P73" s="1">
        <v>44589</v>
      </c>
      <c r="Q73">
        <v>5</v>
      </c>
      <c r="R73">
        <v>5</v>
      </c>
      <c r="S73">
        <v>5</v>
      </c>
      <c r="T73">
        <v>5</v>
      </c>
      <c r="U73" t="s">
        <v>165</v>
      </c>
      <c r="V73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73" s="12" t="e">
        <f>_xlfn.XLOOKUP(Portefeuille_MNT_PPS_Access11[[#This Row],[Numéro projet]],Tableau5[Numéro projet],Tableau5[IND_Site_Prioritaire])</f>
        <v>#N/A</v>
      </c>
      <c r="X73" s="2" t="e">
        <f>_xlfn.XLOOKUP(Portefeuille_MNT_PPS_Access11[[#This Row],[Numéro projet]],Tableau5[Numéro projet],Tableau5[Critère Etat Infrastructure])</f>
        <v>#N/A</v>
      </c>
      <c r="Y73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73" s="2">
        <v>5</v>
      </c>
      <c r="AA73" s="63"/>
      <c r="AB73">
        <v>448</v>
      </c>
      <c r="AC73">
        <v>5849</v>
      </c>
      <c r="AD73">
        <v>371</v>
      </c>
      <c r="AE73">
        <v>3585</v>
      </c>
      <c r="AF73"/>
      <c r="AP73"/>
      <c r="AZ73" s="14">
        <f>SUM(Portefeuille_MNT_PPS_Access11[[#This Row],[AC ANT]:[TR 2034]])</f>
        <v>10253</v>
      </c>
    </row>
    <row r="74" spans="2:52" x14ac:dyDescent="0.3">
      <c r="B74" t="s">
        <v>101</v>
      </c>
      <c r="C74" t="s">
        <v>102</v>
      </c>
      <c r="D74" t="s">
        <v>103</v>
      </c>
      <c r="F74" t="s">
        <v>16</v>
      </c>
      <c r="G74" t="s">
        <v>325</v>
      </c>
      <c r="H74" t="s">
        <v>131</v>
      </c>
      <c r="I74" t="s">
        <v>326</v>
      </c>
      <c r="J74" t="s">
        <v>327</v>
      </c>
      <c r="K74" t="s">
        <v>183</v>
      </c>
      <c r="M74" t="s">
        <v>291</v>
      </c>
      <c r="N74" s="1"/>
      <c r="O74" s="1"/>
      <c r="P74" s="1"/>
      <c r="Q74">
        <v>1</v>
      </c>
      <c r="U74" t="s">
        <v>311</v>
      </c>
      <c r="V7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74" s="12" t="e">
        <f>_xlfn.XLOOKUP(Portefeuille_MNT_PPS_Access11[[#This Row],[Numéro projet]],Tableau5[Numéro projet],Tableau5[IND_Site_Prioritaire])</f>
        <v>#N/A</v>
      </c>
      <c r="X74" s="2" t="e">
        <f>_xlfn.XLOOKUP(Portefeuille_MNT_PPS_Access11[[#This Row],[Numéro projet]],Tableau5[Numéro projet],Tableau5[Critère Etat Infrastructure])</f>
        <v>#N/A</v>
      </c>
      <c r="Y7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4" s="2"/>
      <c r="AA74" s="63"/>
      <c r="AB74">
        <v>595</v>
      </c>
      <c r="AC74">
        <v>3578</v>
      </c>
      <c r="AD74">
        <v>1</v>
      </c>
      <c r="AF74"/>
      <c r="AP74"/>
      <c r="AZ74" s="14">
        <f>SUM(Portefeuille_MNT_PPS_Access11[[#This Row],[AC ANT]:[TR 2034]])</f>
        <v>4174</v>
      </c>
    </row>
    <row r="75" spans="2:52" x14ac:dyDescent="0.3">
      <c r="B75" t="s">
        <v>101</v>
      </c>
      <c r="C75" t="s">
        <v>102</v>
      </c>
      <c r="D75" t="s">
        <v>200</v>
      </c>
      <c r="F75" t="s">
        <v>16</v>
      </c>
      <c r="G75" t="s">
        <v>16</v>
      </c>
      <c r="H75" t="s">
        <v>131</v>
      </c>
      <c r="I75" t="s">
        <v>328</v>
      </c>
      <c r="J75" t="s">
        <v>329</v>
      </c>
      <c r="K75" t="s">
        <v>152</v>
      </c>
      <c r="M75" t="s">
        <v>291</v>
      </c>
      <c r="N75" s="1"/>
      <c r="O75" s="1"/>
      <c r="P75" s="1"/>
      <c r="Q75">
        <v>1</v>
      </c>
      <c r="U75" t="s">
        <v>311</v>
      </c>
      <c r="V7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75" s="12" t="e">
        <f>_xlfn.XLOOKUP(Portefeuille_MNT_PPS_Access11[[#This Row],[Numéro projet]],Tableau5[Numéro projet],Tableau5[IND_Site_Prioritaire])</f>
        <v>#N/A</v>
      </c>
      <c r="X75" s="2" t="e">
        <f>_xlfn.XLOOKUP(Portefeuille_MNT_PPS_Access11[[#This Row],[Numéro projet]],Tableau5[Numéro projet],Tableau5[Critère Etat Infrastructure])</f>
        <v>#N/A</v>
      </c>
      <c r="Y7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5" s="2"/>
      <c r="AA75" s="63"/>
      <c r="AB75">
        <v>186</v>
      </c>
      <c r="AC75">
        <v>3019</v>
      </c>
      <c r="AD75">
        <v>9</v>
      </c>
      <c r="AF75"/>
      <c r="AP75"/>
      <c r="AZ75" s="14">
        <f>SUM(Portefeuille_MNT_PPS_Access11[[#This Row],[AC ANT]:[TR 2034]])</f>
        <v>3214</v>
      </c>
    </row>
    <row r="76" spans="2:52" x14ac:dyDescent="0.3">
      <c r="B76" t="s">
        <v>101</v>
      </c>
      <c r="C76" t="s">
        <v>102</v>
      </c>
      <c r="D76" t="s">
        <v>200</v>
      </c>
      <c r="E76" t="s">
        <v>113</v>
      </c>
      <c r="F76" t="s">
        <v>16</v>
      </c>
      <c r="G76" t="s">
        <v>16</v>
      </c>
      <c r="H76" t="s">
        <v>131</v>
      </c>
      <c r="I76" t="s">
        <v>336</v>
      </c>
      <c r="J76" t="s">
        <v>337</v>
      </c>
      <c r="K76" t="s">
        <v>180</v>
      </c>
      <c r="L76" t="s">
        <v>176</v>
      </c>
      <c r="M76" t="s">
        <v>164</v>
      </c>
      <c r="N76" s="1"/>
      <c r="O76" s="1">
        <v>44518</v>
      </c>
      <c r="P76" s="1">
        <v>44657</v>
      </c>
      <c r="Q76">
        <v>5</v>
      </c>
      <c r="R76">
        <v>5</v>
      </c>
      <c r="S76">
        <v>5</v>
      </c>
      <c r="U76" t="s">
        <v>165</v>
      </c>
      <c r="V76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76" s="12" t="e">
        <f>_xlfn.XLOOKUP(Portefeuille_MNT_PPS_Access11[[#This Row],[Numéro projet]],Tableau5[Numéro projet],Tableau5[IND_Site_Prioritaire])</f>
        <v>#N/A</v>
      </c>
      <c r="X76" s="2" t="e">
        <f>_xlfn.XLOOKUP(Portefeuille_MNT_PPS_Access11[[#This Row],[Numéro projet]],Tableau5[Numéro projet],Tableau5[Critère Etat Infrastructure])</f>
        <v>#N/A</v>
      </c>
      <c r="Y76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76" s="2">
        <v>5</v>
      </c>
      <c r="AA76" s="63"/>
      <c r="AB76">
        <v>594</v>
      </c>
      <c r="AC76">
        <v>3359</v>
      </c>
      <c r="AD76">
        <v>327</v>
      </c>
      <c r="AE76">
        <v>3179</v>
      </c>
      <c r="AF76"/>
      <c r="AP76"/>
      <c r="AZ76" s="14">
        <f>SUM(Portefeuille_MNT_PPS_Access11[[#This Row],[AC ANT]:[TR 2034]])</f>
        <v>7459</v>
      </c>
    </row>
    <row r="77" spans="2:52" x14ac:dyDescent="0.3">
      <c r="B77" t="s">
        <v>101</v>
      </c>
      <c r="C77" t="s">
        <v>102</v>
      </c>
      <c r="D77" t="s">
        <v>103</v>
      </c>
      <c r="E77" t="s">
        <v>129</v>
      </c>
      <c r="F77" t="s">
        <v>16</v>
      </c>
      <c r="G77" t="s">
        <v>16</v>
      </c>
      <c r="H77" t="s">
        <v>105</v>
      </c>
      <c r="I77" t="s">
        <v>356</v>
      </c>
      <c r="J77" t="s">
        <v>357</v>
      </c>
      <c r="K77" t="s">
        <v>116</v>
      </c>
      <c r="L77" t="s">
        <v>176</v>
      </c>
      <c r="M77" t="s">
        <v>164</v>
      </c>
      <c r="N77" s="1"/>
      <c r="O77" s="1">
        <v>44911</v>
      </c>
      <c r="P77" s="1">
        <v>45167</v>
      </c>
      <c r="Q77">
        <v>5</v>
      </c>
      <c r="R77">
        <v>5</v>
      </c>
      <c r="S77">
        <v>5</v>
      </c>
      <c r="U77" t="s">
        <v>165</v>
      </c>
      <c r="V77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77" s="12" t="e">
        <f>_xlfn.XLOOKUP(Portefeuille_MNT_PPS_Access11[[#This Row],[Numéro projet]],Tableau5[Numéro projet],Tableau5[IND_Site_Prioritaire])</f>
        <v>#N/A</v>
      </c>
      <c r="X77" s="2" t="e">
        <f>_xlfn.XLOOKUP(Portefeuille_MNT_PPS_Access11[[#This Row],[Numéro projet]],Tableau5[Numéro projet],Tableau5[Critère Etat Infrastructure])</f>
        <v>#N/A</v>
      </c>
      <c r="Y77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77" s="2">
        <v>5</v>
      </c>
      <c r="AA77" s="63"/>
      <c r="AB77">
        <v>16</v>
      </c>
      <c r="AD77">
        <v>14</v>
      </c>
      <c r="AE77">
        <v>1900</v>
      </c>
      <c r="AF77"/>
      <c r="AP77"/>
      <c r="AZ77" s="14">
        <f>SUM(Portefeuille_MNT_PPS_Access11[[#This Row],[AC ANT]:[TR 2034]])</f>
        <v>1930</v>
      </c>
    </row>
    <row r="78" spans="2:52" x14ac:dyDescent="0.3">
      <c r="B78" t="s">
        <v>101</v>
      </c>
      <c r="C78" t="s">
        <v>102</v>
      </c>
      <c r="D78" t="s">
        <v>200</v>
      </c>
      <c r="E78" t="s">
        <v>104</v>
      </c>
      <c r="F78" t="s">
        <v>16</v>
      </c>
      <c r="G78" t="s">
        <v>20</v>
      </c>
      <c r="H78" t="s">
        <v>105</v>
      </c>
      <c r="I78" t="s">
        <v>201</v>
      </c>
      <c r="J78" t="s">
        <v>202</v>
      </c>
      <c r="K78" t="s">
        <v>108</v>
      </c>
      <c r="M78" t="s">
        <v>155</v>
      </c>
      <c r="N78" s="1"/>
      <c r="O78" s="1"/>
      <c r="P78" s="1"/>
      <c r="Q78">
        <v>1</v>
      </c>
      <c r="U78" t="s">
        <v>156</v>
      </c>
      <c r="V7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78" s="12" t="e">
        <f>_xlfn.XLOOKUP(Portefeuille_MNT_PPS_Access11[[#This Row],[Numéro projet]],Tableau5[Numéro projet],Tableau5[IND_Site_Prioritaire])</f>
        <v>#N/A</v>
      </c>
      <c r="X78" s="2" t="e">
        <f>_xlfn.XLOOKUP(Portefeuille_MNT_PPS_Access11[[#This Row],[Numéro projet]],Tableau5[Numéro projet],Tableau5[Critère Etat Infrastructure])</f>
        <v>#N/A</v>
      </c>
      <c r="Y7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78" s="2"/>
      <c r="AA78" s="63"/>
      <c r="AB78">
        <v>277</v>
      </c>
      <c r="AC78">
        <v>4</v>
      </c>
      <c r="AF78"/>
      <c r="AH78">
        <v>127</v>
      </c>
      <c r="AJ78">
        <v>125</v>
      </c>
      <c r="AL78">
        <v>471</v>
      </c>
      <c r="AP78"/>
      <c r="AZ78" s="14">
        <f>SUM(Portefeuille_MNT_PPS_Access11[[#This Row],[AC ANT]:[TR 2034]])</f>
        <v>1004</v>
      </c>
    </row>
    <row r="79" spans="2:52" x14ac:dyDescent="0.3">
      <c r="B79" t="s">
        <v>118</v>
      </c>
      <c r="C79" t="s">
        <v>102</v>
      </c>
      <c r="D79" t="s">
        <v>103</v>
      </c>
      <c r="E79" t="s">
        <v>149</v>
      </c>
      <c r="F79" t="s">
        <v>16</v>
      </c>
      <c r="G79" t="s">
        <v>16</v>
      </c>
      <c r="H79" t="s">
        <v>131</v>
      </c>
      <c r="I79" t="s">
        <v>192</v>
      </c>
      <c r="J79" t="s">
        <v>193</v>
      </c>
      <c r="K79" t="s">
        <v>194</v>
      </c>
      <c r="L79" t="s">
        <v>176</v>
      </c>
      <c r="M79" t="s">
        <v>164</v>
      </c>
      <c r="N79" s="1">
        <v>44547</v>
      </c>
      <c r="O79" s="1">
        <v>45091</v>
      </c>
      <c r="P79" s="1">
        <v>45375</v>
      </c>
      <c r="Q79">
        <v>5</v>
      </c>
      <c r="R79">
        <v>5</v>
      </c>
      <c r="S79">
        <v>5</v>
      </c>
      <c r="T79">
        <v>5</v>
      </c>
      <c r="U79" t="s">
        <v>165</v>
      </c>
      <c r="V79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79" s="12" t="e">
        <f>_xlfn.XLOOKUP(Portefeuille_MNT_PPS_Access11[[#This Row],[Numéro projet]],Tableau5[Numéro projet],Tableau5[IND_Site_Prioritaire])</f>
        <v>#N/A</v>
      </c>
      <c r="X79" s="2" t="e">
        <f>_xlfn.XLOOKUP(Portefeuille_MNT_PPS_Access11[[#This Row],[Numéro projet]],Tableau5[Numéro projet],Tableau5[Critère Etat Infrastructure])</f>
        <v>#N/A</v>
      </c>
      <c r="Y79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79" s="2">
        <v>5</v>
      </c>
      <c r="AA79" s="63"/>
      <c r="AB79">
        <v>7</v>
      </c>
      <c r="AD79">
        <v>81</v>
      </c>
      <c r="AE79">
        <v>1350</v>
      </c>
      <c r="AF79">
        <v>185</v>
      </c>
      <c r="AG79">
        <v>4398</v>
      </c>
      <c r="AP79"/>
      <c r="AZ79" s="14">
        <f>SUM(Portefeuille_MNT_PPS_Access11[[#This Row],[AC ANT]:[TR 2034]])</f>
        <v>6021</v>
      </c>
    </row>
    <row r="80" spans="2:52" x14ac:dyDescent="0.3">
      <c r="B80" t="s">
        <v>101</v>
      </c>
      <c r="C80" t="s">
        <v>102</v>
      </c>
      <c r="D80" t="s">
        <v>177</v>
      </c>
      <c r="E80" t="s">
        <v>129</v>
      </c>
      <c r="F80" t="s">
        <v>16</v>
      </c>
      <c r="G80" t="s">
        <v>16</v>
      </c>
      <c r="H80" t="s">
        <v>131</v>
      </c>
      <c r="I80" t="s">
        <v>178</v>
      </c>
      <c r="J80" t="s">
        <v>179</v>
      </c>
      <c r="K80" t="s">
        <v>180</v>
      </c>
      <c r="L80" t="s">
        <v>176</v>
      </c>
      <c r="M80" t="s">
        <v>164</v>
      </c>
      <c r="N80" s="1"/>
      <c r="O80" s="1"/>
      <c r="P80" s="1">
        <v>45195</v>
      </c>
      <c r="Q80">
        <v>5</v>
      </c>
      <c r="R80">
        <v>5</v>
      </c>
      <c r="U80" t="s">
        <v>165</v>
      </c>
      <c r="V80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0" s="12" t="e">
        <f>_xlfn.XLOOKUP(Portefeuille_MNT_PPS_Access11[[#This Row],[Numéro projet]],Tableau5[Numéro projet],Tableau5[IND_Site_Prioritaire])</f>
        <v>#N/A</v>
      </c>
      <c r="X80" s="2" t="e">
        <f>_xlfn.XLOOKUP(Portefeuille_MNT_PPS_Access11[[#This Row],[Numéro projet]],Tableau5[Numéro projet],Tableau5[Critère Etat Infrastructure])</f>
        <v>#N/A</v>
      </c>
      <c r="Y80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0" s="2">
        <v>5</v>
      </c>
      <c r="AA80" s="63"/>
      <c r="AB80">
        <v>75</v>
      </c>
      <c r="AC80">
        <v>101.00000000000001</v>
      </c>
      <c r="AD80">
        <v>25</v>
      </c>
      <c r="AE80">
        <v>1110</v>
      </c>
      <c r="AF80">
        <v>73</v>
      </c>
      <c r="AG80">
        <v>580</v>
      </c>
      <c r="AP80"/>
      <c r="AZ80" s="14">
        <f>SUM(Portefeuille_MNT_PPS_Access11[[#This Row],[AC ANT]:[TR 2034]])</f>
        <v>1964</v>
      </c>
    </row>
    <row r="81" spans="1:52" x14ac:dyDescent="0.3">
      <c r="B81" t="s">
        <v>118</v>
      </c>
      <c r="C81" t="s">
        <v>102</v>
      </c>
      <c r="D81" t="s">
        <v>136</v>
      </c>
      <c r="E81" t="s">
        <v>340</v>
      </c>
      <c r="F81" t="s">
        <v>16</v>
      </c>
      <c r="G81" t="s">
        <v>16</v>
      </c>
      <c r="H81" t="s">
        <v>105</v>
      </c>
      <c r="I81" t="s">
        <v>352</v>
      </c>
      <c r="J81" t="s">
        <v>353</v>
      </c>
      <c r="K81" t="s">
        <v>180</v>
      </c>
      <c r="L81" t="s">
        <v>176</v>
      </c>
      <c r="M81" t="s">
        <v>164</v>
      </c>
      <c r="N81" s="1"/>
      <c r="O81" s="1">
        <v>44965</v>
      </c>
      <c r="P81" s="1">
        <v>45113</v>
      </c>
      <c r="Q81">
        <v>1</v>
      </c>
      <c r="R81">
        <v>5</v>
      </c>
      <c r="S81">
        <v>5</v>
      </c>
      <c r="U81" t="s">
        <v>165</v>
      </c>
      <c r="V81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1" s="12" t="e">
        <f>_xlfn.XLOOKUP(Portefeuille_MNT_PPS_Access11[[#This Row],[Numéro projet]],Tableau5[Numéro projet],Tableau5[IND_Site_Prioritaire])</f>
        <v>#N/A</v>
      </c>
      <c r="X81" s="2" t="e">
        <f>_xlfn.XLOOKUP(Portefeuille_MNT_PPS_Access11[[#This Row],[Numéro projet]],Tableau5[Numéro projet],Tableau5[Critère Etat Infrastructure])</f>
        <v>#N/A</v>
      </c>
      <c r="Y81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1" s="2">
        <v>5</v>
      </c>
      <c r="AA81" s="63"/>
      <c r="AB81">
        <v>87</v>
      </c>
      <c r="AC81">
        <v>304</v>
      </c>
      <c r="AD81">
        <v>40</v>
      </c>
      <c r="AE81">
        <v>918</v>
      </c>
      <c r="AF81"/>
      <c r="AP81"/>
      <c r="AZ81" s="14">
        <f>SUM(Portefeuille_MNT_PPS_Access11[[#This Row],[AC ANT]:[TR 2034]])</f>
        <v>1349</v>
      </c>
    </row>
    <row r="82" spans="1:52" x14ac:dyDescent="0.3">
      <c r="B82" t="s">
        <v>126</v>
      </c>
      <c r="C82" t="s">
        <v>127</v>
      </c>
      <c r="D82" t="s">
        <v>136</v>
      </c>
      <c r="E82" t="s">
        <v>104</v>
      </c>
      <c r="F82" t="s">
        <v>16</v>
      </c>
      <c r="G82" t="s">
        <v>16</v>
      </c>
      <c r="H82" t="s">
        <v>105</v>
      </c>
      <c r="I82" t="s">
        <v>162</v>
      </c>
      <c r="J82" t="s">
        <v>163</v>
      </c>
      <c r="K82" t="s">
        <v>122</v>
      </c>
      <c r="L82" t="s">
        <v>176</v>
      </c>
      <c r="M82" t="s">
        <v>164</v>
      </c>
      <c r="N82" s="1"/>
      <c r="O82" s="1"/>
      <c r="P82" s="1"/>
      <c r="Q82">
        <v>1</v>
      </c>
      <c r="U82" t="s">
        <v>165</v>
      </c>
      <c r="V8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82" s="12" t="e">
        <f>_xlfn.XLOOKUP(Portefeuille_MNT_PPS_Access11[[#This Row],[Numéro projet]],Tableau5[Numéro projet],Tableau5[IND_Site_Prioritaire])</f>
        <v>#N/A</v>
      </c>
      <c r="X82" s="2" t="e">
        <f>_xlfn.XLOOKUP(Portefeuille_MNT_PPS_Access11[[#This Row],[Numéro projet]],Tableau5[Numéro projet],Tableau5[Critère Etat Infrastructure])</f>
        <v>#N/A</v>
      </c>
      <c r="Y82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2" s="2">
        <v>5</v>
      </c>
      <c r="AA82" s="63"/>
      <c r="AB82">
        <v>5398</v>
      </c>
      <c r="AC82">
        <v>28152</v>
      </c>
      <c r="AD82">
        <v>79</v>
      </c>
      <c r="AE82">
        <v>891</v>
      </c>
      <c r="AF82">
        <v>399</v>
      </c>
      <c r="AG82">
        <v>67</v>
      </c>
      <c r="AH82">
        <v>60</v>
      </c>
      <c r="AP82"/>
      <c r="AZ82" s="14">
        <f>SUM(Portefeuille_MNT_PPS_Access11[[#This Row],[AC ANT]:[TR 2034]])</f>
        <v>35046</v>
      </c>
    </row>
    <row r="83" spans="1:52" x14ac:dyDescent="0.3">
      <c r="B83" t="s">
        <v>101</v>
      </c>
      <c r="C83" t="s">
        <v>102</v>
      </c>
      <c r="D83" t="s">
        <v>200</v>
      </c>
      <c r="E83" t="s">
        <v>104</v>
      </c>
      <c r="F83" t="s">
        <v>16</v>
      </c>
      <c r="G83" t="s">
        <v>16</v>
      </c>
      <c r="H83" t="s">
        <v>105</v>
      </c>
      <c r="I83" t="s">
        <v>338</v>
      </c>
      <c r="J83" s="82" t="s">
        <v>339</v>
      </c>
      <c r="K83" t="s">
        <v>180</v>
      </c>
      <c r="M83" t="s">
        <v>164</v>
      </c>
      <c r="N83" s="1">
        <v>43360</v>
      </c>
      <c r="O83" s="1">
        <v>43671</v>
      </c>
      <c r="P83" s="1">
        <v>44217</v>
      </c>
      <c r="Q83">
        <v>1</v>
      </c>
      <c r="R83">
        <v>5</v>
      </c>
      <c r="S83">
        <v>5</v>
      </c>
      <c r="T83">
        <v>5</v>
      </c>
      <c r="U83" t="s">
        <v>165</v>
      </c>
      <c r="V8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83" s="12" t="e">
        <f>_xlfn.XLOOKUP(Portefeuille_MNT_PPS_Access11[[#This Row],[Numéro projet]],Tableau5[Numéro projet],Tableau5[IND_Site_Prioritaire])</f>
        <v>#N/A</v>
      </c>
      <c r="X83" s="2" t="e">
        <f>_xlfn.XLOOKUP(Portefeuille_MNT_PPS_Access11[[#This Row],[Numéro projet]],Tableau5[Numéro projet],Tableau5[Critère Etat Infrastructure])</f>
        <v>#N/A</v>
      </c>
      <c r="Y83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3" s="2">
        <v>5</v>
      </c>
      <c r="AA83" s="62"/>
      <c r="AB83">
        <v>128</v>
      </c>
      <c r="AC83">
        <v>2061</v>
      </c>
      <c r="AD83">
        <v>164</v>
      </c>
      <c r="AF83">
        <v>43</v>
      </c>
      <c r="AP83"/>
      <c r="AZ83" s="14">
        <f>SUM(Portefeuille_MNT_PPS_Access11[[#This Row],[AC ANT]:[TR 2034]])</f>
        <v>2396</v>
      </c>
    </row>
    <row r="84" spans="1:52" x14ac:dyDescent="0.3">
      <c r="B84" t="s">
        <v>101</v>
      </c>
      <c r="C84" t="s">
        <v>102</v>
      </c>
      <c r="D84" t="s">
        <v>136</v>
      </c>
      <c r="E84" t="s">
        <v>140</v>
      </c>
      <c r="F84" t="s">
        <v>16</v>
      </c>
      <c r="G84" t="s">
        <v>16</v>
      </c>
      <c r="H84" t="s">
        <v>131</v>
      </c>
      <c r="I84" t="s">
        <v>360</v>
      </c>
      <c r="J84" t="s">
        <v>361</v>
      </c>
      <c r="K84" t="s">
        <v>134</v>
      </c>
      <c r="L84" t="s">
        <v>176</v>
      </c>
      <c r="M84" t="s">
        <v>164</v>
      </c>
      <c r="N84" s="1">
        <v>43390</v>
      </c>
      <c r="O84" s="1"/>
      <c r="P84" s="1">
        <v>44890</v>
      </c>
      <c r="Q84">
        <v>5</v>
      </c>
      <c r="R84">
        <v>5</v>
      </c>
      <c r="T84">
        <v>5</v>
      </c>
      <c r="U84" t="s">
        <v>165</v>
      </c>
      <c r="V84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4" s="12" t="e">
        <f>_xlfn.XLOOKUP(Portefeuille_MNT_PPS_Access11[[#This Row],[Numéro projet]],Tableau5[Numéro projet],Tableau5[IND_Site_Prioritaire])</f>
        <v>#N/A</v>
      </c>
      <c r="X84" s="2" t="e">
        <f>_xlfn.XLOOKUP(Portefeuille_MNT_PPS_Access11[[#This Row],[Numéro projet]],Tableau5[Numéro projet],Tableau5[Critère Etat Infrastructure])</f>
        <v>#N/A</v>
      </c>
      <c r="Y84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4" s="2">
        <v>5</v>
      </c>
      <c r="AA84" s="63"/>
      <c r="AB84">
        <v>37</v>
      </c>
      <c r="AD84">
        <v>18</v>
      </c>
      <c r="AE84">
        <v>288</v>
      </c>
      <c r="AF84"/>
      <c r="AP84"/>
      <c r="AZ84" s="14">
        <f>SUM(Portefeuille_MNT_PPS_Access11[[#This Row],[AC ANT]:[TR 2034]])</f>
        <v>343</v>
      </c>
    </row>
    <row r="85" spans="1:52" x14ac:dyDescent="0.3">
      <c r="B85" t="s">
        <v>101</v>
      </c>
      <c r="C85" t="s">
        <v>102</v>
      </c>
      <c r="D85" t="s">
        <v>136</v>
      </c>
      <c r="E85" t="s">
        <v>113</v>
      </c>
      <c r="F85" t="s">
        <v>16</v>
      </c>
      <c r="G85" t="s">
        <v>20</v>
      </c>
      <c r="H85" t="s">
        <v>105</v>
      </c>
      <c r="I85" t="s">
        <v>166</v>
      </c>
      <c r="J85" t="s">
        <v>167</v>
      </c>
      <c r="K85" t="s">
        <v>168</v>
      </c>
      <c r="L85" t="s">
        <v>169</v>
      </c>
      <c r="M85" t="s">
        <v>155</v>
      </c>
      <c r="N85" s="1">
        <v>45884</v>
      </c>
      <c r="O85" s="1">
        <v>46402</v>
      </c>
      <c r="P85" s="1">
        <v>46980</v>
      </c>
      <c r="Q85">
        <v>1</v>
      </c>
      <c r="R85">
        <v>1</v>
      </c>
      <c r="S85">
        <v>1</v>
      </c>
      <c r="T85">
        <v>1</v>
      </c>
      <c r="U85" t="s">
        <v>156</v>
      </c>
      <c r="V8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85" s="12" t="e">
        <f>_xlfn.XLOOKUP(Portefeuille_MNT_PPS_Access11[[#This Row],[Numéro projet]],Tableau5[Numéro projet],Tableau5[IND_Site_Prioritaire])</f>
        <v>#N/A</v>
      </c>
      <c r="X85" s="2" t="e">
        <f>_xlfn.XLOOKUP(Portefeuille_MNT_PPS_Access11[[#This Row],[Numéro projet]],Tableau5[Numéro projet],Tableau5[Critère Etat Infrastructure])</f>
        <v>#N/A</v>
      </c>
      <c r="Y8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85" s="2"/>
      <c r="AA85" s="63"/>
      <c r="AB85">
        <v>71</v>
      </c>
      <c r="AD85">
        <v>5</v>
      </c>
      <c r="AF85">
        <v>120</v>
      </c>
      <c r="AH85">
        <v>210</v>
      </c>
      <c r="AJ85">
        <v>310</v>
      </c>
      <c r="AL85">
        <v>310</v>
      </c>
      <c r="AN85">
        <v>395</v>
      </c>
      <c r="AO85">
        <v>2000</v>
      </c>
      <c r="AP85">
        <v>395</v>
      </c>
      <c r="AQ85">
        <v>2000</v>
      </c>
      <c r="AR85">
        <v>395</v>
      </c>
      <c r="AS85">
        <v>18319</v>
      </c>
      <c r="AZ85" s="14">
        <f>SUM(Portefeuille_MNT_PPS_Access11[[#This Row],[AC ANT]:[TR 2034]])</f>
        <v>24530</v>
      </c>
    </row>
    <row r="86" spans="1:52" x14ac:dyDescent="0.3">
      <c r="B86" t="s">
        <v>126</v>
      </c>
      <c r="C86" t="s">
        <v>127</v>
      </c>
      <c r="D86" t="s">
        <v>128</v>
      </c>
      <c r="E86" t="s">
        <v>129</v>
      </c>
      <c r="F86" t="s">
        <v>16</v>
      </c>
      <c r="G86" t="s">
        <v>16</v>
      </c>
      <c r="H86" t="s">
        <v>131</v>
      </c>
      <c r="I86" t="s">
        <v>323</v>
      </c>
      <c r="J86" t="s">
        <v>324</v>
      </c>
      <c r="K86" t="s">
        <v>214</v>
      </c>
      <c r="L86" t="s">
        <v>176</v>
      </c>
      <c r="M86" t="s">
        <v>164</v>
      </c>
      <c r="N86" s="1">
        <v>44644</v>
      </c>
      <c r="O86" s="1">
        <v>44995</v>
      </c>
      <c r="P86" s="1">
        <v>45061</v>
      </c>
      <c r="Q86">
        <v>5</v>
      </c>
      <c r="R86">
        <v>5</v>
      </c>
      <c r="S86">
        <v>5</v>
      </c>
      <c r="T86">
        <v>5</v>
      </c>
      <c r="U86" t="s">
        <v>165</v>
      </c>
      <c r="V86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6" s="12" t="e">
        <f>_xlfn.XLOOKUP(Portefeuille_MNT_PPS_Access11[[#This Row],[Numéro projet]],Tableau5[Numéro projet],Tableau5[IND_Site_Prioritaire])</f>
        <v>#N/A</v>
      </c>
      <c r="X86" s="2" t="e">
        <f>_xlfn.XLOOKUP(Portefeuille_MNT_PPS_Access11[[#This Row],[Numéro projet]],Tableau5[Numéro projet],Tableau5[Critère Etat Infrastructure])</f>
        <v>#N/A</v>
      </c>
      <c r="Y86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86" s="2">
        <v>5</v>
      </c>
      <c r="AA86" s="62"/>
      <c r="AB86">
        <v>80</v>
      </c>
      <c r="AC86">
        <v>347</v>
      </c>
      <c r="AD86">
        <v>36</v>
      </c>
      <c r="AE86">
        <v>235</v>
      </c>
      <c r="AF86"/>
      <c r="AP86"/>
      <c r="AZ86" s="14">
        <f>SUM(Portefeuille_MNT_PPS_Access11[[#This Row],[AC ANT]:[TR 2034]])</f>
        <v>698</v>
      </c>
    </row>
    <row r="87" spans="1:52" x14ac:dyDescent="0.3">
      <c r="A87">
        <v>1</v>
      </c>
      <c r="B87" t="s">
        <v>118</v>
      </c>
      <c r="C87" t="s">
        <v>102</v>
      </c>
      <c r="D87" t="s">
        <v>136</v>
      </c>
      <c r="E87" t="s">
        <v>129</v>
      </c>
      <c r="F87" t="s">
        <v>16</v>
      </c>
      <c r="G87" t="s">
        <v>130</v>
      </c>
      <c r="H87" t="s">
        <v>131</v>
      </c>
      <c r="I87" t="s">
        <v>218</v>
      </c>
      <c r="J87" t="s">
        <v>219</v>
      </c>
      <c r="K87" t="s">
        <v>152</v>
      </c>
      <c r="L87" t="s">
        <v>148</v>
      </c>
      <c r="M87" t="s">
        <v>123</v>
      </c>
      <c r="N87" s="1">
        <v>45370</v>
      </c>
      <c r="O87" s="1"/>
      <c r="P87" s="1">
        <v>45706</v>
      </c>
      <c r="Q87">
        <v>1</v>
      </c>
      <c r="R87">
        <v>1</v>
      </c>
      <c r="T87">
        <v>5</v>
      </c>
      <c r="U87" t="s">
        <v>125</v>
      </c>
      <c r="V8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7" s="12" t="e">
        <f>_xlfn.XLOOKUP(Portefeuille_MNT_PPS_Access11[[#This Row],[Numéro projet]],Tableau5[Numéro projet],Tableau5[IND_Site_Prioritaire])</f>
        <v>#N/A</v>
      </c>
      <c r="X87" s="2" t="e">
        <f>_xlfn.XLOOKUP(Portefeuille_MNT_PPS_Access11[[#This Row],[Numéro projet]],Tableau5[Numéro projet],Tableau5[Critère Etat Infrastructure])</f>
        <v>#N/A</v>
      </c>
      <c r="Y8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87" s="2"/>
      <c r="AA87" s="63"/>
      <c r="AB87">
        <v>6</v>
      </c>
      <c r="AD87">
        <v>60</v>
      </c>
      <c r="AF87">
        <v>54</v>
      </c>
      <c r="AG87">
        <v>610</v>
      </c>
      <c r="AP87"/>
      <c r="AZ87" s="14">
        <f>SUM(Portefeuille_MNT_PPS_Access11[[#This Row],[AC ANT]:[TR 2034]])</f>
        <v>730</v>
      </c>
    </row>
    <row r="88" spans="1:52" x14ac:dyDescent="0.3">
      <c r="B88" t="s">
        <v>118</v>
      </c>
      <c r="C88" t="s">
        <v>102</v>
      </c>
      <c r="D88" t="s">
        <v>103</v>
      </c>
      <c r="E88" t="s">
        <v>340</v>
      </c>
      <c r="F88" t="s">
        <v>16</v>
      </c>
      <c r="G88" t="s">
        <v>16</v>
      </c>
      <c r="H88" t="s">
        <v>105</v>
      </c>
      <c r="I88" t="s">
        <v>354</v>
      </c>
      <c r="J88" t="s">
        <v>355</v>
      </c>
      <c r="K88" t="s">
        <v>143</v>
      </c>
      <c r="L88" t="s">
        <v>176</v>
      </c>
      <c r="M88" t="s">
        <v>164</v>
      </c>
      <c r="N88" s="1"/>
      <c r="O88" s="1"/>
      <c r="P88" s="1"/>
      <c r="Q88">
        <v>1</v>
      </c>
      <c r="U88" t="s">
        <v>165</v>
      </c>
      <c r="V8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88" s="12" t="e">
        <f>_xlfn.XLOOKUP(Portefeuille_MNT_PPS_Access11[[#This Row],[Numéro projet]],Tableau5[Numéro projet],Tableau5[IND_Site_Prioritaire])</f>
        <v>#N/A</v>
      </c>
      <c r="X88" s="2" t="e">
        <f>_xlfn.XLOOKUP(Portefeuille_MNT_PPS_Access11[[#This Row],[Numéro projet]],Tableau5[Numéro projet],Tableau5[Critère Etat Infrastructure])</f>
        <v>#N/A</v>
      </c>
      <c r="Y8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88" s="2"/>
      <c r="AA88" s="63"/>
      <c r="AB88">
        <v>173</v>
      </c>
      <c r="AC88">
        <v>7850</v>
      </c>
      <c r="AD88">
        <v>22</v>
      </c>
      <c r="AE88">
        <v>173</v>
      </c>
      <c r="AF88"/>
      <c r="AP88"/>
      <c r="AZ88" s="14">
        <f>SUM(Portefeuille_MNT_PPS_Access11[[#This Row],[AC ANT]:[TR 2034]])</f>
        <v>8218</v>
      </c>
    </row>
    <row r="89" spans="1:52" x14ac:dyDescent="0.3">
      <c r="B89" t="s">
        <v>118</v>
      </c>
      <c r="C89" t="s">
        <v>102</v>
      </c>
      <c r="D89" t="s">
        <v>103</v>
      </c>
      <c r="E89" t="s">
        <v>340</v>
      </c>
      <c r="F89" t="s">
        <v>16</v>
      </c>
      <c r="G89" t="s">
        <v>16</v>
      </c>
      <c r="H89" t="s">
        <v>131</v>
      </c>
      <c r="I89" t="s">
        <v>341</v>
      </c>
      <c r="J89" t="s">
        <v>342</v>
      </c>
      <c r="K89" t="s">
        <v>147</v>
      </c>
      <c r="L89" t="s">
        <v>176</v>
      </c>
      <c r="M89" t="s">
        <v>164</v>
      </c>
      <c r="N89" s="1">
        <v>44245</v>
      </c>
      <c r="O89" s="1">
        <v>44469</v>
      </c>
      <c r="P89" s="1">
        <v>44538</v>
      </c>
      <c r="Q89">
        <v>1</v>
      </c>
      <c r="R89">
        <v>5</v>
      </c>
      <c r="S89">
        <v>5</v>
      </c>
      <c r="T89">
        <v>5</v>
      </c>
      <c r="U89" t="s">
        <v>165</v>
      </c>
      <c r="V89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89" s="12" t="e">
        <f>_xlfn.XLOOKUP(Portefeuille_MNT_PPS_Access11[[#This Row],[Numéro projet]],Tableau5[Numéro projet],Tableau5[IND_Site_Prioritaire])</f>
        <v>#N/A</v>
      </c>
      <c r="X89" s="2" t="e">
        <f>_xlfn.XLOOKUP(Portefeuille_MNT_PPS_Access11[[#This Row],[Numéro projet]],Tableau5[Numéro projet],Tableau5[Critère Etat Infrastructure])</f>
        <v>#N/A</v>
      </c>
      <c r="Y8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89" s="2"/>
      <c r="AA89" s="63"/>
      <c r="AB89">
        <v>603</v>
      </c>
      <c r="AC89">
        <v>10120</v>
      </c>
      <c r="AD89">
        <v>73</v>
      </c>
      <c r="AE89">
        <v>150</v>
      </c>
      <c r="AF89"/>
      <c r="AP89"/>
      <c r="AZ89" s="14">
        <f>SUM(Portefeuille_MNT_PPS_Access11[[#This Row],[AC ANT]:[TR 2034]])</f>
        <v>10946</v>
      </c>
    </row>
    <row r="90" spans="1:52" x14ac:dyDescent="0.3">
      <c r="B90" t="s">
        <v>126</v>
      </c>
      <c r="C90" t="s">
        <v>127</v>
      </c>
      <c r="D90" t="s">
        <v>136</v>
      </c>
      <c r="E90" t="s">
        <v>104</v>
      </c>
      <c r="F90" t="s">
        <v>16</v>
      </c>
      <c r="G90" t="s">
        <v>16</v>
      </c>
      <c r="H90" t="s">
        <v>105</v>
      </c>
      <c r="I90" t="s">
        <v>300</v>
      </c>
      <c r="J90" t="s">
        <v>301</v>
      </c>
      <c r="K90" t="s">
        <v>302</v>
      </c>
      <c r="L90" t="s">
        <v>176</v>
      </c>
      <c r="M90" t="s">
        <v>164</v>
      </c>
      <c r="N90" s="1">
        <v>41907</v>
      </c>
      <c r="O90" s="1">
        <v>41968</v>
      </c>
      <c r="P90" s="1">
        <v>42045</v>
      </c>
      <c r="Q90">
        <v>1</v>
      </c>
      <c r="R90">
        <v>5</v>
      </c>
      <c r="S90">
        <v>5</v>
      </c>
      <c r="T90">
        <v>5</v>
      </c>
      <c r="U90" t="s">
        <v>165</v>
      </c>
      <c r="V90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0" s="12" t="e">
        <f>_xlfn.XLOOKUP(Portefeuille_MNT_PPS_Access11[[#This Row],[Numéro projet]],Tableau5[Numéro projet],Tableau5[IND_Site_Prioritaire])</f>
        <v>#N/A</v>
      </c>
      <c r="X90" s="2" t="e">
        <f>_xlfn.XLOOKUP(Portefeuille_MNT_PPS_Access11[[#This Row],[Numéro projet]],Tableau5[Numéro projet],Tableau5[Critère Etat Infrastructure])</f>
        <v>#N/A</v>
      </c>
      <c r="Y9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90" s="2"/>
      <c r="AA90" s="63"/>
      <c r="AB90">
        <v>2582</v>
      </c>
      <c r="AC90">
        <v>17091</v>
      </c>
      <c r="AD90">
        <v>35</v>
      </c>
      <c r="AE90">
        <v>96</v>
      </c>
      <c r="AF90"/>
      <c r="AP90"/>
      <c r="AZ90" s="14">
        <f>SUM(Portefeuille_MNT_PPS_Access11[[#This Row],[AC ANT]:[TR 2034]])</f>
        <v>19804</v>
      </c>
    </row>
    <row r="91" spans="1:52" x14ac:dyDescent="0.3">
      <c r="A91">
        <v>5</v>
      </c>
      <c r="B91" t="s">
        <v>101</v>
      </c>
      <c r="C91" t="s">
        <v>102</v>
      </c>
      <c r="D91" t="s">
        <v>128</v>
      </c>
      <c r="E91" t="s">
        <v>113</v>
      </c>
      <c r="F91" t="s">
        <v>16</v>
      </c>
      <c r="G91" t="s">
        <v>130</v>
      </c>
      <c r="H91" t="s">
        <v>105</v>
      </c>
      <c r="I91" t="s">
        <v>160</v>
      </c>
      <c r="J91" t="s">
        <v>161</v>
      </c>
      <c r="K91" t="s">
        <v>122</v>
      </c>
      <c r="L91" t="s">
        <v>148</v>
      </c>
      <c r="M91" t="s">
        <v>123</v>
      </c>
      <c r="N91" s="1">
        <v>44956</v>
      </c>
      <c r="O91" s="1">
        <v>45321</v>
      </c>
      <c r="P91" s="1">
        <v>45687</v>
      </c>
      <c r="Q91">
        <v>1</v>
      </c>
      <c r="R91">
        <v>1</v>
      </c>
      <c r="S91">
        <v>5</v>
      </c>
      <c r="T91">
        <v>5</v>
      </c>
      <c r="U91" t="s">
        <v>125</v>
      </c>
      <c r="V91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1" s="12" t="e">
        <f>_xlfn.XLOOKUP(Portefeuille_MNT_PPS_Access11[[#This Row],[Numéro projet]],Tableau5[Numéro projet],Tableau5[IND_Site_Prioritaire])</f>
        <v>#N/A</v>
      </c>
      <c r="X91" s="2" t="e">
        <f>_xlfn.XLOOKUP(Portefeuille_MNT_PPS_Access11[[#This Row],[Numéro projet]],Tableau5[Numéro projet],Tableau5[Critère Etat Infrastructure])</f>
        <v>#N/A</v>
      </c>
      <c r="Y9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91" s="2"/>
      <c r="AA91" s="63"/>
      <c r="AB91">
        <v>6</v>
      </c>
      <c r="AD91">
        <v>19</v>
      </c>
      <c r="AF91">
        <v>320</v>
      </c>
      <c r="AG91">
        <v>4503</v>
      </c>
      <c r="AP91"/>
      <c r="AZ91" s="14">
        <f>SUM(Portefeuille_MNT_PPS_Access11[[#This Row],[AC ANT]:[TR 2034]])</f>
        <v>4848</v>
      </c>
    </row>
    <row r="92" spans="1:52" x14ac:dyDescent="0.3">
      <c r="B92" t="s">
        <v>101</v>
      </c>
      <c r="C92" t="s">
        <v>102</v>
      </c>
      <c r="D92" t="s">
        <v>200</v>
      </c>
      <c r="E92" t="s">
        <v>104</v>
      </c>
      <c r="F92" t="s">
        <v>16</v>
      </c>
      <c r="G92" t="s">
        <v>16</v>
      </c>
      <c r="H92" t="s">
        <v>105</v>
      </c>
      <c r="I92" t="s">
        <v>330</v>
      </c>
      <c r="J92" t="s">
        <v>331</v>
      </c>
      <c r="K92" t="s">
        <v>180</v>
      </c>
      <c r="L92" t="s">
        <v>176</v>
      </c>
      <c r="M92" t="s">
        <v>164</v>
      </c>
      <c r="N92" s="1">
        <v>43360</v>
      </c>
      <c r="O92" s="1">
        <v>43671</v>
      </c>
      <c r="P92" s="1">
        <v>44217</v>
      </c>
      <c r="Q92">
        <v>1</v>
      </c>
      <c r="R92">
        <v>5</v>
      </c>
      <c r="S92">
        <v>5</v>
      </c>
      <c r="T92">
        <v>5</v>
      </c>
      <c r="U92" t="s">
        <v>165</v>
      </c>
      <c r="V92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2" s="12" t="e">
        <f>_xlfn.XLOOKUP(Portefeuille_MNT_PPS_Access11[[#This Row],[Numéro projet]],Tableau5[Numéro projet],Tableau5[IND_Site_Prioritaire])</f>
        <v>#N/A</v>
      </c>
      <c r="X92" s="2" t="e">
        <f>_xlfn.XLOOKUP(Portefeuille_MNT_PPS_Access11[[#This Row],[Numéro projet]],Tableau5[Numéro projet],Tableau5[Critère Etat Infrastructure])</f>
        <v>#N/A</v>
      </c>
      <c r="Y92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2" s="2">
        <v>5</v>
      </c>
      <c r="AA92" s="63"/>
      <c r="AB92">
        <v>432</v>
      </c>
      <c r="AC92">
        <v>3057</v>
      </c>
      <c r="AD92">
        <v>260</v>
      </c>
      <c r="AE92">
        <v>73</v>
      </c>
      <c r="AF92">
        <v>13</v>
      </c>
      <c r="AP92"/>
      <c r="AZ92" s="14">
        <f>SUM(Portefeuille_MNT_PPS_Access11[[#This Row],[AC ANT]:[TR 2034]])</f>
        <v>3835</v>
      </c>
    </row>
    <row r="93" spans="1:52" x14ac:dyDescent="0.3">
      <c r="B93" t="s">
        <v>126</v>
      </c>
      <c r="C93" t="s">
        <v>127</v>
      </c>
      <c r="D93" t="s">
        <v>136</v>
      </c>
      <c r="E93" t="s">
        <v>104</v>
      </c>
      <c r="F93" t="s">
        <v>16</v>
      </c>
      <c r="G93" t="s">
        <v>16</v>
      </c>
      <c r="H93" t="s">
        <v>131</v>
      </c>
      <c r="I93" t="s">
        <v>303</v>
      </c>
      <c r="J93" t="s">
        <v>304</v>
      </c>
      <c r="K93" t="s">
        <v>194</v>
      </c>
      <c r="L93" t="s">
        <v>176</v>
      </c>
      <c r="M93" t="s">
        <v>164</v>
      </c>
      <c r="N93" s="1">
        <v>43270</v>
      </c>
      <c r="O93" s="1">
        <v>44222</v>
      </c>
      <c r="P93" s="1">
        <v>44356</v>
      </c>
      <c r="Q93">
        <v>1</v>
      </c>
      <c r="R93">
        <v>5</v>
      </c>
      <c r="S93">
        <v>5</v>
      </c>
      <c r="T93">
        <v>5</v>
      </c>
      <c r="U93" t="s">
        <v>165</v>
      </c>
      <c r="V93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3" s="12" t="e">
        <f>_xlfn.XLOOKUP(Portefeuille_MNT_PPS_Access11[[#This Row],[Numéro projet]],Tableau5[Numéro projet],Tableau5[IND_Site_Prioritaire])</f>
        <v>#N/A</v>
      </c>
      <c r="X93" s="2" t="e">
        <f>_xlfn.XLOOKUP(Portefeuille_MNT_PPS_Access11[[#This Row],[Numéro projet]],Tableau5[Numéro projet],Tableau5[Critère Etat Infrastructure])</f>
        <v>#N/A</v>
      </c>
      <c r="Y93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3" s="2">
        <v>5</v>
      </c>
      <c r="AA93" s="63"/>
      <c r="AB93">
        <v>569</v>
      </c>
      <c r="AC93">
        <v>2223</v>
      </c>
      <c r="AD93">
        <v>48</v>
      </c>
      <c r="AE93">
        <v>50</v>
      </c>
      <c r="AF93"/>
      <c r="AP93"/>
      <c r="AZ93" s="14">
        <f>SUM(Portefeuille_MNT_PPS_Access11[[#This Row],[AC ANT]:[TR 2034]])</f>
        <v>2890</v>
      </c>
    </row>
    <row r="94" spans="1:52" x14ac:dyDescent="0.3">
      <c r="B94" t="s">
        <v>118</v>
      </c>
      <c r="C94" t="s">
        <v>102</v>
      </c>
      <c r="D94" t="s">
        <v>136</v>
      </c>
      <c r="E94" t="s">
        <v>129</v>
      </c>
      <c r="F94" t="s">
        <v>16</v>
      </c>
      <c r="G94" t="s">
        <v>16</v>
      </c>
      <c r="H94" t="s">
        <v>131</v>
      </c>
      <c r="I94" t="s">
        <v>345</v>
      </c>
      <c r="J94" t="s">
        <v>346</v>
      </c>
      <c r="K94" t="s">
        <v>147</v>
      </c>
      <c r="L94" t="s">
        <v>176</v>
      </c>
      <c r="M94" t="s">
        <v>164</v>
      </c>
      <c r="N94" s="1"/>
      <c r="O94" s="1"/>
      <c r="P94" s="1"/>
      <c r="Q94">
        <v>1</v>
      </c>
      <c r="U94" t="s">
        <v>165</v>
      </c>
      <c r="V9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94" s="12" t="e">
        <f>_xlfn.XLOOKUP(Portefeuille_MNT_PPS_Access11[[#This Row],[Numéro projet]],Tableau5[Numéro projet],Tableau5[IND_Site_Prioritaire])</f>
        <v>#N/A</v>
      </c>
      <c r="X94" s="2" t="e">
        <f>_xlfn.XLOOKUP(Portefeuille_MNT_PPS_Access11[[#This Row],[Numéro projet]],Tableau5[Numéro projet],Tableau5[Critère Etat Infrastructure])</f>
        <v>#N/A</v>
      </c>
      <c r="Y94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4" s="2">
        <v>5</v>
      </c>
      <c r="AA94" s="63"/>
      <c r="AC94">
        <v>151</v>
      </c>
      <c r="AE94">
        <v>41</v>
      </c>
      <c r="AF94"/>
      <c r="AP94"/>
      <c r="AZ94" s="14">
        <f>SUM(Portefeuille_MNT_PPS_Access11[[#This Row],[AC ANT]:[TR 2034]])</f>
        <v>192</v>
      </c>
    </row>
    <row r="95" spans="1:52" x14ac:dyDescent="0.3">
      <c r="B95" t="s">
        <v>126</v>
      </c>
      <c r="C95" t="s">
        <v>127</v>
      </c>
      <c r="D95" t="s">
        <v>136</v>
      </c>
      <c r="E95" t="s">
        <v>113</v>
      </c>
      <c r="F95" t="s">
        <v>16</v>
      </c>
      <c r="G95" t="s">
        <v>16</v>
      </c>
      <c r="H95" t="s">
        <v>105</v>
      </c>
      <c r="I95" t="s">
        <v>358</v>
      </c>
      <c r="J95" t="s">
        <v>359</v>
      </c>
      <c r="K95" t="s">
        <v>108</v>
      </c>
      <c r="M95" t="s">
        <v>164</v>
      </c>
      <c r="N95" s="1"/>
      <c r="O95" s="1">
        <v>42383</v>
      </c>
      <c r="P95" s="1">
        <v>43404</v>
      </c>
      <c r="Q95">
        <v>1</v>
      </c>
      <c r="R95">
        <v>5</v>
      </c>
      <c r="S95">
        <v>5</v>
      </c>
      <c r="U95" t="s">
        <v>165</v>
      </c>
      <c r="V9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7</v>
      </c>
      <c r="W95" s="12" t="e">
        <f>_xlfn.XLOOKUP(Portefeuille_MNT_PPS_Access11[[#This Row],[Numéro projet]],Tableau5[Numéro projet],Tableau5[IND_Site_Prioritaire])</f>
        <v>#N/A</v>
      </c>
      <c r="X95" s="2" t="e">
        <f>_xlfn.XLOOKUP(Portefeuille_MNT_PPS_Access11[[#This Row],[Numéro projet]],Tableau5[Numéro projet],Tableau5[Critère Etat Infrastructure])</f>
        <v>#N/A</v>
      </c>
      <c r="Y9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95" s="2"/>
      <c r="AA95" s="63"/>
      <c r="AB95">
        <v>2099</v>
      </c>
      <c r="AC95">
        <v>8991</v>
      </c>
      <c r="AD95">
        <v>122</v>
      </c>
      <c r="AF95"/>
      <c r="AP95"/>
      <c r="AZ95" s="14">
        <f>SUM(Portefeuille_MNT_PPS_Access11[[#This Row],[AC ANT]:[TR 2034]])</f>
        <v>11212</v>
      </c>
    </row>
    <row r="96" spans="1:52" x14ac:dyDescent="0.3">
      <c r="B96" t="s">
        <v>101</v>
      </c>
      <c r="C96" t="s">
        <v>102</v>
      </c>
      <c r="D96" t="s">
        <v>177</v>
      </c>
      <c r="E96" t="s">
        <v>149</v>
      </c>
      <c r="F96" t="s">
        <v>16</v>
      </c>
      <c r="G96" t="s">
        <v>16</v>
      </c>
      <c r="H96" t="s">
        <v>131</v>
      </c>
      <c r="I96" t="s">
        <v>350</v>
      </c>
      <c r="J96" t="s">
        <v>351</v>
      </c>
      <c r="K96" t="s">
        <v>152</v>
      </c>
      <c r="L96" t="s">
        <v>176</v>
      </c>
      <c r="M96" t="s">
        <v>164</v>
      </c>
      <c r="N96" s="1"/>
      <c r="O96" s="1">
        <v>44880</v>
      </c>
      <c r="P96" s="1">
        <v>44914</v>
      </c>
      <c r="Q96">
        <v>1</v>
      </c>
      <c r="R96">
        <v>5</v>
      </c>
      <c r="S96">
        <v>5</v>
      </c>
      <c r="U96" t="s">
        <v>165</v>
      </c>
      <c r="V96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6" s="12" t="e">
        <f>_xlfn.XLOOKUP(Portefeuille_MNT_PPS_Access11[[#This Row],[Numéro projet]],Tableau5[Numéro projet],Tableau5[IND_Site_Prioritaire])</f>
        <v>#N/A</v>
      </c>
      <c r="X96" s="2" t="e">
        <f>_xlfn.XLOOKUP(Portefeuille_MNT_PPS_Access11[[#This Row],[Numéro projet]],Tableau5[Numéro projet],Tableau5[Critère Etat Infrastructure])</f>
        <v>#N/A</v>
      </c>
      <c r="Y96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6" s="2">
        <v>5</v>
      </c>
      <c r="AA96" s="63"/>
      <c r="AB96">
        <v>14</v>
      </c>
      <c r="AC96">
        <v>2970</v>
      </c>
      <c r="AE96">
        <v>25</v>
      </c>
      <c r="AF96"/>
      <c r="AP96"/>
      <c r="AZ96" s="14">
        <f>SUM(Portefeuille_MNT_PPS_Access11[[#This Row],[AC ANT]:[TR 2034]])</f>
        <v>3009</v>
      </c>
    </row>
    <row r="97" spans="1:52" x14ac:dyDescent="0.3">
      <c r="B97" t="s">
        <v>101</v>
      </c>
      <c r="C97" t="s">
        <v>102</v>
      </c>
      <c r="D97" t="s">
        <v>136</v>
      </c>
      <c r="E97" t="s">
        <v>149</v>
      </c>
      <c r="F97" t="s">
        <v>16</v>
      </c>
      <c r="G97" t="s">
        <v>20</v>
      </c>
      <c r="H97" t="s">
        <v>131</v>
      </c>
      <c r="I97" t="s">
        <v>212</v>
      </c>
      <c r="J97" t="s">
        <v>213</v>
      </c>
      <c r="K97" t="s">
        <v>214</v>
      </c>
      <c r="L97" t="s">
        <v>184</v>
      </c>
      <c r="M97" t="s">
        <v>155</v>
      </c>
      <c r="N97" s="1">
        <v>45792</v>
      </c>
      <c r="O97" s="1">
        <v>46157</v>
      </c>
      <c r="P97" s="1">
        <v>46522</v>
      </c>
      <c r="Q97">
        <v>1</v>
      </c>
      <c r="R97">
        <v>1</v>
      </c>
      <c r="S97">
        <v>1</v>
      </c>
      <c r="T97">
        <v>1</v>
      </c>
      <c r="U97" t="s">
        <v>156</v>
      </c>
      <c r="V9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97" s="12" t="e">
        <f>_xlfn.XLOOKUP(Portefeuille_MNT_PPS_Access11[[#This Row],[Numéro projet]],Tableau5[Numéro projet],Tableau5[IND_Site_Prioritaire])</f>
        <v>#N/A</v>
      </c>
      <c r="X97" s="2" t="e">
        <f>_xlfn.XLOOKUP(Portefeuille_MNT_PPS_Access11[[#This Row],[Numéro projet]],Tableau5[Numéro projet],Tableau5[Critère Etat Infrastructure])</f>
        <v>#N/A</v>
      </c>
      <c r="Y9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97" s="2"/>
      <c r="AA97" s="63"/>
      <c r="AB97">
        <v>47</v>
      </c>
      <c r="AD97">
        <v>174</v>
      </c>
      <c r="AF97">
        <v>150</v>
      </c>
      <c r="AH97">
        <v>125</v>
      </c>
      <c r="AJ97">
        <v>125</v>
      </c>
      <c r="AL97">
        <v>125</v>
      </c>
      <c r="AN97">
        <v>125</v>
      </c>
      <c r="AP97">
        <v>300</v>
      </c>
      <c r="AQ97">
        <v>5000</v>
      </c>
      <c r="AR97">
        <v>350</v>
      </c>
      <c r="AS97">
        <v>10000</v>
      </c>
      <c r="AZ97" s="14">
        <f>SUM(Portefeuille_MNT_PPS_Access11[[#This Row],[AC ANT]:[TR 2034]])</f>
        <v>16521</v>
      </c>
    </row>
    <row r="98" spans="1:52" x14ac:dyDescent="0.3">
      <c r="B98" t="s">
        <v>101</v>
      </c>
      <c r="C98" t="s">
        <v>102</v>
      </c>
      <c r="D98" t="s">
        <v>188</v>
      </c>
      <c r="E98" t="s">
        <v>113</v>
      </c>
      <c r="F98" t="s">
        <v>16</v>
      </c>
      <c r="G98" t="s">
        <v>16</v>
      </c>
      <c r="H98" t="s">
        <v>131</v>
      </c>
      <c r="I98" t="s">
        <v>343</v>
      </c>
      <c r="J98" t="s">
        <v>344</v>
      </c>
      <c r="K98" t="s">
        <v>139</v>
      </c>
      <c r="L98" t="s">
        <v>176</v>
      </c>
      <c r="M98" t="s">
        <v>164</v>
      </c>
      <c r="N98" s="1"/>
      <c r="O98" s="1"/>
      <c r="P98" s="1">
        <v>44672</v>
      </c>
      <c r="Q98">
        <v>1</v>
      </c>
      <c r="R98">
        <v>5</v>
      </c>
      <c r="U98" t="s">
        <v>165</v>
      </c>
      <c r="V98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8" s="12" t="e">
        <f>_xlfn.XLOOKUP(Portefeuille_MNT_PPS_Access11[[#This Row],[Numéro projet]],Tableau5[Numéro projet],Tableau5[IND_Site_Prioritaire])</f>
        <v>#N/A</v>
      </c>
      <c r="X98" s="2" t="e">
        <f>_xlfn.XLOOKUP(Portefeuille_MNT_PPS_Access11[[#This Row],[Numéro projet]],Tableau5[Numéro projet],Tableau5[Critère Etat Infrastructure])</f>
        <v>#N/A</v>
      </c>
      <c r="Y98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8" s="2">
        <v>5</v>
      </c>
      <c r="AA98" s="63"/>
      <c r="AB98">
        <v>84</v>
      </c>
      <c r="AC98">
        <v>819</v>
      </c>
      <c r="AD98">
        <v>3</v>
      </c>
      <c r="AE98">
        <v>9</v>
      </c>
      <c r="AF98"/>
      <c r="AP98"/>
      <c r="AZ98" s="14">
        <f>SUM(Portefeuille_MNT_PPS_Access11[[#This Row],[AC ANT]:[TR 2034]])</f>
        <v>915</v>
      </c>
    </row>
    <row r="99" spans="1:52" x14ac:dyDescent="0.3">
      <c r="B99" t="s">
        <v>118</v>
      </c>
      <c r="C99" t="s">
        <v>102</v>
      </c>
      <c r="D99" t="s">
        <v>177</v>
      </c>
      <c r="E99" t="s">
        <v>104</v>
      </c>
      <c r="F99" t="s">
        <v>16</v>
      </c>
      <c r="G99" t="s">
        <v>16</v>
      </c>
      <c r="H99" t="s">
        <v>105</v>
      </c>
      <c r="I99" s="2" t="s">
        <v>198</v>
      </c>
      <c r="J99" t="s">
        <v>199</v>
      </c>
      <c r="K99" t="s">
        <v>108</v>
      </c>
      <c r="L99" t="s">
        <v>176</v>
      </c>
      <c r="M99" t="s">
        <v>297</v>
      </c>
      <c r="N99" s="1"/>
      <c r="O99" s="1"/>
      <c r="P99" s="1">
        <v>45176</v>
      </c>
      <c r="Q99">
        <v>5</v>
      </c>
      <c r="R99">
        <v>5</v>
      </c>
      <c r="U99" t="s">
        <v>349</v>
      </c>
      <c r="V99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99" s="12" t="e">
        <f>_xlfn.XLOOKUP(Portefeuille_MNT_PPS_Access11[[#This Row],[Numéro projet]],Tableau5[Numéro projet],Tableau5[IND_Site_Prioritaire])</f>
        <v>#N/A</v>
      </c>
      <c r="X99" s="2" t="e">
        <f>_xlfn.XLOOKUP(Portefeuille_MNT_PPS_Access11[[#This Row],[Numéro projet]],Tableau5[Numéro projet],Tableau5[Critère Etat Infrastructure])</f>
        <v>#N/A</v>
      </c>
      <c r="Y99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99" s="2">
        <v>5</v>
      </c>
      <c r="AA99" s="63"/>
      <c r="AB99">
        <v>269</v>
      </c>
      <c r="AD99">
        <v>17</v>
      </c>
      <c r="AE99">
        <v>5</v>
      </c>
      <c r="AF99"/>
      <c r="AP99"/>
      <c r="AZ99" s="14">
        <f>SUM(Portefeuille_MNT_PPS_Access11[[#This Row],[AC ANT]:[TR 2034]])</f>
        <v>291</v>
      </c>
    </row>
    <row r="100" spans="1:52" x14ac:dyDescent="0.3">
      <c r="A100">
        <v>8</v>
      </c>
      <c r="B100" t="s">
        <v>101</v>
      </c>
      <c r="C100" t="s">
        <v>102</v>
      </c>
      <c r="D100" t="s">
        <v>103</v>
      </c>
      <c r="E100" t="s">
        <v>149</v>
      </c>
      <c r="F100" t="s">
        <v>16</v>
      </c>
      <c r="G100" t="s">
        <v>20</v>
      </c>
      <c r="H100" t="s">
        <v>105</v>
      </c>
      <c r="I100" t="s">
        <v>228</v>
      </c>
      <c r="J100" t="s">
        <v>229</v>
      </c>
      <c r="K100" t="s">
        <v>230</v>
      </c>
      <c r="L100" t="s">
        <v>148</v>
      </c>
      <c r="M100" t="s">
        <v>164</v>
      </c>
      <c r="N100" s="1">
        <v>45022</v>
      </c>
      <c r="O100" s="1">
        <v>45463</v>
      </c>
      <c r="P100" s="1">
        <v>45590</v>
      </c>
      <c r="Q100">
        <v>1</v>
      </c>
      <c r="R100">
        <v>5</v>
      </c>
      <c r="S100">
        <v>5</v>
      </c>
      <c r="T100">
        <v>5</v>
      </c>
      <c r="U100" t="s">
        <v>165</v>
      </c>
      <c r="V100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100" s="12" t="e">
        <f>_xlfn.XLOOKUP(Portefeuille_MNT_PPS_Access11[[#This Row],[Numéro projet]],Tableau5[Numéro projet],Tableau5[IND_Site_Prioritaire])</f>
        <v>#N/A</v>
      </c>
      <c r="X100" s="2" t="e">
        <f>_xlfn.XLOOKUP(Portefeuille_MNT_PPS_Access11[[#This Row],[Numéro projet]],Tableau5[Numéro projet],Tableau5[Critère Etat Infrastructure])</f>
        <v>#N/A</v>
      </c>
      <c r="Y10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0" s="2"/>
      <c r="AA100" s="63"/>
      <c r="AB100">
        <v>61</v>
      </c>
      <c r="AD100">
        <v>21</v>
      </c>
      <c r="AF100">
        <v>580</v>
      </c>
      <c r="AG100">
        <v>11581</v>
      </c>
      <c r="AP100"/>
      <c r="AZ100" s="14">
        <f>SUM(Portefeuille_MNT_PPS_Access11[[#This Row],[AC ANT]:[TR 2034]])</f>
        <v>12243</v>
      </c>
    </row>
    <row r="101" spans="1:52" x14ac:dyDescent="0.3">
      <c r="B101" t="s">
        <v>126</v>
      </c>
      <c r="C101" t="s">
        <v>127</v>
      </c>
      <c r="D101" t="s">
        <v>136</v>
      </c>
      <c r="E101" t="s">
        <v>113</v>
      </c>
      <c r="F101" t="s">
        <v>16</v>
      </c>
      <c r="G101" t="s">
        <v>20</v>
      </c>
      <c r="H101" t="s">
        <v>131</v>
      </c>
      <c r="I101" t="s">
        <v>226</v>
      </c>
      <c r="J101" t="s">
        <v>227</v>
      </c>
      <c r="K101" t="s">
        <v>139</v>
      </c>
      <c r="L101" t="s">
        <v>184</v>
      </c>
      <c r="M101" t="s">
        <v>110</v>
      </c>
      <c r="N101" s="1">
        <v>45330</v>
      </c>
      <c r="O101" s="1">
        <v>45960</v>
      </c>
      <c r="P101" s="1">
        <v>46625</v>
      </c>
      <c r="Q101">
        <v>1</v>
      </c>
      <c r="R101">
        <v>1</v>
      </c>
      <c r="S101">
        <v>1</v>
      </c>
      <c r="T101">
        <v>5</v>
      </c>
      <c r="U101" t="s">
        <v>112</v>
      </c>
      <c r="V10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3</v>
      </c>
      <c r="W101" s="12" t="e">
        <f>_xlfn.XLOOKUP(Portefeuille_MNT_PPS_Access11[[#This Row],[Numéro projet]],Tableau5[Numéro projet],Tableau5[IND_Site_Prioritaire])</f>
        <v>#N/A</v>
      </c>
      <c r="X101" s="2" t="e">
        <f>_xlfn.XLOOKUP(Portefeuille_MNT_PPS_Access11[[#This Row],[Numéro projet]],Tableau5[Numéro projet],Tableau5[Critère Etat Infrastructure])</f>
        <v>#N/A</v>
      </c>
      <c r="Y10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1" s="2"/>
      <c r="AA101" s="63"/>
      <c r="AB101">
        <v>44</v>
      </c>
      <c r="AD101">
        <v>45</v>
      </c>
      <c r="AF101">
        <v>100</v>
      </c>
      <c r="AH101">
        <v>288</v>
      </c>
      <c r="AJ101">
        <v>475</v>
      </c>
      <c r="AL101">
        <v>475</v>
      </c>
      <c r="AN101">
        <v>573</v>
      </c>
      <c r="AP101">
        <v>1000</v>
      </c>
      <c r="AQ101">
        <v>4362</v>
      </c>
      <c r="AR101">
        <v>1077</v>
      </c>
      <c r="AS101">
        <v>12800</v>
      </c>
      <c r="AZ101" s="14">
        <f>SUM(Portefeuille_MNT_PPS_Access11[[#This Row],[AC ANT]:[TR 2034]])</f>
        <v>21239</v>
      </c>
    </row>
    <row r="102" spans="1:52" x14ac:dyDescent="0.3">
      <c r="B102" t="s">
        <v>118</v>
      </c>
      <c r="C102" t="s">
        <v>102</v>
      </c>
      <c r="D102" t="s">
        <v>136</v>
      </c>
      <c r="F102" t="s">
        <v>130</v>
      </c>
      <c r="G102" t="s">
        <v>20</v>
      </c>
      <c r="H102" t="s">
        <v>105</v>
      </c>
      <c r="I102" t="s">
        <v>364</v>
      </c>
      <c r="J102" t="s">
        <v>365</v>
      </c>
      <c r="K102" t="s">
        <v>205</v>
      </c>
      <c r="L102" t="s">
        <v>184</v>
      </c>
      <c r="M102" t="s">
        <v>291</v>
      </c>
      <c r="N102" s="1"/>
      <c r="O102" s="1"/>
      <c r="P102" s="1"/>
      <c r="Q102">
        <v>1</v>
      </c>
      <c r="U102" t="s">
        <v>311</v>
      </c>
      <c r="V10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2" s="12" t="e">
        <f>_xlfn.XLOOKUP(Portefeuille_MNT_PPS_Access11[[#This Row],[Numéro projet]],Tableau5[Numéro projet],Tableau5[IND_Site_Prioritaire])</f>
        <v>#N/A</v>
      </c>
      <c r="X102" s="2" t="e">
        <f>_xlfn.XLOOKUP(Portefeuille_MNT_PPS_Access11[[#This Row],[Numéro projet]],Tableau5[Numéro projet],Tableau5[Critère Etat Infrastructure])</f>
        <v>#N/A</v>
      </c>
      <c r="Y10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2" s="2"/>
      <c r="AA102" s="62"/>
      <c r="AF102"/>
      <c r="AL102">
        <v>200</v>
      </c>
      <c r="AN102">
        <v>250</v>
      </c>
      <c r="AP102">
        <v>400</v>
      </c>
      <c r="AQ102">
        <v>4500</v>
      </c>
      <c r="AR102">
        <v>400</v>
      </c>
      <c r="AS102">
        <v>14000</v>
      </c>
      <c r="AZ102" s="14">
        <f>SUM(Portefeuille_MNT_PPS_Access11[[#This Row],[AC ANT]:[TR 2034]])</f>
        <v>19750</v>
      </c>
    </row>
    <row r="103" spans="1:52" x14ac:dyDescent="0.3">
      <c r="B103" t="s">
        <v>101</v>
      </c>
      <c r="C103" t="s">
        <v>102</v>
      </c>
      <c r="D103" t="s">
        <v>136</v>
      </c>
      <c r="E103" t="s">
        <v>149</v>
      </c>
      <c r="F103" t="s">
        <v>130</v>
      </c>
      <c r="G103" t="s">
        <v>20</v>
      </c>
      <c r="H103" t="s">
        <v>105</v>
      </c>
      <c r="I103" t="s">
        <v>366</v>
      </c>
      <c r="J103" t="s">
        <v>367</v>
      </c>
      <c r="K103" t="s">
        <v>316</v>
      </c>
      <c r="L103" t="s">
        <v>184</v>
      </c>
      <c r="M103" t="s">
        <v>155</v>
      </c>
      <c r="N103" s="1">
        <v>46157</v>
      </c>
      <c r="O103" s="1">
        <v>46645</v>
      </c>
      <c r="P103" s="1">
        <v>47011</v>
      </c>
      <c r="Q103">
        <v>1</v>
      </c>
      <c r="R103">
        <v>1</v>
      </c>
      <c r="S103">
        <v>1</v>
      </c>
      <c r="T103">
        <v>1</v>
      </c>
      <c r="U103" t="s">
        <v>156</v>
      </c>
      <c r="V10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103" s="12" t="e">
        <f>_xlfn.XLOOKUP(Portefeuille_MNT_PPS_Access11[[#This Row],[Numéro projet]],Tableau5[Numéro projet],Tableau5[IND_Site_Prioritaire])</f>
        <v>#N/A</v>
      </c>
      <c r="X103" s="2" t="e">
        <f>_xlfn.XLOOKUP(Portefeuille_MNT_PPS_Access11[[#This Row],[Numéro projet]],Tableau5[Numéro projet],Tableau5[Critère Etat Infrastructure])</f>
        <v>#N/A</v>
      </c>
      <c r="Y10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3" s="2"/>
      <c r="AA103" s="63"/>
      <c r="AF103"/>
      <c r="AJ103">
        <v>430</v>
      </c>
      <c r="AL103">
        <v>600</v>
      </c>
      <c r="AN103">
        <v>670</v>
      </c>
      <c r="AP103">
        <v>600</v>
      </c>
      <c r="AQ103">
        <v>5000</v>
      </c>
      <c r="AT103">
        <v>500</v>
      </c>
      <c r="AU103">
        <v>4700</v>
      </c>
      <c r="AV103">
        <v>600</v>
      </c>
      <c r="AW103">
        <v>5000</v>
      </c>
      <c r="AX103">
        <v>600</v>
      </c>
      <c r="AY103">
        <v>5000</v>
      </c>
      <c r="AZ103" s="14">
        <f>SUM(Portefeuille_MNT_PPS_Access11[[#This Row],[AC ANT]:[TR 2034]])</f>
        <v>23700</v>
      </c>
    </row>
    <row r="104" spans="1:52" x14ac:dyDescent="0.3">
      <c r="B104" t="s">
        <v>118</v>
      </c>
      <c r="C104" t="s">
        <v>102</v>
      </c>
      <c r="D104" t="s">
        <v>136</v>
      </c>
      <c r="E104" t="s">
        <v>129</v>
      </c>
      <c r="F104" t="s">
        <v>325</v>
      </c>
      <c r="G104" t="s">
        <v>16</v>
      </c>
      <c r="H104" t="s">
        <v>131</v>
      </c>
      <c r="I104" t="s">
        <v>347</v>
      </c>
      <c r="J104" t="s">
        <v>348</v>
      </c>
      <c r="K104" t="s">
        <v>214</v>
      </c>
      <c r="L104" t="s">
        <v>176</v>
      </c>
      <c r="M104" t="s">
        <v>297</v>
      </c>
      <c r="N104" s="1"/>
      <c r="O104" s="1"/>
      <c r="P104" s="1">
        <v>45037</v>
      </c>
      <c r="Q104">
        <v>1</v>
      </c>
      <c r="R104">
        <v>5</v>
      </c>
      <c r="U104" t="s">
        <v>349</v>
      </c>
      <c r="V104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104" s="12" t="e">
        <f>_xlfn.XLOOKUP(Portefeuille_MNT_PPS_Access11[[#This Row],[Numéro projet]],Tableau5[Numéro projet],Tableau5[IND_Site_Prioritaire])</f>
        <v>#N/A</v>
      </c>
      <c r="X104" s="2" t="e">
        <f>_xlfn.XLOOKUP(Portefeuille_MNT_PPS_Access11[[#This Row],[Numéro projet]],Tableau5[Numéro projet],Tableau5[Critère Etat Infrastructure])</f>
        <v>#N/A</v>
      </c>
      <c r="Y104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104" s="2">
        <v>5</v>
      </c>
      <c r="AA104" s="63"/>
      <c r="AC104">
        <v>36</v>
      </c>
      <c r="AE104">
        <v>4</v>
      </c>
      <c r="AF104"/>
      <c r="AP104"/>
      <c r="AZ104" s="14">
        <f>SUM(Portefeuille_MNT_PPS_Access11[[#This Row],[AC ANT]:[TR 2034]])</f>
        <v>40</v>
      </c>
    </row>
    <row r="105" spans="1:52" x14ac:dyDescent="0.3">
      <c r="B105" t="s">
        <v>101</v>
      </c>
      <c r="C105" t="s">
        <v>102</v>
      </c>
      <c r="D105" t="s">
        <v>136</v>
      </c>
      <c r="E105" t="s">
        <v>104</v>
      </c>
      <c r="F105" t="s">
        <v>20</v>
      </c>
      <c r="G105" t="s">
        <v>20</v>
      </c>
      <c r="H105" t="s">
        <v>105</v>
      </c>
      <c r="I105" t="s">
        <v>368</v>
      </c>
      <c r="J105" t="s">
        <v>369</v>
      </c>
      <c r="K105" t="s">
        <v>217</v>
      </c>
      <c r="L105" t="s">
        <v>370</v>
      </c>
      <c r="M105" t="s">
        <v>291</v>
      </c>
      <c r="N105" s="1"/>
      <c r="O105" s="1"/>
      <c r="P105" s="1"/>
      <c r="Q105">
        <v>1</v>
      </c>
      <c r="U105" t="s">
        <v>311</v>
      </c>
      <c r="V10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5" s="12" t="e">
        <f>_xlfn.XLOOKUP(Portefeuille_MNT_PPS_Access11[[#This Row],[Numéro projet]],Tableau5[Numéro projet],Tableau5[IND_Site_Prioritaire])</f>
        <v>#N/A</v>
      </c>
      <c r="X105" s="2" t="e">
        <f>_xlfn.XLOOKUP(Portefeuille_MNT_PPS_Access11[[#This Row],[Numéro projet]],Tableau5[Numéro projet],Tableau5[Critère Etat Infrastructure])</f>
        <v>#N/A</v>
      </c>
      <c r="Y10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5" s="2"/>
      <c r="AA105" s="62"/>
      <c r="AF105"/>
      <c r="AH105">
        <v>250</v>
      </c>
      <c r="AJ105">
        <v>250</v>
      </c>
      <c r="AN105">
        <v>100</v>
      </c>
      <c r="AP105">
        <v>100</v>
      </c>
      <c r="AR105">
        <v>200</v>
      </c>
      <c r="AS105">
        <v>4700</v>
      </c>
      <c r="AT105">
        <v>500</v>
      </c>
      <c r="AU105">
        <v>3500</v>
      </c>
      <c r="AV105">
        <v>500</v>
      </c>
      <c r="AW105">
        <v>5700</v>
      </c>
      <c r="AX105">
        <v>500</v>
      </c>
      <c r="AY105">
        <v>5000</v>
      </c>
      <c r="AZ105" s="14">
        <f>SUM(Portefeuille_MNT_PPS_Access11[[#This Row],[AC ANT]:[TR 2034]])</f>
        <v>21300</v>
      </c>
    </row>
    <row r="106" spans="1:52" x14ac:dyDescent="0.3">
      <c r="B106" t="s">
        <v>118</v>
      </c>
      <c r="C106" t="s">
        <v>102</v>
      </c>
      <c r="D106" t="s">
        <v>103</v>
      </c>
      <c r="F106" t="s">
        <v>20</v>
      </c>
      <c r="G106" t="s">
        <v>20</v>
      </c>
      <c r="H106" t="s">
        <v>131</v>
      </c>
      <c r="I106" t="s">
        <v>371</v>
      </c>
      <c r="J106" t="s">
        <v>372</v>
      </c>
      <c r="K106" t="s">
        <v>152</v>
      </c>
      <c r="L106" t="s">
        <v>184</v>
      </c>
      <c r="M106" t="s">
        <v>291</v>
      </c>
      <c r="N106" s="1"/>
      <c r="O106" s="1"/>
      <c r="P106" s="1"/>
      <c r="Q106">
        <v>1</v>
      </c>
      <c r="U106" t="s">
        <v>311</v>
      </c>
      <c r="V10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6" s="12" t="e">
        <f>_xlfn.XLOOKUP(Portefeuille_MNT_PPS_Access11[[#This Row],[Numéro projet]],Tableau5[Numéro projet],Tableau5[IND_Site_Prioritaire])</f>
        <v>#N/A</v>
      </c>
      <c r="X106" s="2" t="e">
        <f>_xlfn.XLOOKUP(Portefeuille_MNT_PPS_Access11[[#This Row],[Numéro projet]],Tableau5[Numéro projet],Tableau5[Critère Etat Infrastructure])</f>
        <v>#N/A</v>
      </c>
      <c r="Y10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6" s="2"/>
      <c r="AA106" s="63"/>
      <c r="AF106"/>
      <c r="AL106">
        <v>100</v>
      </c>
      <c r="AN106">
        <v>200</v>
      </c>
      <c r="AP106">
        <v>250</v>
      </c>
      <c r="AQ106">
        <v>7500</v>
      </c>
      <c r="AZ106" s="14">
        <f>SUM(Portefeuille_MNT_PPS_Access11[[#This Row],[AC ANT]:[TR 2034]])</f>
        <v>8050</v>
      </c>
    </row>
    <row r="107" spans="1:52" x14ac:dyDescent="0.3">
      <c r="B107" t="s">
        <v>118</v>
      </c>
      <c r="C107" t="s">
        <v>102</v>
      </c>
      <c r="D107" t="s">
        <v>103</v>
      </c>
      <c r="F107" t="s">
        <v>20</v>
      </c>
      <c r="G107" t="s">
        <v>20</v>
      </c>
      <c r="H107" t="s">
        <v>131</v>
      </c>
      <c r="I107" t="s">
        <v>403</v>
      </c>
      <c r="J107" t="s">
        <v>404</v>
      </c>
      <c r="K107" t="s">
        <v>214</v>
      </c>
      <c r="L107" t="s">
        <v>169</v>
      </c>
      <c r="M107" t="s">
        <v>291</v>
      </c>
      <c r="N107" s="1"/>
      <c r="O107" s="1"/>
      <c r="P107" s="1"/>
      <c r="Q107">
        <v>1</v>
      </c>
      <c r="U107" t="s">
        <v>311</v>
      </c>
      <c r="V10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7" s="12" t="e">
        <f>_xlfn.XLOOKUP(Portefeuille_MNT_PPS_Access11[[#This Row],[Numéro projet]],Tableau5[Numéro projet],Tableau5[IND_Site_Prioritaire])</f>
        <v>#N/A</v>
      </c>
      <c r="X107" s="2" t="e">
        <f>_xlfn.XLOOKUP(Portefeuille_MNT_PPS_Access11[[#This Row],[Numéro projet]],Tableau5[Numéro projet],Tableau5[Critère Etat Infrastructure])</f>
        <v>#N/A</v>
      </c>
      <c r="Y10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7" s="2"/>
      <c r="AA107" s="63"/>
      <c r="AF107"/>
      <c r="AL107">
        <v>200</v>
      </c>
      <c r="AN107">
        <v>200</v>
      </c>
      <c r="AO107">
        <v>10500</v>
      </c>
      <c r="AP107"/>
      <c r="AZ107" s="14">
        <f>SUM(Portefeuille_MNT_PPS_Access11[[#This Row],[AC ANT]:[TR 2034]])</f>
        <v>10900</v>
      </c>
    </row>
    <row r="108" spans="1:52" x14ac:dyDescent="0.3">
      <c r="B108" t="s">
        <v>101</v>
      </c>
      <c r="C108" t="s">
        <v>102</v>
      </c>
      <c r="D108" t="s">
        <v>103</v>
      </c>
      <c r="F108" t="s">
        <v>20</v>
      </c>
      <c r="G108" t="s">
        <v>20</v>
      </c>
      <c r="H108" t="s">
        <v>131</v>
      </c>
      <c r="I108" t="s">
        <v>379</v>
      </c>
      <c r="J108" t="s">
        <v>380</v>
      </c>
      <c r="K108" t="s">
        <v>134</v>
      </c>
      <c r="L108" t="s">
        <v>392</v>
      </c>
      <c r="M108" t="s">
        <v>291</v>
      </c>
      <c r="N108" s="1"/>
      <c r="O108" s="1"/>
      <c r="P108" s="1"/>
      <c r="Q108">
        <v>1</v>
      </c>
      <c r="U108" t="s">
        <v>311</v>
      </c>
      <c r="V10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8" s="12" t="e">
        <f>_xlfn.XLOOKUP(Portefeuille_MNT_PPS_Access11[[#This Row],[Numéro projet]],Tableau5[Numéro projet],Tableau5[IND_Site_Prioritaire])</f>
        <v>#N/A</v>
      </c>
      <c r="X108" s="2" t="e">
        <f>_xlfn.XLOOKUP(Portefeuille_MNT_PPS_Access11[[#This Row],[Numéro projet]],Tableau5[Numéro projet],Tableau5[Critère Etat Infrastructure])</f>
        <v>#N/A</v>
      </c>
      <c r="Y10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8" s="2"/>
      <c r="AA108" s="63"/>
      <c r="AF108"/>
      <c r="AP108"/>
      <c r="AT108">
        <v>150</v>
      </c>
      <c r="AV108">
        <v>250</v>
      </c>
      <c r="AW108">
        <v>5000</v>
      </c>
      <c r="AZ108" s="14">
        <f>SUM(Portefeuille_MNT_PPS_Access11[[#This Row],[AC ANT]:[TR 2034]])</f>
        <v>5400</v>
      </c>
    </row>
    <row r="109" spans="1:52" x14ac:dyDescent="0.3">
      <c r="B109" t="s">
        <v>101</v>
      </c>
      <c r="C109" t="s">
        <v>102</v>
      </c>
      <c r="D109" t="s">
        <v>103</v>
      </c>
      <c r="F109" t="s">
        <v>20</v>
      </c>
      <c r="G109" t="s">
        <v>20</v>
      </c>
      <c r="H109" t="s">
        <v>131</v>
      </c>
      <c r="I109" t="s">
        <v>383</v>
      </c>
      <c r="J109" t="s">
        <v>384</v>
      </c>
      <c r="K109" t="s">
        <v>183</v>
      </c>
      <c r="L109" t="s">
        <v>184</v>
      </c>
      <c r="M109" t="s">
        <v>291</v>
      </c>
      <c r="N109" s="1"/>
      <c r="O109" s="1"/>
      <c r="P109" s="1"/>
      <c r="Q109">
        <v>1</v>
      </c>
      <c r="U109" t="s">
        <v>311</v>
      </c>
      <c r="V10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09" s="12" t="e">
        <f>_xlfn.XLOOKUP(Portefeuille_MNT_PPS_Access11[[#This Row],[Numéro projet]],Tableau5[Numéro projet],Tableau5[IND_Site_Prioritaire])</f>
        <v>#N/A</v>
      </c>
      <c r="X109" s="2" t="e">
        <f>_xlfn.XLOOKUP(Portefeuille_MNT_PPS_Access11[[#This Row],[Numéro projet]],Tableau5[Numéro projet],Tableau5[Critère Etat Infrastructure])</f>
        <v>#N/A</v>
      </c>
      <c r="Y10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09" s="2"/>
      <c r="AA109" s="63"/>
      <c r="AF109"/>
      <c r="AN109">
        <v>150</v>
      </c>
      <c r="AP109">
        <v>250</v>
      </c>
      <c r="AQ109">
        <v>5000</v>
      </c>
      <c r="AZ109" s="14">
        <f>SUM(Portefeuille_MNT_PPS_Access11[[#This Row],[AC ANT]:[TR 2034]])</f>
        <v>5400</v>
      </c>
    </row>
    <row r="110" spans="1:52" x14ac:dyDescent="0.3">
      <c r="B110" t="s">
        <v>118</v>
      </c>
      <c r="C110" t="s">
        <v>102</v>
      </c>
      <c r="D110" t="s">
        <v>136</v>
      </c>
      <c r="E110" t="s">
        <v>104</v>
      </c>
      <c r="F110" t="s">
        <v>130</v>
      </c>
      <c r="G110" t="s">
        <v>20</v>
      </c>
      <c r="H110" t="s">
        <v>131</v>
      </c>
      <c r="I110" t="s">
        <v>373</v>
      </c>
      <c r="J110" t="s">
        <v>374</v>
      </c>
      <c r="K110" t="s">
        <v>159</v>
      </c>
      <c r="L110" t="s">
        <v>169</v>
      </c>
      <c r="M110" t="s">
        <v>155</v>
      </c>
      <c r="N110" s="1">
        <v>45915</v>
      </c>
      <c r="O110" s="1">
        <v>46280</v>
      </c>
      <c r="P110" s="1">
        <v>46645</v>
      </c>
      <c r="Q110">
        <v>1</v>
      </c>
      <c r="R110">
        <v>1</v>
      </c>
      <c r="S110">
        <v>1</v>
      </c>
      <c r="T110">
        <v>1</v>
      </c>
      <c r="U110" t="s">
        <v>156</v>
      </c>
      <c r="V11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110" s="12" t="e">
        <f>_xlfn.XLOOKUP(Portefeuille_MNT_PPS_Access11[[#This Row],[Numéro projet]],Tableau5[Numéro projet],Tableau5[IND_Site_Prioritaire])</f>
        <v>#N/A</v>
      </c>
      <c r="X110" s="2" t="e">
        <f>_xlfn.XLOOKUP(Portefeuille_MNT_PPS_Access11[[#This Row],[Numéro projet]],Tableau5[Numéro projet],Tableau5[Critère Etat Infrastructure])</f>
        <v>#N/A</v>
      </c>
      <c r="Y11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0" s="2"/>
      <c r="AA110" s="63"/>
      <c r="AF110"/>
      <c r="AH110">
        <v>50</v>
      </c>
      <c r="AJ110">
        <v>50</v>
      </c>
      <c r="AL110">
        <v>100</v>
      </c>
      <c r="AN110">
        <v>200</v>
      </c>
      <c r="AO110">
        <v>3000</v>
      </c>
      <c r="AP110"/>
      <c r="AZ110" s="14">
        <f>SUM(Portefeuille_MNT_PPS_Access11[[#This Row],[AC ANT]:[TR 2034]])</f>
        <v>3400</v>
      </c>
    </row>
    <row r="111" spans="1:52" x14ac:dyDescent="0.3">
      <c r="A111">
        <v>10</v>
      </c>
      <c r="B111" t="s">
        <v>118</v>
      </c>
      <c r="C111" t="s">
        <v>102</v>
      </c>
      <c r="D111" t="s">
        <v>119</v>
      </c>
      <c r="E111" t="s">
        <v>113</v>
      </c>
      <c r="F111" t="s">
        <v>20</v>
      </c>
      <c r="G111" t="s">
        <v>20</v>
      </c>
      <c r="H111" t="s">
        <v>105</v>
      </c>
      <c r="I111" t="s">
        <v>120</v>
      </c>
      <c r="J111" t="s">
        <v>289</v>
      </c>
      <c r="K111" t="s">
        <v>122</v>
      </c>
      <c r="L111" s="2" t="s">
        <v>148</v>
      </c>
      <c r="M111" t="s">
        <v>291</v>
      </c>
      <c r="N111" s="1"/>
      <c r="O111" s="1"/>
      <c r="P111" s="1">
        <v>45731</v>
      </c>
      <c r="Q111">
        <v>1</v>
      </c>
      <c r="R111">
        <v>1</v>
      </c>
      <c r="U111" t="s">
        <v>311</v>
      </c>
      <c r="V11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1" s="12" t="e">
        <f>_xlfn.XLOOKUP(Portefeuille_MNT_PPS_Access11[[#This Row],[Numéro projet]],Tableau5[Numéro projet],Tableau5[IND_Site_Prioritaire])</f>
        <v>#N/A</v>
      </c>
      <c r="X111" s="2" t="e">
        <f>_xlfn.XLOOKUP(Portefeuille_MNT_PPS_Access11[[#This Row],[Numéro projet]],Tableau5[Numéro projet],Tableau5[Critère Etat Infrastructure])</f>
        <v>#N/A</v>
      </c>
      <c r="Y11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1" s="2"/>
      <c r="AA111" s="63"/>
      <c r="AF111">
        <v>322</v>
      </c>
      <c r="AG111">
        <v>1000</v>
      </c>
      <c r="AP111"/>
      <c r="AZ111" s="14">
        <f>SUM(Portefeuille_MNT_PPS_Access11[[#This Row],[AC ANT]:[TR 2034]])</f>
        <v>1322</v>
      </c>
    </row>
    <row r="112" spans="1:52" x14ac:dyDescent="0.3">
      <c r="B112" t="s">
        <v>118</v>
      </c>
      <c r="C112" t="s">
        <v>102</v>
      </c>
      <c r="D112" t="s">
        <v>136</v>
      </c>
      <c r="E112" t="s">
        <v>129</v>
      </c>
      <c r="F112" t="s">
        <v>130</v>
      </c>
      <c r="G112" t="s">
        <v>20</v>
      </c>
      <c r="H112" t="s">
        <v>131</v>
      </c>
      <c r="I112" t="s">
        <v>405</v>
      </c>
      <c r="J112" t="s">
        <v>406</v>
      </c>
      <c r="K112" t="s">
        <v>152</v>
      </c>
      <c r="L112" t="s">
        <v>169</v>
      </c>
      <c r="M112" t="s">
        <v>155</v>
      </c>
      <c r="N112" s="1">
        <v>45898</v>
      </c>
      <c r="O112" s="1">
        <v>46427</v>
      </c>
      <c r="P112" s="1">
        <v>46813</v>
      </c>
      <c r="Q112">
        <v>1</v>
      </c>
      <c r="R112">
        <v>1</v>
      </c>
      <c r="S112">
        <v>1</v>
      </c>
      <c r="T112">
        <v>1</v>
      </c>
      <c r="U112" t="s">
        <v>156</v>
      </c>
      <c r="V11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112" s="12" t="e">
        <f>_xlfn.XLOOKUP(Portefeuille_MNT_PPS_Access11[[#This Row],[Numéro projet]],Tableau5[Numéro projet],Tableau5[IND_Site_Prioritaire])</f>
        <v>#N/A</v>
      </c>
      <c r="X112" s="2" t="e">
        <f>_xlfn.XLOOKUP(Portefeuille_MNT_PPS_Access11[[#This Row],[Numéro projet]],Tableau5[Numéro projet],Tableau5[Critère Etat Infrastructure])</f>
        <v>#N/A</v>
      </c>
      <c r="Y11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2" s="2"/>
      <c r="AA112" s="63"/>
      <c r="AF112"/>
      <c r="AH112">
        <v>150</v>
      </c>
      <c r="AJ112">
        <v>200</v>
      </c>
      <c r="AL112">
        <v>200</v>
      </c>
      <c r="AN112">
        <v>500</v>
      </c>
      <c r="AO112">
        <v>2500</v>
      </c>
      <c r="AP112">
        <v>850</v>
      </c>
      <c r="AQ112">
        <v>13000</v>
      </c>
      <c r="AZ112" s="14">
        <f>SUM(Portefeuille_MNT_PPS_Access11[[#This Row],[AC ANT]:[TR 2034]])</f>
        <v>17400</v>
      </c>
    </row>
    <row r="113" spans="2:52" x14ac:dyDescent="0.3">
      <c r="B113" t="s">
        <v>118</v>
      </c>
      <c r="C113" t="s">
        <v>102</v>
      </c>
      <c r="D113" t="s">
        <v>242</v>
      </c>
      <c r="E113" t="s">
        <v>129</v>
      </c>
      <c r="F113" t="s">
        <v>20</v>
      </c>
      <c r="G113" t="s">
        <v>20</v>
      </c>
      <c r="H113" t="s">
        <v>131</v>
      </c>
      <c r="I113" t="s">
        <v>409</v>
      </c>
      <c r="J113" t="s">
        <v>410</v>
      </c>
      <c r="K113" t="s">
        <v>411</v>
      </c>
      <c r="L113" t="s">
        <v>169</v>
      </c>
      <c r="M113" t="s">
        <v>291</v>
      </c>
      <c r="N113" s="1"/>
      <c r="O113" s="1"/>
      <c r="P113" s="1"/>
      <c r="Q113">
        <v>1</v>
      </c>
      <c r="U113" t="s">
        <v>311</v>
      </c>
      <c r="V11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3" s="12" t="e">
        <f>_xlfn.XLOOKUP(Portefeuille_MNT_PPS_Access11[[#This Row],[Numéro projet]],Tableau5[Numéro projet],Tableau5[IND_Site_Prioritaire])</f>
        <v>#N/A</v>
      </c>
      <c r="X113" s="2" t="e">
        <f>_xlfn.XLOOKUP(Portefeuille_MNT_PPS_Access11[[#This Row],[Numéro projet]],Tableau5[Numéro projet],Tableau5[Critère Etat Infrastructure])</f>
        <v>#N/A</v>
      </c>
      <c r="Y11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3" s="2"/>
      <c r="AA113" s="63"/>
      <c r="AF113"/>
      <c r="AJ113">
        <v>150</v>
      </c>
      <c r="AL113">
        <v>150</v>
      </c>
      <c r="AN113">
        <v>250</v>
      </c>
      <c r="AO113">
        <v>2000</v>
      </c>
      <c r="AP113"/>
      <c r="AZ113" s="14">
        <f>SUM(Portefeuille_MNT_PPS_Access11[[#This Row],[AC ANT]:[TR 2034]])</f>
        <v>2550</v>
      </c>
    </row>
    <row r="114" spans="2:52" x14ac:dyDescent="0.3">
      <c r="B114" t="s">
        <v>118</v>
      </c>
      <c r="C114" t="s">
        <v>102</v>
      </c>
      <c r="D114" t="s">
        <v>242</v>
      </c>
      <c r="E114" t="s">
        <v>129</v>
      </c>
      <c r="F114" t="s">
        <v>20</v>
      </c>
      <c r="G114" t="s">
        <v>20</v>
      </c>
      <c r="H114" t="s">
        <v>131</v>
      </c>
      <c r="I114" t="s">
        <v>412</v>
      </c>
      <c r="J114" t="s">
        <v>413</v>
      </c>
      <c r="K114" t="s">
        <v>414</v>
      </c>
      <c r="L114" t="s">
        <v>184</v>
      </c>
      <c r="M114" t="s">
        <v>291</v>
      </c>
      <c r="N114" s="1"/>
      <c r="O114" s="1"/>
      <c r="P114" s="1"/>
      <c r="Q114">
        <v>1</v>
      </c>
      <c r="U114" t="s">
        <v>311</v>
      </c>
      <c r="V11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4" s="12" t="e">
        <f>_xlfn.XLOOKUP(Portefeuille_MNT_PPS_Access11[[#This Row],[Numéro projet]],Tableau5[Numéro projet],Tableau5[IND_Site_Prioritaire])</f>
        <v>#N/A</v>
      </c>
      <c r="X114" s="2" t="e">
        <f>_xlfn.XLOOKUP(Portefeuille_MNT_PPS_Access11[[#This Row],[Numéro projet]],Tableau5[Numéro projet],Tableau5[Critère Etat Infrastructure])</f>
        <v>#N/A</v>
      </c>
      <c r="Y11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4" s="2"/>
      <c r="AA114" s="63"/>
      <c r="AF114"/>
      <c r="AL114">
        <v>150</v>
      </c>
      <c r="AN114">
        <v>150</v>
      </c>
      <c r="AP114">
        <v>250</v>
      </c>
      <c r="AQ114">
        <v>2000</v>
      </c>
      <c r="AZ114" s="14">
        <f>SUM(Portefeuille_MNT_PPS_Access11[[#This Row],[AC ANT]:[TR 2034]])</f>
        <v>2550</v>
      </c>
    </row>
    <row r="115" spans="2:52" x14ac:dyDescent="0.3">
      <c r="B115" t="s">
        <v>118</v>
      </c>
      <c r="C115" t="s">
        <v>102</v>
      </c>
      <c r="D115" t="s">
        <v>242</v>
      </c>
      <c r="E115" t="s">
        <v>129</v>
      </c>
      <c r="F115" t="s">
        <v>20</v>
      </c>
      <c r="G115" t="s">
        <v>20</v>
      </c>
      <c r="H115" t="s">
        <v>131</v>
      </c>
      <c r="I115" t="s">
        <v>415</v>
      </c>
      <c r="J115" t="s">
        <v>416</v>
      </c>
      <c r="K115" t="s">
        <v>417</v>
      </c>
      <c r="L115" t="s">
        <v>169</v>
      </c>
      <c r="M115" t="s">
        <v>291</v>
      </c>
      <c r="N115" s="1"/>
      <c r="O115" s="1"/>
      <c r="P115" s="1"/>
      <c r="Q115">
        <v>1</v>
      </c>
      <c r="U115" t="s">
        <v>311</v>
      </c>
      <c r="V11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5" s="12" t="e">
        <f>_xlfn.XLOOKUP(Portefeuille_MNT_PPS_Access11[[#This Row],[Numéro projet]],Tableau5[Numéro projet],Tableau5[IND_Site_Prioritaire])</f>
        <v>#N/A</v>
      </c>
      <c r="X115" s="2" t="e">
        <f>_xlfn.XLOOKUP(Portefeuille_MNT_PPS_Access11[[#This Row],[Numéro projet]],Tableau5[Numéro projet],Tableau5[Critère Etat Infrastructure])</f>
        <v>#N/A</v>
      </c>
      <c r="Y11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5" s="2"/>
      <c r="AA115" s="63"/>
      <c r="AF115"/>
      <c r="AJ115">
        <v>150</v>
      </c>
      <c r="AL115">
        <v>150</v>
      </c>
      <c r="AN115">
        <v>250</v>
      </c>
      <c r="AO115">
        <v>2000</v>
      </c>
      <c r="AP115"/>
      <c r="AZ115" s="14">
        <f>SUM(Portefeuille_MNT_PPS_Access11[[#This Row],[AC ANT]:[TR 2034]])</f>
        <v>2550</v>
      </c>
    </row>
    <row r="116" spans="2:52" x14ac:dyDescent="0.3">
      <c r="B116" t="s">
        <v>101</v>
      </c>
      <c r="C116" t="s">
        <v>102</v>
      </c>
      <c r="D116" t="s">
        <v>103</v>
      </c>
      <c r="F116" t="s">
        <v>20</v>
      </c>
      <c r="G116" t="s">
        <v>20</v>
      </c>
      <c r="H116" t="s">
        <v>105</v>
      </c>
      <c r="I116" t="s">
        <v>398</v>
      </c>
      <c r="J116" t="s">
        <v>399</v>
      </c>
      <c r="K116" t="s">
        <v>172</v>
      </c>
      <c r="L116" t="s">
        <v>169</v>
      </c>
      <c r="M116" t="s">
        <v>291</v>
      </c>
      <c r="N116" s="1"/>
      <c r="O116" s="1"/>
      <c r="P116" s="1"/>
      <c r="Q116">
        <v>1</v>
      </c>
      <c r="U116" t="s">
        <v>311</v>
      </c>
      <c r="V11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6" s="12" t="e">
        <f>_xlfn.XLOOKUP(Portefeuille_MNT_PPS_Access11[[#This Row],[Numéro projet]],Tableau5[Numéro projet],Tableau5[IND_Site_Prioritaire])</f>
        <v>#N/A</v>
      </c>
      <c r="X116" s="2" t="e">
        <f>_xlfn.XLOOKUP(Portefeuille_MNT_PPS_Access11[[#This Row],[Numéro projet]],Tableau5[Numéro projet],Tableau5[Critère Etat Infrastructure])</f>
        <v>#N/A</v>
      </c>
      <c r="Y11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6" s="2"/>
      <c r="AA116" s="62"/>
      <c r="AF116"/>
      <c r="AL116">
        <v>100</v>
      </c>
      <c r="AN116">
        <v>250</v>
      </c>
      <c r="AO116">
        <v>5000</v>
      </c>
      <c r="AP116"/>
      <c r="AZ116" s="14">
        <f>SUM(Portefeuille_MNT_PPS_Access11[[#This Row],[AC ANT]:[TR 2034]])</f>
        <v>5350</v>
      </c>
    </row>
    <row r="117" spans="2:52" x14ac:dyDescent="0.3">
      <c r="B117" t="s">
        <v>118</v>
      </c>
      <c r="C117" t="s">
        <v>102</v>
      </c>
      <c r="D117" t="s">
        <v>103</v>
      </c>
      <c r="E117" t="s">
        <v>252</v>
      </c>
      <c r="F117" t="s">
        <v>20</v>
      </c>
      <c r="G117" t="s">
        <v>16</v>
      </c>
      <c r="H117" t="s">
        <v>131</v>
      </c>
      <c r="I117" t="s">
        <v>387</v>
      </c>
      <c r="J117" t="s">
        <v>388</v>
      </c>
      <c r="K117" t="s">
        <v>180</v>
      </c>
      <c r="L117" t="s">
        <v>176</v>
      </c>
      <c r="M117" t="s">
        <v>297</v>
      </c>
      <c r="N117" s="1"/>
      <c r="O117" s="1"/>
      <c r="P117" s="1"/>
      <c r="Q117">
        <v>1</v>
      </c>
      <c r="U117" t="s">
        <v>349</v>
      </c>
      <c r="V11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6</v>
      </c>
      <c r="W117" s="12" t="e">
        <f>_xlfn.XLOOKUP(Portefeuille_MNT_PPS_Access11[[#This Row],[Numéro projet]],Tableau5[Numéro projet],Tableau5[IND_Site_Prioritaire])</f>
        <v>#N/A</v>
      </c>
      <c r="X117" s="2" t="e">
        <f>_xlfn.XLOOKUP(Portefeuille_MNT_PPS_Access11[[#This Row],[Numéro projet]],Tableau5[Numéro projet],Tableau5[Critère Etat Infrastructure])</f>
        <v>#N/A</v>
      </c>
      <c r="Y117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117" s="2">
        <v>5</v>
      </c>
      <c r="AA117" s="63"/>
      <c r="AE117">
        <v>311.00000000000006</v>
      </c>
      <c r="AF117"/>
      <c r="AP117"/>
      <c r="AZ117" s="14">
        <f>SUM(Portefeuille_MNT_PPS_Access11[[#This Row],[AC ANT]:[TR 2034]])</f>
        <v>311.00000000000006</v>
      </c>
    </row>
    <row r="118" spans="2:52" x14ac:dyDescent="0.3">
      <c r="B118" t="s">
        <v>101</v>
      </c>
      <c r="C118" t="s">
        <v>102</v>
      </c>
      <c r="D118" t="s">
        <v>389</v>
      </c>
      <c r="F118" t="s">
        <v>20</v>
      </c>
      <c r="G118" t="s">
        <v>20</v>
      </c>
      <c r="H118" t="s">
        <v>105</v>
      </c>
      <c r="I118" t="s">
        <v>390</v>
      </c>
      <c r="J118" t="s">
        <v>391</v>
      </c>
      <c r="K118" t="s">
        <v>172</v>
      </c>
      <c r="L118" t="s">
        <v>392</v>
      </c>
      <c r="M118" t="s">
        <v>291</v>
      </c>
      <c r="N118" s="1"/>
      <c r="O118" s="1"/>
      <c r="P118" s="1"/>
      <c r="Q118">
        <v>1</v>
      </c>
      <c r="U118" t="s">
        <v>311</v>
      </c>
      <c r="V11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8" s="12" t="e">
        <f>_xlfn.XLOOKUP(Portefeuille_MNT_PPS_Access11[[#This Row],[Numéro projet]],Tableau5[Numéro projet],Tableau5[IND_Site_Prioritaire])</f>
        <v>#N/A</v>
      </c>
      <c r="X118" s="2" t="e">
        <f>_xlfn.XLOOKUP(Portefeuille_MNT_PPS_Access11[[#This Row],[Numéro projet]],Tableau5[Numéro projet],Tableau5[Critère Etat Infrastructure])</f>
        <v>#N/A</v>
      </c>
      <c r="Y11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8" s="2"/>
      <c r="AA118" s="63"/>
      <c r="AF118"/>
      <c r="AP118"/>
      <c r="AT118">
        <v>100</v>
      </c>
      <c r="AV118">
        <v>250</v>
      </c>
      <c r="AW118">
        <v>5000</v>
      </c>
      <c r="AZ118" s="14">
        <f>SUM(Portefeuille_MNT_PPS_Access11[[#This Row],[AC ANT]:[TR 2034]])</f>
        <v>5350</v>
      </c>
    </row>
    <row r="119" spans="2:52" x14ac:dyDescent="0.3">
      <c r="B119" t="s">
        <v>101</v>
      </c>
      <c r="C119" t="s">
        <v>102</v>
      </c>
      <c r="D119" t="s">
        <v>103</v>
      </c>
      <c r="F119" t="s">
        <v>20</v>
      </c>
      <c r="G119" t="s">
        <v>20</v>
      </c>
      <c r="H119" t="s">
        <v>105</v>
      </c>
      <c r="I119" t="s">
        <v>393</v>
      </c>
      <c r="J119" t="s">
        <v>394</v>
      </c>
      <c r="K119" t="s">
        <v>122</v>
      </c>
      <c r="L119" t="s">
        <v>395</v>
      </c>
      <c r="M119" t="s">
        <v>291</v>
      </c>
      <c r="N119" s="1"/>
      <c r="O119" s="1"/>
      <c r="P119" s="1"/>
      <c r="Q119">
        <v>1</v>
      </c>
      <c r="U119" t="s">
        <v>311</v>
      </c>
      <c r="V11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19" s="12" t="e">
        <f>_xlfn.XLOOKUP(Portefeuille_MNT_PPS_Access11[[#This Row],[Numéro projet]],Tableau5[Numéro projet],Tableau5[IND_Site_Prioritaire])</f>
        <v>#N/A</v>
      </c>
      <c r="X119" s="2" t="e">
        <f>_xlfn.XLOOKUP(Portefeuille_MNT_PPS_Access11[[#This Row],[Numéro projet]],Tableau5[Numéro projet],Tableau5[Critère Etat Infrastructure])</f>
        <v>#N/A</v>
      </c>
      <c r="Y11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19" s="2"/>
      <c r="AA119" s="63"/>
      <c r="AF119"/>
      <c r="AP119"/>
      <c r="AV119">
        <v>100</v>
      </c>
      <c r="AX119">
        <v>500</v>
      </c>
      <c r="AY119">
        <v>8000</v>
      </c>
      <c r="AZ119" s="14">
        <f>SUM(Portefeuille_MNT_PPS_Access11[[#This Row],[AC ANT]:[TR 2034]])</f>
        <v>8600</v>
      </c>
    </row>
    <row r="120" spans="2:52" x14ac:dyDescent="0.3">
      <c r="B120" t="s">
        <v>118</v>
      </c>
      <c r="C120" t="s">
        <v>102</v>
      </c>
      <c r="D120" t="s">
        <v>103</v>
      </c>
      <c r="F120" t="s">
        <v>20</v>
      </c>
      <c r="G120" t="s">
        <v>20</v>
      </c>
      <c r="H120" t="s">
        <v>131</v>
      </c>
      <c r="I120" t="s">
        <v>418</v>
      </c>
      <c r="J120" t="s">
        <v>419</v>
      </c>
      <c r="K120" t="s">
        <v>420</v>
      </c>
      <c r="L120" t="s">
        <v>421</v>
      </c>
      <c r="M120" t="s">
        <v>291</v>
      </c>
      <c r="N120" s="1"/>
      <c r="O120" s="1"/>
      <c r="P120" s="1"/>
      <c r="Q120">
        <v>1</v>
      </c>
      <c r="U120" t="s">
        <v>311</v>
      </c>
      <c r="V12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0" s="12" t="e">
        <f>_xlfn.XLOOKUP(Portefeuille_MNT_PPS_Access11[[#This Row],[Numéro projet]],Tableau5[Numéro projet],Tableau5[IND_Site_Prioritaire])</f>
        <v>#N/A</v>
      </c>
      <c r="X120" s="2" t="e">
        <f>_xlfn.XLOOKUP(Portefeuille_MNT_PPS_Access11[[#This Row],[Numéro projet]],Tableau5[Numéro projet],Tableau5[Critère Etat Infrastructure])</f>
        <v>#N/A</v>
      </c>
      <c r="Y12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0" s="2"/>
      <c r="AA120" s="63"/>
      <c r="AF120"/>
      <c r="AP120">
        <v>100</v>
      </c>
      <c r="AR120">
        <v>200</v>
      </c>
      <c r="AT120">
        <v>250</v>
      </c>
      <c r="AU120">
        <v>7500</v>
      </c>
      <c r="AZ120" s="14">
        <f>SUM(Portefeuille_MNT_PPS_Access11[[#This Row],[AC ANT]:[TR 2034]])</f>
        <v>8050</v>
      </c>
    </row>
    <row r="121" spans="2:52" x14ac:dyDescent="0.3">
      <c r="B121" t="s">
        <v>118</v>
      </c>
      <c r="C121" t="s">
        <v>102</v>
      </c>
      <c r="D121" t="s">
        <v>103</v>
      </c>
      <c r="E121" t="s">
        <v>113</v>
      </c>
      <c r="F121" t="s">
        <v>20</v>
      </c>
      <c r="G121" t="s">
        <v>20</v>
      </c>
      <c r="H121" t="s">
        <v>131</v>
      </c>
      <c r="I121" t="s">
        <v>422</v>
      </c>
      <c r="J121" t="s">
        <v>423</v>
      </c>
      <c r="K121" t="s">
        <v>139</v>
      </c>
      <c r="L121" t="s">
        <v>169</v>
      </c>
      <c r="M121" t="s">
        <v>291</v>
      </c>
      <c r="N121" s="1"/>
      <c r="O121" s="1"/>
      <c r="P121" s="1"/>
      <c r="Q121">
        <v>1</v>
      </c>
      <c r="U121" t="s">
        <v>311</v>
      </c>
      <c r="V12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1" s="12" t="e">
        <f>_xlfn.XLOOKUP(Portefeuille_MNT_PPS_Access11[[#This Row],[Numéro projet]],Tableau5[Numéro projet],Tableau5[IND_Site_Prioritaire])</f>
        <v>#N/A</v>
      </c>
      <c r="X121" s="2" t="e">
        <f>_xlfn.XLOOKUP(Portefeuille_MNT_PPS_Access11[[#This Row],[Numéro projet]],Tableau5[Numéro projet],Tableau5[Critère Etat Infrastructure])</f>
        <v>#N/A</v>
      </c>
      <c r="Y12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1" s="2"/>
      <c r="AA121" s="63"/>
      <c r="AF121"/>
      <c r="AJ121">
        <v>100</v>
      </c>
      <c r="AL121">
        <v>200</v>
      </c>
      <c r="AN121">
        <v>250</v>
      </c>
      <c r="AO121">
        <v>7500</v>
      </c>
      <c r="AP121"/>
      <c r="AZ121" s="14">
        <f>SUM(Portefeuille_MNT_PPS_Access11[[#This Row],[AC ANT]:[TR 2034]])</f>
        <v>8050</v>
      </c>
    </row>
    <row r="122" spans="2:52" x14ac:dyDescent="0.3">
      <c r="B122" t="s">
        <v>118</v>
      </c>
      <c r="C122" t="s">
        <v>102</v>
      </c>
      <c r="D122" t="s">
        <v>389</v>
      </c>
      <c r="F122" t="s">
        <v>20</v>
      </c>
      <c r="G122" t="s">
        <v>20</v>
      </c>
      <c r="H122" t="s">
        <v>105</v>
      </c>
      <c r="I122" t="s">
        <v>424</v>
      </c>
      <c r="J122" t="s">
        <v>425</v>
      </c>
      <c r="K122" t="s">
        <v>205</v>
      </c>
      <c r="L122" t="s">
        <v>421</v>
      </c>
      <c r="M122" t="s">
        <v>291</v>
      </c>
      <c r="N122" s="1"/>
      <c r="O122" s="1"/>
      <c r="P122" s="1"/>
      <c r="Q122">
        <v>1</v>
      </c>
      <c r="U122" t="s">
        <v>311</v>
      </c>
      <c r="V12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2" s="12" t="e">
        <f>_xlfn.XLOOKUP(Portefeuille_MNT_PPS_Access11[[#This Row],[Numéro projet]],Tableau5[Numéro projet],Tableau5[IND_Site_Prioritaire])</f>
        <v>#N/A</v>
      </c>
      <c r="X122" s="2" t="e">
        <f>_xlfn.XLOOKUP(Portefeuille_MNT_PPS_Access11[[#This Row],[Numéro projet]],Tableau5[Numéro projet],Tableau5[Critère Etat Infrastructure])</f>
        <v>#N/A</v>
      </c>
      <c r="Y12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2" s="2"/>
      <c r="AA122" s="63"/>
      <c r="AF122"/>
      <c r="AP122"/>
      <c r="AR122">
        <v>100</v>
      </c>
      <c r="AT122">
        <v>200</v>
      </c>
      <c r="AU122">
        <v>5000</v>
      </c>
      <c r="AZ122" s="14">
        <f>SUM(Portefeuille_MNT_PPS_Access11[[#This Row],[AC ANT]:[TR 2034]])</f>
        <v>5300</v>
      </c>
    </row>
    <row r="123" spans="2:52" x14ac:dyDescent="0.3">
      <c r="B123" t="s">
        <v>101</v>
      </c>
      <c r="C123" t="s">
        <v>102</v>
      </c>
      <c r="D123" t="s">
        <v>389</v>
      </c>
      <c r="F123" t="s">
        <v>20</v>
      </c>
      <c r="G123" t="s">
        <v>20</v>
      </c>
      <c r="H123" t="s">
        <v>105</v>
      </c>
      <c r="I123" t="s">
        <v>428</v>
      </c>
      <c r="J123" t="s">
        <v>429</v>
      </c>
      <c r="K123" t="s">
        <v>302</v>
      </c>
      <c r="L123" t="s">
        <v>421</v>
      </c>
      <c r="M123" t="s">
        <v>291</v>
      </c>
      <c r="N123" s="1"/>
      <c r="O123" s="1"/>
      <c r="P123" s="1"/>
      <c r="Q123">
        <v>1</v>
      </c>
      <c r="U123" t="s">
        <v>311</v>
      </c>
      <c r="V12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3" s="12" t="e">
        <f>_xlfn.XLOOKUP(Portefeuille_MNT_PPS_Access11[[#This Row],[Numéro projet]],Tableau5[Numéro projet],Tableau5[IND_Site_Prioritaire])</f>
        <v>#N/A</v>
      </c>
      <c r="X123" s="2" t="e">
        <f>_xlfn.XLOOKUP(Portefeuille_MNT_PPS_Access11[[#This Row],[Numéro projet]],Tableau5[Numéro projet],Tableau5[Critère Etat Infrastructure])</f>
        <v>#N/A</v>
      </c>
      <c r="Y12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3" s="2"/>
      <c r="AA123" s="62"/>
      <c r="AF123"/>
      <c r="AP123"/>
      <c r="AR123">
        <v>100</v>
      </c>
      <c r="AT123">
        <v>200</v>
      </c>
      <c r="AU123">
        <v>5000</v>
      </c>
      <c r="AZ123" s="14">
        <f>SUM(Portefeuille_MNT_PPS_Access11[[#This Row],[AC ANT]:[TR 2034]])</f>
        <v>5300</v>
      </c>
    </row>
    <row r="124" spans="2:52" x14ac:dyDescent="0.3">
      <c r="B124" t="s">
        <v>101</v>
      </c>
      <c r="C124" t="s">
        <v>102</v>
      </c>
      <c r="D124" t="s">
        <v>389</v>
      </c>
      <c r="F124" t="s">
        <v>20</v>
      </c>
      <c r="G124" t="s">
        <v>20</v>
      </c>
      <c r="H124" t="s">
        <v>105</v>
      </c>
      <c r="I124" t="s">
        <v>432</v>
      </c>
      <c r="J124" t="s">
        <v>433</v>
      </c>
      <c r="K124" t="s">
        <v>143</v>
      </c>
      <c r="L124" t="s">
        <v>370</v>
      </c>
      <c r="M124" t="s">
        <v>291</v>
      </c>
      <c r="N124" s="1"/>
      <c r="O124" s="1"/>
      <c r="P124" s="1"/>
      <c r="Q124">
        <v>1</v>
      </c>
      <c r="U124" t="s">
        <v>311</v>
      </c>
      <c r="V12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4" s="12" t="e">
        <f>_xlfn.XLOOKUP(Portefeuille_MNT_PPS_Access11[[#This Row],[Numéro projet]],Tableau5[Numéro projet],Tableau5[IND_Site_Prioritaire])</f>
        <v>#N/A</v>
      </c>
      <c r="X124" s="2" t="e">
        <f>_xlfn.XLOOKUP(Portefeuille_MNT_PPS_Access11[[#This Row],[Numéro projet]],Tableau5[Numéro projet],Tableau5[Critère Etat Infrastructure])</f>
        <v>#N/A</v>
      </c>
      <c r="Y12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4" s="2"/>
      <c r="AA124" s="63"/>
      <c r="AF124"/>
      <c r="AP124">
        <v>100</v>
      </c>
      <c r="AR124">
        <v>200</v>
      </c>
      <c r="AS124">
        <v>5000</v>
      </c>
      <c r="AZ124" s="14">
        <f>SUM(Portefeuille_MNT_PPS_Access11[[#This Row],[AC ANT]:[TR 2034]])</f>
        <v>5300</v>
      </c>
    </row>
    <row r="125" spans="2:52" x14ac:dyDescent="0.3">
      <c r="B125" t="s">
        <v>126</v>
      </c>
      <c r="C125" t="s">
        <v>127</v>
      </c>
      <c r="D125" t="s">
        <v>128</v>
      </c>
      <c r="E125" t="s">
        <v>252</v>
      </c>
      <c r="F125" t="s">
        <v>16</v>
      </c>
      <c r="G125" t="s">
        <v>16</v>
      </c>
      <c r="H125" t="s">
        <v>131</v>
      </c>
      <c r="I125" t="s">
        <v>434</v>
      </c>
      <c r="J125" t="s">
        <v>435</v>
      </c>
      <c r="K125" t="s">
        <v>147</v>
      </c>
      <c r="L125" t="s">
        <v>176</v>
      </c>
      <c r="M125" t="s">
        <v>123</v>
      </c>
      <c r="N125" s="1"/>
      <c r="O125" s="1"/>
      <c r="P125" s="1">
        <v>45413</v>
      </c>
      <c r="Q125">
        <v>1</v>
      </c>
      <c r="R125">
        <v>5</v>
      </c>
      <c r="U125" t="s">
        <v>125</v>
      </c>
      <c r="V125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125" s="12" t="e">
        <f>_xlfn.XLOOKUP(Portefeuille_MNT_PPS_Access11[[#This Row],[Numéro projet]],Tableau5[Numéro projet],Tableau5[IND_Site_Prioritaire])</f>
        <v>#N/A</v>
      </c>
      <c r="X125" s="2" t="e">
        <f>_xlfn.XLOOKUP(Portefeuille_MNT_PPS_Access11[[#This Row],[Numéro projet]],Tableau5[Numéro projet],Tableau5[Critère Etat Infrastructure])</f>
        <v>#N/A</v>
      </c>
      <c r="Y125" s="12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100</v>
      </c>
      <c r="Z125" s="2">
        <v>5</v>
      </c>
      <c r="AA125" s="63"/>
      <c r="AD125">
        <v>5</v>
      </c>
      <c r="AE125">
        <v>146</v>
      </c>
      <c r="AF125"/>
      <c r="AP125"/>
      <c r="AZ125" s="14">
        <f>SUM(Portefeuille_MNT_PPS_Access11[[#This Row],[AC ANT]:[TR 2034]])</f>
        <v>151</v>
      </c>
    </row>
    <row r="126" spans="2:52" x14ac:dyDescent="0.3">
      <c r="B126" t="s">
        <v>118</v>
      </c>
      <c r="C126" t="s">
        <v>102</v>
      </c>
      <c r="D126" t="s">
        <v>103</v>
      </c>
      <c r="E126" t="s">
        <v>113</v>
      </c>
      <c r="F126" t="s">
        <v>20</v>
      </c>
      <c r="G126" t="s">
        <v>20</v>
      </c>
      <c r="H126" t="s">
        <v>105</v>
      </c>
      <c r="I126" t="s">
        <v>426</v>
      </c>
      <c r="J126" t="s">
        <v>427</v>
      </c>
      <c r="K126" t="s">
        <v>122</v>
      </c>
      <c r="L126" t="s">
        <v>169</v>
      </c>
      <c r="M126" t="s">
        <v>155</v>
      </c>
      <c r="N126" s="1">
        <v>45823</v>
      </c>
      <c r="O126" s="1">
        <v>46249</v>
      </c>
      <c r="P126" s="1">
        <v>46583</v>
      </c>
      <c r="Q126">
        <v>1</v>
      </c>
      <c r="R126">
        <v>1</v>
      </c>
      <c r="S126">
        <v>1</v>
      </c>
      <c r="T126">
        <v>1</v>
      </c>
      <c r="U126" t="s">
        <v>156</v>
      </c>
      <c r="V12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1</v>
      </c>
      <c r="W126" s="12" t="e">
        <f>_xlfn.XLOOKUP(Portefeuille_MNT_PPS_Access11[[#This Row],[Numéro projet]],Tableau5[Numéro projet],Tableau5[IND_Site_Prioritaire])</f>
        <v>#N/A</v>
      </c>
      <c r="X126" s="2" t="e">
        <f>_xlfn.XLOOKUP(Portefeuille_MNT_PPS_Access11[[#This Row],[Numéro projet]],Tableau5[Numéro projet],Tableau5[Critère Etat Infrastructure])</f>
        <v>#N/A</v>
      </c>
      <c r="Y12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6" s="2"/>
      <c r="AA126" s="62"/>
      <c r="AF126"/>
      <c r="AL126">
        <v>300</v>
      </c>
      <c r="AN126">
        <v>500</v>
      </c>
      <c r="AO126">
        <v>5000</v>
      </c>
      <c r="AP126"/>
      <c r="AZ126" s="14">
        <f>SUM(Portefeuille_MNT_PPS_Access11[[#This Row],[AC ANT]:[TR 2034]])</f>
        <v>5800</v>
      </c>
    </row>
    <row r="127" spans="2:52" x14ac:dyDescent="0.3">
      <c r="B127" t="s">
        <v>118</v>
      </c>
      <c r="C127" t="s">
        <v>102</v>
      </c>
      <c r="D127" t="s">
        <v>389</v>
      </c>
      <c r="F127" t="s">
        <v>20</v>
      </c>
      <c r="G127" t="s">
        <v>20</v>
      </c>
      <c r="H127" t="s">
        <v>131</v>
      </c>
      <c r="I127" t="s">
        <v>430</v>
      </c>
      <c r="J127" t="s">
        <v>431</v>
      </c>
      <c r="K127" t="s">
        <v>147</v>
      </c>
      <c r="L127" t="s">
        <v>169</v>
      </c>
      <c r="M127" t="s">
        <v>291</v>
      </c>
      <c r="N127" s="1"/>
      <c r="O127" s="1"/>
      <c r="P127" s="1"/>
      <c r="Q127">
        <v>1</v>
      </c>
      <c r="U127" t="s">
        <v>311</v>
      </c>
      <c r="V12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7" s="12" t="e">
        <f>_xlfn.XLOOKUP(Portefeuille_MNT_PPS_Access11[[#This Row],[Numéro projet]],Tableau5[Numéro projet],Tableau5[IND_Site_Prioritaire])</f>
        <v>#N/A</v>
      </c>
      <c r="X127" s="2" t="e">
        <f>_xlfn.XLOOKUP(Portefeuille_MNT_PPS_Access11[[#This Row],[Numéro projet]],Tableau5[Numéro projet],Tableau5[Critère Etat Infrastructure])</f>
        <v>#N/A</v>
      </c>
      <c r="Y12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7" s="2"/>
      <c r="AA127" s="63"/>
      <c r="AF127"/>
      <c r="AL127">
        <v>50</v>
      </c>
      <c r="AN127">
        <v>100</v>
      </c>
      <c r="AO127">
        <v>1000</v>
      </c>
      <c r="AP127"/>
      <c r="AZ127" s="14">
        <f>SUM(Portefeuille_MNT_PPS_Access11[[#This Row],[AC ANT]:[TR 2034]])</f>
        <v>1150</v>
      </c>
    </row>
    <row r="128" spans="2:52" x14ac:dyDescent="0.3">
      <c r="B128" t="s">
        <v>101</v>
      </c>
      <c r="C128" t="s">
        <v>102</v>
      </c>
      <c r="D128" t="s">
        <v>200</v>
      </c>
      <c r="E128" t="s">
        <v>113</v>
      </c>
      <c r="F128" t="s">
        <v>20</v>
      </c>
      <c r="G128" t="s">
        <v>20</v>
      </c>
      <c r="H128" t="s">
        <v>131</v>
      </c>
      <c r="I128" t="s">
        <v>436</v>
      </c>
      <c r="J128" t="s">
        <v>437</v>
      </c>
      <c r="K128" t="s">
        <v>139</v>
      </c>
      <c r="L128" t="s">
        <v>169</v>
      </c>
      <c r="M128" t="s">
        <v>291</v>
      </c>
      <c r="N128" s="1"/>
      <c r="O128" s="1"/>
      <c r="P128" s="1"/>
      <c r="Q128">
        <v>1</v>
      </c>
      <c r="U128" t="s">
        <v>311</v>
      </c>
      <c r="V12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8" s="12" t="e">
        <f>_xlfn.XLOOKUP(Portefeuille_MNT_PPS_Access11[[#This Row],[Numéro projet]],Tableau5[Numéro projet],Tableau5[IND_Site_Prioritaire])</f>
        <v>#N/A</v>
      </c>
      <c r="X128" s="2" t="e">
        <f>_xlfn.XLOOKUP(Portefeuille_MNT_PPS_Access11[[#This Row],[Numéro projet]],Tableau5[Numéro projet],Tableau5[Critère Etat Infrastructure])</f>
        <v>#N/A</v>
      </c>
      <c r="Y12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8" s="2"/>
      <c r="AA128" s="63"/>
      <c r="AF128"/>
      <c r="AH128">
        <v>50</v>
      </c>
      <c r="AJ128">
        <v>50</v>
      </c>
      <c r="AL128">
        <v>150</v>
      </c>
      <c r="AN128">
        <v>300</v>
      </c>
      <c r="AO128">
        <v>3000</v>
      </c>
      <c r="AP128"/>
      <c r="AZ128" s="14">
        <f>SUM(Portefeuille_MNT_PPS_Access11[[#This Row],[AC ANT]:[TR 2034]])</f>
        <v>3550</v>
      </c>
    </row>
    <row r="129" spans="1:52" x14ac:dyDescent="0.3">
      <c r="B129" t="s">
        <v>101</v>
      </c>
      <c r="C129" t="s">
        <v>102</v>
      </c>
      <c r="D129" t="s">
        <v>177</v>
      </c>
      <c r="E129" t="s">
        <v>129</v>
      </c>
      <c r="F129" t="s">
        <v>20</v>
      </c>
      <c r="G129" t="s">
        <v>20</v>
      </c>
      <c r="H129" t="s">
        <v>131</v>
      </c>
      <c r="I129" t="s">
        <v>438</v>
      </c>
      <c r="J129" t="s">
        <v>439</v>
      </c>
      <c r="K129" t="s">
        <v>180</v>
      </c>
      <c r="L129" t="s">
        <v>169</v>
      </c>
      <c r="M129" t="s">
        <v>291</v>
      </c>
      <c r="N129" s="1"/>
      <c r="O129" s="1"/>
      <c r="P129" s="1"/>
      <c r="Q129">
        <v>1</v>
      </c>
      <c r="U129" t="s">
        <v>311</v>
      </c>
      <c r="V12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29" s="12" t="e">
        <f>_xlfn.XLOOKUP(Portefeuille_MNT_PPS_Access11[[#This Row],[Numéro projet]],Tableau5[Numéro projet],Tableau5[IND_Site_Prioritaire])</f>
        <v>#N/A</v>
      </c>
      <c r="X129" s="2" t="e">
        <f>_xlfn.XLOOKUP(Portefeuille_MNT_PPS_Access11[[#This Row],[Numéro projet]],Tableau5[Numéro projet],Tableau5[Critère Etat Infrastructure])</f>
        <v>#N/A</v>
      </c>
      <c r="Y12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29" s="2"/>
      <c r="AA129" s="63"/>
      <c r="AF129"/>
      <c r="AL129">
        <v>100</v>
      </c>
      <c r="AN129">
        <v>175</v>
      </c>
      <c r="AO129">
        <v>1500</v>
      </c>
      <c r="AP129"/>
      <c r="AZ129" s="14">
        <f>SUM(Portefeuille_MNT_PPS_Access11[[#This Row],[AC ANT]:[TR 2034]])</f>
        <v>1775</v>
      </c>
    </row>
    <row r="130" spans="1:52" x14ac:dyDescent="0.3">
      <c r="B130" t="s">
        <v>126</v>
      </c>
      <c r="C130" t="s">
        <v>127</v>
      </c>
      <c r="D130" t="s">
        <v>103</v>
      </c>
      <c r="E130" t="s">
        <v>113</v>
      </c>
      <c r="F130" t="s">
        <v>20</v>
      </c>
      <c r="G130" t="s">
        <v>20</v>
      </c>
      <c r="H130" t="s">
        <v>105</v>
      </c>
      <c r="I130" t="s">
        <v>442</v>
      </c>
      <c r="J130" t="s">
        <v>443</v>
      </c>
      <c r="K130" t="s">
        <v>168</v>
      </c>
      <c r="L130" t="s">
        <v>184</v>
      </c>
      <c r="M130" t="s">
        <v>291</v>
      </c>
      <c r="N130" s="1"/>
      <c r="O130" s="1"/>
      <c r="P130" s="1"/>
      <c r="Q130">
        <v>1</v>
      </c>
      <c r="U130" t="s">
        <v>311</v>
      </c>
      <c r="V13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0" s="12" t="e">
        <f>_xlfn.XLOOKUP(Portefeuille_MNT_PPS_Access11[[#This Row],[Numéro projet]],Tableau5[Numéro projet],Tableau5[IND_Site_Prioritaire])</f>
        <v>#N/A</v>
      </c>
      <c r="X130" s="2" t="e">
        <f>_xlfn.XLOOKUP(Portefeuille_MNT_PPS_Access11[[#This Row],[Numéro projet]],Tableau5[Numéro projet],Tableau5[Critère Etat Infrastructure])</f>
        <v>#N/A</v>
      </c>
      <c r="Y13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0" s="2"/>
      <c r="AA130" s="63"/>
      <c r="AF130"/>
      <c r="AL130">
        <v>250</v>
      </c>
      <c r="AN130">
        <v>250</v>
      </c>
      <c r="AP130">
        <v>500</v>
      </c>
      <c r="AQ130">
        <v>2500</v>
      </c>
      <c r="AR130">
        <v>500</v>
      </c>
      <c r="AS130">
        <v>7500</v>
      </c>
      <c r="AT130">
        <v>500</v>
      </c>
      <c r="AU130">
        <v>5000</v>
      </c>
      <c r="AZ130" s="14">
        <f>SUM(Portefeuille_MNT_PPS_Access11[[#This Row],[AC ANT]:[TR 2034]])</f>
        <v>17000</v>
      </c>
    </row>
    <row r="131" spans="1:52" x14ac:dyDescent="0.3">
      <c r="A131">
        <v>4</v>
      </c>
      <c r="B131" t="s">
        <v>126</v>
      </c>
      <c r="C131" t="s">
        <v>127</v>
      </c>
      <c r="D131" t="s">
        <v>128</v>
      </c>
      <c r="E131" t="s">
        <v>252</v>
      </c>
      <c r="F131" t="s">
        <v>20</v>
      </c>
      <c r="G131" t="s">
        <v>20</v>
      </c>
      <c r="H131" t="s">
        <v>131</v>
      </c>
      <c r="I131" t="s">
        <v>253</v>
      </c>
      <c r="J131" t="s">
        <v>254</v>
      </c>
      <c r="K131" t="s">
        <v>147</v>
      </c>
      <c r="L131" t="s">
        <v>148</v>
      </c>
      <c r="M131" t="s">
        <v>110</v>
      </c>
      <c r="N131" s="1">
        <v>45378</v>
      </c>
      <c r="O131" s="1"/>
      <c r="P131" s="1">
        <v>45611</v>
      </c>
      <c r="Q131">
        <v>1</v>
      </c>
      <c r="R131">
        <v>5</v>
      </c>
      <c r="T131">
        <v>5</v>
      </c>
      <c r="U131" t="s">
        <v>112</v>
      </c>
      <c r="V131" s="2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131" s="12" t="e">
        <f>_xlfn.XLOOKUP(Portefeuille_MNT_PPS_Access11[[#This Row],[Numéro projet]],Tableau5[Numéro projet],Tableau5[IND_Site_Prioritaire])</f>
        <v>#N/A</v>
      </c>
      <c r="X131" s="2" t="e">
        <f>_xlfn.XLOOKUP(Portefeuille_MNT_PPS_Access11[[#This Row],[Numéro projet]],Tableau5[Numéro projet],Tableau5[Critère Etat Infrastructure])</f>
        <v>#N/A</v>
      </c>
      <c r="Y13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1" s="2"/>
      <c r="AA131" s="63"/>
      <c r="AF131">
        <v>10</v>
      </c>
      <c r="AG131">
        <v>39</v>
      </c>
      <c r="AP131"/>
      <c r="AZ131" s="14">
        <f>SUM(Portefeuille_MNT_PPS_Access11[[#This Row],[AC ANT]:[TR 2034]])</f>
        <v>49</v>
      </c>
    </row>
    <row r="132" spans="1:52" x14ac:dyDescent="0.3">
      <c r="B132" t="s">
        <v>101</v>
      </c>
      <c r="C132" t="s">
        <v>102</v>
      </c>
      <c r="D132" t="s">
        <v>103</v>
      </c>
      <c r="F132" t="s">
        <v>20</v>
      </c>
      <c r="G132" t="s">
        <v>20</v>
      </c>
      <c r="H132" t="s">
        <v>105</v>
      </c>
      <c r="I132" t="s">
        <v>444</v>
      </c>
      <c r="J132" t="s">
        <v>445</v>
      </c>
      <c r="K132" t="s">
        <v>302</v>
      </c>
      <c r="L132" t="s">
        <v>421</v>
      </c>
      <c r="M132" t="s">
        <v>291</v>
      </c>
      <c r="N132" s="1"/>
      <c r="O132" s="1"/>
      <c r="P132" s="1"/>
      <c r="Q132">
        <v>1</v>
      </c>
      <c r="U132" t="s">
        <v>311</v>
      </c>
      <c r="V13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2" s="12" t="e">
        <f>_xlfn.XLOOKUP(Portefeuille_MNT_PPS_Access11[[#This Row],[Numéro projet]],Tableau5[Numéro projet],Tableau5[IND_Site_Prioritaire])</f>
        <v>#N/A</v>
      </c>
      <c r="X132" s="2" t="e">
        <f>_xlfn.XLOOKUP(Portefeuille_MNT_PPS_Access11[[#This Row],[Numéro projet]],Tableau5[Numéro projet],Tableau5[Critère Etat Infrastructure])</f>
        <v>#N/A</v>
      </c>
      <c r="Y13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2" s="2"/>
      <c r="AA132" s="63"/>
      <c r="AF132"/>
      <c r="AP132">
        <v>150</v>
      </c>
      <c r="AR132">
        <v>150</v>
      </c>
      <c r="AT132">
        <v>600</v>
      </c>
      <c r="AU132">
        <v>12000</v>
      </c>
      <c r="AZ132" s="14">
        <f>SUM(Portefeuille_MNT_PPS_Access11[[#This Row],[AC ANT]:[TR 2034]])</f>
        <v>12900</v>
      </c>
    </row>
    <row r="133" spans="1:52" x14ac:dyDescent="0.3">
      <c r="B133" t="s">
        <v>101</v>
      </c>
      <c r="C133" t="s">
        <v>102</v>
      </c>
      <c r="D133" t="s">
        <v>103</v>
      </c>
      <c r="F133" t="s">
        <v>20</v>
      </c>
      <c r="G133" t="s">
        <v>20</v>
      </c>
      <c r="H133" t="s">
        <v>105</v>
      </c>
      <c r="I133" t="s">
        <v>446</v>
      </c>
      <c r="J133" t="s">
        <v>447</v>
      </c>
      <c r="K133" t="s">
        <v>168</v>
      </c>
      <c r="L133" t="s">
        <v>395</v>
      </c>
      <c r="M133" t="s">
        <v>291</v>
      </c>
      <c r="N133" s="1"/>
      <c r="O133" s="1"/>
      <c r="P133" s="1"/>
      <c r="Q133">
        <v>1</v>
      </c>
      <c r="U133" t="s">
        <v>311</v>
      </c>
      <c r="V13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3" s="12" t="e">
        <f>_xlfn.XLOOKUP(Portefeuille_MNT_PPS_Access11[[#This Row],[Numéro projet]],Tableau5[Numéro projet],Tableau5[IND_Site_Prioritaire])</f>
        <v>#N/A</v>
      </c>
      <c r="X133" s="2" t="e">
        <f>_xlfn.XLOOKUP(Portefeuille_MNT_PPS_Access11[[#This Row],[Numéro projet]],Tableau5[Numéro projet],Tableau5[Critère Etat Infrastructure])</f>
        <v>#N/A</v>
      </c>
      <c r="Y13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3" s="2"/>
      <c r="AA133" s="62"/>
      <c r="AF133"/>
      <c r="AP133"/>
      <c r="AT133">
        <v>150</v>
      </c>
      <c r="AV133">
        <v>150</v>
      </c>
      <c r="AX133">
        <v>600</v>
      </c>
      <c r="AY133">
        <v>12000</v>
      </c>
      <c r="AZ133" s="14">
        <f>SUM(Portefeuille_MNT_PPS_Access11[[#This Row],[AC ANT]:[TR 2034]])</f>
        <v>12900</v>
      </c>
    </row>
    <row r="134" spans="1:52" x14ac:dyDescent="0.3">
      <c r="A134">
        <v>11</v>
      </c>
      <c r="B134" t="s">
        <v>118</v>
      </c>
      <c r="C134" t="s">
        <v>102</v>
      </c>
      <c r="D134" t="s">
        <v>136</v>
      </c>
      <c r="E134" t="s">
        <v>252</v>
      </c>
      <c r="F134" t="s">
        <v>20</v>
      </c>
      <c r="G134" t="s">
        <v>20</v>
      </c>
      <c r="H134" t="s">
        <v>131</v>
      </c>
      <c r="I134" t="s">
        <v>255</v>
      </c>
      <c r="J134" t="s">
        <v>256</v>
      </c>
      <c r="K134" t="s">
        <v>209</v>
      </c>
      <c r="L134" t="s">
        <v>148</v>
      </c>
      <c r="M134" t="s">
        <v>291</v>
      </c>
      <c r="N134" s="1"/>
      <c r="O134" s="1"/>
      <c r="P134" s="1"/>
      <c r="Q134">
        <v>1</v>
      </c>
      <c r="U134" t="s">
        <v>311</v>
      </c>
      <c r="V13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4" s="12" t="e">
        <f>_xlfn.XLOOKUP(Portefeuille_MNT_PPS_Access11[[#This Row],[Numéro projet]],Tableau5[Numéro projet],Tableau5[IND_Site_Prioritaire])</f>
        <v>#N/A</v>
      </c>
      <c r="X134" s="2" t="e">
        <f>_xlfn.XLOOKUP(Portefeuille_MNT_PPS_Access11[[#This Row],[Numéro projet]],Tableau5[Numéro projet],Tableau5[Critère Etat Infrastructure])</f>
        <v>#N/A</v>
      </c>
      <c r="Y13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4" s="2"/>
      <c r="AA134" s="63"/>
      <c r="AF134"/>
      <c r="AG134">
        <v>300</v>
      </c>
      <c r="AP134"/>
      <c r="AZ134" s="14">
        <f>SUM(Portefeuille_MNT_PPS_Access11[[#This Row],[AC ANT]:[TR 2034]])</f>
        <v>300</v>
      </c>
    </row>
    <row r="135" spans="1:52" x14ac:dyDescent="0.3">
      <c r="A135">
        <v>12</v>
      </c>
      <c r="B135" t="s">
        <v>118</v>
      </c>
      <c r="C135" t="s">
        <v>102</v>
      </c>
      <c r="D135" t="s">
        <v>103</v>
      </c>
      <c r="E135" t="s">
        <v>252</v>
      </c>
      <c r="F135" t="s">
        <v>20</v>
      </c>
      <c r="G135" t="s">
        <v>20</v>
      </c>
      <c r="H135" t="s">
        <v>131</v>
      </c>
      <c r="I135" t="s">
        <v>257</v>
      </c>
      <c r="J135" t="s">
        <v>258</v>
      </c>
      <c r="K135" t="s">
        <v>180</v>
      </c>
      <c r="L135" t="s">
        <v>148</v>
      </c>
      <c r="M135" t="s">
        <v>291</v>
      </c>
      <c r="N135" s="1"/>
      <c r="O135" s="1"/>
      <c r="P135" s="1"/>
      <c r="Q135">
        <v>1</v>
      </c>
      <c r="U135" t="s">
        <v>311</v>
      </c>
      <c r="V13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5" s="12" t="e">
        <f>_xlfn.XLOOKUP(Portefeuille_MNT_PPS_Access11[[#This Row],[Numéro projet]],Tableau5[Numéro projet],Tableau5[IND_Site_Prioritaire])</f>
        <v>#N/A</v>
      </c>
      <c r="X135" s="2" t="e">
        <f>_xlfn.XLOOKUP(Portefeuille_MNT_PPS_Access11[[#This Row],[Numéro projet]],Tableau5[Numéro projet],Tableau5[Critère Etat Infrastructure])</f>
        <v>#N/A</v>
      </c>
      <c r="Y13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5" s="2"/>
      <c r="AA135" s="63"/>
      <c r="AF135"/>
      <c r="AG135">
        <v>300</v>
      </c>
      <c r="AP135"/>
      <c r="AZ135" s="14">
        <f>SUM(Portefeuille_MNT_PPS_Access11[[#This Row],[AC ANT]:[TR 2034]])</f>
        <v>300</v>
      </c>
    </row>
    <row r="136" spans="1:52" x14ac:dyDescent="0.3">
      <c r="A136">
        <v>5</v>
      </c>
      <c r="B136" t="s">
        <v>126</v>
      </c>
      <c r="C136" t="s">
        <v>127</v>
      </c>
      <c r="D136" t="s">
        <v>128</v>
      </c>
      <c r="E136" t="s">
        <v>252</v>
      </c>
      <c r="F136" t="s">
        <v>20</v>
      </c>
      <c r="G136" t="s">
        <v>20</v>
      </c>
      <c r="H136" t="s">
        <v>131</v>
      </c>
      <c r="I136" t="s">
        <v>259</v>
      </c>
      <c r="J136" t="s">
        <v>260</v>
      </c>
      <c r="K136" t="s">
        <v>159</v>
      </c>
      <c r="L136" t="s">
        <v>148</v>
      </c>
      <c r="M136" t="s">
        <v>291</v>
      </c>
      <c r="N136" s="1"/>
      <c r="O136" s="1"/>
      <c r="P136" s="1"/>
      <c r="Q136">
        <v>1</v>
      </c>
      <c r="U136" t="s">
        <v>311</v>
      </c>
      <c r="V13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6" s="12" t="e">
        <f>_xlfn.XLOOKUP(Portefeuille_MNT_PPS_Access11[[#This Row],[Numéro projet]],Tableau5[Numéro projet],Tableau5[IND_Site_Prioritaire])</f>
        <v>#N/A</v>
      </c>
      <c r="X136" s="2" t="e">
        <f>_xlfn.XLOOKUP(Portefeuille_MNT_PPS_Access11[[#This Row],[Numéro projet]],Tableau5[Numéro projet],Tableau5[Critère Etat Infrastructure])</f>
        <v>#N/A</v>
      </c>
      <c r="Y13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6" s="2"/>
      <c r="AA136" s="63"/>
      <c r="AF136">
        <v>15</v>
      </c>
      <c r="AG136">
        <v>85</v>
      </c>
      <c r="AP136"/>
      <c r="AZ136" s="14">
        <f>SUM(Portefeuille_MNT_PPS_Access11[[#This Row],[AC ANT]:[TR 2034]])</f>
        <v>100</v>
      </c>
    </row>
    <row r="137" spans="1:52" x14ac:dyDescent="0.3">
      <c r="B137" t="s">
        <v>101</v>
      </c>
      <c r="C137" t="s">
        <v>102</v>
      </c>
      <c r="D137" t="s">
        <v>136</v>
      </c>
      <c r="F137" t="s">
        <v>20</v>
      </c>
      <c r="G137" t="s">
        <v>20</v>
      </c>
      <c r="H137" t="s">
        <v>105</v>
      </c>
      <c r="I137" t="s">
        <v>454</v>
      </c>
      <c r="J137" t="s">
        <v>455</v>
      </c>
      <c r="K137" t="s">
        <v>143</v>
      </c>
      <c r="L137" t="s">
        <v>370</v>
      </c>
      <c r="M137" t="s">
        <v>291</v>
      </c>
      <c r="N137" s="1"/>
      <c r="O137" s="1"/>
      <c r="P137" s="1"/>
      <c r="Q137">
        <v>1</v>
      </c>
      <c r="U137" t="s">
        <v>311</v>
      </c>
      <c r="V13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7" s="12" t="e">
        <f>_xlfn.XLOOKUP(Portefeuille_MNT_PPS_Access11[[#This Row],[Numéro projet]],Tableau5[Numéro projet],Tableau5[IND_Site_Prioritaire])</f>
        <v>#N/A</v>
      </c>
      <c r="X137" s="2" t="e">
        <f>_xlfn.XLOOKUP(Portefeuille_MNT_PPS_Access11[[#This Row],[Numéro projet]],Tableau5[Numéro projet],Tableau5[Critère Etat Infrastructure])</f>
        <v>#N/A</v>
      </c>
      <c r="Y13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7" s="2"/>
      <c r="AA137" s="63"/>
      <c r="AF137"/>
      <c r="AN137">
        <v>150</v>
      </c>
      <c r="AP137">
        <v>150</v>
      </c>
      <c r="AR137">
        <v>500</v>
      </c>
      <c r="AS137">
        <v>6800</v>
      </c>
      <c r="AZ137" s="14">
        <f>SUM(Portefeuille_MNT_PPS_Access11[[#This Row],[AC ANT]:[TR 2034]])</f>
        <v>7600</v>
      </c>
    </row>
    <row r="138" spans="1:52" x14ac:dyDescent="0.3">
      <c r="B138" t="s">
        <v>101</v>
      </c>
      <c r="C138" t="s">
        <v>102</v>
      </c>
      <c r="D138" t="s">
        <v>136</v>
      </c>
      <c r="F138" t="s">
        <v>20</v>
      </c>
      <c r="G138" t="s">
        <v>20</v>
      </c>
      <c r="H138" t="s">
        <v>105</v>
      </c>
      <c r="I138" t="s">
        <v>456</v>
      </c>
      <c r="J138" t="s">
        <v>457</v>
      </c>
      <c r="K138" t="s">
        <v>402</v>
      </c>
      <c r="L138" t="s">
        <v>421</v>
      </c>
      <c r="M138" t="s">
        <v>291</v>
      </c>
      <c r="N138" s="1"/>
      <c r="O138" s="1"/>
      <c r="P138" s="1"/>
      <c r="Q138">
        <v>1</v>
      </c>
      <c r="U138" t="s">
        <v>311</v>
      </c>
      <c r="V13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8" s="12" t="e">
        <f>_xlfn.XLOOKUP(Portefeuille_MNT_PPS_Access11[[#This Row],[Numéro projet]],Tableau5[Numéro projet],Tableau5[IND_Site_Prioritaire])</f>
        <v>#N/A</v>
      </c>
      <c r="X138" s="2" t="e">
        <f>_xlfn.XLOOKUP(Portefeuille_MNT_PPS_Access11[[#This Row],[Numéro projet]],Tableau5[Numéro projet],Tableau5[Critère Etat Infrastructure])</f>
        <v>#N/A</v>
      </c>
      <c r="Y13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8" s="2"/>
      <c r="AA138" s="63"/>
      <c r="AF138"/>
      <c r="AP138">
        <v>150</v>
      </c>
      <c r="AR138">
        <v>150</v>
      </c>
      <c r="AT138">
        <v>500</v>
      </c>
      <c r="AU138">
        <v>6800</v>
      </c>
      <c r="AZ138" s="14">
        <f>SUM(Portefeuille_MNT_PPS_Access11[[#This Row],[AC ANT]:[TR 2034]])</f>
        <v>7600</v>
      </c>
    </row>
    <row r="139" spans="1:52" x14ac:dyDescent="0.3">
      <c r="B139" t="s">
        <v>101</v>
      </c>
      <c r="C139" t="s">
        <v>102</v>
      </c>
      <c r="D139" t="s">
        <v>136</v>
      </c>
      <c r="F139" t="s">
        <v>20</v>
      </c>
      <c r="G139" t="s">
        <v>20</v>
      </c>
      <c r="H139" t="s">
        <v>105</v>
      </c>
      <c r="I139" t="s">
        <v>458</v>
      </c>
      <c r="J139" t="s">
        <v>459</v>
      </c>
      <c r="K139" t="s">
        <v>239</v>
      </c>
      <c r="L139" t="s">
        <v>421</v>
      </c>
      <c r="M139" t="s">
        <v>291</v>
      </c>
      <c r="N139" s="1"/>
      <c r="O139" s="1"/>
      <c r="P139" s="1"/>
      <c r="Q139">
        <v>1</v>
      </c>
      <c r="U139" t="s">
        <v>311</v>
      </c>
      <c r="V139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39" s="12" t="e">
        <f>_xlfn.XLOOKUP(Portefeuille_MNT_PPS_Access11[[#This Row],[Numéro projet]],Tableau5[Numéro projet],Tableau5[IND_Site_Prioritaire])</f>
        <v>#N/A</v>
      </c>
      <c r="X139" s="2" t="e">
        <f>_xlfn.XLOOKUP(Portefeuille_MNT_PPS_Access11[[#This Row],[Numéro projet]],Tableau5[Numéro projet],Tableau5[Critère Etat Infrastructure])</f>
        <v>#N/A</v>
      </c>
      <c r="Y139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39" s="2"/>
      <c r="AA139" s="63"/>
      <c r="AF139"/>
      <c r="AP139">
        <v>150</v>
      </c>
      <c r="AR139">
        <v>150</v>
      </c>
      <c r="AT139">
        <v>500</v>
      </c>
      <c r="AU139">
        <v>6500</v>
      </c>
      <c r="AZ139" s="14">
        <f>SUM(Portefeuille_MNT_PPS_Access11[[#This Row],[AC ANT]:[TR 2034]])</f>
        <v>7300</v>
      </c>
    </row>
    <row r="140" spans="1:52" x14ac:dyDescent="0.3">
      <c r="B140" t="s">
        <v>101</v>
      </c>
      <c r="C140" t="s">
        <v>102</v>
      </c>
      <c r="D140" t="s">
        <v>136</v>
      </c>
      <c r="F140" t="s">
        <v>20</v>
      </c>
      <c r="G140" t="s">
        <v>20</v>
      </c>
      <c r="H140" t="s">
        <v>105</v>
      </c>
      <c r="I140" t="s">
        <v>460</v>
      </c>
      <c r="J140" t="s">
        <v>461</v>
      </c>
      <c r="K140" t="s">
        <v>108</v>
      </c>
      <c r="L140" t="s">
        <v>395</v>
      </c>
      <c r="M140" t="s">
        <v>291</v>
      </c>
      <c r="N140" s="1"/>
      <c r="O140" s="1"/>
      <c r="P140" s="1"/>
      <c r="Q140">
        <v>1</v>
      </c>
      <c r="U140" t="s">
        <v>311</v>
      </c>
      <c r="V140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0" s="12" t="e">
        <f>_xlfn.XLOOKUP(Portefeuille_MNT_PPS_Access11[[#This Row],[Numéro projet]],Tableau5[Numéro projet],Tableau5[IND_Site_Prioritaire])</f>
        <v>#N/A</v>
      </c>
      <c r="X140" s="2" t="e">
        <f>_xlfn.XLOOKUP(Portefeuille_MNT_PPS_Access11[[#This Row],[Numéro projet]],Tableau5[Numéro projet],Tableau5[Critère Etat Infrastructure])</f>
        <v>#N/A</v>
      </c>
      <c r="Y140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0" s="2"/>
      <c r="AA140" s="63"/>
      <c r="AF140"/>
      <c r="AP140"/>
      <c r="AT140">
        <v>150</v>
      </c>
      <c r="AV140">
        <v>150</v>
      </c>
      <c r="AX140">
        <v>500</v>
      </c>
      <c r="AY140">
        <v>7400</v>
      </c>
      <c r="AZ140" s="14">
        <f>SUM(Portefeuille_MNT_PPS_Access11[[#This Row],[AC ANT]:[TR 2034]])</f>
        <v>8200</v>
      </c>
    </row>
    <row r="141" spans="1:52" x14ac:dyDescent="0.3">
      <c r="B141" t="s">
        <v>101</v>
      </c>
      <c r="C141" t="s">
        <v>102</v>
      </c>
      <c r="D141" t="s">
        <v>136</v>
      </c>
      <c r="F141" t="s">
        <v>20</v>
      </c>
      <c r="G141" t="s">
        <v>20</v>
      </c>
      <c r="H141" t="s">
        <v>105</v>
      </c>
      <c r="I141" t="s">
        <v>462</v>
      </c>
      <c r="J141" t="s">
        <v>463</v>
      </c>
      <c r="K141" t="s">
        <v>230</v>
      </c>
      <c r="L141" t="s">
        <v>421</v>
      </c>
      <c r="M141" t="s">
        <v>291</v>
      </c>
      <c r="N141" s="1"/>
      <c r="O141" s="1"/>
      <c r="P141" s="1"/>
      <c r="Q141">
        <v>1</v>
      </c>
      <c r="U141" t="s">
        <v>311</v>
      </c>
      <c r="V141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1" s="12" t="e">
        <f>_xlfn.XLOOKUP(Portefeuille_MNT_PPS_Access11[[#This Row],[Numéro projet]],Tableau5[Numéro projet],Tableau5[IND_Site_Prioritaire])</f>
        <v>#N/A</v>
      </c>
      <c r="X141" s="2" t="e">
        <f>_xlfn.XLOOKUP(Portefeuille_MNT_PPS_Access11[[#This Row],[Numéro projet]],Tableau5[Numéro projet],Tableau5[Critère Etat Infrastructure])</f>
        <v>#N/A</v>
      </c>
      <c r="Y141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1" s="2"/>
      <c r="AA141" s="63"/>
      <c r="AF141"/>
      <c r="AP141">
        <v>150</v>
      </c>
      <c r="AR141">
        <v>150</v>
      </c>
      <c r="AT141">
        <v>500</v>
      </c>
      <c r="AU141">
        <v>6800</v>
      </c>
      <c r="AZ141" s="14">
        <f>SUM(Portefeuille_MNT_PPS_Access11[[#This Row],[AC ANT]:[TR 2034]])</f>
        <v>7600</v>
      </c>
    </row>
    <row r="142" spans="1:52" x14ac:dyDescent="0.3">
      <c r="B142" t="s">
        <v>101</v>
      </c>
      <c r="C142" t="s">
        <v>102</v>
      </c>
      <c r="D142" t="s">
        <v>136</v>
      </c>
      <c r="F142" t="s">
        <v>20</v>
      </c>
      <c r="G142" t="s">
        <v>20</v>
      </c>
      <c r="H142" t="s">
        <v>105</v>
      </c>
      <c r="I142" t="s">
        <v>464</v>
      </c>
      <c r="J142" t="s">
        <v>465</v>
      </c>
      <c r="K142" t="s">
        <v>116</v>
      </c>
      <c r="L142" s="2" t="s">
        <v>421</v>
      </c>
      <c r="M142" t="s">
        <v>291</v>
      </c>
      <c r="N142" s="1"/>
      <c r="O142" s="1"/>
      <c r="P142" s="1"/>
      <c r="Q142">
        <v>1</v>
      </c>
      <c r="U142" t="s">
        <v>311</v>
      </c>
      <c r="V142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2" s="12" t="e">
        <f>_xlfn.XLOOKUP(Portefeuille_MNT_PPS_Access11[[#This Row],[Numéro projet]],Tableau5[Numéro projet],Tableau5[IND_Site_Prioritaire])</f>
        <v>#N/A</v>
      </c>
      <c r="X142" s="2" t="e">
        <f>_xlfn.XLOOKUP(Portefeuille_MNT_PPS_Access11[[#This Row],[Numéro projet]],Tableau5[Numéro projet],Tableau5[Critère Etat Infrastructure])</f>
        <v>#N/A</v>
      </c>
      <c r="Y142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2" s="2"/>
      <c r="AA142" s="63"/>
      <c r="AF142"/>
      <c r="AP142">
        <v>150</v>
      </c>
      <c r="AR142">
        <v>150</v>
      </c>
      <c r="AT142">
        <v>500</v>
      </c>
      <c r="AU142">
        <v>6800</v>
      </c>
      <c r="AZ142" s="14">
        <f>SUM(Portefeuille_MNT_PPS_Access11[[#This Row],[AC ANT]:[TR 2034]])</f>
        <v>7600</v>
      </c>
    </row>
    <row r="143" spans="1:52" x14ac:dyDescent="0.3">
      <c r="B143" t="s">
        <v>101</v>
      </c>
      <c r="C143" t="s">
        <v>102</v>
      </c>
      <c r="D143" t="s">
        <v>103</v>
      </c>
      <c r="F143" t="s">
        <v>20</v>
      </c>
      <c r="G143" t="s">
        <v>20</v>
      </c>
      <c r="H143" t="s">
        <v>105</v>
      </c>
      <c r="I143" t="s">
        <v>466</v>
      </c>
      <c r="J143" t="s">
        <v>467</v>
      </c>
      <c r="K143" t="s">
        <v>108</v>
      </c>
      <c r="L143" t="s">
        <v>392</v>
      </c>
      <c r="M143" t="s">
        <v>291</v>
      </c>
      <c r="N143" s="1"/>
      <c r="O143" s="1"/>
      <c r="P143" s="1"/>
      <c r="Q143">
        <v>1</v>
      </c>
      <c r="U143" t="s">
        <v>311</v>
      </c>
      <c r="V143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3" s="12" t="e">
        <f>_xlfn.XLOOKUP(Portefeuille_MNT_PPS_Access11[[#This Row],[Numéro projet]],Tableau5[Numéro projet],Tableau5[IND_Site_Prioritaire])</f>
        <v>#N/A</v>
      </c>
      <c r="X143" s="2" t="e">
        <f>_xlfn.XLOOKUP(Portefeuille_MNT_PPS_Access11[[#This Row],[Numéro projet]],Tableau5[Numéro projet],Tableau5[Critère Etat Infrastructure])</f>
        <v>#N/A</v>
      </c>
      <c r="Y143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3" s="2"/>
      <c r="AA143" s="63"/>
      <c r="AF143"/>
      <c r="AP143"/>
      <c r="AR143">
        <v>375</v>
      </c>
      <c r="AT143">
        <v>375</v>
      </c>
      <c r="AV143">
        <v>750</v>
      </c>
      <c r="AW143">
        <v>45000</v>
      </c>
      <c r="AZ143" s="14">
        <f>SUM(Portefeuille_MNT_PPS_Access11[[#This Row],[AC ANT]:[TR 2034]])</f>
        <v>46500</v>
      </c>
    </row>
    <row r="144" spans="1:52" x14ac:dyDescent="0.3">
      <c r="B144" t="s">
        <v>101</v>
      </c>
      <c r="C144" t="s">
        <v>102</v>
      </c>
      <c r="D144" t="s">
        <v>103</v>
      </c>
      <c r="F144" t="s">
        <v>20</v>
      </c>
      <c r="G144" t="s">
        <v>20</v>
      </c>
      <c r="H144" t="s">
        <v>105</v>
      </c>
      <c r="I144" t="s">
        <v>468</v>
      </c>
      <c r="J144" t="s">
        <v>469</v>
      </c>
      <c r="K144" t="s">
        <v>143</v>
      </c>
      <c r="L144" t="s">
        <v>421</v>
      </c>
      <c r="M144" t="s">
        <v>291</v>
      </c>
      <c r="N144" s="1"/>
      <c r="O144" s="1"/>
      <c r="P144" s="1"/>
      <c r="Q144">
        <v>1</v>
      </c>
      <c r="U144" t="s">
        <v>311</v>
      </c>
      <c r="V144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4" s="12" t="e">
        <f>_xlfn.XLOOKUP(Portefeuille_MNT_PPS_Access11[[#This Row],[Numéro projet]],Tableau5[Numéro projet],Tableau5[IND_Site_Prioritaire])</f>
        <v>#N/A</v>
      </c>
      <c r="X144" s="2" t="e">
        <f>_xlfn.XLOOKUP(Portefeuille_MNT_PPS_Access11[[#This Row],[Numéro projet]],Tableau5[Numéro projet],Tableau5[Critère Etat Infrastructure])</f>
        <v>#N/A</v>
      </c>
      <c r="Y144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4" s="2"/>
      <c r="AA144" s="63"/>
      <c r="AF144"/>
      <c r="AP144">
        <v>375</v>
      </c>
      <c r="AR144">
        <v>375</v>
      </c>
      <c r="AT144">
        <v>500</v>
      </c>
      <c r="AU144">
        <v>5000</v>
      </c>
      <c r="AV144">
        <v>500</v>
      </c>
      <c r="AW144">
        <v>12000</v>
      </c>
      <c r="AX144">
        <v>500</v>
      </c>
      <c r="AY144">
        <v>59000</v>
      </c>
      <c r="AZ144" s="14">
        <f>SUM(Portefeuille_MNT_PPS_Access11[[#This Row],[AC ANT]:[TR 2034]])</f>
        <v>78250</v>
      </c>
    </row>
    <row r="145" spans="1:54" x14ac:dyDescent="0.3">
      <c r="B145" t="s">
        <v>118</v>
      </c>
      <c r="C145" t="s">
        <v>102</v>
      </c>
      <c r="D145" t="s">
        <v>136</v>
      </c>
      <c r="F145" t="s">
        <v>20</v>
      </c>
      <c r="G145" t="s">
        <v>20</v>
      </c>
      <c r="H145" t="s">
        <v>131</v>
      </c>
      <c r="I145" t="s">
        <v>470</v>
      </c>
      <c r="J145" t="s">
        <v>471</v>
      </c>
      <c r="K145" t="s">
        <v>191</v>
      </c>
      <c r="L145" t="s">
        <v>370</v>
      </c>
      <c r="M145" t="s">
        <v>291</v>
      </c>
      <c r="N145" s="1"/>
      <c r="O145" s="1"/>
      <c r="P145" s="1"/>
      <c r="Q145">
        <v>1</v>
      </c>
      <c r="U145" t="s">
        <v>311</v>
      </c>
      <c r="V145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5" s="12" t="e">
        <f>_xlfn.XLOOKUP(Portefeuille_MNT_PPS_Access11[[#This Row],[Numéro projet]],Tableau5[Numéro projet],Tableau5[IND_Site_Prioritaire])</f>
        <v>#N/A</v>
      </c>
      <c r="X145" s="2" t="e">
        <f>_xlfn.XLOOKUP(Portefeuille_MNT_PPS_Access11[[#This Row],[Numéro projet]],Tableau5[Numéro projet],Tableau5[Critère Etat Infrastructure])</f>
        <v>#N/A</v>
      </c>
      <c r="Y145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5" s="2"/>
      <c r="AA145" s="63"/>
      <c r="AF145"/>
      <c r="AL145">
        <v>50</v>
      </c>
      <c r="AN145">
        <v>50</v>
      </c>
      <c r="AP145">
        <v>100</v>
      </c>
      <c r="AR145">
        <v>200</v>
      </c>
      <c r="AS145">
        <v>3000</v>
      </c>
      <c r="AZ145" s="14">
        <f>SUM(Portefeuille_MNT_PPS_Access11[[#This Row],[AC ANT]:[TR 2034]])</f>
        <v>3400</v>
      </c>
    </row>
    <row r="146" spans="1:54" x14ac:dyDescent="0.3">
      <c r="B146" t="s">
        <v>126</v>
      </c>
      <c r="C146" t="s">
        <v>127</v>
      </c>
      <c r="D146" t="s">
        <v>103</v>
      </c>
      <c r="F146" t="s">
        <v>20</v>
      </c>
      <c r="G146" t="s">
        <v>20</v>
      </c>
      <c r="H146" t="s">
        <v>105</v>
      </c>
      <c r="I146" t="s">
        <v>472</v>
      </c>
      <c r="J146" t="s">
        <v>473</v>
      </c>
      <c r="K146" t="s">
        <v>143</v>
      </c>
      <c r="L146" t="s">
        <v>184</v>
      </c>
      <c r="M146" t="s">
        <v>291</v>
      </c>
      <c r="N146" s="1"/>
      <c r="O146" s="1"/>
      <c r="P146" s="1"/>
      <c r="Q146">
        <v>1</v>
      </c>
      <c r="U146" t="s">
        <v>311</v>
      </c>
      <c r="V146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6" s="12" t="e">
        <f>_xlfn.XLOOKUP(Portefeuille_MNT_PPS_Access11[[#This Row],[Numéro projet]],Tableau5[Numéro projet],Tableau5[IND_Site_Prioritaire])</f>
        <v>#N/A</v>
      </c>
      <c r="X146" s="2" t="e">
        <f>_xlfn.XLOOKUP(Portefeuille_MNT_PPS_Access11[[#This Row],[Numéro projet]],Tableau5[Numéro projet],Tableau5[Critère Etat Infrastructure])</f>
        <v>#N/A</v>
      </c>
      <c r="Y146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6" s="2"/>
      <c r="AA146" s="63"/>
      <c r="AF146"/>
      <c r="AL146">
        <v>375</v>
      </c>
      <c r="AN146">
        <v>375</v>
      </c>
      <c r="AP146">
        <v>750</v>
      </c>
      <c r="AQ146">
        <v>10000</v>
      </c>
      <c r="AR146">
        <v>500</v>
      </c>
      <c r="AS146">
        <v>10000</v>
      </c>
      <c r="AT146">
        <v>500</v>
      </c>
      <c r="AU146">
        <v>15000</v>
      </c>
      <c r="AZ146" s="14">
        <f>SUM(Portefeuille_MNT_PPS_Access11[[#This Row],[AC ANT]:[TR 2034]])</f>
        <v>37500</v>
      </c>
    </row>
    <row r="147" spans="1:54" x14ac:dyDescent="0.3">
      <c r="B147" t="s">
        <v>126</v>
      </c>
      <c r="C147" t="s">
        <v>127</v>
      </c>
      <c r="D147" t="s">
        <v>103</v>
      </c>
      <c r="F147" t="s">
        <v>20</v>
      </c>
      <c r="G147" t="s">
        <v>20</v>
      </c>
      <c r="H147" t="s">
        <v>105</v>
      </c>
      <c r="I147" t="s">
        <v>474</v>
      </c>
      <c r="J147" t="s">
        <v>475</v>
      </c>
      <c r="K147" t="s">
        <v>108</v>
      </c>
      <c r="L147" t="s">
        <v>421</v>
      </c>
      <c r="M147" t="s">
        <v>291</v>
      </c>
      <c r="N147" s="1"/>
      <c r="O147" s="1"/>
      <c r="P147" s="1"/>
      <c r="Q147">
        <v>1</v>
      </c>
      <c r="U147" t="s">
        <v>311</v>
      </c>
      <c r="V147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0</v>
      </c>
      <c r="W147" s="12" t="e">
        <f>_xlfn.XLOOKUP(Portefeuille_MNT_PPS_Access11[[#This Row],[Numéro projet]],Tableau5[Numéro projet],Tableau5[IND_Site_Prioritaire])</f>
        <v>#N/A</v>
      </c>
      <c r="X147" s="2" t="e">
        <f>_xlfn.XLOOKUP(Portefeuille_MNT_PPS_Access11[[#This Row],[Numéro projet]],Tableau5[Numéro projet],Tableau5[Critère Etat Infrastructure])</f>
        <v>#N/A</v>
      </c>
      <c r="Y147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7" s="2"/>
      <c r="AA147" s="63"/>
      <c r="AF147"/>
      <c r="AP147">
        <v>375</v>
      </c>
      <c r="AR147">
        <v>375</v>
      </c>
      <c r="AT147">
        <v>750</v>
      </c>
      <c r="AU147">
        <v>4000</v>
      </c>
      <c r="AV147">
        <v>500</v>
      </c>
      <c r="AW147">
        <v>24000</v>
      </c>
      <c r="AX147">
        <v>500</v>
      </c>
      <c r="AY147">
        <v>9000</v>
      </c>
      <c r="AZ147" s="14">
        <f>SUM(Portefeuille_MNT_PPS_Access11[[#This Row],[AC ANT]:[TR 2034]])</f>
        <v>39500</v>
      </c>
    </row>
    <row r="148" spans="1:54" x14ac:dyDescent="0.3">
      <c r="A148">
        <v>5</v>
      </c>
      <c r="B148" t="s">
        <v>118</v>
      </c>
      <c r="C148" t="s">
        <v>102</v>
      </c>
      <c r="D148" t="s">
        <v>177</v>
      </c>
      <c r="E148" t="s">
        <v>129</v>
      </c>
      <c r="F148" t="s">
        <v>20</v>
      </c>
      <c r="G148" t="s">
        <v>20</v>
      </c>
      <c r="H148" t="s">
        <v>131</v>
      </c>
      <c r="I148" t="s">
        <v>293</v>
      </c>
      <c r="J148" t="s">
        <v>294</v>
      </c>
      <c r="K148" t="s">
        <v>134</v>
      </c>
      <c r="L148" t="s">
        <v>148</v>
      </c>
      <c r="M148" t="s">
        <v>123</v>
      </c>
      <c r="N148" s="1">
        <v>45702</v>
      </c>
      <c r="O148" s="1">
        <v>45702</v>
      </c>
      <c r="P148" s="1">
        <v>45702</v>
      </c>
      <c r="Q148">
        <v>1</v>
      </c>
      <c r="R148">
        <v>1</v>
      </c>
      <c r="S148">
        <v>1</v>
      </c>
      <c r="T148">
        <v>1</v>
      </c>
      <c r="U148" t="s">
        <v>125</v>
      </c>
      <c r="V148" s="2" t="str">
        <f>IF(AND(Portefeuille_MNT_PPS_Access11[[#This Row],[Année DÉBUT Travaux prévu]]&gt;=2024,Portefeuille_MNT_PPS_Access11[[#This Row],[IND_PC5_TR2025]]=5),5,IF(AND(Portefeuille_MNT_PPS_Access11[[#This Row],[Année DÉBUT Travaux prévu]]&gt;=2026,Portefeuille_MNT_PPS_Access11[[#This Row],[IND_PC3_TR2026]]=5),5,Portefeuille_MNT_PPS_Access11[[#This Row],[IND_Etat_avancement]]))</f>
        <v>5</v>
      </c>
      <c r="W148" s="12" t="e">
        <f>_xlfn.XLOOKUP(Portefeuille_MNT_PPS_Access11[[#This Row],[Numéro projet]],Tableau5[Numéro projet],Tableau5[IND_Site_Prioritaire])</f>
        <v>#N/A</v>
      </c>
      <c r="X148" s="2" t="e">
        <f>_xlfn.XLOOKUP(Portefeuille_MNT_PPS_Access11[[#This Row],[Numéro projet]],Tableau5[Numéro projet],Tableau5[Critère Etat Infrastructure])</f>
        <v>#N/A</v>
      </c>
      <c r="Y148" s="12" t="e">
        <f>IF(Portefeuille_MNT_PPS_Access11[[#This Row],[IND_Parachèvement]]=5,100, SUM(Portefeuille_MNT_PPS_Access11[[#This Row],[Critère PC Atteint]]*$Y$8/5, Portefeuille_MNT_PPS_Access11[[#This Row],[Critère Etat Infrastructure]]*$Y$10/5,Portefeuille_MNT_PPS_Access11[[#This Row],[Site prioritaire]]* $Y$9/5, Portefeuille_MNT_PPS_Access11[[#This Row],[IND_PROJT_ANNONCE]]*$Y$7/5)*100)</f>
        <v>#N/A</v>
      </c>
      <c r="Z148" s="2"/>
      <c r="AA148" s="63"/>
      <c r="AF148">
        <v>100</v>
      </c>
      <c r="AG148">
        <v>4000</v>
      </c>
      <c r="AP148"/>
      <c r="AZ148" s="14">
        <f>SUM(Portefeuille_MNT_PPS_Access11[[#This Row],[AC ANT]:[TR 2034]])</f>
        <v>4100</v>
      </c>
      <c r="BA148" s="57"/>
      <c r="BB148" s="57"/>
    </row>
    <row r="149" spans="1:54" x14ac:dyDescent="0.3">
      <c r="I149">
        <f>SUBTOTAL(103,Portefeuille_MNT_PPS_Access11[Numéro projet])</f>
        <v>130</v>
      </c>
      <c r="AA149" s="13"/>
      <c r="AB149" s="57">
        <f>SUBTOTAL(109,Portefeuille_MNT_PPS_Access11[AC ANT])</f>
        <v>23914</v>
      </c>
      <c r="AC149" s="57">
        <f>SUBTOTAL(109,Portefeuille_MNT_PPS_Access11[TR ANT])</f>
        <v>152792</v>
      </c>
      <c r="AD149" s="57">
        <f>SUBTOTAL(109,Portefeuille_MNT_PPS_Access11[AC 2024])</f>
        <v>6622</v>
      </c>
      <c r="AE149" s="57">
        <f>SUBTOTAL(109,Portefeuille_MNT_PPS_Access11[TR 2024])</f>
        <v>75022</v>
      </c>
      <c r="AF149" s="57">
        <f>SUBTOTAL(109,Portefeuille_MNT_PPS_Access11[AC 2025])</f>
        <v>10705</v>
      </c>
      <c r="AG149" s="57">
        <f>SUBTOTAL(109,Portefeuille_MNT_PPS_Access11[TR 2025])</f>
        <v>51794</v>
      </c>
      <c r="AH149" s="57">
        <f>SUBTOTAL(109,Portefeuille_MNT_PPS_Access11[AC 2026])</f>
        <v>12846</v>
      </c>
      <c r="AI149" s="57">
        <f>SUBTOTAL(109,Portefeuille_MNT_PPS_Access11[TR 2026])</f>
        <v>58747</v>
      </c>
      <c r="AJ149" s="57">
        <f>SUBTOTAL(109,Portefeuille_MNT_PPS_Access11[AC 2027])</f>
        <v>12821</v>
      </c>
      <c r="AK149" s="57">
        <f>SUBTOTAL(109,Portefeuille_MNT_PPS_Access11[TR 2027])</f>
        <v>91127</v>
      </c>
      <c r="AL149" s="57">
        <f>SUBTOTAL(109,Portefeuille_MNT_PPS_Access11[AC 2028])</f>
        <v>12904</v>
      </c>
      <c r="AM149" s="57">
        <f>SUBTOTAL(109,Portefeuille_MNT_PPS_Access11[TR 2028])</f>
        <v>98067</v>
      </c>
      <c r="AN149" s="57">
        <f>SUBTOTAL(109,Portefeuille_MNT_PPS_Access11[AC 2029])</f>
        <v>8852</v>
      </c>
      <c r="AO149" s="57">
        <f>SUBTOTAL(109,Portefeuille_MNT_PPS_Access11[TR 2029])</f>
        <v>95457</v>
      </c>
      <c r="AP149" s="57">
        <f>SUBTOTAL(109,Portefeuille_MNT_PPS_Access11[AC 2030])</f>
        <v>8150</v>
      </c>
      <c r="AQ149" s="57">
        <f>SUBTOTAL(109,Portefeuille_MNT_PPS_Access11[TR 2030])</f>
        <v>85708</v>
      </c>
      <c r="AR149" s="57">
        <f>SUBTOTAL(109,Portefeuille_MNT_PPS_Access11[AC 2031])</f>
        <v>6697</v>
      </c>
      <c r="AS149" s="57">
        <f>SUBTOTAL(109,Portefeuille_MNT_PPS_Access11[TR 2031])</f>
        <v>92119</v>
      </c>
      <c r="AT149" s="57">
        <f>SUBTOTAL(109,Portefeuille_MNT_PPS_Access11[AC 2032])</f>
        <v>7425</v>
      </c>
      <c r="AU149" s="57">
        <f>SUBTOTAL(109,Portefeuille_MNT_PPS_Access11[TR 2032])</f>
        <v>93600</v>
      </c>
      <c r="AV149" s="57">
        <f>SUBTOTAL(109,Portefeuille_MNT_PPS_Access11[AC 2033])</f>
        <v>3750</v>
      </c>
      <c r="AW149" s="57">
        <f>SUBTOTAL(109,Portefeuille_MNT_PPS_Access11[TR 2033])</f>
        <v>101700</v>
      </c>
      <c r="AX149" s="57">
        <f>SUBTOTAL(109,Portefeuille_MNT_PPS_Access11[AC 2034])</f>
        <v>3700</v>
      </c>
      <c r="AY149" s="57">
        <f>SUBTOTAL(109,Portefeuille_MNT_PPS_Access11[TR 2034])</f>
        <v>105400</v>
      </c>
      <c r="AZ149" s="14">
        <f>SUBTOTAL(109,Portefeuille_MNT_PPS_Access11[Total Projet])</f>
        <v>1219919</v>
      </c>
    </row>
    <row r="151" spans="1:54" x14ac:dyDescent="0.3">
      <c r="AR151" s="57"/>
      <c r="AS151" s="57"/>
      <c r="AT151" s="57"/>
      <c r="AU151" s="57"/>
      <c r="AV151" s="57"/>
      <c r="AW151" s="57"/>
      <c r="AX151" s="57"/>
      <c r="AY151" s="57"/>
      <c r="AZ151" s="57"/>
    </row>
  </sheetData>
  <mergeCells count="168">
    <mergeCell ref="AT15:AU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N16:AO16"/>
    <mergeCell ref="AP16:AQ16"/>
    <mergeCell ref="AR16:AS16"/>
    <mergeCell ref="AT16:AU16"/>
    <mergeCell ref="AV16:AW16"/>
    <mergeCell ref="AX16:AY16"/>
    <mergeCell ref="AB16:AC16"/>
    <mergeCell ref="AD16:AE16"/>
    <mergeCell ref="AF16:AG16"/>
    <mergeCell ref="AH16:AI16"/>
    <mergeCell ref="AJ16:AK16"/>
    <mergeCell ref="AL16:AM16"/>
    <mergeCell ref="AV13:AW13"/>
    <mergeCell ref="AX13:AY13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V14:AW14"/>
    <mergeCell ref="AX14:AY14"/>
    <mergeCell ref="AV15:AW15"/>
    <mergeCell ref="AX15:AY15"/>
    <mergeCell ref="AR14:AS14"/>
    <mergeCell ref="AT14:AU14"/>
    <mergeCell ref="AB12:AC12"/>
    <mergeCell ref="AD12:AE12"/>
    <mergeCell ref="AF12:AG12"/>
    <mergeCell ref="AH12:AI12"/>
    <mergeCell ref="AJ12:AK12"/>
    <mergeCell ref="AX12:AY12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L12:AM12"/>
    <mergeCell ref="AN12:AO12"/>
    <mergeCell ref="AP12:AQ12"/>
    <mergeCell ref="AR12:AS12"/>
    <mergeCell ref="AT12:AU12"/>
    <mergeCell ref="AV12:AW12"/>
    <mergeCell ref="AT10:AU10"/>
    <mergeCell ref="AV10:AW10"/>
    <mergeCell ref="AX10:AY10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8:AU8"/>
    <mergeCell ref="AV8:AW8"/>
    <mergeCell ref="AX8:AY8"/>
    <mergeCell ref="AB9:AC9"/>
    <mergeCell ref="AD9:AE9"/>
    <mergeCell ref="AF9:AG9"/>
    <mergeCell ref="AH9:AI9"/>
    <mergeCell ref="AJ9:AK9"/>
    <mergeCell ref="AX9:AY9"/>
    <mergeCell ref="AL9:AM9"/>
    <mergeCell ref="AN9:AO9"/>
    <mergeCell ref="AP9:AQ9"/>
    <mergeCell ref="AR9:AS9"/>
    <mergeCell ref="AT9:AU9"/>
    <mergeCell ref="AV9:AW9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B6:AC6"/>
    <mergeCell ref="AD6:AE6"/>
    <mergeCell ref="AF6:AG6"/>
    <mergeCell ref="AH6:AI6"/>
    <mergeCell ref="AJ6:AK6"/>
    <mergeCell ref="AX6:AY6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L6:AM6"/>
    <mergeCell ref="AN6:AO6"/>
    <mergeCell ref="AP6:AQ6"/>
    <mergeCell ref="AR6:AS6"/>
    <mergeCell ref="AT6:AU6"/>
    <mergeCell ref="AV6:AW6"/>
    <mergeCell ref="AT7:AU7"/>
    <mergeCell ref="AV7:AW7"/>
    <mergeCell ref="AX7:AY7"/>
    <mergeCell ref="AX4:AY4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G3:H3"/>
    <mergeCell ref="AB3:AC3"/>
    <mergeCell ref="AD3:AE3"/>
    <mergeCell ref="AF3:AG3"/>
    <mergeCell ref="AH3:AI3"/>
    <mergeCell ref="AJ3:AK3"/>
    <mergeCell ref="AX3:AY3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L3:AM3"/>
    <mergeCell ref="AN3:AO3"/>
    <mergeCell ref="AP3:AQ3"/>
    <mergeCell ref="AR3:AS3"/>
    <mergeCell ref="AT3:AU3"/>
    <mergeCell ref="AV3:AW3"/>
    <mergeCell ref="AT4:AU4"/>
    <mergeCell ref="AV4:AW4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9A0A37C-16AE-4813-926F-E0164781EF1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V19:W148</xm:sqref>
        </x14:conditionalFormatting>
        <x14:conditionalFormatting xmlns:xm="http://schemas.microsoft.com/office/excel/2006/main">
          <x14:cfRule type="iconSet" priority="3" id="{ABBC4114-F056-4652-A682-AE03E641D06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X19:Y148</xm:sqref>
        </x14:conditionalFormatting>
        <x14:conditionalFormatting xmlns:xm="http://schemas.microsoft.com/office/excel/2006/main">
          <x14:cfRule type="iconSet" priority="2" id="{9A7134DC-6A97-4D70-9136-92837891736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Z19:AA148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447B-71D9-4775-B0C6-A5382CAEFED6}">
  <dimension ref="A1:BI147"/>
  <sheetViews>
    <sheetView topLeftCell="L1" workbookViewId="0">
      <selection activeCell="AO43" sqref="AO43"/>
    </sheetView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customWidth="1"/>
    <col min="14" max="14" width="28" bestFit="1" customWidth="1"/>
    <col min="15" max="17" width="13.6640625" customWidth="1"/>
    <col min="18" max="18" width="12.33203125" hidden="1" customWidth="1" outlineLevel="1"/>
    <col min="19" max="19" width="13" hidden="1" customWidth="1" outlineLevel="1"/>
    <col min="20" max="21" width="9.44140625" hidden="1" customWidth="1" outlineLevel="1"/>
    <col min="22" max="22" width="9.5546875" customWidth="1" collapsed="1"/>
    <col min="23" max="23" width="9.5546875" customWidth="1"/>
    <col min="24" max="24" width="13.33203125" hidden="1" customWidth="1" outlineLevel="1"/>
    <col min="25" max="25" width="11.5546875" hidden="1" customWidth="1" outlineLevel="1"/>
    <col min="26" max="27" width="8.33203125" hidden="1" customWidth="1" outlineLevel="1"/>
    <col min="28" max="28" width="10.109375" customWidth="1" collapsed="1"/>
    <col min="29" max="29" width="9" customWidth="1"/>
    <col min="30" max="30" width="9.88671875" style="25" customWidth="1"/>
    <col min="31" max="31" width="13.33203125" hidden="1" customWidth="1" outlineLevel="1"/>
    <col min="32" max="32" width="13.33203125" hidden="1" customWidth="1" outlineLevel="1" collapsed="1"/>
    <col min="33" max="33" width="7.44140625" hidden="1" customWidth="1" outlineLevel="1"/>
    <col min="34" max="34" width="9.44140625" hidden="1" customWidth="1" outlineLevel="1"/>
    <col min="35" max="35" width="10.33203125" hidden="1" customWidth="1" collapsed="1"/>
    <col min="36" max="36" width="9.5546875" customWidth="1" outlineLevel="1"/>
    <col min="37" max="42" width="9.88671875" customWidth="1" outlineLevel="1"/>
    <col min="43" max="43" width="9.88671875" style="8" customWidth="1" outlineLevel="1"/>
    <col min="44" max="53" width="9.88671875" customWidth="1" outlineLevel="1"/>
    <col min="54" max="54" width="17.109375" bestFit="1" customWidth="1"/>
    <col min="55" max="55" width="16.6640625" hidden="1" customWidth="1"/>
    <col min="56" max="58" width="9.88671875" customWidth="1"/>
    <col min="59" max="59" width="16.109375" customWidth="1"/>
    <col min="60" max="60" width="17" customWidth="1"/>
    <col min="61" max="71" width="11.33203125" customWidth="1"/>
    <col min="72" max="72" width="12.5546875" customWidth="1"/>
    <col min="73" max="73" width="13.44140625" customWidth="1"/>
    <col min="74" max="74" width="13.109375" customWidth="1"/>
    <col min="75" max="75" width="14" customWidth="1"/>
    <col min="76" max="81" width="17.33203125" customWidth="1"/>
    <col min="82" max="82" width="18.109375" customWidth="1"/>
    <col min="83" max="83" width="17.5546875" customWidth="1"/>
  </cols>
  <sheetData>
    <row r="1" spans="1:57" ht="21" x14ac:dyDescent="0.4">
      <c r="A1" s="85"/>
      <c r="B1" s="85"/>
      <c r="C1" s="85"/>
      <c r="D1" s="85"/>
      <c r="E1" s="85"/>
      <c r="F1" s="85"/>
      <c r="J1" s="32" t="s">
        <v>261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85"/>
      <c r="BE1" s="85"/>
    </row>
    <row r="2" spans="1:57" ht="28.5" customHeight="1" x14ac:dyDescent="0.3">
      <c r="P2" s="314"/>
      <c r="Q2" s="314"/>
      <c r="R2" s="25"/>
      <c r="S2" s="25"/>
      <c r="T2" s="25"/>
      <c r="U2" s="8"/>
      <c r="AD2"/>
      <c r="AQ2"/>
    </row>
    <row r="3" spans="1:57" ht="26.4" customHeight="1" thickBot="1" x14ac:dyDescent="0.35">
      <c r="J3" s="129" t="s">
        <v>2</v>
      </c>
      <c r="K3" s="130"/>
      <c r="N3" s="65"/>
      <c r="P3" s="128"/>
      <c r="Q3" s="128" t="s">
        <v>5</v>
      </c>
      <c r="R3" s="301" t="s">
        <v>6</v>
      </c>
      <c r="S3" s="302"/>
      <c r="T3" s="303">
        <v>2024</v>
      </c>
      <c r="U3" s="302"/>
      <c r="V3" s="293" t="s">
        <v>263</v>
      </c>
      <c r="W3" s="304"/>
      <c r="X3" s="305" t="s">
        <v>264</v>
      </c>
      <c r="Y3" s="305"/>
      <c r="Z3" s="311" t="s">
        <v>265</v>
      </c>
      <c r="AA3" s="312"/>
      <c r="AB3" s="313"/>
      <c r="AC3" s="300" t="s">
        <v>266</v>
      </c>
      <c r="AD3" s="300"/>
      <c r="AE3" s="297" t="s">
        <v>267</v>
      </c>
      <c r="AF3" s="298"/>
      <c r="AG3" s="308" t="s">
        <v>268</v>
      </c>
      <c r="AH3" s="309"/>
      <c r="AI3" s="310"/>
      <c r="AJ3" s="300">
        <v>2027</v>
      </c>
      <c r="AK3" s="294"/>
      <c r="AL3" s="293">
        <v>2028</v>
      </c>
      <c r="AM3" s="294"/>
      <c r="AN3" s="293">
        <v>2029</v>
      </c>
      <c r="AO3" s="294"/>
      <c r="AP3" s="293">
        <v>2030</v>
      </c>
      <c r="AQ3" s="294"/>
      <c r="AR3" s="293">
        <v>2031</v>
      </c>
      <c r="AS3" s="294"/>
      <c r="AT3" s="293">
        <v>2032</v>
      </c>
      <c r="AU3" s="294"/>
      <c r="AV3" s="293">
        <v>2033</v>
      </c>
      <c r="AW3" s="294"/>
      <c r="AX3" s="293">
        <v>2034</v>
      </c>
      <c r="AY3" s="294"/>
      <c r="AZ3" s="178"/>
      <c r="BA3" s="178"/>
      <c r="BB3" s="26" t="s">
        <v>269</v>
      </c>
      <c r="BC3" s="26" t="s">
        <v>8</v>
      </c>
    </row>
    <row r="4" spans="1:57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SUMIFS(ProgIni_25_27_2025_04_08[AC 2024],ProgIni_25_27_2025_04_08[DES_COMPL_NATR_COMPB],"=Fonctionnement")+SUMIFS(ProgIni_25_27_2025_04_08[TR 2024],ProgIni_25_27_2025_04_08[DES_COMPL_NATR_COMPB],"=Fonctionnement")</f>
        <v>0</v>
      </c>
      <c r="U4" s="260"/>
      <c r="V4" s="295">
        <f>SUMIFS(ProgIni_25_27_2025_04_08[AC 2025],ProgIni_25_27_2025_04_08[DES_COMPL_NATR_COMPB],"=Fonctionnement")+SUMIFS(ProgIni_25_27_2025_04_08[TR 2025],ProgIni_25_27_2025_04_08[DES_COMPL_NATR_COMPB],"=Fonctionnement")</f>
        <v>300</v>
      </c>
      <c r="W4" s="296"/>
      <c r="X4" s="260"/>
      <c r="Y4" s="260"/>
      <c r="Z4" s="106"/>
      <c r="AA4" s="78"/>
      <c r="AB4" s="107"/>
      <c r="AC4" s="260">
        <f>SUMIFS(ProgIni_25_27_2025_04_08[AC 2026],ProgIni_25_27_2025_04_08[DES_COMPL_NATR_COMPB],"=Fonctionnement")+SUMIFS(ProgIni_25_27_2025_04_08[TR 2026],ProgIni_25_27_2025_04_08[DES_COMPL_NATR_COMPB],"=Fonctionnement")</f>
        <v>0</v>
      </c>
      <c r="AD4" s="260"/>
      <c r="AE4" s="279"/>
      <c r="AF4" s="280"/>
      <c r="AG4" s="106"/>
      <c r="AH4" s="78"/>
      <c r="AI4" s="107"/>
      <c r="AJ4" s="260">
        <f>SUMIFS(ProgIni_25_27_2025_04_08[AC 2027],ProgIni_25_27_2025_04_08[DES_COMPL_NATR_COMPB],"=Fonctionnement")+SUMIFS(ProgIni_25_27_2025_04_08[TR 2027],ProgIni_25_27_2025_04_08[DES_COMPL_NATR_COMPB],"=Fonctionnement")</f>
        <v>0</v>
      </c>
      <c r="AK4" s="260"/>
      <c r="AL4" s="260">
        <f>SUMIFS(ProgIni_25_27_2025_04_08[AC 2028],ProgIni_25_27_2025_04_08[DES_COMPL_NATR_COMPB],"=Fonctionnement")+SUMIFS(ProgIni_25_27_2025_04_08[TR 2028],ProgIni_25_27_2025_04_08[DES_COMPL_NATR_COMPB],"=Fonctionnement")</f>
        <v>0</v>
      </c>
      <c r="AM4" s="260"/>
      <c r="AN4" s="260">
        <f>SUMIFS(ProgIni_25_27_2025_04_08[AC 2029],ProgIni_25_27_2025_04_08[DES_COMPL_NATR_COMPB],"=Fonctionnement")+SUMIFS(ProgIni_25_27_2025_04_08[TR 2029],ProgIni_25_27_2025_04_08[DES_COMPL_NATR_COMPB],"=Fonctionnement")</f>
        <v>0</v>
      </c>
      <c r="AO4" s="260"/>
      <c r="AP4" s="260">
        <f>SUMIFS(ProgIni_25_27_2025_04_08[AC 2030],ProgIni_25_27_2025_04_08[DES_COMPL_NATR_COMPB],"=Fonctionnement")+SUMIFS(ProgIni_25_27_2025_04_08[TR 2030],ProgIni_25_27_2025_04_08[DES_COMPL_NATR_COMPB],"=Fonctionnement")</f>
        <v>0</v>
      </c>
      <c r="AQ4" s="260"/>
      <c r="AR4" s="260">
        <f>SUMIFS(ProgIni_25_27_2025_04_08[AC 2031],ProgIni_25_27_2025_04_08[DES_COMPL_NATR_COMPB],"=Fonctionnement")+SUMIFS(ProgIni_25_27_2025_04_08[TR 2031],ProgIni_25_27_2025_04_08[DES_COMPL_NATR_COMPB],"=Fonctionnement")</f>
        <v>0</v>
      </c>
      <c r="AS4" s="260"/>
      <c r="AT4" s="260">
        <f>SUMIFS(ProgIni_25_27_2025_04_08[AC 2032],ProgIni_25_27_2025_04_08[DES_COMPL_NATR_COMPB],"=Fonctionnement")+SUMIFS(ProgIni_25_27_2025_04_08[TR 2032],ProgIni_25_27_2025_04_08[DES_COMPL_NATR_COMPB],"=Fonctionnement")</f>
        <v>0</v>
      </c>
      <c r="AU4" s="260"/>
      <c r="AV4" s="260">
        <f>SUMIFS(ProgIni_25_27_2025_04_08[AC 2033],ProgIni_25_27_2025_04_08[DES_COMPL_NATR_COMPB],"=Fonctionnement")+SUMIFS(ProgIni_25_27_2025_04_08[TR 2033],ProgIni_25_27_2025_04_08[DES_COMPL_NATR_COMPB],"=Fonctionnement")</f>
        <v>0</v>
      </c>
      <c r="AW4" s="260"/>
      <c r="AX4" s="260">
        <f>SUMIFS(ProgIni_25_27_2025_04_08[AC 2034],ProgIni_25_27_2025_04_08[DES_COMPL_NATR_COMPB],"=Fonctionnement")+SUMIFS(ProgIni_25_27_2025_04_08[TR 2034],ProgIni_25_27_2025_04_08[DES_COMPL_NATR_COMPB],"=Fonctionnement")</f>
        <v>0</v>
      </c>
      <c r="AY4" s="260"/>
      <c r="AZ4" s="78"/>
      <c r="BA4" s="78"/>
      <c r="BB4" s="16">
        <f>SUM(V4,AC4)</f>
        <v>300</v>
      </c>
      <c r="BC4" s="16">
        <f>SUM(V4,AC4,AJ4:AY4)</f>
        <v>300</v>
      </c>
    </row>
    <row r="5" spans="1:57" x14ac:dyDescent="0.3">
      <c r="J5" s="27" t="s">
        <v>12</v>
      </c>
      <c r="K5" s="28" t="s">
        <v>13</v>
      </c>
      <c r="Q5" s="104" t="s">
        <v>15</v>
      </c>
      <c r="R5" s="279">
        <f>SUMIFS(ProgIni_25_27_2025_04_08[AC ANT],ProgIni_25_27_2025_04_08[État Composante AC],"=PR")</f>
        <v>9289</v>
      </c>
      <c r="S5" s="260"/>
      <c r="T5" s="260">
        <f>SUMIFS(ProgIni_25_27_2025_04_08[AC 2024],ProgIni_25_27_2025_04_08[État Composante AC],"=PR")</f>
        <v>3528</v>
      </c>
      <c r="U5" s="260"/>
      <c r="V5" s="260">
        <f>SUMIFS(ProgIni_25_27_2025_04_08[AC 2025],ProgIni_25_27_2025_04_08[État Composante AC],"=PR")</f>
        <v>10230</v>
      </c>
      <c r="W5" s="280"/>
      <c r="X5" s="260">
        <f>SUMIFS(ProgIni_25_27_2025_04_08[AC 2025 Trimestre précédent],ProgIni_25_27_2025_04_08[État Composante AC],"=PR")</f>
        <v>7880</v>
      </c>
      <c r="Y5" s="260"/>
      <c r="Z5" s="279">
        <f>SUMIFS(ProgIni_25_27_2025_04_08[Écart AC 2025],ProgIni_25_27_2025_04_08[État Composante AC],"=PR")</f>
        <v>2350</v>
      </c>
      <c r="AA5" s="260"/>
      <c r="AB5" s="280"/>
      <c r="AC5" s="260">
        <f>SUMIFS(ProgIni_25_27_2025_04_08[AC 2026],ProgIni_25_27_2025_04_08[État Composante AC],"=PR")</f>
        <v>10982</v>
      </c>
      <c r="AD5" s="260"/>
      <c r="AE5" s="279">
        <f>SUMIFS(ProgIni_25_27_2025_04_08[AC 2026 Trimestre précédent],ProgIni_25_27_2025_04_08[État Composante AC],"=PR")</f>
        <v>10189</v>
      </c>
      <c r="AF5" s="280"/>
      <c r="AG5" s="279">
        <f>SUMIFS(ProgIni_25_27_2025_04_08[Écart AC 2026],ProgIni_25_27_2025_04_08[État Composante AC],"=PR")</f>
        <v>793</v>
      </c>
      <c r="AH5" s="260"/>
      <c r="AI5" s="280"/>
      <c r="AJ5" s="260">
        <f>SUMIFS(ProgIni_25_27_2025_04_08[AC 2027],ProgIni_25_27_2025_04_08[État Composante AC],"=PR")</f>
        <v>10407</v>
      </c>
      <c r="AK5" s="260"/>
      <c r="AL5" s="260">
        <f>SUMIFS(ProgIni_25_27_2025_04_08[AC 2028],ProgIni_25_27_2025_04_08[État Composante AC],"=PR")</f>
        <v>6087</v>
      </c>
      <c r="AM5" s="260"/>
      <c r="AN5" s="260">
        <f>SUMIFS(ProgIni_25_27_2025_04_08[AC 2029],ProgIni_25_27_2025_04_08[État Composante AC],"=PR")</f>
        <v>2785</v>
      </c>
      <c r="AO5" s="260"/>
      <c r="AP5" s="260">
        <f>SUMIFS(ProgIni_25_27_2025_04_08[AC 2030],ProgIni_25_27_2025_04_08[État Composante AC],"=PR")</f>
        <v>2362</v>
      </c>
      <c r="AQ5" s="260"/>
      <c r="AR5" s="260">
        <f>SUMIFS(ProgIni_25_27_2025_04_08[AC 2031],ProgIni_25_27_2025_04_08[État Composante AC],"=PR")</f>
        <v>1822</v>
      </c>
      <c r="AS5" s="260"/>
      <c r="AT5" s="260">
        <f>SUMIFS(ProgIni_25_27_2025_04_08[AC 2032],ProgIni_25_27_2025_04_08[État Composante AC],"=PR")</f>
        <v>0</v>
      </c>
      <c r="AU5" s="260"/>
      <c r="AV5" s="260">
        <f>SUMIFS(ProgIni_25_27_2025_04_08[AC 2033],ProgIni_25_27_2025_04_08[État Composante AC],"=PR")</f>
        <v>0</v>
      </c>
      <c r="AW5" s="260"/>
      <c r="AX5" s="260">
        <f>SUMIFS(ProgIni_25_27_2025_04_08[AC 2034],ProgIni_25_27_2025_04_08[État Composante AC],"=PR")</f>
        <v>0</v>
      </c>
      <c r="AY5" s="260"/>
      <c r="AZ5" s="78"/>
      <c r="BA5" s="78"/>
      <c r="BB5" s="16">
        <f t="shared" ref="BB5:BB12" si="0">SUM(V5,AC5)</f>
        <v>21212</v>
      </c>
      <c r="BC5" s="16">
        <f t="shared" ref="BC5:BC9" si="1">SUM(V5,AC5,AJ5:AY5)</f>
        <v>44675</v>
      </c>
    </row>
    <row r="6" spans="1:57" x14ac:dyDescent="0.3">
      <c r="J6" s="29" t="s">
        <v>16</v>
      </c>
      <c r="K6" s="28" t="s">
        <v>17</v>
      </c>
      <c r="Q6" s="83" t="s">
        <v>19</v>
      </c>
      <c r="R6" s="279">
        <f>SUMIFS(ProgIni_25_27_2025_04_08[TR ANT],ProgIni_25_27_2025_04_08[État Composante TR],"=PR")</f>
        <v>38401</v>
      </c>
      <c r="S6" s="260"/>
      <c r="T6" s="260">
        <f>SUMIFS(ProgIni_25_27_2025_04_08[TR 2024],ProgIni_25_27_2025_04_08[État Composante TR],"=PR")</f>
        <v>32257</v>
      </c>
      <c r="U6" s="260"/>
      <c r="V6" s="260">
        <f>SUMIFS(ProgIni_25_27_2025_04_08[TR 2025],ProgIni_25_27_2025_04_08[État Composante TR],"=PR")</f>
        <v>50278</v>
      </c>
      <c r="W6" s="280"/>
      <c r="X6" s="260">
        <f>SUMIFS(ProgIni_25_27_2025_04_08[TR 2025 Trimestre précédent],ProgIni_25_27_2025_04_08[État Composante TR],"=PR")</f>
        <v>59335</v>
      </c>
      <c r="Y6" s="260"/>
      <c r="Z6" s="279">
        <f>SUMIFS(ProgIni_25_27_2025_04_08[Écart TR 2025],ProgIni_25_27_2025_04_08[État Composante TR],"=PR")</f>
        <v>-9057</v>
      </c>
      <c r="AA6" s="260"/>
      <c r="AB6" s="280"/>
      <c r="AC6" s="260">
        <f>SUMIFS(ProgIni_25_27_2025_04_08[TR 2026],ProgIni_25_27_2025_04_08[État Composante TR],"=PR")</f>
        <v>66512</v>
      </c>
      <c r="AD6" s="260"/>
      <c r="AE6" s="279">
        <f>SUMIFS(ProgIni_25_27_2025_04_08[TR 2026 Trimestre précédent],ProgIni_25_27_2025_04_08[État Composante TR],"=PR")</f>
        <v>60447</v>
      </c>
      <c r="AF6" s="280"/>
      <c r="AG6" s="279">
        <f>SUMIFS(ProgIni_25_27_2025_04_08[Écart TR 2026],ProgIni_25_27_2025_04_08[État Composante TR],"=PR")</f>
        <v>6065</v>
      </c>
      <c r="AH6" s="260"/>
      <c r="AI6" s="280"/>
      <c r="AJ6" s="260">
        <f>SUMIFS(ProgIni_25_27_2025_04_08[TR 2027],ProgIni_25_27_2025_04_08[État Composante TR],"=PR")</f>
        <v>5749</v>
      </c>
      <c r="AK6" s="260"/>
      <c r="AL6" s="260">
        <f>SUMIFS(ProgIni_25_27_2025_04_08[TR 2028],ProgIni_25_27_2025_04_08[État Composante TR],"=PR")</f>
        <v>4929</v>
      </c>
      <c r="AM6" s="260"/>
      <c r="AN6" s="260">
        <f>SUMIFS(ProgIni_25_27_2025_04_08[TR 2029],ProgIni_25_27_2025_04_08[État Composante TR],"=PR")</f>
        <v>6707.0000000000018</v>
      </c>
      <c r="AO6" s="260"/>
      <c r="AP6" s="260">
        <f>SUMIFS(ProgIni_25_27_2025_04_08[TR 2030],ProgIni_25_27_2025_04_08[État Composante TR],"=PR")</f>
        <v>6846.0000000000018</v>
      </c>
      <c r="AQ6" s="260"/>
      <c r="AR6" s="260">
        <f>SUMIFS(ProgIni_25_27_2025_04_08[TR 2031],ProgIni_25_27_2025_04_08[État Composante TR],"=PR")</f>
        <v>0</v>
      </c>
      <c r="AS6" s="260"/>
      <c r="AT6" s="260">
        <f>SUMIFS(ProgIni_25_27_2025_04_08[TR 2032],ProgIni_25_27_2025_04_08[État Composante TR],"=PR")</f>
        <v>0</v>
      </c>
      <c r="AU6" s="260"/>
      <c r="AV6" s="260">
        <f>SUMIFS(ProgIni_25_27_2025_04_08[TR 2033],ProgIni_25_27_2025_04_08[État Composante TR],"=PR")</f>
        <v>0</v>
      </c>
      <c r="AW6" s="260"/>
      <c r="AX6" s="260">
        <f>SUMIFS(ProgIni_25_27_2025_04_08[TR 2034],ProgIni_25_27_2025_04_08[État Composante TR],"=PR")</f>
        <v>0</v>
      </c>
      <c r="AY6" s="260"/>
      <c r="AZ6" s="78"/>
      <c r="BA6" s="78"/>
      <c r="BB6" s="16">
        <f t="shared" si="0"/>
        <v>116790</v>
      </c>
      <c r="BC6" s="16">
        <f t="shared" si="1"/>
        <v>141021</v>
      </c>
    </row>
    <row r="7" spans="1:57" x14ac:dyDescent="0.3">
      <c r="J7" s="29" t="s">
        <v>20</v>
      </c>
      <c r="K7" s="28" t="s">
        <v>21</v>
      </c>
      <c r="P7" s="127"/>
      <c r="Q7" s="116" t="s">
        <v>23</v>
      </c>
      <c r="R7" s="288">
        <f>R5+R6</f>
        <v>47690</v>
      </c>
      <c r="S7" s="262"/>
      <c r="T7" s="262">
        <f>T5+T6</f>
        <v>35785</v>
      </c>
      <c r="U7" s="262"/>
      <c r="V7" s="262">
        <f>V5+V6</f>
        <v>60508</v>
      </c>
      <c r="W7" s="289"/>
      <c r="X7" s="262">
        <f>X5+X6</f>
        <v>67215</v>
      </c>
      <c r="Y7" s="262"/>
      <c r="Z7" s="288">
        <f>Z5+Z6</f>
        <v>-6707</v>
      </c>
      <c r="AA7" s="262"/>
      <c r="AB7" s="289"/>
      <c r="AC7" s="290">
        <f>AC5+AC6</f>
        <v>77494</v>
      </c>
      <c r="AD7" s="291"/>
      <c r="AE7" s="288">
        <f>AE5+AE6</f>
        <v>70636</v>
      </c>
      <c r="AF7" s="289"/>
      <c r="AG7" s="290">
        <f>AG5+AG6</f>
        <v>6858</v>
      </c>
      <c r="AH7" s="292"/>
      <c r="AI7" s="291"/>
      <c r="AJ7" s="262">
        <f>AJ5+AJ6</f>
        <v>16156</v>
      </c>
      <c r="AK7" s="262"/>
      <c r="AL7" s="262">
        <f>AL5+AL6</f>
        <v>11016</v>
      </c>
      <c r="AM7" s="262"/>
      <c r="AN7" s="262">
        <f>AN5+AN6</f>
        <v>9492.0000000000018</v>
      </c>
      <c r="AO7" s="262"/>
      <c r="AP7" s="262">
        <f>AP5+AP6</f>
        <v>9208.0000000000018</v>
      </c>
      <c r="AQ7" s="262"/>
      <c r="AR7" s="262">
        <f>AR5+AR6</f>
        <v>1822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/>
      <c r="BA7" s="20"/>
      <c r="BB7" s="20">
        <f t="shared" si="0"/>
        <v>138002</v>
      </c>
      <c r="BC7" s="20">
        <f t="shared" si="1"/>
        <v>185696</v>
      </c>
    </row>
    <row r="8" spans="1:57" x14ac:dyDescent="0.3">
      <c r="J8" s="131"/>
      <c r="K8" s="28" t="s">
        <v>270</v>
      </c>
      <c r="Q8" s="83" t="s">
        <v>25</v>
      </c>
      <c r="R8" s="279">
        <f>SUMIFS(ProgIni_25_27_2025_04_08[AC ANT],ProgIni_25_27_2025_04_08[État Composante AC],"&lt;&gt;PR")</f>
        <v>0</v>
      </c>
      <c r="S8" s="260"/>
      <c r="T8" s="260">
        <f>SUMIFS(ProgIni_25_27_2025_04_08[AC 2024],ProgIni_25_27_2025_04_08[État Composante AC],"&lt;&gt;PR")</f>
        <v>0</v>
      </c>
      <c r="U8" s="260"/>
      <c r="V8" s="260">
        <f>SUMIFS(ProgIni_25_27_2025_04_08[AC 2025],ProgIni_25_27_2025_04_08[État Composante AC],"&lt;&gt;PR")</f>
        <v>0</v>
      </c>
      <c r="W8" s="280"/>
      <c r="X8" s="260">
        <f>SUMIFS(ProgIni_25_27_2025_04_08[AC 2025 Trimestre précédent],ProgIni_25_27_2025_04_08[État Composante AC],"&lt;&gt;PR")</f>
        <v>0</v>
      </c>
      <c r="Y8" s="260"/>
      <c r="Z8" s="279">
        <f>SUMIFS(ProgIni_25_27_2025_04_08[Écart AC 2025],ProgIni_25_27_2025_04_08[État Composante AC],"&lt;&gt;PR")</f>
        <v>0</v>
      </c>
      <c r="AA8" s="260"/>
      <c r="AB8" s="280"/>
      <c r="AC8" s="260">
        <f>SUMIFS(ProgIni_25_27_2025_04_08[AC 2026],ProgIni_25_27_2025_04_08[État Composante AC],"&lt;&gt;PR")</f>
        <v>0</v>
      </c>
      <c r="AD8" s="260"/>
      <c r="AE8" s="279">
        <f>SUMIFS(ProgIni_25_27_2025_04_08[AC 2026 Trimestre précédent],ProgIni_25_27_2025_04_08[État Composante AC],"&lt;&gt;PR")</f>
        <v>0</v>
      </c>
      <c r="AF8" s="280"/>
      <c r="AG8" s="279">
        <f>SUMIFS(ProgIni_25_27_2025_04_08[Écart AC 2026],ProgIni_25_27_2025_04_08[État Composante AC],"&lt;&gt;PR")</f>
        <v>0</v>
      </c>
      <c r="AH8" s="260"/>
      <c r="AI8" s="280"/>
      <c r="AJ8" s="260">
        <f>SUMIFS(ProgIni_25_27_2025_04_08[AC 2027],ProgIni_25_27_2025_04_08[État Composante AC],"&lt;&gt;PR")</f>
        <v>0</v>
      </c>
      <c r="AK8" s="260"/>
      <c r="AL8" s="260">
        <f>SUMIFS(ProgIni_25_27_2025_04_08[AC 2028],ProgIni_25_27_2025_04_08[État Composante AC],"&lt;&gt;PR")</f>
        <v>0</v>
      </c>
      <c r="AM8" s="260"/>
      <c r="AN8" s="260">
        <f>SUMIFS(ProgIni_25_27_2025_04_08[AC 2029],ProgIni_25_27_2025_04_08[État Composante AC],"&lt;&gt;PR")</f>
        <v>0</v>
      </c>
      <c r="AO8" s="260"/>
      <c r="AP8" s="260">
        <f>SUMIFS(ProgIni_25_27_2025_04_08[AC 2030],ProgIni_25_27_2025_04_08[État Composante AC],"&lt;&gt;PR")</f>
        <v>0</v>
      </c>
      <c r="AQ8" s="260"/>
      <c r="AR8" s="260">
        <f>SUMIFS(ProgIni_25_27_2025_04_08[AC 2031],ProgIni_25_27_2025_04_08[État Composante AC],"&lt;&gt;PR")</f>
        <v>0</v>
      </c>
      <c r="AS8" s="260"/>
      <c r="AT8" s="260">
        <f>SUMIFS(ProgIni_25_27_2025_04_08[AC 2032],ProgIni_25_27_2025_04_08[État Composante AC],"&lt;&gt;PR")</f>
        <v>0</v>
      </c>
      <c r="AU8" s="260"/>
      <c r="AV8" s="260">
        <f>SUMIFS(ProgIni_25_27_2025_04_08[AC 2033],ProgIni_25_27_2025_04_08[État Composante AC],"&lt;&gt;PR")</f>
        <v>0</v>
      </c>
      <c r="AW8" s="260"/>
      <c r="AX8" s="260">
        <f>SUMIFS(ProgIni_25_27_2025_04_08[AC 2034],ProgIni_25_27_2025_04_08[État Composante AC],"&lt;&gt;PR")</f>
        <v>0</v>
      </c>
      <c r="AY8" s="260"/>
      <c r="AZ8" s="78"/>
      <c r="BA8" s="78"/>
      <c r="BB8" s="16">
        <f t="shared" si="0"/>
        <v>0</v>
      </c>
      <c r="BC8" s="16">
        <f t="shared" si="1"/>
        <v>0</v>
      </c>
    </row>
    <row r="9" spans="1:57" x14ac:dyDescent="0.3">
      <c r="J9" s="176"/>
      <c r="K9" s="28" t="s">
        <v>271</v>
      </c>
      <c r="Q9" s="83" t="s">
        <v>27</v>
      </c>
      <c r="R9" s="279">
        <f>SUMIFS(ProgIni_25_27_2025_04_08[TR ANT],ProgIni_25_27_2025_04_08[État Composante TR],"&lt;&gt;PR")</f>
        <v>12</v>
      </c>
      <c r="S9" s="260"/>
      <c r="T9" s="260">
        <f>SUMIFS(ProgIni_25_27_2025_04_08[TR 2024],ProgIni_25_27_2025_04_08[État Composante TR],"&lt;&gt;PR")</f>
        <v>0</v>
      </c>
      <c r="U9" s="260"/>
      <c r="V9" s="260">
        <f>SUMIFS(ProgIni_25_27_2025_04_08[TR 2025],ProgIni_25_27_2025_04_08[État Composante TR],"&lt;&gt;PR")</f>
        <v>0</v>
      </c>
      <c r="W9" s="280"/>
      <c r="X9" s="260">
        <f>SUMIFS(ProgIni_25_27_2025_04_08[TR 2025 Trimestre précédent],ProgIni_25_27_2025_04_08[État Composante TR],"&lt;&gt;PR")</f>
        <v>0</v>
      </c>
      <c r="Y9" s="260"/>
      <c r="Z9" s="279">
        <f>SUMIFS(ProgIni_25_27_2025_04_08[Écart TR 2025],ProgIni_25_27_2025_04_08[État Composante TR],"&lt;&gt;PR")</f>
        <v>0</v>
      </c>
      <c r="AA9" s="260"/>
      <c r="AB9" s="280"/>
      <c r="AC9" s="260">
        <f>SUMIFS(ProgIni_25_27_2025_04_08[TR 2026],ProgIni_25_27_2025_04_08[État Composante TR],"&lt;&gt;PR")</f>
        <v>0</v>
      </c>
      <c r="AD9" s="260"/>
      <c r="AE9" s="279">
        <f>SUMIFS(ProgIni_25_27_2025_04_08[TR 2026 Trimestre précédent],ProgIni_25_27_2025_04_08[État Composante TR],"&lt;&gt;PR")</f>
        <v>650</v>
      </c>
      <c r="AF9" s="280"/>
      <c r="AG9" s="279">
        <f>SUMIFS(ProgIni_25_27_2025_04_08[Écart TR 2026],ProgIni_25_27_2025_04_08[État Composante TR],"&lt;&gt;PR")</f>
        <v>-650</v>
      </c>
      <c r="AH9" s="260"/>
      <c r="AI9" s="280"/>
      <c r="AJ9" s="260">
        <f>SUMIFS(ProgIni_25_27_2025_04_08[TR 2027],ProgIni_25_27_2025_04_08[État Composante TR],"&lt;&gt;PR")</f>
        <v>87364</v>
      </c>
      <c r="AK9" s="260"/>
      <c r="AL9" s="260">
        <f>SUMIFS(ProgIni_25_27_2025_04_08[TR 2028],ProgIni_25_27_2025_04_08[État Composante TR],"&lt;&gt;PR")</f>
        <v>46138</v>
      </c>
      <c r="AM9" s="260"/>
      <c r="AN9" s="260">
        <f>SUMIFS(ProgIni_25_27_2025_04_08[TR 2029],ProgIni_25_27_2025_04_08[État Composante TR],"&lt;&gt;PR")</f>
        <v>30750</v>
      </c>
      <c r="AO9" s="260"/>
      <c r="AP9" s="260">
        <f>SUMIFS(ProgIni_25_27_2025_04_08[TR 2030],ProgIni_25_27_2025_04_08[État Composante TR],"&lt;&gt;PR")</f>
        <v>29362</v>
      </c>
      <c r="AQ9" s="260"/>
      <c r="AR9" s="260">
        <f>SUMIFS(ProgIni_25_27_2025_04_08[TR 2031],ProgIni_25_27_2025_04_08[État Composante TR],"&lt;&gt;PR")</f>
        <v>41119</v>
      </c>
      <c r="AS9" s="260"/>
      <c r="AT9" s="260">
        <f>SUMIFS(ProgIni_25_27_2025_04_08[TR 2032],ProgIni_25_27_2025_04_08[État Composante TR],"&lt;&gt;PR")</f>
        <v>0</v>
      </c>
      <c r="AU9" s="260"/>
      <c r="AV9" s="260">
        <f>SUMIFS(ProgIni_25_27_2025_04_08[TR 2033],ProgIni_25_27_2025_04_08[État Composante TR],"&lt;&gt;PR")</f>
        <v>0</v>
      </c>
      <c r="AW9" s="260"/>
      <c r="AX9" s="260">
        <f>SUMIFS(ProgIni_25_27_2025_04_08[TR 2034],ProgIni_25_27_2025_04_08[État Composante TR],"&lt;&gt;PR")</f>
        <v>0</v>
      </c>
      <c r="AY9" s="260"/>
      <c r="AZ9" s="78"/>
      <c r="BA9" s="78"/>
      <c r="BB9" s="16">
        <f t="shared" si="0"/>
        <v>0</v>
      </c>
      <c r="BC9" s="16">
        <f t="shared" si="1"/>
        <v>234733</v>
      </c>
    </row>
    <row r="10" spans="1:57" ht="27" x14ac:dyDescent="0.3">
      <c r="J10" s="175"/>
      <c r="K10" s="177" t="s">
        <v>521</v>
      </c>
      <c r="P10" s="127"/>
      <c r="Q10" s="117" t="s">
        <v>29</v>
      </c>
      <c r="R10" s="288">
        <f>R8+R9</f>
        <v>12</v>
      </c>
      <c r="S10" s="262"/>
      <c r="T10" s="262">
        <f>T8+T9</f>
        <v>0</v>
      </c>
      <c r="U10" s="262"/>
      <c r="V10" s="262">
        <f>V8+V9</f>
        <v>0</v>
      </c>
      <c r="W10" s="289"/>
      <c r="X10" s="262">
        <f>X8+X9</f>
        <v>0</v>
      </c>
      <c r="Y10" s="262"/>
      <c r="Z10" s="288">
        <f>Z9+Z8</f>
        <v>0</v>
      </c>
      <c r="AA10" s="262"/>
      <c r="AB10" s="289"/>
      <c r="AC10" s="262">
        <f>AC8+AC9</f>
        <v>0</v>
      </c>
      <c r="AD10" s="262"/>
      <c r="AE10" s="288">
        <f>AE8+AE9</f>
        <v>650</v>
      </c>
      <c r="AF10" s="289"/>
      <c r="AG10" s="288">
        <f>AG9+AG8</f>
        <v>-650</v>
      </c>
      <c r="AH10" s="262"/>
      <c r="AI10" s="289"/>
      <c r="AJ10" s="262">
        <f>AJ8+AJ9</f>
        <v>87364</v>
      </c>
      <c r="AK10" s="262"/>
      <c r="AL10" s="262">
        <f>AL8+AL9</f>
        <v>46138</v>
      </c>
      <c r="AM10" s="262"/>
      <c r="AN10" s="262">
        <f>AN8+AN9</f>
        <v>30750</v>
      </c>
      <c r="AO10" s="262"/>
      <c r="AP10" s="262">
        <f>AP8+AP9</f>
        <v>29362</v>
      </c>
      <c r="AQ10" s="262"/>
      <c r="AR10" s="262">
        <f>AR8+AR9</f>
        <v>41119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0"/>
      <c r="BA10" s="20"/>
      <c r="BB10" s="20">
        <f t="shared" si="0"/>
        <v>0</v>
      </c>
      <c r="BC10" s="20">
        <f>SUM(V10,AC10,AJ10:AY10)</f>
        <v>234733</v>
      </c>
    </row>
    <row r="11" spans="1:57" s="133" customFormat="1" ht="13.8" x14ac:dyDescent="0.3">
      <c r="P11" s="134"/>
      <c r="Q11" s="135" t="s">
        <v>272</v>
      </c>
      <c r="R11" s="286">
        <f>R10+R7</f>
        <v>47702</v>
      </c>
      <c r="S11" s="284"/>
      <c r="T11" s="285">
        <f>T10+T7</f>
        <v>35785</v>
      </c>
      <c r="U11" s="284"/>
      <c r="V11" s="285">
        <f>V10+V7</f>
        <v>60508</v>
      </c>
      <c r="W11" s="287"/>
      <c r="X11" s="283">
        <f>X10+X7-X4</f>
        <v>67215</v>
      </c>
      <c r="Y11" s="283"/>
      <c r="Z11" s="286">
        <f>Z10+Z7</f>
        <v>-6707</v>
      </c>
      <c r="AA11" s="283"/>
      <c r="AB11" s="287"/>
      <c r="AC11" s="286">
        <f>AC10+AC7-AC4</f>
        <v>77494</v>
      </c>
      <c r="AD11" s="287"/>
      <c r="AE11" s="286">
        <f t="shared" ref="AE11" si="2">AE10+AE7-AE4</f>
        <v>71286</v>
      </c>
      <c r="AF11" s="287"/>
      <c r="AG11" s="286">
        <f>AG10+AG7</f>
        <v>6208</v>
      </c>
      <c r="AH11" s="283"/>
      <c r="AI11" s="287"/>
      <c r="AJ11" s="283">
        <f t="shared" ref="AJ11" si="3">AJ10+AJ7-AJ4</f>
        <v>103520</v>
      </c>
      <c r="AK11" s="284"/>
      <c r="AL11" s="285">
        <f t="shared" ref="AL11" si="4">AL10+AL7-AL4</f>
        <v>57154</v>
      </c>
      <c r="AM11" s="284"/>
      <c r="AN11" s="285">
        <f t="shared" ref="AN11" si="5">AN10+AN7-AN4</f>
        <v>40242</v>
      </c>
      <c r="AO11" s="284"/>
      <c r="AP11" s="285">
        <f t="shared" ref="AP11" si="6">AP10+AP7-AP4</f>
        <v>38570</v>
      </c>
      <c r="AQ11" s="284"/>
      <c r="AR11" s="285">
        <f t="shared" ref="AR11" si="7">AR10+AR7-AR4</f>
        <v>42941</v>
      </c>
      <c r="AS11" s="284"/>
      <c r="AT11" s="285">
        <f t="shared" ref="AT11" si="8">AT10+AT7-AT4</f>
        <v>0</v>
      </c>
      <c r="AU11" s="284"/>
      <c r="AV11" s="285">
        <f t="shared" ref="AV11" si="9">AV10+AV7-AV4</f>
        <v>0</v>
      </c>
      <c r="AW11" s="284"/>
      <c r="AX11" s="285">
        <f t="shared" ref="AX11" si="10">AX10+AX7-AX4</f>
        <v>0</v>
      </c>
      <c r="AY11" s="284"/>
      <c r="AZ11" s="105"/>
      <c r="BA11" s="105"/>
      <c r="BB11" s="105">
        <f t="shared" si="0"/>
        <v>138002</v>
      </c>
      <c r="BC11" s="105">
        <f>SUM(V11,AC11,AJ11:AY11)</f>
        <v>420429</v>
      </c>
      <c r="BD11" s="136"/>
    </row>
    <row r="12" spans="1:57" x14ac:dyDescent="0.3">
      <c r="Q12" s="83" t="s">
        <v>32</v>
      </c>
      <c r="R12" s="279"/>
      <c r="S12" s="260"/>
      <c r="T12" s="260"/>
      <c r="U12" s="260"/>
      <c r="V12" s="260"/>
      <c r="W12" s="280"/>
      <c r="X12" s="281"/>
      <c r="Y12" s="282"/>
      <c r="Z12" s="108"/>
      <c r="AA12" s="95"/>
      <c r="AB12" s="109"/>
      <c r="AC12" s="260"/>
      <c r="AD12" s="260"/>
      <c r="AE12" s="279">
        <v>0</v>
      </c>
      <c r="AF12" s="280"/>
      <c r="AG12" s="108"/>
      <c r="AH12" s="95"/>
      <c r="AI12" s="123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/>
      <c r="BA12" s="78"/>
      <c r="BB12" s="78">
        <f t="shared" si="0"/>
        <v>0</v>
      </c>
      <c r="BC12" s="78">
        <f>SUM(AJ12:AY12,V12,AC12)</f>
        <v>0</v>
      </c>
    </row>
    <row r="13" spans="1:57" ht="15.6" x14ac:dyDescent="0.3">
      <c r="P13" s="126"/>
      <c r="Q13" s="118" t="s">
        <v>33</v>
      </c>
      <c r="R13" s="120"/>
      <c r="S13" s="64"/>
      <c r="T13" s="258">
        <f>T12+T11</f>
        <v>35785</v>
      </c>
      <c r="U13" s="259"/>
      <c r="V13" s="258">
        <f>V12+V11</f>
        <v>60508</v>
      </c>
      <c r="W13" s="277"/>
      <c r="X13" s="261">
        <f>X12+X11</f>
        <v>67215</v>
      </c>
      <c r="Y13" s="261"/>
      <c r="Z13" s="110"/>
      <c r="AA13" s="96"/>
      <c r="AB13" s="111"/>
      <c r="AC13" s="261">
        <f>AC12+AC11</f>
        <v>77494</v>
      </c>
      <c r="AD13" s="261"/>
      <c r="AE13" s="278">
        <f>AE12+AE11</f>
        <v>71286</v>
      </c>
      <c r="AF13" s="277"/>
      <c r="AG13" s="110"/>
      <c r="AH13" s="96"/>
      <c r="AI13" s="111"/>
      <c r="AJ13" s="261">
        <f>AJ12+AJ11</f>
        <v>103520</v>
      </c>
      <c r="AK13" s="259"/>
      <c r="AL13" s="258">
        <f t="shared" ref="AL13" si="11">AL12+AL11</f>
        <v>57154</v>
      </c>
      <c r="AM13" s="259"/>
      <c r="AN13" s="258">
        <f t="shared" ref="AN13" si="12">AN12+AN11</f>
        <v>40242</v>
      </c>
      <c r="AO13" s="259"/>
      <c r="AP13" s="258">
        <f t="shared" ref="AP13" si="13">AP12+AP11</f>
        <v>38570</v>
      </c>
      <c r="AQ13" s="259"/>
      <c r="AR13" s="258">
        <f t="shared" ref="AR13" si="14">AR12+AR11</f>
        <v>42941</v>
      </c>
      <c r="AS13" s="259"/>
      <c r="AT13" s="258">
        <f t="shared" ref="AT13" si="15">AT12+AT11</f>
        <v>0</v>
      </c>
      <c r="AU13" s="259"/>
      <c r="AV13" s="258">
        <f t="shared" ref="AV13" si="16">AV12+AV11</f>
        <v>0</v>
      </c>
      <c r="AW13" s="259"/>
      <c r="AX13" s="258">
        <f t="shared" ref="AX13" si="17">AX12+AX11</f>
        <v>0</v>
      </c>
      <c r="AY13" s="259"/>
      <c r="AZ13" s="167"/>
      <c r="BA13" s="167"/>
      <c r="BB13" s="21">
        <f>BB12+BB11</f>
        <v>138002</v>
      </c>
      <c r="BC13" s="21">
        <f>BC12+BC11</f>
        <v>420429</v>
      </c>
    </row>
    <row r="14" spans="1:57" ht="15.6" x14ac:dyDescent="0.3">
      <c r="Q14" s="84" t="s">
        <v>539</v>
      </c>
      <c r="R14" s="270"/>
      <c r="S14" s="257"/>
      <c r="T14" s="256"/>
      <c r="U14" s="257"/>
      <c r="V14" s="256">
        <v>75500</v>
      </c>
      <c r="W14" s="271"/>
      <c r="X14" s="272">
        <v>67215</v>
      </c>
      <c r="Y14" s="272"/>
      <c r="Z14" s="112"/>
      <c r="AA14" s="81"/>
      <c r="AB14" s="100"/>
      <c r="AC14" s="270">
        <v>74960</v>
      </c>
      <c r="AD14" s="271"/>
      <c r="AE14" s="270">
        <v>75500</v>
      </c>
      <c r="AF14" s="271"/>
      <c r="AG14" s="112"/>
      <c r="AH14" s="81"/>
      <c r="AI14" s="100"/>
      <c r="AJ14" s="272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81"/>
      <c r="BA14" s="81"/>
      <c r="BB14" s="17">
        <f>SUM(V14,AC14)</f>
        <v>150460</v>
      </c>
      <c r="BC14" s="17">
        <f>SUM(V14,AC14,AJ14:AY14)</f>
        <v>754460</v>
      </c>
      <c r="BD14" s="98"/>
    </row>
    <row r="15" spans="1:57" ht="15.6" x14ac:dyDescent="0.3">
      <c r="P15" s="86"/>
      <c r="Q15" s="174" t="s">
        <v>35</v>
      </c>
      <c r="R15" s="268"/>
      <c r="S15" s="253"/>
      <c r="T15" s="252"/>
      <c r="U15" s="253"/>
      <c r="V15" s="315">
        <f>V14-V13</f>
        <v>14992</v>
      </c>
      <c r="W15" s="316"/>
      <c r="X15" s="317">
        <f>X14-X13</f>
        <v>0</v>
      </c>
      <c r="Y15" s="317"/>
      <c r="Z15" s="181"/>
      <c r="AA15" s="180"/>
      <c r="AB15" s="179"/>
      <c r="AC15" s="318">
        <f>AC14-AC13</f>
        <v>-2534</v>
      </c>
      <c r="AD15" s="316"/>
      <c r="AE15" s="268">
        <f>AE14-AE13</f>
        <v>4214</v>
      </c>
      <c r="AF15" s="269"/>
      <c r="AG15" s="94"/>
      <c r="AH15" s="79"/>
      <c r="AI15" s="101"/>
      <c r="AJ15" s="253">
        <f t="shared" ref="AJ15" si="18">AJ14-AJ13</f>
        <v>-28020</v>
      </c>
      <c r="AK15" s="253"/>
      <c r="AL15" s="252">
        <f t="shared" ref="AL15" si="19">AL14-AL13</f>
        <v>18346</v>
      </c>
      <c r="AM15" s="253"/>
      <c r="AN15" s="252">
        <f t="shared" ref="AN15" si="20">AN14-AN13</f>
        <v>35258</v>
      </c>
      <c r="AO15" s="253"/>
      <c r="AP15" s="252">
        <f t="shared" ref="AP15" si="21">AP14-AP13</f>
        <v>36930</v>
      </c>
      <c r="AQ15" s="253"/>
      <c r="AR15" s="252">
        <f t="shared" ref="AR15" si="22">AR14-AR13</f>
        <v>32559</v>
      </c>
      <c r="AS15" s="253"/>
      <c r="AT15" s="252">
        <f t="shared" ref="AT15" si="23">AT14-AT13</f>
        <v>75500</v>
      </c>
      <c r="AU15" s="253"/>
      <c r="AV15" s="252">
        <f t="shared" ref="AV15" si="24">AV14-AV13</f>
        <v>75500</v>
      </c>
      <c r="AW15" s="253"/>
      <c r="AX15" s="252">
        <f t="shared" ref="AX15" si="25">AX14-AX13</f>
        <v>75500</v>
      </c>
      <c r="AY15" s="253"/>
      <c r="AZ15" s="79"/>
      <c r="BA15" s="79"/>
      <c r="BB15" s="173">
        <f>BB14-BB13</f>
        <v>12458</v>
      </c>
      <c r="BC15" s="23">
        <f>BC14-BC13</f>
        <v>334031</v>
      </c>
      <c r="BD15" s="98"/>
    </row>
    <row r="16" spans="1:57" ht="16.2" thickBot="1" x14ac:dyDescent="0.35">
      <c r="Q16" s="119" t="s">
        <v>36</v>
      </c>
      <c r="R16" s="273"/>
      <c r="S16" s="274"/>
      <c r="T16" s="254"/>
      <c r="U16" s="255"/>
      <c r="V16" s="254">
        <f t="shared" ref="V16:X16" si="26">(V13-V14)/V14</f>
        <v>-0.19856953642384106</v>
      </c>
      <c r="W16" s="275"/>
      <c r="X16" s="255">
        <f t="shared" si="26"/>
        <v>0</v>
      </c>
      <c r="Y16" s="255"/>
      <c r="Z16" s="113"/>
      <c r="AA16" s="114"/>
      <c r="AB16" s="115"/>
      <c r="AC16" s="255">
        <f t="shared" ref="AC16" si="27">(AC13-AC14)/AC14</f>
        <v>3.3804695837780147E-2</v>
      </c>
      <c r="AD16" s="255"/>
      <c r="AE16" s="276">
        <f>(AE14-AE13)/AE14</f>
        <v>5.5814569536423844E-2</v>
      </c>
      <c r="AF16" s="275"/>
      <c r="AG16" s="121"/>
      <c r="AH16" s="122"/>
      <c r="AI16" s="124"/>
      <c r="AJ16" s="255">
        <f t="shared" ref="AJ16" si="28">(AJ14-AJ13)/AJ14</f>
        <v>-0.37112582781456954</v>
      </c>
      <c r="AK16" s="255"/>
      <c r="AL16" s="254">
        <f t="shared" ref="AL16" si="29">(AL14-AL13)/AL14</f>
        <v>0.24299337748344371</v>
      </c>
      <c r="AM16" s="255"/>
      <c r="AN16" s="254">
        <f t="shared" ref="AN16" si="30">(AN14-AN13)/AN14</f>
        <v>0.46699337748344372</v>
      </c>
      <c r="AO16" s="255"/>
      <c r="AP16" s="254">
        <f t="shared" ref="AP16" si="31">(AP14-AP13)/AP14</f>
        <v>0.4891390728476821</v>
      </c>
      <c r="AQ16" s="255"/>
      <c r="AR16" s="254">
        <f t="shared" ref="AR16" si="32">(AR14-AR13)/AR14</f>
        <v>0.43124503311258278</v>
      </c>
      <c r="AS16" s="255"/>
      <c r="AT16" s="254">
        <f t="shared" ref="AT16" si="33">(AT14-AT13)/AT14</f>
        <v>1</v>
      </c>
      <c r="AU16" s="255"/>
      <c r="AV16" s="254">
        <f t="shared" ref="AV16" si="34">(AV14-AV13)/AV14</f>
        <v>1</v>
      </c>
      <c r="AW16" s="255"/>
      <c r="AX16" s="254">
        <f t="shared" ref="AX16" si="35">(AX14-AX13)/AX14</f>
        <v>1</v>
      </c>
      <c r="AY16" s="255"/>
      <c r="AZ16" s="22"/>
      <c r="BA16" s="22"/>
      <c r="BB16" s="97">
        <f>(BB13-BB14)/BB14</f>
        <v>-8.279941512694404E-2</v>
      </c>
      <c r="BC16" s="125">
        <f>(BC13-BC14)/BC14</f>
        <v>-0.44274182859263578</v>
      </c>
    </row>
    <row r="17" spans="1:52" s="11" customFormat="1" ht="75.599999999999994" customHeight="1" x14ac:dyDescent="0.3">
      <c r="A17" s="11" t="s">
        <v>273</v>
      </c>
      <c r="B17" s="11" t="s">
        <v>274</v>
      </c>
      <c r="C17" s="11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11" t="s">
        <v>42</v>
      </c>
      <c r="I17" s="11" t="s">
        <v>44</v>
      </c>
      <c r="J17" s="11" t="s">
        <v>45</v>
      </c>
      <c r="K17" s="11" t="s">
        <v>46</v>
      </c>
      <c r="L17" s="11" t="s">
        <v>47</v>
      </c>
      <c r="M17" s="11" t="s">
        <v>48</v>
      </c>
      <c r="N17" s="11" t="s">
        <v>49</v>
      </c>
      <c r="O17" s="11" t="s">
        <v>50</v>
      </c>
      <c r="P17" s="11" t="s">
        <v>51</v>
      </c>
      <c r="Q17" s="11" t="s">
        <v>52</v>
      </c>
      <c r="R17" s="9" t="s">
        <v>76</v>
      </c>
      <c r="S17" s="9" t="s">
        <v>77</v>
      </c>
      <c r="T17" s="9" t="s">
        <v>78</v>
      </c>
      <c r="U17" s="9" t="s">
        <v>79</v>
      </c>
      <c r="V17" s="11" t="s">
        <v>80</v>
      </c>
      <c r="W17" s="11" t="s">
        <v>81</v>
      </c>
      <c r="X17" s="99" t="s">
        <v>277</v>
      </c>
      <c r="Y17" s="99" t="s">
        <v>278</v>
      </c>
      <c r="Z17" s="99" t="s">
        <v>279</v>
      </c>
      <c r="AA17" s="92" t="s">
        <v>275</v>
      </c>
      <c r="AB17" s="92" t="s">
        <v>276</v>
      </c>
      <c r="AC17" s="11" t="s">
        <v>82</v>
      </c>
      <c r="AD17" s="11" t="s">
        <v>83</v>
      </c>
      <c r="AE17" s="93" t="s">
        <v>283</v>
      </c>
      <c r="AF17" s="93" t="s">
        <v>284</v>
      </c>
      <c r="AG17" s="93" t="s">
        <v>285</v>
      </c>
      <c r="AH17" s="92" t="s">
        <v>281</v>
      </c>
      <c r="AI17" s="92" t="s">
        <v>282</v>
      </c>
      <c r="AJ17" s="11" t="s">
        <v>84</v>
      </c>
      <c r="AK17" s="11" t="s">
        <v>85</v>
      </c>
      <c r="AL17" s="11" t="s">
        <v>86</v>
      </c>
      <c r="AM17" s="11" t="s">
        <v>87</v>
      </c>
      <c r="AN17" s="11" t="s">
        <v>88</v>
      </c>
      <c r="AO17" s="11" t="s">
        <v>89</v>
      </c>
      <c r="AP17" s="11" t="s">
        <v>90</v>
      </c>
      <c r="AQ17" s="11" t="s">
        <v>91</v>
      </c>
      <c r="AR17" s="11" t="s">
        <v>92</v>
      </c>
      <c r="AS17" s="11" t="s">
        <v>93</v>
      </c>
      <c r="AT17" s="11" t="s">
        <v>94</v>
      </c>
      <c r="AU17" s="11" t="s">
        <v>95</v>
      </c>
      <c r="AV17" s="11" t="s">
        <v>96</v>
      </c>
      <c r="AW17" s="11" t="s">
        <v>97</v>
      </c>
      <c r="AX17" s="11" t="s">
        <v>98</v>
      </c>
      <c r="AY17" s="11" t="s">
        <v>99</v>
      </c>
      <c r="AZ17" s="11" t="s">
        <v>100</v>
      </c>
    </row>
    <row r="18" spans="1:52" x14ac:dyDescent="0.3">
      <c r="A18" t="s">
        <v>286</v>
      </c>
      <c r="C18" t="s">
        <v>101</v>
      </c>
      <c r="D18" t="s">
        <v>102</v>
      </c>
      <c r="E18" t="s">
        <v>136</v>
      </c>
      <c r="F18" t="s">
        <v>144</v>
      </c>
      <c r="G18" t="s">
        <v>16</v>
      </c>
      <c r="H18" t="s">
        <v>20</v>
      </c>
      <c r="I18" t="s">
        <v>131</v>
      </c>
      <c r="J18" t="s">
        <v>195</v>
      </c>
      <c r="K18" t="s">
        <v>196</v>
      </c>
      <c r="L18" t="s">
        <v>180</v>
      </c>
      <c r="M18" s="2" t="s">
        <v>197</v>
      </c>
      <c r="N18" t="s">
        <v>110</v>
      </c>
      <c r="O18" s="1">
        <v>44889</v>
      </c>
      <c r="P18" s="1">
        <v>46068</v>
      </c>
      <c r="Q18" s="1">
        <v>46583</v>
      </c>
      <c r="R18">
        <v>337</v>
      </c>
      <c r="T18">
        <v>59.999999999999993</v>
      </c>
      <c r="V18">
        <v>1657.9999999999998</v>
      </c>
      <c r="X18">
        <f>ProgIni_25_27_2025_04_08[[#This Row],[AC 2025]]-ProgIni_25_27_2025_04_08[[#This Row],[AC 2025 Trimestre précédent]]</f>
        <v>427.99999999999977</v>
      </c>
      <c r="Y18">
        <f>ProgIni_25_27_2025_04_08[[#This Row],[TR 2025]]-ProgIni_25_27_2025_04_08[[#This Row],[TR 2025 Trimestre précédent]]</f>
        <v>0</v>
      </c>
      <c r="Z18">
        <f>ProgIni_25_27_2025_04_08[[#This Row],[Écart AC 2025]]+ProgIni_25_27_2025_04_08[[#This Row],[Écart TR 2025]]</f>
        <v>427.99999999999977</v>
      </c>
      <c r="AA18">
        <v>1230</v>
      </c>
      <c r="AC18">
        <v>1529</v>
      </c>
      <c r="AD18"/>
      <c r="AE18">
        <f>ProgIni_25_27_2025_04_08[[#This Row],[AC 2026]]-ProgIni_25_27_2025_04_08[[#This Row],[AC 2026 Trimestre précédent]]</f>
        <v>-71</v>
      </c>
      <c r="AF18">
        <f>ProgIni_25_27_2025_04_08[[#This Row],[TR 2026]]-ProgIni_25_27_2025_04_08[[#This Row],[TR 2026 Trimestre précédent]]</f>
        <v>0</v>
      </c>
      <c r="AG18">
        <f>ProgIni_25_27_2025_04_08[[#This Row],[Écart AC 2026]]+ProgIni_25_27_2025_04_08[[#This Row],[Écart TR 2026]]</f>
        <v>-71</v>
      </c>
      <c r="AH18">
        <v>1600</v>
      </c>
      <c r="AJ18">
        <v>1529</v>
      </c>
      <c r="AL18">
        <v>1325</v>
      </c>
      <c r="AM18">
        <v>7500</v>
      </c>
      <c r="AN18">
        <v>1200</v>
      </c>
      <c r="AO18">
        <v>9500</v>
      </c>
      <c r="AP18">
        <v>455</v>
      </c>
      <c r="AQ18">
        <v>18000</v>
      </c>
      <c r="AZ18" s="14">
        <f>SUM(ProgIni_25_27_2025_04_08[[#This Row],[AC ANT]:[TR 2025]],ProgIni_25_27_2025_04_08[[#This Row],[AC 2026]:[TR 2026]],ProgIni_25_27_2025_04_08[[#This Row],[AC 2027]:[TR 2034]])</f>
        <v>43093</v>
      </c>
    </row>
    <row r="19" spans="1:52" hidden="1" x14ac:dyDescent="0.3">
      <c r="A19" t="s">
        <v>286</v>
      </c>
      <c r="C19" t="s">
        <v>101</v>
      </c>
      <c r="D19" t="s">
        <v>102</v>
      </c>
      <c r="E19" t="s">
        <v>136</v>
      </c>
      <c r="F19" t="s">
        <v>104</v>
      </c>
      <c r="G19" t="s">
        <v>16</v>
      </c>
      <c r="H19" t="s">
        <v>130</v>
      </c>
      <c r="I19" t="s">
        <v>105</v>
      </c>
      <c r="J19" t="s">
        <v>170</v>
      </c>
      <c r="K19" t="s">
        <v>171</v>
      </c>
      <c r="L19" t="s">
        <v>172</v>
      </c>
      <c r="M19" t="s">
        <v>173</v>
      </c>
      <c r="N19" t="s">
        <v>110</v>
      </c>
      <c r="O19" s="1">
        <v>44833</v>
      </c>
      <c r="P19" s="1">
        <v>46006</v>
      </c>
      <c r="Q19" s="1">
        <v>46310</v>
      </c>
      <c r="R19">
        <v>497</v>
      </c>
      <c r="S19">
        <v>8</v>
      </c>
      <c r="T19">
        <v>217</v>
      </c>
      <c r="V19">
        <v>1064</v>
      </c>
      <c r="X19">
        <f>ProgIni_25_27_2025_04_08[[#This Row],[AC 2025]]-ProgIni_25_27_2025_04_08[[#This Row],[AC 2025 Trimestre précédent]]</f>
        <v>621</v>
      </c>
      <c r="Y19">
        <f>ProgIni_25_27_2025_04_08[[#This Row],[TR 2025]]-ProgIni_25_27_2025_04_08[[#This Row],[TR 2025 Trimestre précédent]]</f>
        <v>0</v>
      </c>
      <c r="Z19">
        <f>ProgIni_25_27_2025_04_08[[#This Row],[Écart AC 2025]]+ProgIni_25_27_2025_04_08[[#This Row],[Écart TR 2025]]</f>
        <v>621</v>
      </c>
      <c r="AA19">
        <v>443</v>
      </c>
      <c r="AC19">
        <v>1008</v>
      </c>
      <c r="AD19"/>
      <c r="AE19">
        <f>ProgIni_25_27_2025_04_08[[#This Row],[AC 2026]]-ProgIni_25_27_2025_04_08[[#This Row],[AC 2026 Trimestre précédent]]</f>
        <v>662</v>
      </c>
      <c r="AF19">
        <f>ProgIni_25_27_2025_04_08[[#This Row],[TR 2026]]-ProgIni_25_27_2025_04_08[[#This Row],[TR 2026 Trimestre précédent]]</f>
        <v>0</v>
      </c>
      <c r="AG19">
        <f>ProgIni_25_27_2025_04_08[[#This Row],[Écart AC 2026]]+ProgIni_25_27_2025_04_08[[#This Row],[Écart TR 2026]]</f>
        <v>662</v>
      </c>
      <c r="AH19">
        <v>346</v>
      </c>
      <c r="AJ19">
        <v>1886</v>
      </c>
      <c r="AK19">
        <v>15737</v>
      </c>
      <c r="AL19">
        <v>704</v>
      </c>
      <c r="AM19">
        <v>4000</v>
      </c>
      <c r="AQ19"/>
      <c r="AZ19" s="14">
        <f>SUM(ProgIni_25_27_2025_04_08[[#This Row],[AC ANT]:[TR 2025]],ProgIni_25_27_2025_04_08[[#This Row],[AC 2026]:[TR 2026]],ProgIni_25_27_2025_04_08[[#This Row],[AC 2027]:[TR 2034]])</f>
        <v>25121</v>
      </c>
    </row>
    <row r="20" spans="1:52" hidden="1" x14ac:dyDescent="0.3">
      <c r="A20" t="s">
        <v>286</v>
      </c>
      <c r="C20" t="s">
        <v>101</v>
      </c>
      <c r="D20" t="s">
        <v>102</v>
      </c>
      <c r="E20" t="s">
        <v>136</v>
      </c>
      <c r="F20" t="s">
        <v>113</v>
      </c>
      <c r="G20" t="s">
        <v>16</v>
      </c>
      <c r="H20" t="s">
        <v>20</v>
      </c>
      <c r="I20" t="s">
        <v>131</v>
      </c>
      <c r="J20" t="s">
        <v>185</v>
      </c>
      <c r="K20" t="s">
        <v>186</v>
      </c>
      <c r="L20" t="s">
        <v>187</v>
      </c>
      <c r="M20" t="s">
        <v>173</v>
      </c>
      <c r="N20" t="s">
        <v>110</v>
      </c>
      <c r="O20" s="1">
        <v>44823</v>
      </c>
      <c r="P20" s="1">
        <v>46096</v>
      </c>
      <c r="Q20" s="1">
        <v>46461</v>
      </c>
      <c r="R20">
        <v>282</v>
      </c>
      <c r="T20">
        <v>452</v>
      </c>
      <c r="V20">
        <v>835</v>
      </c>
      <c r="X20">
        <f>ProgIni_25_27_2025_04_08[[#This Row],[AC 2025]]-ProgIni_25_27_2025_04_08[[#This Row],[AC 2025 Trimestre précédent]]</f>
        <v>0</v>
      </c>
      <c r="Y20">
        <f>ProgIni_25_27_2025_04_08[[#This Row],[TR 2025]]-ProgIni_25_27_2025_04_08[[#This Row],[TR 2025 Trimestre précédent]]</f>
        <v>0</v>
      </c>
      <c r="Z20">
        <f>ProgIni_25_27_2025_04_08[[#This Row],[Écart AC 2025]]+ProgIni_25_27_2025_04_08[[#This Row],[Écart TR 2025]]</f>
        <v>0</v>
      </c>
      <c r="AA20">
        <v>835</v>
      </c>
      <c r="AC20">
        <v>630</v>
      </c>
      <c r="AD20"/>
      <c r="AE20">
        <f>ProgIni_25_27_2025_04_08[[#This Row],[AC 2026]]-ProgIni_25_27_2025_04_08[[#This Row],[AC 2026 Trimestre précédent]]</f>
        <v>0</v>
      </c>
      <c r="AF20">
        <f>ProgIni_25_27_2025_04_08[[#This Row],[TR 2026]]-ProgIni_25_27_2025_04_08[[#This Row],[TR 2026 Trimestre précédent]]</f>
        <v>0</v>
      </c>
      <c r="AG20">
        <f>ProgIni_25_27_2025_04_08[[#This Row],[Écart AC 2026]]+ProgIni_25_27_2025_04_08[[#This Row],[Écart TR 2026]]</f>
        <v>0</v>
      </c>
      <c r="AH20">
        <v>630</v>
      </c>
      <c r="AJ20">
        <v>225</v>
      </c>
      <c r="AK20">
        <v>1806</v>
      </c>
      <c r="AL20">
        <v>225</v>
      </c>
      <c r="AM20">
        <v>5369</v>
      </c>
      <c r="AN20">
        <v>225</v>
      </c>
      <c r="AO20">
        <v>9000</v>
      </c>
      <c r="AQ20"/>
      <c r="AZ20" s="14">
        <f>SUM(ProgIni_25_27_2025_04_08[[#This Row],[AC ANT]:[TR 2025]],ProgIni_25_27_2025_04_08[[#This Row],[AC 2026]:[TR 2026]],ProgIni_25_27_2025_04_08[[#This Row],[AC 2027]:[TR 2034]])</f>
        <v>19049</v>
      </c>
    </row>
    <row r="21" spans="1:52" hidden="1" x14ac:dyDescent="0.3">
      <c r="A21" t="s">
        <v>286</v>
      </c>
      <c r="C21" t="s">
        <v>126</v>
      </c>
      <c r="D21" t="s">
        <v>127</v>
      </c>
      <c r="E21" t="s">
        <v>136</v>
      </c>
      <c r="F21" t="s">
        <v>144</v>
      </c>
      <c r="G21" t="s">
        <v>16</v>
      </c>
      <c r="H21" t="s">
        <v>20</v>
      </c>
      <c r="I21" t="s">
        <v>131</v>
      </c>
      <c r="J21" t="s">
        <v>231</v>
      </c>
      <c r="K21" t="s">
        <v>232</v>
      </c>
      <c r="L21" t="s">
        <v>147</v>
      </c>
      <c r="M21" t="s">
        <v>173</v>
      </c>
      <c r="N21" t="s">
        <v>110</v>
      </c>
      <c r="O21" s="1">
        <v>45099</v>
      </c>
      <c r="P21" s="1">
        <v>45945</v>
      </c>
      <c r="Q21" s="1">
        <v>46371</v>
      </c>
      <c r="R21">
        <v>9</v>
      </c>
      <c r="T21">
        <v>21</v>
      </c>
      <c r="V21">
        <v>672</v>
      </c>
      <c r="X21">
        <f>ProgIni_25_27_2025_04_08[[#This Row],[AC 2025]]-ProgIni_25_27_2025_04_08[[#This Row],[AC 2025 Trimestre précédent]]</f>
        <v>169</v>
      </c>
      <c r="Y21">
        <f>ProgIni_25_27_2025_04_08[[#This Row],[TR 2025]]-ProgIni_25_27_2025_04_08[[#This Row],[TR 2025 Trimestre précédent]]</f>
        <v>0</v>
      </c>
      <c r="Z21">
        <f>ProgIni_25_27_2025_04_08[[#This Row],[Écart AC 2025]]+ProgIni_25_27_2025_04_08[[#This Row],[Écart TR 2025]]</f>
        <v>169</v>
      </c>
      <c r="AA21">
        <v>503</v>
      </c>
      <c r="AC21">
        <v>553</v>
      </c>
      <c r="AD21"/>
      <c r="AE21">
        <f>ProgIni_25_27_2025_04_08[[#This Row],[AC 2026]]-ProgIni_25_27_2025_04_08[[#This Row],[AC 2026 Trimestre précédent]]</f>
        <v>0</v>
      </c>
      <c r="AF21">
        <f>ProgIni_25_27_2025_04_08[[#This Row],[TR 2026]]-ProgIni_25_27_2025_04_08[[#This Row],[TR 2026 Trimestre précédent]]</f>
        <v>0</v>
      </c>
      <c r="AG21">
        <f>ProgIni_25_27_2025_04_08[[#This Row],[Écart AC 2026]]+ProgIni_25_27_2025_04_08[[#This Row],[Écart TR 2026]]</f>
        <v>0</v>
      </c>
      <c r="AH21">
        <v>553</v>
      </c>
      <c r="AJ21">
        <v>1175</v>
      </c>
      <c r="AK21">
        <v>6475</v>
      </c>
      <c r="AL21">
        <v>1602</v>
      </c>
      <c r="AM21">
        <v>6677</v>
      </c>
      <c r="AQ21"/>
      <c r="AZ21" s="14">
        <f>SUM(ProgIni_25_27_2025_04_08[[#This Row],[AC ANT]:[TR 2025]],ProgIni_25_27_2025_04_08[[#This Row],[AC 2026]:[TR 2026]],ProgIni_25_27_2025_04_08[[#This Row],[AC 2027]:[TR 2034]])</f>
        <v>17184</v>
      </c>
    </row>
    <row r="22" spans="1:52" hidden="1" x14ac:dyDescent="0.3">
      <c r="A22" t="s">
        <v>286</v>
      </c>
      <c r="C22" t="s">
        <v>101</v>
      </c>
      <c r="D22" t="s">
        <v>102</v>
      </c>
      <c r="E22" t="s">
        <v>103</v>
      </c>
      <c r="F22" t="s">
        <v>104</v>
      </c>
      <c r="G22" t="s">
        <v>16</v>
      </c>
      <c r="H22" t="s">
        <v>16</v>
      </c>
      <c r="I22" t="s">
        <v>105</v>
      </c>
      <c r="J22" t="s">
        <v>215</v>
      </c>
      <c r="K22" t="s">
        <v>216</v>
      </c>
      <c r="L22" t="s">
        <v>217</v>
      </c>
      <c r="M22" t="s">
        <v>148</v>
      </c>
      <c r="N22" t="s">
        <v>164</v>
      </c>
      <c r="O22" s="1">
        <v>44838</v>
      </c>
      <c r="P22" s="1">
        <v>45441</v>
      </c>
      <c r="Q22" s="1">
        <v>45623</v>
      </c>
      <c r="R22">
        <v>218</v>
      </c>
      <c r="S22">
        <v>3</v>
      </c>
      <c r="T22">
        <v>98</v>
      </c>
      <c r="V22">
        <v>641</v>
      </c>
      <c r="W22">
        <v>12563</v>
      </c>
      <c r="X22">
        <f>ProgIni_25_27_2025_04_08[[#This Row],[AC 2025]]-ProgIni_25_27_2025_04_08[[#This Row],[AC 2025 Trimestre précédent]]</f>
        <v>0</v>
      </c>
      <c r="Y22">
        <f>ProgIni_25_27_2025_04_08[[#This Row],[TR 2025]]-ProgIni_25_27_2025_04_08[[#This Row],[TR 2025 Trimestre précédent]]</f>
        <v>809</v>
      </c>
      <c r="Z22">
        <f>ProgIni_25_27_2025_04_08[[#This Row],[Écart AC 2025]]+ProgIni_25_27_2025_04_08[[#This Row],[Écart TR 2025]]</f>
        <v>809</v>
      </c>
      <c r="AA22">
        <v>641</v>
      </c>
      <c r="AB22">
        <v>11754</v>
      </c>
      <c r="AD22"/>
      <c r="AE22">
        <f>ProgIni_25_27_2025_04_08[[#This Row],[AC 2026]]-ProgIni_25_27_2025_04_08[[#This Row],[AC 2026 Trimestre précédent]]</f>
        <v>0</v>
      </c>
      <c r="AF22">
        <f>ProgIni_25_27_2025_04_08[[#This Row],[TR 2026]]-ProgIni_25_27_2025_04_08[[#This Row],[TR 2026 Trimestre précédent]]</f>
        <v>0</v>
      </c>
      <c r="AG22">
        <f>ProgIni_25_27_2025_04_08[[#This Row],[Écart AC 2026]]+ProgIni_25_27_2025_04_08[[#This Row],[Écart TR 2026]]</f>
        <v>0</v>
      </c>
      <c r="AQ22"/>
      <c r="AZ22" s="14">
        <f>SUM(ProgIni_25_27_2025_04_08[[#This Row],[AC ANT]:[TR 2025]],ProgIni_25_27_2025_04_08[[#This Row],[AC 2026]:[TR 2026]],ProgIni_25_27_2025_04_08[[#This Row],[AC 2027]:[TR 2034]])</f>
        <v>13523</v>
      </c>
    </row>
    <row r="23" spans="1:52" hidden="1" x14ac:dyDescent="0.3">
      <c r="A23" t="s">
        <v>286</v>
      </c>
      <c r="C23" t="s">
        <v>101</v>
      </c>
      <c r="D23" t="s">
        <v>102</v>
      </c>
      <c r="E23" t="s">
        <v>103</v>
      </c>
      <c r="F23" t="s">
        <v>149</v>
      </c>
      <c r="G23" t="s">
        <v>16</v>
      </c>
      <c r="H23" t="s">
        <v>16</v>
      </c>
      <c r="I23" t="s">
        <v>105</v>
      </c>
      <c r="J23" t="s">
        <v>228</v>
      </c>
      <c r="K23" t="s">
        <v>229</v>
      </c>
      <c r="L23" t="s">
        <v>230</v>
      </c>
      <c r="M23" t="s">
        <v>148</v>
      </c>
      <c r="N23" t="s">
        <v>164</v>
      </c>
      <c r="O23" s="1">
        <v>45022</v>
      </c>
      <c r="P23" s="1">
        <v>45463</v>
      </c>
      <c r="Q23" s="1">
        <v>45590</v>
      </c>
      <c r="R23">
        <v>61</v>
      </c>
      <c r="T23">
        <v>21</v>
      </c>
      <c r="V23">
        <v>580</v>
      </c>
      <c r="W23">
        <v>11581</v>
      </c>
      <c r="X23">
        <f>ProgIni_25_27_2025_04_08[[#This Row],[AC 2025]]-ProgIni_25_27_2025_04_08[[#This Row],[AC 2025 Trimestre précédent]]</f>
        <v>0</v>
      </c>
      <c r="Y23">
        <f>ProgIni_25_27_2025_04_08[[#This Row],[TR 2025]]-ProgIni_25_27_2025_04_08[[#This Row],[TR 2025 Trimestre précédent]]</f>
        <v>0</v>
      </c>
      <c r="Z23">
        <f>ProgIni_25_27_2025_04_08[[#This Row],[Écart AC 2025]]+ProgIni_25_27_2025_04_08[[#This Row],[Écart TR 2025]]</f>
        <v>0</v>
      </c>
      <c r="AA23">
        <v>580</v>
      </c>
      <c r="AB23">
        <v>11581</v>
      </c>
      <c r="AD23"/>
      <c r="AE23">
        <f>ProgIni_25_27_2025_04_08[[#This Row],[AC 2026]]-ProgIni_25_27_2025_04_08[[#This Row],[AC 2026 Trimestre précédent]]</f>
        <v>0</v>
      </c>
      <c r="AF23">
        <f>ProgIni_25_27_2025_04_08[[#This Row],[TR 2026]]-ProgIni_25_27_2025_04_08[[#This Row],[TR 2026 Trimestre précédent]]</f>
        <v>0</v>
      </c>
      <c r="AG23">
        <f>ProgIni_25_27_2025_04_08[[#This Row],[Écart AC 2026]]+ProgIni_25_27_2025_04_08[[#This Row],[Écart TR 2026]]</f>
        <v>0</v>
      </c>
      <c r="AQ23"/>
      <c r="AZ23" s="14">
        <f>SUM(ProgIni_25_27_2025_04_08[[#This Row],[AC ANT]:[TR 2025]],ProgIni_25_27_2025_04_08[[#This Row],[AC 2026]:[TR 2026]],ProgIni_25_27_2025_04_08[[#This Row],[AC 2027]:[TR 2034]])</f>
        <v>12243</v>
      </c>
    </row>
    <row r="24" spans="1:52" hidden="1" x14ac:dyDescent="0.3">
      <c r="A24" t="s">
        <v>286</v>
      </c>
      <c r="C24" t="s">
        <v>101</v>
      </c>
      <c r="D24" t="s">
        <v>102</v>
      </c>
      <c r="E24" t="s">
        <v>136</v>
      </c>
      <c r="F24" t="s">
        <v>140</v>
      </c>
      <c r="G24" t="s">
        <v>16</v>
      </c>
      <c r="H24" t="s">
        <v>20</v>
      </c>
      <c r="I24" t="s">
        <v>131</v>
      </c>
      <c r="J24" t="s">
        <v>181</v>
      </c>
      <c r="K24" t="s">
        <v>296</v>
      </c>
      <c r="L24" t="s">
        <v>183</v>
      </c>
      <c r="M24" t="s">
        <v>173</v>
      </c>
      <c r="N24" t="s">
        <v>110</v>
      </c>
      <c r="O24" s="1">
        <v>45590</v>
      </c>
      <c r="P24" s="1">
        <v>46157</v>
      </c>
      <c r="Q24" s="1">
        <v>46157</v>
      </c>
      <c r="V24">
        <v>466</v>
      </c>
      <c r="X24">
        <f>ProgIni_25_27_2025_04_08[[#This Row],[AC 2025]]-ProgIni_25_27_2025_04_08[[#This Row],[AC 2025 Trimestre précédent]]</f>
        <v>416</v>
      </c>
      <c r="Y24">
        <f>ProgIni_25_27_2025_04_08[[#This Row],[TR 2025]]-ProgIni_25_27_2025_04_08[[#This Row],[TR 2025 Trimestre précédent]]</f>
        <v>0</v>
      </c>
      <c r="Z24">
        <f>ProgIni_25_27_2025_04_08[[#This Row],[Écart AC 2025]]+ProgIni_25_27_2025_04_08[[#This Row],[Écart TR 2025]]</f>
        <v>416</v>
      </c>
      <c r="AA24">
        <v>50</v>
      </c>
      <c r="AC24">
        <v>475</v>
      </c>
      <c r="AD24"/>
      <c r="AE24">
        <f>ProgIni_25_27_2025_04_08[[#This Row],[AC 2026]]-ProgIni_25_27_2025_04_08[[#This Row],[AC 2026 Trimestre précédent]]</f>
        <v>425</v>
      </c>
      <c r="AF24">
        <f>ProgIni_25_27_2025_04_08[[#This Row],[TR 2026]]-ProgIni_25_27_2025_04_08[[#This Row],[TR 2026 Trimestre précédent]]</f>
        <v>0</v>
      </c>
      <c r="AG24">
        <f>ProgIni_25_27_2025_04_08[[#This Row],[Écart AC 2026]]+ProgIni_25_27_2025_04_08[[#This Row],[Écart TR 2026]]</f>
        <v>425</v>
      </c>
      <c r="AH24">
        <v>50</v>
      </c>
      <c r="AJ24">
        <v>468</v>
      </c>
      <c r="AK24">
        <v>1461</v>
      </c>
      <c r="AQ24"/>
      <c r="AZ24" s="14">
        <f>SUM(ProgIni_25_27_2025_04_08[[#This Row],[AC ANT]:[TR 2025]],ProgIni_25_27_2025_04_08[[#This Row],[AC 2026]:[TR 2026]],ProgIni_25_27_2025_04_08[[#This Row],[AC 2027]:[TR 2034]])</f>
        <v>2870</v>
      </c>
    </row>
    <row r="25" spans="1:52" hidden="1" x14ac:dyDescent="0.3">
      <c r="A25" t="s">
        <v>286</v>
      </c>
      <c r="C25" t="s">
        <v>126</v>
      </c>
      <c r="D25" t="s">
        <v>127</v>
      </c>
      <c r="E25" t="s">
        <v>136</v>
      </c>
      <c r="F25" t="s">
        <v>104</v>
      </c>
      <c r="G25" t="s">
        <v>16</v>
      </c>
      <c r="H25" t="s">
        <v>16</v>
      </c>
      <c r="I25" t="s">
        <v>105</v>
      </c>
      <c r="J25" t="s">
        <v>162</v>
      </c>
      <c r="K25" t="s">
        <v>163</v>
      </c>
      <c r="L25" t="s">
        <v>122</v>
      </c>
      <c r="M25" t="s">
        <v>176</v>
      </c>
      <c r="N25" t="s">
        <v>164</v>
      </c>
      <c r="O25" s="1"/>
      <c r="P25" s="1"/>
      <c r="Q25" s="1"/>
      <c r="R25">
        <v>5398</v>
      </c>
      <c r="S25">
        <v>28152</v>
      </c>
      <c r="T25">
        <v>79</v>
      </c>
      <c r="U25">
        <v>891</v>
      </c>
      <c r="V25">
        <v>399</v>
      </c>
      <c r="W25">
        <v>67</v>
      </c>
      <c r="X25">
        <f>ProgIni_25_27_2025_04_08[[#This Row],[AC 2025]]-ProgIni_25_27_2025_04_08[[#This Row],[AC 2025 Trimestre précédent]]</f>
        <v>350</v>
      </c>
      <c r="Y25">
        <f>ProgIni_25_27_2025_04_08[[#This Row],[TR 2025]]-ProgIni_25_27_2025_04_08[[#This Row],[TR 2025 Trimestre précédent]]</f>
        <v>0</v>
      </c>
      <c r="Z25">
        <f>ProgIni_25_27_2025_04_08[[#This Row],[Écart AC 2025]]+ProgIni_25_27_2025_04_08[[#This Row],[Écart TR 2025]]</f>
        <v>350</v>
      </c>
      <c r="AA25">
        <v>49</v>
      </c>
      <c r="AB25">
        <v>67</v>
      </c>
      <c r="AC25">
        <v>60</v>
      </c>
      <c r="AD25"/>
      <c r="AE25">
        <f>ProgIni_25_27_2025_04_08[[#This Row],[AC 2026]]-ProgIni_25_27_2025_04_08[[#This Row],[AC 2026 Trimestre précédent]]</f>
        <v>30</v>
      </c>
      <c r="AF25">
        <f>ProgIni_25_27_2025_04_08[[#This Row],[TR 2026]]-ProgIni_25_27_2025_04_08[[#This Row],[TR 2026 Trimestre précédent]]</f>
        <v>0</v>
      </c>
      <c r="AG25">
        <f>ProgIni_25_27_2025_04_08[[#This Row],[Écart AC 2026]]+ProgIni_25_27_2025_04_08[[#This Row],[Écart TR 2026]]</f>
        <v>30</v>
      </c>
      <c r="AH25">
        <v>30</v>
      </c>
      <c r="AQ25"/>
      <c r="AZ25" s="14">
        <f>SUM(ProgIni_25_27_2025_04_08[[#This Row],[AC ANT]:[TR 2025]],ProgIni_25_27_2025_04_08[[#This Row],[AC 2026]:[TR 2026]],ProgIni_25_27_2025_04_08[[#This Row],[AC 2027]:[TR 2034]])</f>
        <v>35046</v>
      </c>
    </row>
    <row r="26" spans="1:52" hidden="1" x14ac:dyDescent="0.3">
      <c r="A26" t="s">
        <v>286</v>
      </c>
      <c r="C26" t="s">
        <v>101</v>
      </c>
      <c r="D26" t="s">
        <v>102</v>
      </c>
      <c r="E26" t="s">
        <v>103</v>
      </c>
      <c r="F26" t="s">
        <v>140</v>
      </c>
      <c r="G26" t="s">
        <v>16</v>
      </c>
      <c r="H26" t="s">
        <v>16</v>
      </c>
      <c r="I26" t="s">
        <v>105</v>
      </c>
      <c r="J26" t="s">
        <v>174</v>
      </c>
      <c r="K26" t="s">
        <v>175</v>
      </c>
      <c r="L26" t="s">
        <v>143</v>
      </c>
      <c r="M26" t="s">
        <v>176</v>
      </c>
      <c r="N26" t="s">
        <v>164</v>
      </c>
      <c r="O26" s="1">
        <v>44014</v>
      </c>
      <c r="P26" s="1">
        <v>44294</v>
      </c>
      <c r="Q26" s="1">
        <v>45239</v>
      </c>
      <c r="R26">
        <v>389</v>
      </c>
      <c r="S26">
        <v>4986</v>
      </c>
      <c r="T26">
        <v>729</v>
      </c>
      <c r="U26">
        <v>28833</v>
      </c>
      <c r="V26">
        <v>399</v>
      </c>
      <c r="W26">
        <v>11768</v>
      </c>
      <c r="X26">
        <f>ProgIni_25_27_2025_04_08[[#This Row],[AC 2025]]-ProgIni_25_27_2025_04_08[[#This Row],[AC 2025 Trimestre précédent]]</f>
        <v>99</v>
      </c>
      <c r="Y26">
        <f>ProgIni_25_27_2025_04_08[[#This Row],[TR 2025]]-ProgIni_25_27_2025_04_08[[#This Row],[TR 2025 Trimestre précédent]]</f>
        <v>-4374</v>
      </c>
      <c r="Z26">
        <f>ProgIni_25_27_2025_04_08[[#This Row],[Écart AC 2025]]+ProgIni_25_27_2025_04_08[[#This Row],[Écart TR 2025]]</f>
        <v>-4275</v>
      </c>
      <c r="AA26">
        <v>300</v>
      </c>
      <c r="AB26">
        <v>16142</v>
      </c>
      <c r="AD26"/>
      <c r="AE26">
        <f>ProgIni_25_27_2025_04_08[[#This Row],[AC 2026]]-ProgIni_25_27_2025_04_08[[#This Row],[AC 2026 Trimestre précédent]]</f>
        <v>0</v>
      </c>
      <c r="AF26">
        <f>ProgIni_25_27_2025_04_08[[#This Row],[TR 2026]]-ProgIni_25_27_2025_04_08[[#This Row],[TR 2026 Trimestre précédent]]</f>
        <v>0</v>
      </c>
      <c r="AG26">
        <f>ProgIni_25_27_2025_04_08[[#This Row],[Écart AC 2026]]+ProgIni_25_27_2025_04_08[[#This Row],[Écart TR 2026]]</f>
        <v>0</v>
      </c>
      <c r="AQ26"/>
      <c r="AZ26" s="14">
        <f>SUM(ProgIni_25_27_2025_04_08[[#This Row],[AC ANT]:[TR 2025]],ProgIni_25_27_2025_04_08[[#This Row],[AC 2026]:[TR 2026]],ProgIni_25_27_2025_04_08[[#This Row],[AC 2027]:[TR 2034]])</f>
        <v>47104</v>
      </c>
    </row>
    <row r="27" spans="1:52" hidden="1" x14ac:dyDescent="0.3">
      <c r="A27" t="s">
        <v>286</v>
      </c>
      <c r="C27" t="s">
        <v>101</v>
      </c>
      <c r="D27" t="s">
        <v>102</v>
      </c>
      <c r="E27" t="s">
        <v>136</v>
      </c>
      <c r="F27" t="s">
        <v>113</v>
      </c>
      <c r="G27" t="s">
        <v>16</v>
      </c>
      <c r="H27" t="s">
        <v>16</v>
      </c>
      <c r="I27" t="s">
        <v>131</v>
      </c>
      <c r="J27" t="s">
        <v>137</v>
      </c>
      <c r="K27" t="s">
        <v>138</v>
      </c>
      <c r="L27" t="s">
        <v>139</v>
      </c>
      <c r="M27" t="s">
        <v>109</v>
      </c>
      <c r="N27" t="s">
        <v>123</v>
      </c>
      <c r="O27" s="1">
        <v>45062</v>
      </c>
      <c r="P27" s="1">
        <v>45698</v>
      </c>
      <c r="Q27" s="1">
        <v>45962</v>
      </c>
      <c r="R27">
        <v>337</v>
      </c>
      <c r="S27">
        <v>41</v>
      </c>
      <c r="T27">
        <v>336</v>
      </c>
      <c r="V27">
        <v>355</v>
      </c>
      <c r="X27">
        <f>ProgIni_25_27_2025_04_08[[#This Row],[AC 2025]]-ProgIni_25_27_2025_04_08[[#This Row],[AC 2025 Trimestre précédent]]</f>
        <v>15</v>
      </c>
      <c r="Y27">
        <f>ProgIni_25_27_2025_04_08[[#This Row],[TR 2025]]-ProgIni_25_27_2025_04_08[[#This Row],[TR 2025 Trimestre précédent]]</f>
        <v>0</v>
      </c>
      <c r="Z27">
        <f>ProgIni_25_27_2025_04_08[[#This Row],[Écart AC 2025]]+ProgIni_25_27_2025_04_08[[#This Row],[Écart TR 2025]]</f>
        <v>15</v>
      </c>
      <c r="AA27">
        <v>340</v>
      </c>
      <c r="AC27">
        <v>1006</v>
      </c>
      <c r="AD27">
        <v>5870</v>
      </c>
      <c r="AE27">
        <f>ProgIni_25_27_2025_04_08[[#This Row],[AC 2026]]-ProgIni_25_27_2025_04_08[[#This Row],[AC 2026 Trimestre précédent]]</f>
        <v>-371</v>
      </c>
      <c r="AF27">
        <f>ProgIni_25_27_2025_04_08[[#This Row],[TR 2026]]-ProgIni_25_27_2025_04_08[[#This Row],[TR 2026 Trimestre précédent]]</f>
        <v>129</v>
      </c>
      <c r="AG27">
        <f>ProgIni_25_27_2025_04_08[[#This Row],[Écart AC 2026]]+ProgIni_25_27_2025_04_08[[#This Row],[Écart TR 2026]]</f>
        <v>-242</v>
      </c>
      <c r="AH27">
        <v>1377</v>
      </c>
      <c r="AI27">
        <v>5741</v>
      </c>
      <c r="AQ27"/>
      <c r="AZ27" s="14">
        <f>SUM(ProgIni_25_27_2025_04_08[[#This Row],[AC ANT]:[TR 2025]],ProgIni_25_27_2025_04_08[[#This Row],[AC 2026]:[TR 2026]],ProgIni_25_27_2025_04_08[[#This Row],[AC 2027]:[TR 2034]])</f>
        <v>7945</v>
      </c>
    </row>
    <row r="28" spans="1:52" hidden="1" x14ac:dyDescent="0.3">
      <c r="A28" t="s">
        <v>286</v>
      </c>
      <c r="C28" t="s">
        <v>101</v>
      </c>
      <c r="D28" t="s">
        <v>102</v>
      </c>
      <c r="E28" t="s">
        <v>128</v>
      </c>
      <c r="F28" t="s">
        <v>113</v>
      </c>
      <c r="G28" t="s">
        <v>16</v>
      </c>
      <c r="H28" t="s">
        <v>16</v>
      </c>
      <c r="I28" t="s">
        <v>105</v>
      </c>
      <c r="J28" t="s">
        <v>160</v>
      </c>
      <c r="K28" t="s">
        <v>161</v>
      </c>
      <c r="L28" t="s">
        <v>122</v>
      </c>
      <c r="M28" t="s">
        <v>148</v>
      </c>
      <c r="N28" t="s">
        <v>164</v>
      </c>
      <c r="O28" s="1">
        <v>44956</v>
      </c>
      <c r="P28" s="1">
        <v>45321</v>
      </c>
      <c r="Q28" s="1">
        <v>45687</v>
      </c>
      <c r="R28">
        <v>6</v>
      </c>
      <c r="T28">
        <v>19</v>
      </c>
      <c r="V28">
        <v>320</v>
      </c>
      <c r="W28">
        <v>4503</v>
      </c>
      <c r="X28">
        <f>ProgIni_25_27_2025_04_08[[#This Row],[AC 2025]]-ProgIni_25_27_2025_04_08[[#This Row],[AC 2025 Trimestre précédent]]</f>
        <v>120</v>
      </c>
      <c r="Y28">
        <f>ProgIni_25_27_2025_04_08[[#This Row],[TR 2025]]-ProgIni_25_27_2025_04_08[[#This Row],[TR 2025 Trimestre précédent]]</f>
        <v>81</v>
      </c>
      <c r="Z28">
        <f>ProgIni_25_27_2025_04_08[[#This Row],[Écart AC 2025]]+ProgIni_25_27_2025_04_08[[#This Row],[Écart TR 2025]]</f>
        <v>201</v>
      </c>
      <c r="AA28">
        <v>200</v>
      </c>
      <c r="AB28">
        <v>4422</v>
      </c>
      <c r="AD28"/>
      <c r="AE28">
        <f>ProgIni_25_27_2025_04_08[[#This Row],[AC 2026]]-ProgIni_25_27_2025_04_08[[#This Row],[AC 2026 Trimestre précédent]]</f>
        <v>-69</v>
      </c>
      <c r="AF28">
        <f>ProgIni_25_27_2025_04_08[[#This Row],[TR 2026]]-ProgIni_25_27_2025_04_08[[#This Row],[TR 2026 Trimestre précédent]]</f>
        <v>-216</v>
      </c>
      <c r="AG28">
        <f>ProgIni_25_27_2025_04_08[[#This Row],[Écart AC 2026]]+ProgIni_25_27_2025_04_08[[#This Row],[Écart TR 2026]]</f>
        <v>-285</v>
      </c>
      <c r="AH28">
        <v>69</v>
      </c>
      <c r="AI28">
        <v>216</v>
      </c>
      <c r="AQ28"/>
      <c r="AZ28" s="14">
        <f>SUM(ProgIni_25_27_2025_04_08[[#This Row],[AC ANT]:[TR 2025]],ProgIni_25_27_2025_04_08[[#This Row],[AC 2026]:[TR 2026]],ProgIni_25_27_2025_04_08[[#This Row],[AC 2027]:[TR 2034]])</f>
        <v>4848</v>
      </c>
    </row>
    <row r="29" spans="1:52" hidden="1" x14ac:dyDescent="0.3">
      <c r="A29" t="s">
        <v>286</v>
      </c>
      <c r="C29" t="s">
        <v>118</v>
      </c>
      <c r="D29" t="s">
        <v>102</v>
      </c>
      <c r="E29" t="s">
        <v>103</v>
      </c>
      <c r="F29" t="s">
        <v>149</v>
      </c>
      <c r="G29" t="s">
        <v>16</v>
      </c>
      <c r="H29" t="s">
        <v>16</v>
      </c>
      <c r="I29" t="s">
        <v>131</v>
      </c>
      <c r="J29" t="s">
        <v>192</v>
      </c>
      <c r="K29" t="s">
        <v>193</v>
      </c>
      <c r="L29" t="s">
        <v>194</v>
      </c>
      <c r="M29" t="s">
        <v>176</v>
      </c>
      <c r="N29" t="s">
        <v>164</v>
      </c>
      <c r="O29" s="1">
        <v>44547</v>
      </c>
      <c r="P29" s="1">
        <v>45091</v>
      </c>
      <c r="Q29" s="1">
        <v>45375</v>
      </c>
      <c r="R29">
        <v>7</v>
      </c>
      <c r="T29">
        <v>81</v>
      </c>
      <c r="U29">
        <v>1350</v>
      </c>
      <c r="V29">
        <v>185</v>
      </c>
      <c r="W29">
        <v>4398</v>
      </c>
      <c r="X29">
        <f>ProgIni_25_27_2025_04_08[[#This Row],[AC 2025]]-ProgIni_25_27_2025_04_08[[#This Row],[AC 2025 Trimestre précédent]]</f>
        <v>0</v>
      </c>
      <c r="Y29">
        <f>ProgIni_25_27_2025_04_08[[#This Row],[TR 2025]]-ProgIni_25_27_2025_04_08[[#This Row],[TR 2025 Trimestre précédent]]</f>
        <v>-1073</v>
      </c>
      <c r="Z29">
        <f>ProgIni_25_27_2025_04_08[[#This Row],[Écart AC 2025]]+ProgIni_25_27_2025_04_08[[#This Row],[Écart TR 2025]]</f>
        <v>-1073</v>
      </c>
      <c r="AA29">
        <v>185</v>
      </c>
      <c r="AB29">
        <v>5471</v>
      </c>
      <c r="AD29"/>
      <c r="AE29">
        <f>ProgIni_25_27_2025_04_08[[#This Row],[AC 2026]]-ProgIni_25_27_2025_04_08[[#This Row],[AC 2026 Trimestre précédent]]</f>
        <v>0</v>
      </c>
      <c r="AF29">
        <f>ProgIni_25_27_2025_04_08[[#This Row],[TR 2026]]-ProgIni_25_27_2025_04_08[[#This Row],[TR 2026 Trimestre précédent]]</f>
        <v>0</v>
      </c>
      <c r="AG29">
        <f>ProgIni_25_27_2025_04_08[[#This Row],[Écart AC 2026]]+ProgIni_25_27_2025_04_08[[#This Row],[Écart TR 2026]]</f>
        <v>0</v>
      </c>
      <c r="AQ29"/>
      <c r="AZ29" s="14">
        <f>SUM(ProgIni_25_27_2025_04_08[[#This Row],[AC ANT]:[TR 2025]],ProgIni_25_27_2025_04_08[[#This Row],[AC 2026]:[TR 2026]],ProgIni_25_27_2025_04_08[[#This Row],[AC 2027]:[TR 2034]])</f>
        <v>6021</v>
      </c>
    </row>
    <row r="30" spans="1:52" hidden="1" x14ac:dyDescent="0.3">
      <c r="A30" t="s">
        <v>286</v>
      </c>
      <c r="C30" t="s">
        <v>101</v>
      </c>
      <c r="D30" t="s">
        <v>102</v>
      </c>
      <c r="E30" t="s">
        <v>103</v>
      </c>
      <c r="F30" t="s">
        <v>104</v>
      </c>
      <c r="G30" t="s">
        <v>16</v>
      </c>
      <c r="H30" t="s">
        <v>16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s="1">
        <v>45014</v>
      </c>
      <c r="P30" s="1">
        <v>45778</v>
      </c>
      <c r="Q30" s="1">
        <v>45960</v>
      </c>
      <c r="R30">
        <v>69</v>
      </c>
      <c r="T30">
        <v>225</v>
      </c>
      <c r="V30">
        <v>180</v>
      </c>
      <c r="X30">
        <f>ProgIni_25_27_2025_04_08[[#This Row],[AC 2025]]-ProgIni_25_27_2025_04_08[[#This Row],[AC 2025 Trimestre précédent]]</f>
        <v>50</v>
      </c>
      <c r="Y30">
        <f>ProgIni_25_27_2025_04_08[[#This Row],[TR 2025]]-ProgIni_25_27_2025_04_08[[#This Row],[TR 2025 Trimestre précédent]]</f>
        <v>0</v>
      </c>
      <c r="Z30">
        <f>ProgIni_25_27_2025_04_08[[#This Row],[Écart AC 2025]]+ProgIni_25_27_2025_04_08[[#This Row],[Écart TR 2025]]</f>
        <v>50</v>
      </c>
      <c r="AA30">
        <v>130</v>
      </c>
      <c r="AC30">
        <v>881</v>
      </c>
      <c r="AD30">
        <v>16557</v>
      </c>
      <c r="AE30">
        <f>ProgIni_25_27_2025_04_08[[#This Row],[AC 2026]]-ProgIni_25_27_2025_04_08[[#This Row],[AC 2026 Trimestre précédent]]</f>
        <v>28</v>
      </c>
      <c r="AF30">
        <f>ProgIni_25_27_2025_04_08[[#This Row],[TR 2026]]-ProgIni_25_27_2025_04_08[[#This Row],[TR 2026 Trimestre précédent]]</f>
        <v>0</v>
      </c>
      <c r="AG30">
        <f>ProgIni_25_27_2025_04_08[[#This Row],[Écart AC 2026]]+ProgIni_25_27_2025_04_08[[#This Row],[Écart TR 2026]]</f>
        <v>28</v>
      </c>
      <c r="AH30">
        <v>853</v>
      </c>
      <c r="AI30">
        <v>16557</v>
      </c>
      <c r="AQ30"/>
      <c r="AZ30" s="14">
        <f>SUM(ProgIni_25_27_2025_04_08[[#This Row],[AC ANT]:[TR 2025]],ProgIni_25_27_2025_04_08[[#This Row],[AC 2026]:[TR 2026]],ProgIni_25_27_2025_04_08[[#This Row],[AC 2027]:[TR 2034]])</f>
        <v>17912</v>
      </c>
    </row>
    <row r="31" spans="1:52" hidden="1" x14ac:dyDescent="0.3">
      <c r="A31" t="s">
        <v>286</v>
      </c>
      <c r="C31" t="s">
        <v>118</v>
      </c>
      <c r="D31" t="s">
        <v>102</v>
      </c>
      <c r="E31" t="s">
        <v>177</v>
      </c>
      <c r="F31" t="s">
        <v>113</v>
      </c>
      <c r="G31" t="s">
        <v>16</v>
      </c>
      <c r="H31" t="s">
        <v>20</v>
      </c>
      <c r="I31" t="s">
        <v>131</v>
      </c>
      <c r="J31" t="s">
        <v>240</v>
      </c>
      <c r="K31" t="s">
        <v>241</v>
      </c>
      <c r="L31" t="s">
        <v>187</v>
      </c>
      <c r="M31" t="s">
        <v>173</v>
      </c>
      <c r="N31" t="s">
        <v>110</v>
      </c>
      <c r="O31" s="1">
        <v>45708</v>
      </c>
      <c r="P31" s="1">
        <v>46127</v>
      </c>
      <c r="Q31" s="1">
        <v>46492</v>
      </c>
      <c r="T31">
        <v>10</v>
      </c>
      <c r="V31">
        <v>178</v>
      </c>
      <c r="X31">
        <f>ProgIni_25_27_2025_04_08[[#This Row],[AC 2025]]-ProgIni_25_27_2025_04_08[[#This Row],[AC 2025 Trimestre précédent]]</f>
        <v>78</v>
      </c>
      <c r="Y31">
        <f>ProgIni_25_27_2025_04_08[[#This Row],[TR 2025]]-ProgIni_25_27_2025_04_08[[#This Row],[TR 2025 Trimestre précédent]]</f>
        <v>0</v>
      </c>
      <c r="Z31">
        <f>ProgIni_25_27_2025_04_08[[#This Row],[Écart AC 2025]]+ProgIni_25_27_2025_04_08[[#This Row],[Écart TR 2025]]</f>
        <v>78</v>
      </c>
      <c r="AA31">
        <v>100</v>
      </c>
      <c r="AC31">
        <v>176</v>
      </c>
      <c r="AD31"/>
      <c r="AE31">
        <f>ProgIni_25_27_2025_04_08[[#This Row],[AC 2026]]-ProgIni_25_27_2025_04_08[[#This Row],[AC 2026 Trimestre précédent]]</f>
        <v>76</v>
      </c>
      <c r="AF31">
        <f>ProgIni_25_27_2025_04_08[[#This Row],[TR 2026]]-ProgIni_25_27_2025_04_08[[#This Row],[TR 2026 Trimestre précédent]]</f>
        <v>0</v>
      </c>
      <c r="AG31">
        <f>ProgIni_25_27_2025_04_08[[#This Row],[Écart AC 2026]]+ProgIni_25_27_2025_04_08[[#This Row],[Écart TR 2026]]</f>
        <v>76</v>
      </c>
      <c r="AH31">
        <v>100</v>
      </c>
      <c r="AJ31">
        <v>212</v>
      </c>
      <c r="AK31">
        <v>4831</v>
      </c>
      <c r="AL31">
        <v>141</v>
      </c>
      <c r="AM31">
        <v>3298</v>
      </c>
      <c r="AQ31"/>
      <c r="AZ31" s="14">
        <f>SUM(ProgIni_25_27_2025_04_08[[#This Row],[AC ANT]:[TR 2025]],ProgIni_25_27_2025_04_08[[#This Row],[AC 2026]:[TR 2026]],ProgIni_25_27_2025_04_08[[#This Row],[AC 2027]:[TR 2034]])</f>
        <v>8846</v>
      </c>
    </row>
    <row r="32" spans="1:52" hidden="1" x14ac:dyDescent="0.3">
      <c r="A32" t="s">
        <v>286</v>
      </c>
      <c r="C32" t="s">
        <v>101</v>
      </c>
      <c r="D32" t="s">
        <v>102</v>
      </c>
      <c r="E32" t="s">
        <v>136</v>
      </c>
      <c r="F32" t="s">
        <v>149</v>
      </c>
      <c r="G32" t="s">
        <v>16</v>
      </c>
      <c r="H32" t="s">
        <v>20</v>
      </c>
      <c r="I32" t="s">
        <v>131</v>
      </c>
      <c r="J32" t="s">
        <v>212</v>
      </c>
      <c r="K32" t="s">
        <v>213</v>
      </c>
      <c r="L32" t="s">
        <v>214</v>
      </c>
      <c r="M32" t="s">
        <v>184</v>
      </c>
      <c r="N32" t="s">
        <v>155</v>
      </c>
      <c r="O32" s="1">
        <v>45853</v>
      </c>
      <c r="P32" s="1">
        <v>46157</v>
      </c>
      <c r="Q32" s="1">
        <v>46522</v>
      </c>
      <c r="R32">
        <v>47</v>
      </c>
      <c r="T32">
        <v>174</v>
      </c>
      <c r="V32">
        <v>150</v>
      </c>
      <c r="X32">
        <f>ProgIni_25_27_2025_04_08[[#This Row],[AC 2025]]-ProgIni_25_27_2025_04_08[[#This Row],[AC 2025 Trimestre précédent]]</f>
        <v>0</v>
      </c>
      <c r="Y32">
        <f>ProgIni_25_27_2025_04_08[[#This Row],[TR 2025]]-ProgIni_25_27_2025_04_08[[#This Row],[TR 2025 Trimestre précédent]]</f>
        <v>0</v>
      </c>
      <c r="Z32">
        <f>ProgIni_25_27_2025_04_08[[#This Row],[Écart AC 2025]]+ProgIni_25_27_2025_04_08[[#This Row],[Écart TR 2025]]</f>
        <v>0</v>
      </c>
      <c r="AA32">
        <v>150</v>
      </c>
      <c r="AC32">
        <v>125</v>
      </c>
      <c r="AD32"/>
      <c r="AE32">
        <f>ProgIni_25_27_2025_04_08[[#This Row],[AC 2026]]-ProgIni_25_27_2025_04_08[[#This Row],[AC 2026 Trimestre précédent]]</f>
        <v>0</v>
      </c>
      <c r="AF32">
        <f>ProgIni_25_27_2025_04_08[[#This Row],[TR 2026]]-ProgIni_25_27_2025_04_08[[#This Row],[TR 2026 Trimestre précédent]]</f>
        <v>0</v>
      </c>
      <c r="AG32">
        <f>ProgIni_25_27_2025_04_08[[#This Row],[Écart AC 2026]]+ProgIni_25_27_2025_04_08[[#This Row],[Écart TR 2026]]</f>
        <v>0</v>
      </c>
      <c r="AH32">
        <v>125</v>
      </c>
      <c r="AJ32">
        <v>125</v>
      </c>
      <c r="AL32">
        <v>125</v>
      </c>
      <c r="AN32">
        <v>125</v>
      </c>
      <c r="AP32">
        <v>300</v>
      </c>
      <c r="AQ32">
        <v>5000</v>
      </c>
      <c r="AR32">
        <v>350</v>
      </c>
      <c r="AS32">
        <v>10000</v>
      </c>
      <c r="AZ32" s="14">
        <f>SUM(ProgIni_25_27_2025_04_08[[#This Row],[AC ANT]:[TR 2025]],ProgIni_25_27_2025_04_08[[#This Row],[AC 2026]:[TR 2026]],ProgIni_25_27_2025_04_08[[#This Row],[AC 2027]:[TR 2034]])</f>
        <v>16521</v>
      </c>
    </row>
    <row r="33" spans="1:52" x14ac:dyDescent="0.3">
      <c r="A33" t="s">
        <v>286</v>
      </c>
      <c r="C33" t="s">
        <v>126</v>
      </c>
      <c r="D33" t="s">
        <v>127</v>
      </c>
      <c r="E33" t="s">
        <v>177</v>
      </c>
      <c r="F33" t="s">
        <v>206</v>
      </c>
      <c r="G33" t="s">
        <v>16</v>
      </c>
      <c r="H33" t="s">
        <v>16</v>
      </c>
      <c r="I33" t="s">
        <v>223</v>
      </c>
      <c r="J33" t="s">
        <v>224</v>
      </c>
      <c r="K33" t="s">
        <v>520</v>
      </c>
      <c r="L33" t="s">
        <v>180</v>
      </c>
      <c r="M33" t="s">
        <v>109</v>
      </c>
      <c r="N33" t="s">
        <v>123</v>
      </c>
      <c r="O33" s="1">
        <v>44623</v>
      </c>
      <c r="P33" s="1">
        <v>45698</v>
      </c>
      <c r="Q33" s="1">
        <v>46006</v>
      </c>
      <c r="R33">
        <v>180.00000000000003</v>
      </c>
      <c r="T33">
        <v>102</v>
      </c>
      <c r="V33">
        <v>150</v>
      </c>
      <c r="X33">
        <f>ProgIni_25_27_2025_04_08[[#This Row],[AC 2025]]-ProgIni_25_27_2025_04_08[[#This Row],[AC 2025 Trimestre précédent]]</f>
        <v>-133</v>
      </c>
      <c r="Y33">
        <f>ProgIni_25_27_2025_04_08[[#This Row],[TR 2025]]-ProgIni_25_27_2025_04_08[[#This Row],[TR 2025 Trimestre précédent]]</f>
        <v>0</v>
      </c>
      <c r="Z33">
        <f>ProgIni_25_27_2025_04_08[[#This Row],[Écart AC 2025]]+ProgIni_25_27_2025_04_08[[#This Row],[Écart TR 2025]]</f>
        <v>-133</v>
      </c>
      <c r="AA33">
        <v>283</v>
      </c>
      <c r="AC33">
        <v>133</v>
      </c>
      <c r="AD33">
        <v>355</v>
      </c>
      <c r="AE33">
        <f>ProgIni_25_27_2025_04_08[[#This Row],[AC 2026]]-ProgIni_25_27_2025_04_08[[#This Row],[AC 2026 Trimestre précédent]]</f>
        <v>79.999999999999986</v>
      </c>
      <c r="AF33">
        <f>ProgIni_25_27_2025_04_08[[#This Row],[TR 2026]]-ProgIni_25_27_2025_04_08[[#This Row],[TR 2026 Trimestre précédent]]</f>
        <v>355</v>
      </c>
      <c r="AG33">
        <f>ProgIni_25_27_2025_04_08[[#This Row],[Écart AC 2026]]+ProgIni_25_27_2025_04_08[[#This Row],[Écart TR 2026]]</f>
        <v>435</v>
      </c>
      <c r="AH33">
        <v>53.000000000000014</v>
      </c>
      <c r="AJ33">
        <v>53</v>
      </c>
      <c r="AK33">
        <v>1610</v>
      </c>
      <c r="AL33">
        <v>159</v>
      </c>
      <c r="AM33">
        <v>4929</v>
      </c>
      <c r="AN33">
        <v>211.99999999999997</v>
      </c>
      <c r="AO33">
        <v>6707.0000000000018</v>
      </c>
      <c r="AP33">
        <v>212</v>
      </c>
      <c r="AQ33">
        <v>6846.0000000000018</v>
      </c>
      <c r="AZ33" s="14">
        <f>SUM(ProgIni_25_27_2025_04_08[[#This Row],[AC ANT]:[TR 2025]],ProgIni_25_27_2025_04_08[[#This Row],[AC 2026]:[TR 2026]],ProgIni_25_27_2025_04_08[[#This Row],[AC 2027]:[TR 2034]])</f>
        <v>21648.000000000004</v>
      </c>
    </row>
    <row r="34" spans="1:52" hidden="1" x14ac:dyDescent="0.3">
      <c r="A34" t="s">
        <v>286</v>
      </c>
      <c r="C34" t="s">
        <v>126</v>
      </c>
      <c r="D34" t="s">
        <v>127</v>
      </c>
      <c r="E34" t="s">
        <v>103</v>
      </c>
      <c r="F34" t="s">
        <v>104</v>
      </c>
      <c r="G34" t="s">
        <v>16</v>
      </c>
      <c r="H34" t="s">
        <v>130</v>
      </c>
      <c r="I34" t="s">
        <v>131</v>
      </c>
      <c r="J34" t="s">
        <v>220</v>
      </c>
      <c r="K34" t="s">
        <v>221</v>
      </c>
      <c r="L34" t="s">
        <v>159</v>
      </c>
      <c r="M34" t="s">
        <v>173</v>
      </c>
      <c r="N34" t="s">
        <v>155</v>
      </c>
      <c r="O34" s="1">
        <v>45807</v>
      </c>
      <c r="P34" s="1">
        <v>46164</v>
      </c>
      <c r="Q34" s="1">
        <v>46402</v>
      </c>
      <c r="V34">
        <v>130</v>
      </c>
      <c r="X34">
        <f>ProgIni_25_27_2025_04_08[[#This Row],[AC 2025]]-ProgIni_25_27_2025_04_08[[#This Row],[AC 2025 Trimestre précédent]]</f>
        <v>125</v>
      </c>
      <c r="Y34">
        <f>ProgIni_25_27_2025_04_08[[#This Row],[TR 2025]]-ProgIni_25_27_2025_04_08[[#This Row],[TR 2025 Trimestre précédent]]</f>
        <v>0</v>
      </c>
      <c r="Z34">
        <f>ProgIni_25_27_2025_04_08[[#This Row],[Écart AC 2025]]+ProgIni_25_27_2025_04_08[[#This Row],[Écart TR 2025]]</f>
        <v>125</v>
      </c>
      <c r="AA34">
        <v>5</v>
      </c>
      <c r="AC34">
        <v>125</v>
      </c>
      <c r="AD34"/>
      <c r="AE34">
        <f>ProgIni_25_27_2025_04_08[[#This Row],[AC 2026]]-ProgIni_25_27_2025_04_08[[#This Row],[AC 2026 Trimestre précédent]]</f>
        <v>-45</v>
      </c>
      <c r="AF34">
        <f>ProgIni_25_27_2025_04_08[[#This Row],[TR 2026]]-ProgIni_25_27_2025_04_08[[#This Row],[TR 2026 Trimestre précédent]]</f>
        <v>0</v>
      </c>
      <c r="AG34">
        <f>ProgIni_25_27_2025_04_08[[#This Row],[Écart AC 2026]]+ProgIni_25_27_2025_04_08[[#This Row],[Écart TR 2026]]</f>
        <v>-45</v>
      </c>
      <c r="AH34">
        <v>170</v>
      </c>
      <c r="AJ34">
        <v>100</v>
      </c>
      <c r="AK34">
        <v>12180</v>
      </c>
      <c r="AL34">
        <v>70</v>
      </c>
      <c r="AM34">
        <v>7570</v>
      </c>
      <c r="AN34">
        <v>55</v>
      </c>
      <c r="AO34">
        <v>10250</v>
      </c>
      <c r="AQ34"/>
      <c r="AZ34" s="14">
        <f>SUM(ProgIni_25_27_2025_04_08[[#This Row],[AC ANT]:[TR 2025]],ProgIni_25_27_2025_04_08[[#This Row],[AC 2026]:[TR 2026]],ProgIni_25_27_2025_04_08[[#This Row],[AC 2027]:[TR 2034]])</f>
        <v>30480</v>
      </c>
    </row>
    <row r="35" spans="1:52" x14ac:dyDescent="0.3">
      <c r="A35" t="s">
        <v>286</v>
      </c>
      <c r="C35" t="s">
        <v>101</v>
      </c>
      <c r="D35" t="s">
        <v>102</v>
      </c>
      <c r="E35" t="s">
        <v>103</v>
      </c>
      <c r="F35" t="s">
        <v>140</v>
      </c>
      <c r="G35" t="s">
        <v>16</v>
      </c>
      <c r="H35" t="s">
        <v>20</v>
      </c>
      <c r="I35" t="s">
        <v>131</v>
      </c>
      <c r="J35" t="s">
        <v>246</v>
      </c>
      <c r="K35" t="s">
        <v>515</v>
      </c>
      <c r="L35" t="s">
        <v>180</v>
      </c>
      <c r="M35" t="s">
        <v>173</v>
      </c>
      <c r="N35" t="s">
        <v>110</v>
      </c>
      <c r="O35" s="1">
        <v>45679</v>
      </c>
      <c r="P35" s="1">
        <v>46006</v>
      </c>
      <c r="Q35" s="1">
        <v>46371</v>
      </c>
      <c r="V35">
        <v>130</v>
      </c>
      <c r="X35">
        <f>ProgIni_25_27_2025_04_08[[#This Row],[AC 2025]]-ProgIni_25_27_2025_04_08[[#This Row],[AC 2025 Trimestre précédent]]</f>
        <v>80</v>
      </c>
      <c r="Y35">
        <f>ProgIni_25_27_2025_04_08[[#This Row],[TR 2025]]-ProgIni_25_27_2025_04_08[[#This Row],[TR 2025 Trimestre précédent]]</f>
        <v>0</v>
      </c>
      <c r="Z35">
        <f>ProgIni_25_27_2025_04_08[[#This Row],[Écart AC 2025]]+ProgIni_25_27_2025_04_08[[#This Row],[Écart TR 2025]]</f>
        <v>80</v>
      </c>
      <c r="AA35">
        <v>50</v>
      </c>
      <c r="AC35">
        <v>60</v>
      </c>
      <c r="AD35"/>
      <c r="AE35">
        <f>ProgIni_25_27_2025_04_08[[#This Row],[AC 2026]]-ProgIni_25_27_2025_04_08[[#This Row],[AC 2026 Trimestre précédent]]</f>
        <v>-40</v>
      </c>
      <c r="AF35">
        <f>ProgIni_25_27_2025_04_08[[#This Row],[TR 2026]]-ProgIni_25_27_2025_04_08[[#This Row],[TR 2026 Trimestre précédent]]</f>
        <v>0</v>
      </c>
      <c r="AG35">
        <f>ProgIni_25_27_2025_04_08[[#This Row],[Écart AC 2026]]+ProgIni_25_27_2025_04_08[[#This Row],[Écart TR 2026]]</f>
        <v>-40</v>
      </c>
      <c r="AH35">
        <v>100</v>
      </c>
      <c r="AJ35">
        <v>283</v>
      </c>
      <c r="AK35">
        <v>3902</v>
      </c>
      <c r="AQ35"/>
      <c r="AZ35" s="14">
        <f>SUM(ProgIni_25_27_2025_04_08[[#This Row],[AC ANT]:[TR 2025]],ProgIni_25_27_2025_04_08[[#This Row],[AC 2026]:[TR 2026]],ProgIni_25_27_2025_04_08[[#This Row],[AC 2027]:[TR 2034]])</f>
        <v>4375</v>
      </c>
    </row>
    <row r="36" spans="1:52" hidden="1" x14ac:dyDescent="0.3">
      <c r="A36" t="s">
        <v>286</v>
      </c>
      <c r="C36" t="s">
        <v>101</v>
      </c>
      <c r="D36" t="s">
        <v>102</v>
      </c>
      <c r="E36" t="s">
        <v>136</v>
      </c>
      <c r="F36" t="s">
        <v>113</v>
      </c>
      <c r="G36" t="s">
        <v>16</v>
      </c>
      <c r="H36" t="s">
        <v>20</v>
      </c>
      <c r="I36" t="s">
        <v>105</v>
      </c>
      <c r="J36" t="s">
        <v>166</v>
      </c>
      <c r="K36" t="s">
        <v>167</v>
      </c>
      <c r="L36" t="s">
        <v>168</v>
      </c>
      <c r="M36" t="s">
        <v>169</v>
      </c>
      <c r="N36" t="s">
        <v>155</v>
      </c>
      <c r="O36" s="1">
        <v>45884</v>
      </c>
      <c r="P36" s="1">
        <v>46402</v>
      </c>
      <c r="Q36" s="1">
        <v>46980</v>
      </c>
      <c r="R36">
        <v>71</v>
      </c>
      <c r="T36">
        <v>5</v>
      </c>
      <c r="V36">
        <v>120</v>
      </c>
      <c r="X36">
        <f>ProgIni_25_27_2025_04_08[[#This Row],[AC 2025]]-ProgIni_25_27_2025_04_08[[#This Row],[AC 2025 Trimestre précédent]]</f>
        <v>0</v>
      </c>
      <c r="Y36">
        <f>ProgIni_25_27_2025_04_08[[#This Row],[TR 2025]]-ProgIni_25_27_2025_04_08[[#This Row],[TR 2025 Trimestre précédent]]</f>
        <v>0</v>
      </c>
      <c r="Z36">
        <f>ProgIni_25_27_2025_04_08[[#This Row],[Écart AC 2025]]+ProgIni_25_27_2025_04_08[[#This Row],[Écart TR 2025]]</f>
        <v>0</v>
      </c>
      <c r="AA36">
        <v>120</v>
      </c>
      <c r="AC36">
        <v>210</v>
      </c>
      <c r="AD36"/>
      <c r="AE36">
        <f>ProgIni_25_27_2025_04_08[[#This Row],[AC 2026]]-ProgIni_25_27_2025_04_08[[#This Row],[AC 2026 Trimestre précédent]]</f>
        <v>0</v>
      </c>
      <c r="AF36">
        <f>ProgIni_25_27_2025_04_08[[#This Row],[TR 2026]]-ProgIni_25_27_2025_04_08[[#This Row],[TR 2026 Trimestre précédent]]</f>
        <v>0</v>
      </c>
      <c r="AG36">
        <f>ProgIni_25_27_2025_04_08[[#This Row],[Écart AC 2026]]+ProgIni_25_27_2025_04_08[[#This Row],[Écart TR 2026]]</f>
        <v>0</v>
      </c>
      <c r="AH36">
        <v>210</v>
      </c>
      <c r="AJ36">
        <v>310</v>
      </c>
      <c r="AL36">
        <v>310</v>
      </c>
      <c r="AN36">
        <v>395</v>
      </c>
      <c r="AO36">
        <v>2000</v>
      </c>
      <c r="AP36">
        <v>395</v>
      </c>
      <c r="AQ36">
        <v>2000</v>
      </c>
      <c r="AR36">
        <v>395</v>
      </c>
      <c r="AS36">
        <v>18319</v>
      </c>
      <c r="AZ36" s="14">
        <f>SUM(ProgIni_25_27_2025_04_08[[#This Row],[AC ANT]:[TR 2025]],ProgIni_25_27_2025_04_08[[#This Row],[AC 2026]:[TR 2026]],ProgIni_25_27_2025_04_08[[#This Row],[AC 2027]:[TR 2034]])</f>
        <v>24530</v>
      </c>
    </row>
    <row r="37" spans="1:52" hidden="1" x14ac:dyDescent="0.3">
      <c r="A37" t="s">
        <v>286</v>
      </c>
      <c r="C37" t="s">
        <v>126</v>
      </c>
      <c r="D37" t="s">
        <v>127</v>
      </c>
      <c r="E37" t="s">
        <v>103</v>
      </c>
      <c r="F37" t="s">
        <v>144</v>
      </c>
      <c r="G37" t="s">
        <v>16</v>
      </c>
      <c r="H37" t="s">
        <v>16</v>
      </c>
      <c r="I37" t="s">
        <v>131</v>
      </c>
      <c r="J37" t="s">
        <v>145</v>
      </c>
      <c r="K37" t="s">
        <v>146</v>
      </c>
      <c r="L37" t="s">
        <v>147</v>
      </c>
      <c r="M37" t="s">
        <v>109</v>
      </c>
      <c r="N37" t="s">
        <v>110</v>
      </c>
      <c r="O37" s="1">
        <v>44609</v>
      </c>
      <c r="P37" s="1">
        <v>45778</v>
      </c>
      <c r="Q37" s="1">
        <v>45853</v>
      </c>
      <c r="R37">
        <v>117</v>
      </c>
      <c r="T37">
        <v>159</v>
      </c>
      <c r="V37">
        <v>105</v>
      </c>
      <c r="X37">
        <f>ProgIni_25_27_2025_04_08[[#This Row],[AC 2025]]-ProgIni_25_27_2025_04_08[[#This Row],[AC 2025 Trimestre précédent]]</f>
        <v>-125</v>
      </c>
      <c r="Y37">
        <f>ProgIni_25_27_2025_04_08[[#This Row],[TR 2025]]-ProgIni_25_27_2025_04_08[[#This Row],[TR 2025 Trimestre précédent]]</f>
        <v>-4842</v>
      </c>
      <c r="Z37">
        <f>ProgIni_25_27_2025_04_08[[#This Row],[Écart AC 2025]]+ProgIni_25_27_2025_04_08[[#This Row],[Écart TR 2025]]</f>
        <v>-4967</v>
      </c>
      <c r="AA37">
        <v>230</v>
      </c>
      <c r="AB37">
        <v>4842</v>
      </c>
      <c r="AC37">
        <v>342</v>
      </c>
      <c r="AD37">
        <v>9684</v>
      </c>
      <c r="AE37">
        <f>ProgIni_25_27_2025_04_08[[#This Row],[AC 2026]]-ProgIni_25_27_2025_04_08[[#This Row],[AC 2026 Trimestre précédent]]</f>
        <v>212</v>
      </c>
      <c r="AF37">
        <f>ProgIni_25_27_2025_04_08[[#This Row],[TR 2026]]-ProgIni_25_27_2025_04_08[[#This Row],[TR 2026 Trimestre précédent]]</f>
        <v>4842</v>
      </c>
      <c r="AG37">
        <f>ProgIni_25_27_2025_04_08[[#This Row],[Écart AC 2026]]+ProgIni_25_27_2025_04_08[[#This Row],[Écart TR 2026]]</f>
        <v>5054</v>
      </c>
      <c r="AH37">
        <v>130</v>
      </c>
      <c r="AI37">
        <v>4842</v>
      </c>
      <c r="AQ37"/>
      <c r="AZ37" s="14">
        <f>SUM(ProgIni_25_27_2025_04_08[[#This Row],[AC ANT]:[TR 2025]],ProgIni_25_27_2025_04_08[[#This Row],[AC 2026]:[TR 2026]],ProgIni_25_27_2025_04_08[[#This Row],[AC 2027]:[TR 2034]])</f>
        <v>10407</v>
      </c>
    </row>
    <row r="38" spans="1:52" hidden="1" x14ac:dyDescent="0.3">
      <c r="A38" t="s">
        <v>286</v>
      </c>
      <c r="C38" t="s">
        <v>101</v>
      </c>
      <c r="D38" t="s">
        <v>102</v>
      </c>
      <c r="E38" t="s">
        <v>128</v>
      </c>
      <c r="F38" t="s">
        <v>149</v>
      </c>
      <c r="G38" t="s">
        <v>16</v>
      </c>
      <c r="H38" t="s">
        <v>16</v>
      </c>
      <c r="I38" t="s">
        <v>131</v>
      </c>
      <c r="J38" t="s">
        <v>150</v>
      </c>
      <c r="K38" t="s">
        <v>151</v>
      </c>
      <c r="L38" t="s">
        <v>152</v>
      </c>
      <c r="M38" t="s">
        <v>109</v>
      </c>
      <c r="N38" t="s">
        <v>123</v>
      </c>
      <c r="O38" s="1">
        <v>45079</v>
      </c>
      <c r="P38" s="1">
        <v>45685</v>
      </c>
      <c r="Q38" s="1">
        <v>45860</v>
      </c>
      <c r="R38">
        <v>12</v>
      </c>
      <c r="T38">
        <v>162</v>
      </c>
      <c r="V38">
        <v>100</v>
      </c>
      <c r="X38">
        <f>ProgIni_25_27_2025_04_08[[#This Row],[AC 2025]]-ProgIni_25_27_2025_04_08[[#This Row],[AC 2025 Trimestre précédent]]</f>
        <v>-44</v>
      </c>
      <c r="Y38">
        <f>ProgIni_25_27_2025_04_08[[#This Row],[TR 2025]]-ProgIni_25_27_2025_04_08[[#This Row],[TR 2025 Trimestre précédent]]</f>
        <v>-3159</v>
      </c>
      <c r="Z38">
        <f>ProgIni_25_27_2025_04_08[[#This Row],[Écart AC 2025]]+ProgIni_25_27_2025_04_08[[#This Row],[Écart TR 2025]]</f>
        <v>-3203</v>
      </c>
      <c r="AA38">
        <v>144</v>
      </c>
      <c r="AB38">
        <v>3159</v>
      </c>
      <c r="AC38">
        <v>300</v>
      </c>
      <c r="AD38">
        <v>4221</v>
      </c>
      <c r="AE38">
        <f>ProgIni_25_27_2025_04_08[[#This Row],[AC 2026]]-ProgIni_25_27_2025_04_08[[#This Row],[AC 2026 Trimestre précédent]]</f>
        <v>257</v>
      </c>
      <c r="AF38">
        <f>ProgIni_25_27_2025_04_08[[#This Row],[TR 2026]]-ProgIni_25_27_2025_04_08[[#This Row],[TR 2026 Trimestre précédent]]</f>
        <v>1440</v>
      </c>
      <c r="AG38">
        <f>ProgIni_25_27_2025_04_08[[#This Row],[Écart AC 2026]]+ProgIni_25_27_2025_04_08[[#This Row],[Écart TR 2026]]</f>
        <v>1697</v>
      </c>
      <c r="AH38">
        <v>43</v>
      </c>
      <c r="AI38">
        <v>2781</v>
      </c>
      <c r="AJ38">
        <v>43</v>
      </c>
      <c r="AK38">
        <v>4139</v>
      </c>
      <c r="AQ38"/>
      <c r="AZ38" s="14">
        <f>SUM(ProgIni_25_27_2025_04_08[[#This Row],[AC ANT]:[TR 2025]],ProgIni_25_27_2025_04_08[[#This Row],[AC 2026]:[TR 2026]],ProgIni_25_27_2025_04_08[[#This Row],[AC 2027]:[TR 2034]])</f>
        <v>8977</v>
      </c>
    </row>
    <row r="39" spans="1:52" hidden="1" x14ac:dyDescent="0.3">
      <c r="A39" t="s">
        <v>286</v>
      </c>
      <c r="C39" t="s">
        <v>118</v>
      </c>
      <c r="D39" t="s">
        <v>102</v>
      </c>
      <c r="E39" t="s">
        <v>103</v>
      </c>
      <c r="F39" t="s">
        <v>206</v>
      </c>
      <c r="G39" t="s">
        <v>16</v>
      </c>
      <c r="H39" t="s">
        <v>20</v>
      </c>
      <c r="I39" t="s">
        <v>131</v>
      </c>
      <c r="J39" t="s">
        <v>210</v>
      </c>
      <c r="K39" t="s">
        <v>211</v>
      </c>
      <c r="L39" t="s">
        <v>209</v>
      </c>
      <c r="M39" t="s">
        <v>197</v>
      </c>
      <c r="N39" t="s">
        <v>155</v>
      </c>
      <c r="O39" s="1">
        <v>45945</v>
      </c>
      <c r="P39" s="1">
        <v>46310</v>
      </c>
      <c r="Q39" s="1">
        <v>46675</v>
      </c>
      <c r="R39">
        <v>8</v>
      </c>
      <c r="V39">
        <v>100</v>
      </c>
      <c r="X39">
        <f>ProgIni_25_27_2025_04_08[[#This Row],[AC 2025]]-ProgIni_25_27_2025_04_08[[#This Row],[AC 2025 Trimestre précédent]]</f>
        <v>0</v>
      </c>
      <c r="Y39">
        <f>ProgIni_25_27_2025_04_08[[#This Row],[TR 2025]]-ProgIni_25_27_2025_04_08[[#This Row],[TR 2025 Trimestre précédent]]</f>
        <v>0</v>
      </c>
      <c r="Z39">
        <f>ProgIni_25_27_2025_04_08[[#This Row],[Écart AC 2025]]+ProgIni_25_27_2025_04_08[[#This Row],[Écart TR 2025]]</f>
        <v>0</v>
      </c>
      <c r="AA39">
        <v>100</v>
      </c>
      <c r="AC39">
        <v>100</v>
      </c>
      <c r="AD39"/>
      <c r="AE39">
        <f>ProgIni_25_27_2025_04_08[[#This Row],[AC 2026]]-ProgIni_25_27_2025_04_08[[#This Row],[AC 2026 Trimestre précédent]]</f>
        <v>0</v>
      </c>
      <c r="AF39">
        <f>ProgIni_25_27_2025_04_08[[#This Row],[TR 2026]]-ProgIni_25_27_2025_04_08[[#This Row],[TR 2026 Trimestre précédent]]</f>
        <v>0</v>
      </c>
      <c r="AG39">
        <f>ProgIni_25_27_2025_04_08[[#This Row],[Écart AC 2026]]+ProgIni_25_27_2025_04_08[[#This Row],[Écart TR 2026]]</f>
        <v>0</v>
      </c>
      <c r="AH39">
        <v>100</v>
      </c>
      <c r="AJ39">
        <v>100</v>
      </c>
      <c r="AL39">
        <v>250</v>
      </c>
      <c r="AM39">
        <v>7500</v>
      </c>
      <c r="AQ39"/>
      <c r="AZ39" s="14">
        <f>SUM(ProgIni_25_27_2025_04_08[[#This Row],[AC ANT]:[TR 2025]],ProgIni_25_27_2025_04_08[[#This Row],[AC 2026]:[TR 2026]],ProgIni_25_27_2025_04_08[[#This Row],[AC 2027]:[TR 2034]])</f>
        <v>8058</v>
      </c>
    </row>
    <row r="40" spans="1:52" hidden="1" x14ac:dyDescent="0.3">
      <c r="A40" t="s">
        <v>286</v>
      </c>
      <c r="C40" t="s">
        <v>126</v>
      </c>
      <c r="D40" t="s">
        <v>127</v>
      </c>
      <c r="E40" t="s">
        <v>136</v>
      </c>
      <c r="F40" t="s">
        <v>113</v>
      </c>
      <c r="G40" t="s">
        <v>16</v>
      </c>
      <c r="H40" t="s">
        <v>20</v>
      </c>
      <c r="I40" t="s">
        <v>131</v>
      </c>
      <c r="J40" t="s">
        <v>226</v>
      </c>
      <c r="K40" t="s">
        <v>227</v>
      </c>
      <c r="L40" t="s">
        <v>139</v>
      </c>
      <c r="M40" t="s">
        <v>184</v>
      </c>
      <c r="N40" t="s">
        <v>110</v>
      </c>
      <c r="O40" s="1">
        <v>45330</v>
      </c>
      <c r="P40" s="1">
        <v>46325</v>
      </c>
      <c r="Q40" s="1">
        <v>46625</v>
      </c>
      <c r="R40">
        <v>44</v>
      </c>
      <c r="T40">
        <v>45</v>
      </c>
      <c r="V40">
        <v>100</v>
      </c>
      <c r="X40">
        <f>ProgIni_25_27_2025_04_08[[#This Row],[AC 2025]]-ProgIni_25_27_2025_04_08[[#This Row],[AC 2025 Trimestre précédent]]</f>
        <v>0</v>
      </c>
      <c r="Y40">
        <f>ProgIni_25_27_2025_04_08[[#This Row],[TR 2025]]-ProgIni_25_27_2025_04_08[[#This Row],[TR 2025 Trimestre précédent]]</f>
        <v>0</v>
      </c>
      <c r="Z40">
        <f>ProgIni_25_27_2025_04_08[[#This Row],[Écart AC 2025]]+ProgIni_25_27_2025_04_08[[#This Row],[Écart TR 2025]]</f>
        <v>0</v>
      </c>
      <c r="AA40">
        <v>100</v>
      </c>
      <c r="AC40">
        <v>288</v>
      </c>
      <c r="AD40"/>
      <c r="AE40">
        <f>ProgIni_25_27_2025_04_08[[#This Row],[AC 2026]]-ProgIni_25_27_2025_04_08[[#This Row],[AC 2026 Trimestre précédent]]</f>
        <v>0</v>
      </c>
      <c r="AF40">
        <f>ProgIni_25_27_2025_04_08[[#This Row],[TR 2026]]-ProgIni_25_27_2025_04_08[[#This Row],[TR 2026 Trimestre précédent]]</f>
        <v>0</v>
      </c>
      <c r="AG40">
        <f>ProgIni_25_27_2025_04_08[[#This Row],[Écart AC 2026]]+ProgIni_25_27_2025_04_08[[#This Row],[Écart TR 2026]]</f>
        <v>0</v>
      </c>
      <c r="AH40">
        <v>288</v>
      </c>
      <c r="AJ40">
        <v>475</v>
      </c>
      <c r="AL40">
        <v>475</v>
      </c>
      <c r="AN40">
        <v>573</v>
      </c>
      <c r="AP40">
        <v>1000</v>
      </c>
      <c r="AQ40">
        <v>4362</v>
      </c>
      <c r="AR40">
        <v>1077</v>
      </c>
      <c r="AS40">
        <v>12800</v>
      </c>
      <c r="AZ40" s="14">
        <f>SUM(ProgIni_25_27_2025_04_08[[#This Row],[AC ANT]:[TR 2025]],ProgIni_25_27_2025_04_08[[#This Row],[AC 2026]:[TR 2026]],ProgIni_25_27_2025_04_08[[#This Row],[AC 2027]:[TR 2034]])</f>
        <v>21239</v>
      </c>
    </row>
    <row r="41" spans="1:52" hidden="1" x14ac:dyDescent="0.3">
      <c r="A41" t="s">
        <v>286</v>
      </c>
      <c r="C41" t="s">
        <v>126</v>
      </c>
      <c r="D41" t="s">
        <v>127</v>
      </c>
      <c r="E41" t="s">
        <v>103</v>
      </c>
      <c r="F41" t="s">
        <v>149</v>
      </c>
      <c r="G41" t="s">
        <v>16</v>
      </c>
      <c r="H41" t="s">
        <v>20</v>
      </c>
      <c r="I41" t="s">
        <v>131</v>
      </c>
      <c r="J41" t="s">
        <v>233</v>
      </c>
      <c r="K41" t="s">
        <v>234</v>
      </c>
      <c r="L41" t="s">
        <v>152</v>
      </c>
      <c r="M41" t="s">
        <v>173</v>
      </c>
      <c r="N41" t="s">
        <v>155</v>
      </c>
      <c r="O41" s="1">
        <v>45823</v>
      </c>
      <c r="P41" s="1">
        <v>46310</v>
      </c>
      <c r="Q41" s="1">
        <v>46675</v>
      </c>
      <c r="V41">
        <v>100</v>
      </c>
      <c r="X41">
        <f>ProgIni_25_27_2025_04_08[[#This Row],[AC 2025]]-ProgIni_25_27_2025_04_08[[#This Row],[AC 2025 Trimestre précédent]]</f>
        <v>0</v>
      </c>
      <c r="Y41">
        <f>ProgIni_25_27_2025_04_08[[#This Row],[TR 2025]]-ProgIni_25_27_2025_04_08[[#This Row],[TR 2025 Trimestre précédent]]</f>
        <v>0</v>
      </c>
      <c r="Z41">
        <f>ProgIni_25_27_2025_04_08[[#This Row],[Écart AC 2025]]+ProgIni_25_27_2025_04_08[[#This Row],[Écart TR 2025]]</f>
        <v>0</v>
      </c>
      <c r="AA41">
        <v>100</v>
      </c>
      <c r="AC41">
        <v>267</v>
      </c>
      <c r="AD41"/>
      <c r="AE41">
        <f>ProgIni_25_27_2025_04_08[[#This Row],[AC 2026]]-ProgIni_25_27_2025_04_08[[#This Row],[AC 2026 Trimestre précédent]]</f>
        <v>117</v>
      </c>
      <c r="AF41">
        <f>ProgIni_25_27_2025_04_08[[#This Row],[TR 2026]]-ProgIni_25_27_2025_04_08[[#This Row],[TR 2026 Trimestre précédent]]</f>
        <v>0</v>
      </c>
      <c r="AG41">
        <f>ProgIni_25_27_2025_04_08[[#This Row],[Écart AC 2026]]+ProgIni_25_27_2025_04_08[[#This Row],[Écart TR 2026]]</f>
        <v>117</v>
      </c>
      <c r="AH41">
        <v>150</v>
      </c>
      <c r="AJ41">
        <v>588</v>
      </c>
      <c r="AK41">
        <v>7500</v>
      </c>
      <c r="AQ41"/>
      <c r="AZ41" s="14">
        <f>SUM(ProgIni_25_27_2025_04_08[[#This Row],[AC ANT]:[TR 2025]],ProgIni_25_27_2025_04_08[[#This Row],[AC 2026]:[TR 2026]],ProgIni_25_27_2025_04_08[[#This Row],[AC 2027]:[TR 2034]])</f>
        <v>8455</v>
      </c>
    </row>
    <row r="42" spans="1:52" hidden="1" x14ac:dyDescent="0.3">
      <c r="A42" t="s">
        <v>286</v>
      </c>
      <c r="C42" t="s">
        <v>101</v>
      </c>
      <c r="D42" t="s">
        <v>102</v>
      </c>
      <c r="E42" t="s">
        <v>103</v>
      </c>
      <c r="F42" t="s">
        <v>149</v>
      </c>
      <c r="G42" t="s">
        <v>16</v>
      </c>
      <c r="H42" t="s">
        <v>20</v>
      </c>
      <c r="I42" t="s">
        <v>105</v>
      </c>
      <c r="J42" t="s">
        <v>237</v>
      </c>
      <c r="K42" t="s">
        <v>238</v>
      </c>
      <c r="L42" t="s">
        <v>239</v>
      </c>
      <c r="M42" t="s">
        <v>173</v>
      </c>
      <c r="N42" t="s">
        <v>155</v>
      </c>
      <c r="O42" s="1">
        <v>45797</v>
      </c>
      <c r="P42" s="1">
        <v>46162</v>
      </c>
      <c r="Q42" s="1">
        <v>46527</v>
      </c>
      <c r="V42">
        <v>100</v>
      </c>
      <c r="X42">
        <f>ProgIni_25_27_2025_04_08[[#This Row],[AC 2025]]-ProgIni_25_27_2025_04_08[[#This Row],[AC 2025 Trimestre précédent]]</f>
        <v>0</v>
      </c>
      <c r="Y42">
        <f>ProgIni_25_27_2025_04_08[[#This Row],[TR 2025]]-ProgIni_25_27_2025_04_08[[#This Row],[TR 2025 Trimestre précédent]]</f>
        <v>0</v>
      </c>
      <c r="Z42">
        <f>ProgIni_25_27_2025_04_08[[#This Row],[Écart AC 2025]]+ProgIni_25_27_2025_04_08[[#This Row],[Écart TR 2025]]</f>
        <v>0</v>
      </c>
      <c r="AA42">
        <v>100</v>
      </c>
      <c r="AC42">
        <v>200</v>
      </c>
      <c r="AD42"/>
      <c r="AE42">
        <f>ProgIni_25_27_2025_04_08[[#This Row],[AC 2026]]-ProgIni_25_27_2025_04_08[[#This Row],[AC 2026 Trimestre précédent]]</f>
        <v>0</v>
      </c>
      <c r="AF42">
        <f>ProgIni_25_27_2025_04_08[[#This Row],[TR 2026]]-ProgIni_25_27_2025_04_08[[#This Row],[TR 2026 Trimestre précédent]]</f>
        <v>0</v>
      </c>
      <c r="AG42">
        <f>ProgIni_25_27_2025_04_08[[#This Row],[Écart AC 2026]]+ProgIni_25_27_2025_04_08[[#This Row],[Écart TR 2026]]</f>
        <v>0</v>
      </c>
      <c r="AH42">
        <v>200</v>
      </c>
      <c r="AJ42">
        <v>475</v>
      </c>
      <c r="AK42">
        <v>11000</v>
      </c>
      <c r="AQ42"/>
      <c r="AZ42" s="14">
        <f>SUM(ProgIni_25_27_2025_04_08[[#This Row],[AC ANT]:[TR 2025]],ProgIni_25_27_2025_04_08[[#This Row],[AC 2026]:[TR 2026]],ProgIni_25_27_2025_04_08[[#This Row],[AC 2027]:[TR 2034]])</f>
        <v>11775</v>
      </c>
    </row>
    <row r="43" spans="1:52" x14ac:dyDescent="0.3">
      <c r="A43" t="s">
        <v>286</v>
      </c>
      <c r="C43" t="s">
        <v>118</v>
      </c>
      <c r="D43" t="s">
        <v>102</v>
      </c>
      <c r="E43" t="s">
        <v>136</v>
      </c>
      <c r="F43" t="s">
        <v>113</v>
      </c>
      <c r="G43" t="s">
        <v>16</v>
      </c>
      <c r="H43" t="s">
        <v>20</v>
      </c>
      <c r="I43" t="s">
        <v>105</v>
      </c>
      <c r="J43" t="s">
        <v>248</v>
      </c>
      <c r="K43" t="s">
        <v>249</v>
      </c>
      <c r="L43" t="s">
        <v>180</v>
      </c>
      <c r="M43" t="s">
        <v>173</v>
      </c>
      <c r="N43" t="s">
        <v>110</v>
      </c>
      <c r="O43" s="1">
        <v>45476</v>
      </c>
      <c r="P43" s="1">
        <v>45945</v>
      </c>
      <c r="Q43" s="1">
        <v>46096</v>
      </c>
      <c r="V43">
        <v>100</v>
      </c>
      <c r="X43">
        <f>ProgIni_25_27_2025_04_08[[#This Row],[AC 2025]]-ProgIni_25_27_2025_04_08[[#This Row],[AC 2025 Trimestre précédent]]</f>
        <v>0</v>
      </c>
      <c r="Y43">
        <f>ProgIni_25_27_2025_04_08[[#This Row],[TR 2025]]-ProgIni_25_27_2025_04_08[[#This Row],[TR 2025 Trimestre précédent]]</f>
        <v>0</v>
      </c>
      <c r="Z43">
        <f>ProgIni_25_27_2025_04_08[[#This Row],[Écart AC 2025]]+ProgIni_25_27_2025_04_08[[#This Row],[Écart TR 2025]]</f>
        <v>0</v>
      </c>
      <c r="AA43">
        <v>100</v>
      </c>
      <c r="AC43">
        <v>110</v>
      </c>
      <c r="AD43"/>
      <c r="AE43">
        <f>ProgIni_25_27_2025_04_08[[#This Row],[AC 2026]]-ProgIni_25_27_2025_04_08[[#This Row],[AC 2026 Trimestre précédent]]</f>
        <v>0</v>
      </c>
      <c r="AF43">
        <f>ProgIni_25_27_2025_04_08[[#This Row],[TR 2026]]-ProgIni_25_27_2025_04_08[[#This Row],[TR 2026 Trimestre précédent]]</f>
        <v>0</v>
      </c>
      <c r="AG43">
        <f>ProgIni_25_27_2025_04_08[[#This Row],[Écart AC 2026]]+ProgIni_25_27_2025_04_08[[#This Row],[Écart TR 2026]]</f>
        <v>0</v>
      </c>
      <c r="AH43">
        <v>110</v>
      </c>
      <c r="AJ43">
        <v>110</v>
      </c>
      <c r="AK43">
        <v>1415</v>
      </c>
      <c r="AM43">
        <v>2030</v>
      </c>
      <c r="AQ43"/>
      <c r="AZ43" s="14">
        <f>SUM(ProgIni_25_27_2025_04_08[[#This Row],[AC ANT]:[TR 2025]],ProgIni_25_27_2025_04_08[[#This Row],[AC 2026]:[TR 2026]],ProgIni_25_27_2025_04_08[[#This Row],[AC 2027]:[TR 2034]])</f>
        <v>3765</v>
      </c>
    </row>
    <row r="44" spans="1:52" hidden="1" x14ac:dyDescent="0.3">
      <c r="A44" t="s">
        <v>286</v>
      </c>
      <c r="C44" t="s">
        <v>101</v>
      </c>
      <c r="D44" t="s">
        <v>102</v>
      </c>
      <c r="E44" t="s">
        <v>103</v>
      </c>
      <c r="F44" t="s">
        <v>149</v>
      </c>
      <c r="G44" t="s">
        <v>16</v>
      </c>
      <c r="H44" t="s">
        <v>20</v>
      </c>
      <c r="I44" t="s">
        <v>105</v>
      </c>
      <c r="J44" t="s">
        <v>235</v>
      </c>
      <c r="K44" t="s">
        <v>510</v>
      </c>
      <c r="L44" t="s">
        <v>205</v>
      </c>
      <c r="M44" t="s">
        <v>173</v>
      </c>
      <c r="N44" t="s">
        <v>110</v>
      </c>
      <c r="O44" s="1">
        <v>45706</v>
      </c>
      <c r="P44" s="1">
        <v>46055</v>
      </c>
      <c r="Q44" s="1">
        <v>46273</v>
      </c>
      <c r="V44">
        <v>90</v>
      </c>
      <c r="X44">
        <f>ProgIni_25_27_2025_04_08[[#This Row],[AC 2025]]-ProgIni_25_27_2025_04_08[[#This Row],[AC 2025 Trimestre précédent]]</f>
        <v>15</v>
      </c>
      <c r="Y44">
        <f>ProgIni_25_27_2025_04_08[[#This Row],[TR 2025]]-ProgIni_25_27_2025_04_08[[#This Row],[TR 2025 Trimestre précédent]]</f>
        <v>0</v>
      </c>
      <c r="Z44">
        <f>ProgIni_25_27_2025_04_08[[#This Row],[Écart AC 2025]]+ProgIni_25_27_2025_04_08[[#This Row],[Écart TR 2025]]</f>
        <v>15</v>
      </c>
      <c r="AA44">
        <v>75</v>
      </c>
      <c r="AC44">
        <v>200</v>
      </c>
      <c r="AD44"/>
      <c r="AE44">
        <f>ProgIni_25_27_2025_04_08[[#This Row],[AC 2026]]-ProgIni_25_27_2025_04_08[[#This Row],[AC 2026 Trimestre précédent]]</f>
        <v>-100</v>
      </c>
      <c r="AF44">
        <f>ProgIni_25_27_2025_04_08[[#This Row],[TR 2026]]-ProgIni_25_27_2025_04_08[[#This Row],[TR 2026 Trimestre précédent]]</f>
        <v>0</v>
      </c>
      <c r="AG44">
        <f>ProgIni_25_27_2025_04_08[[#This Row],[Écart AC 2026]]+ProgIni_25_27_2025_04_08[[#This Row],[Écart TR 2026]]</f>
        <v>-100</v>
      </c>
      <c r="AH44">
        <v>300</v>
      </c>
      <c r="AJ44">
        <v>970</v>
      </c>
      <c r="AK44">
        <v>13608</v>
      </c>
      <c r="AQ44"/>
      <c r="AZ44" s="14">
        <f>SUM(ProgIni_25_27_2025_04_08[[#This Row],[AC ANT]:[TR 2025]],ProgIni_25_27_2025_04_08[[#This Row],[AC 2026]:[TR 2026]],ProgIni_25_27_2025_04_08[[#This Row],[AC 2027]:[TR 2034]])</f>
        <v>14868</v>
      </c>
    </row>
    <row r="45" spans="1:52" hidden="1" x14ac:dyDescent="0.3">
      <c r="A45" t="s">
        <v>286</v>
      </c>
      <c r="C45" t="s">
        <v>101</v>
      </c>
      <c r="D45" t="s">
        <v>102</v>
      </c>
      <c r="E45" t="s">
        <v>136</v>
      </c>
      <c r="F45" t="s">
        <v>149</v>
      </c>
      <c r="G45" t="s">
        <v>16</v>
      </c>
      <c r="H45" t="s">
        <v>20</v>
      </c>
      <c r="I45" t="s">
        <v>105</v>
      </c>
      <c r="J45" t="s">
        <v>203</v>
      </c>
      <c r="K45" t="s">
        <v>204</v>
      </c>
      <c r="L45" t="s">
        <v>205</v>
      </c>
      <c r="M45" s="2" t="s">
        <v>173</v>
      </c>
      <c r="N45" t="s">
        <v>155</v>
      </c>
      <c r="O45" s="1">
        <v>45828</v>
      </c>
      <c r="P45" s="1">
        <v>45976</v>
      </c>
      <c r="Q45" s="1">
        <v>46295</v>
      </c>
      <c r="V45">
        <v>85</v>
      </c>
      <c r="X45">
        <f>ProgIni_25_27_2025_04_08[[#This Row],[AC 2025]]-ProgIni_25_27_2025_04_08[[#This Row],[AC 2025 Trimestre précédent]]</f>
        <v>0</v>
      </c>
      <c r="Y45">
        <f>ProgIni_25_27_2025_04_08[[#This Row],[TR 2025]]-ProgIni_25_27_2025_04_08[[#This Row],[TR 2025 Trimestre précédent]]</f>
        <v>0</v>
      </c>
      <c r="Z45">
        <f>ProgIni_25_27_2025_04_08[[#This Row],[Écart AC 2025]]+ProgIni_25_27_2025_04_08[[#This Row],[Écart TR 2025]]</f>
        <v>0</v>
      </c>
      <c r="AA45">
        <v>85</v>
      </c>
      <c r="AC45">
        <v>85</v>
      </c>
      <c r="AD45"/>
      <c r="AE45">
        <f>ProgIni_25_27_2025_04_08[[#This Row],[AC 2026]]-ProgIni_25_27_2025_04_08[[#This Row],[AC 2026 Trimestre précédent]]</f>
        <v>0</v>
      </c>
      <c r="AF45">
        <f>ProgIni_25_27_2025_04_08[[#This Row],[TR 2026]]-ProgIni_25_27_2025_04_08[[#This Row],[TR 2026 Trimestre précédent]]</f>
        <v>0</v>
      </c>
      <c r="AG45">
        <f>ProgIni_25_27_2025_04_08[[#This Row],[Écart AC 2026]]+ProgIni_25_27_2025_04_08[[#This Row],[Écart TR 2026]]</f>
        <v>0</v>
      </c>
      <c r="AH45">
        <v>85</v>
      </c>
      <c r="AJ45">
        <v>170</v>
      </c>
      <c r="AK45">
        <v>2000</v>
      </c>
      <c r="AQ45"/>
      <c r="AZ45" s="14">
        <f>SUM(ProgIni_25_27_2025_04_08[[#This Row],[AC ANT]:[TR 2025]],ProgIni_25_27_2025_04_08[[#This Row],[AC 2026]:[TR 2026]],ProgIni_25_27_2025_04_08[[#This Row],[AC 2027]:[TR 2034]])</f>
        <v>2340</v>
      </c>
    </row>
    <row r="46" spans="1:52" hidden="1" x14ac:dyDescent="0.3">
      <c r="A46" t="s">
        <v>286</v>
      </c>
      <c r="C46" t="s">
        <v>118</v>
      </c>
      <c r="D46" t="s">
        <v>102</v>
      </c>
      <c r="E46" t="s">
        <v>188</v>
      </c>
      <c r="F46" t="s">
        <v>113</v>
      </c>
      <c r="G46" t="s">
        <v>16</v>
      </c>
      <c r="H46" t="s">
        <v>130</v>
      </c>
      <c r="I46" t="s">
        <v>131</v>
      </c>
      <c r="J46" t="s">
        <v>189</v>
      </c>
      <c r="K46" s="82" t="s">
        <v>190</v>
      </c>
      <c r="L46" t="s">
        <v>191</v>
      </c>
      <c r="M46" t="s">
        <v>173</v>
      </c>
      <c r="N46" t="s">
        <v>110</v>
      </c>
      <c r="O46" s="1">
        <v>45684</v>
      </c>
      <c r="P46" s="1">
        <v>46157</v>
      </c>
      <c r="Q46" s="1">
        <v>46157</v>
      </c>
      <c r="V46">
        <v>80</v>
      </c>
      <c r="X46">
        <f>ProgIni_25_27_2025_04_08[[#This Row],[AC 2025]]-ProgIni_25_27_2025_04_08[[#This Row],[AC 2025 Trimestre précédent]]</f>
        <v>-61</v>
      </c>
      <c r="Y46">
        <f>ProgIni_25_27_2025_04_08[[#This Row],[TR 2025]]-ProgIni_25_27_2025_04_08[[#This Row],[TR 2025 Trimestre précédent]]</f>
        <v>0</v>
      </c>
      <c r="Z46">
        <f>ProgIni_25_27_2025_04_08[[#This Row],[Écart AC 2025]]+ProgIni_25_27_2025_04_08[[#This Row],[Écart TR 2025]]</f>
        <v>-61</v>
      </c>
      <c r="AA46">
        <v>141</v>
      </c>
      <c r="AC46">
        <v>87</v>
      </c>
      <c r="AD46"/>
      <c r="AE46">
        <f>ProgIni_25_27_2025_04_08[[#This Row],[AC 2026]]-ProgIni_25_27_2025_04_08[[#This Row],[AC 2026 Trimestre précédent]]</f>
        <v>37</v>
      </c>
      <c r="AF46">
        <f>ProgIni_25_27_2025_04_08[[#This Row],[TR 2026]]-ProgIni_25_27_2025_04_08[[#This Row],[TR 2026 Trimestre précédent]]</f>
        <v>0</v>
      </c>
      <c r="AG46">
        <f>ProgIni_25_27_2025_04_08[[#This Row],[Écart AC 2026]]+ProgIni_25_27_2025_04_08[[#This Row],[Écart TR 2026]]</f>
        <v>37</v>
      </c>
      <c r="AH46">
        <v>50</v>
      </c>
      <c r="AJ46">
        <v>227</v>
      </c>
      <c r="AK46">
        <v>899</v>
      </c>
      <c r="AQ46"/>
      <c r="AZ46" s="14">
        <f>SUM(ProgIni_25_27_2025_04_08[[#This Row],[AC ANT]:[TR 2025]],ProgIni_25_27_2025_04_08[[#This Row],[AC 2026]:[TR 2026]],ProgIni_25_27_2025_04_08[[#This Row],[AC 2027]:[TR 2034]])</f>
        <v>1293</v>
      </c>
    </row>
    <row r="47" spans="1:52" hidden="1" x14ac:dyDescent="0.3">
      <c r="A47" t="s">
        <v>286</v>
      </c>
      <c r="C47" t="s">
        <v>118</v>
      </c>
      <c r="D47" t="s">
        <v>102</v>
      </c>
      <c r="E47" t="s">
        <v>136</v>
      </c>
      <c r="F47" t="s">
        <v>104</v>
      </c>
      <c r="G47" t="s">
        <v>16</v>
      </c>
      <c r="H47" t="s">
        <v>20</v>
      </c>
      <c r="I47" t="s">
        <v>131</v>
      </c>
      <c r="J47" t="s">
        <v>157</v>
      </c>
      <c r="K47" t="s">
        <v>158</v>
      </c>
      <c r="L47" t="s">
        <v>159</v>
      </c>
      <c r="M47" t="s">
        <v>173</v>
      </c>
      <c r="N47" t="s">
        <v>155</v>
      </c>
      <c r="O47" s="1">
        <v>46068</v>
      </c>
      <c r="P47" s="1"/>
      <c r="Q47" s="1">
        <v>46006</v>
      </c>
      <c r="V47">
        <v>75</v>
      </c>
      <c r="X47">
        <f>ProgIni_25_27_2025_04_08[[#This Row],[AC 2025]]-ProgIni_25_27_2025_04_08[[#This Row],[AC 2025 Trimestre précédent]]</f>
        <v>-75</v>
      </c>
      <c r="Y47">
        <f>ProgIni_25_27_2025_04_08[[#This Row],[TR 2025]]-ProgIni_25_27_2025_04_08[[#This Row],[TR 2025 Trimestre précédent]]</f>
        <v>0</v>
      </c>
      <c r="Z47">
        <f>ProgIni_25_27_2025_04_08[[#This Row],[Écart AC 2025]]+ProgIni_25_27_2025_04_08[[#This Row],[Écart TR 2025]]</f>
        <v>-75</v>
      </c>
      <c r="AA47">
        <v>150</v>
      </c>
      <c r="AC47">
        <v>75</v>
      </c>
      <c r="AD47"/>
      <c r="AE47">
        <f>ProgIni_25_27_2025_04_08[[#This Row],[AC 2026]]-ProgIni_25_27_2025_04_08[[#This Row],[AC 2026 Trimestre précédent]]</f>
        <v>-75</v>
      </c>
      <c r="AF47">
        <f>ProgIni_25_27_2025_04_08[[#This Row],[TR 2026]]-ProgIni_25_27_2025_04_08[[#This Row],[TR 2026 Trimestre précédent]]</f>
        <v>-650</v>
      </c>
      <c r="AG47">
        <f>ProgIni_25_27_2025_04_08[[#This Row],[Écart AC 2026]]+ProgIni_25_27_2025_04_08[[#This Row],[Écart TR 2026]]</f>
        <v>-725</v>
      </c>
      <c r="AH47">
        <v>150</v>
      </c>
      <c r="AI47">
        <v>650</v>
      </c>
      <c r="AJ47">
        <v>150</v>
      </c>
      <c r="AK47">
        <v>650</v>
      </c>
      <c r="AQ47"/>
      <c r="AZ47" s="14">
        <f>SUM(ProgIni_25_27_2025_04_08[[#This Row],[AC ANT]:[TR 2025]],ProgIni_25_27_2025_04_08[[#This Row],[AC 2026]:[TR 2026]],ProgIni_25_27_2025_04_08[[#This Row],[AC 2027]:[TR 2034]])</f>
        <v>950</v>
      </c>
    </row>
    <row r="48" spans="1:52" x14ac:dyDescent="0.3">
      <c r="A48" t="s">
        <v>286</v>
      </c>
      <c r="C48" t="s">
        <v>101</v>
      </c>
      <c r="D48" t="s">
        <v>102</v>
      </c>
      <c r="E48" t="s">
        <v>177</v>
      </c>
      <c r="F48" t="s">
        <v>129</v>
      </c>
      <c r="G48" t="s">
        <v>16</v>
      </c>
      <c r="H48" t="s">
        <v>16</v>
      </c>
      <c r="I48" t="s">
        <v>131</v>
      </c>
      <c r="J48" t="s">
        <v>178</v>
      </c>
      <c r="K48" t="s">
        <v>179</v>
      </c>
      <c r="L48" t="s">
        <v>180</v>
      </c>
      <c r="M48" t="s">
        <v>176</v>
      </c>
      <c r="N48" t="s">
        <v>164</v>
      </c>
      <c r="O48" s="1"/>
      <c r="P48" s="1"/>
      <c r="Q48" s="1">
        <v>45195</v>
      </c>
      <c r="R48">
        <v>75</v>
      </c>
      <c r="S48">
        <v>101.00000000000001</v>
      </c>
      <c r="T48">
        <v>25</v>
      </c>
      <c r="U48">
        <v>1110</v>
      </c>
      <c r="V48">
        <v>73</v>
      </c>
      <c r="W48">
        <v>580</v>
      </c>
      <c r="X48">
        <f>ProgIni_25_27_2025_04_08[[#This Row],[AC 2025]]-ProgIni_25_27_2025_04_08[[#This Row],[AC 2025 Trimestre précédent]]</f>
        <v>58</v>
      </c>
      <c r="Y48">
        <f>ProgIni_25_27_2025_04_08[[#This Row],[TR 2025]]-ProgIni_25_27_2025_04_08[[#This Row],[TR 2025 Trimestre précédent]]</f>
        <v>32</v>
      </c>
      <c r="Z48">
        <f>ProgIni_25_27_2025_04_08[[#This Row],[Écart AC 2025]]+ProgIni_25_27_2025_04_08[[#This Row],[Écart TR 2025]]</f>
        <v>90</v>
      </c>
      <c r="AA48">
        <v>15</v>
      </c>
      <c r="AB48">
        <v>548</v>
      </c>
      <c r="AD48"/>
      <c r="AE48">
        <f>ProgIni_25_27_2025_04_08[[#This Row],[AC 2026]]-ProgIni_25_27_2025_04_08[[#This Row],[AC 2026 Trimestre précédent]]</f>
        <v>0</v>
      </c>
      <c r="AF48">
        <f>ProgIni_25_27_2025_04_08[[#This Row],[TR 2026]]-ProgIni_25_27_2025_04_08[[#This Row],[TR 2026 Trimestre précédent]]</f>
        <v>0</v>
      </c>
      <c r="AG48">
        <f>ProgIni_25_27_2025_04_08[[#This Row],[Écart AC 2026]]+ProgIni_25_27_2025_04_08[[#This Row],[Écart TR 2026]]</f>
        <v>0</v>
      </c>
      <c r="AQ48"/>
      <c r="AZ48" s="14">
        <f>SUM(ProgIni_25_27_2025_04_08[[#This Row],[AC ANT]:[TR 2025]],ProgIni_25_27_2025_04_08[[#This Row],[AC 2026]:[TR 2026]],ProgIni_25_27_2025_04_08[[#This Row],[AC 2027]:[TR 2034]])</f>
        <v>1964</v>
      </c>
    </row>
    <row r="49" spans="1:52" hidden="1" x14ac:dyDescent="0.3">
      <c r="A49" t="s">
        <v>286</v>
      </c>
      <c r="C49" t="s">
        <v>118</v>
      </c>
      <c r="D49" t="s">
        <v>102</v>
      </c>
      <c r="E49" t="s">
        <v>136</v>
      </c>
      <c r="F49" t="s">
        <v>252</v>
      </c>
      <c r="G49" t="s">
        <v>16</v>
      </c>
      <c r="H49" t="s">
        <v>16</v>
      </c>
      <c r="I49" t="s">
        <v>131</v>
      </c>
      <c r="J49" t="s">
        <v>255</v>
      </c>
      <c r="K49" t="s">
        <v>529</v>
      </c>
      <c r="L49" t="s">
        <v>209</v>
      </c>
      <c r="M49" t="s">
        <v>109</v>
      </c>
      <c r="N49" t="s">
        <v>291</v>
      </c>
      <c r="O49" s="1"/>
      <c r="P49" s="1"/>
      <c r="Q49" s="1"/>
      <c r="V49">
        <v>60</v>
      </c>
      <c r="X49">
        <f>ProgIni_25_27_2025_04_08[[#This Row],[AC 2025]]-ProgIni_25_27_2025_04_08[[#This Row],[AC 2025 Trimestre précédent]]</f>
        <v>60</v>
      </c>
      <c r="Y49">
        <f>ProgIni_25_27_2025_04_08[[#This Row],[TR 2025]]-ProgIni_25_27_2025_04_08[[#This Row],[TR 2025 Trimestre précédent]]</f>
        <v>-300</v>
      </c>
      <c r="Z49">
        <f>ProgIni_25_27_2025_04_08[[#This Row],[Écart AC 2025]]+ProgIni_25_27_2025_04_08[[#This Row],[Écart TR 2025]]</f>
        <v>-240</v>
      </c>
      <c r="AB49">
        <v>300</v>
      </c>
      <c r="AC49">
        <v>20</v>
      </c>
      <c r="AD49">
        <v>540</v>
      </c>
      <c r="AE49">
        <f>ProgIni_25_27_2025_04_08[[#This Row],[AC 2026]]-ProgIni_25_27_2025_04_08[[#This Row],[AC 2026 Trimestre précédent]]</f>
        <v>20</v>
      </c>
      <c r="AF49">
        <f>ProgIni_25_27_2025_04_08[[#This Row],[TR 2026]]-ProgIni_25_27_2025_04_08[[#This Row],[TR 2026 Trimestre précédent]]</f>
        <v>540</v>
      </c>
      <c r="AG49">
        <f>ProgIni_25_27_2025_04_08[[#This Row],[Écart AC 2026]]+ProgIni_25_27_2025_04_08[[#This Row],[Écart TR 2026]]</f>
        <v>560</v>
      </c>
      <c r="AQ49"/>
      <c r="AZ49" s="14">
        <f>SUM(ProgIni_25_27_2025_04_08[[#This Row],[AC ANT]:[TR 2025]],ProgIni_25_27_2025_04_08[[#This Row],[AC 2026]:[TR 2026]],ProgIni_25_27_2025_04_08[[#This Row],[AC 2027]:[TR 2034]])</f>
        <v>620</v>
      </c>
    </row>
    <row r="50" spans="1:52" hidden="1" x14ac:dyDescent="0.3">
      <c r="A50" t="s">
        <v>286</v>
      </c>
      <c r="C50" t="s">
        <v>118</v>
      </c>
      <c r="D50" t="s">
        <v>102</v>
      </c>
      <c r="E50" t="s">
        <v>242</v>
      </c>
      <c r="F50" t="s">
        <v>113</v>
      </c>
      <c r="G50" t="s">
        <v>16</v>
      </c>
      <c r="H50" t="s">
        <v>20</v>
      </c>
      <c r="I50" t="s">
        <v>131</v>
      </c>
      <c r="J50" t="s">
        <v>243</v>
      </c>
      <c r="K50" t="s">
        <v>244</v>
      </c>
      <c r="L50" t="s">
        <v>245</v>
      </c>
      <c r="M50" t="s">
        <v>173</v>
      </c>
      <c r="N50" t="s">
        <v>155</v>
      </c>
      <c r="O50" s="1">
        <v>45823</v>
      </c>
      <c r="P50" s="1">
        <v>45976</v>
      </c>
      <c r="Q50" s="1">
        <v>46341</v>
      </c>
      <c r="V50">
        <v>50</v>
      </c>
      <c r="X50">
        <f>ProgIni_25_27_2025_04_08[[#This Row],[AC 2025]]-ProgIni_25_27_2025_04_08[[#This Row],[AC 2025 Trimestre précédent]]</f>
        <v>0</v>
      </c>
      <c r="Y50">
        <f>ProgIni_25_27_2025_04_08[[#This Row],[TR 2025]]-ProgIni_25_27_2025_04_08[[#This Row],[TR 2025 Trimestre précédent]]</f>
        <v>0</v>
      </c>
      <c r="Z50">
        <f>ProgIni_25_27_2025_04_08[[#This Row],[Écart AC 2025]]+ProgIni_25_27_2025_04_08[[#This Row],[Écart TR 2025]]</f>
        <v>0</v>
      </c>
      <c r="AA50">
        <v>50</v>
      </c>
      <c r="AC50">
        <v>150</v>
      </c>
      <c r="AD50"/>
      <c r="AE50">
        <f>ProgIni_25_27_2025_04_08[[#This Row],[AC 2026]]-ProgIni_25_27_2025_04_08[[#This Row],[AC 2026 Trimestre précédent]]</f>
        <v>0</v>
      </c>
      <c r="AF50">
        <f>ProgIni_25_27_2025_04_08[[#This Row],[TR 2026]]-ProgIni_25_27_2025_04_08[[#This Row],[TR 2026 Trimestre précédent]]</f>
        <v>0</v>
      </c>
      <c r="AG50">
        <f>ProgIni_25_27_2025_04_08[[#This Row],[Écart AC 2026]]+ProgIni_25_27_2025_04_08[[#This Row],[Écart TR 2026]]</f>
        <v>0</v>
      </c>
      <c r="AH50">
        <v>150</v>
      </c>
      <c r="AJ50">
        <v>150</v>
      </c>
      <c r="AK50">
        <v>2000</v>
      </c>
      <c r="AQ50"/>
      <c r="AZ50" s="14">
        <f>SUM(ProgIni_25_27_2025_04_08[[#This Row],[AC ANT]:[TR 2025]],ProgIni_25_27_2025_04_08[[#This Row],[AC 2026]:[TR 2026]],ProgIni_25_27_2025_04_08[[#This Row],[AC 2027]:[TR 2034]])</f>
        <v>2350</v>
      </c>
    </row>
    <row r="51" spans="1:52" hidden="1" x14ac:dyDescent="0.3">
      <c r="A51" t="s">
        <v>286</v>
      </c>
      <c r="C51" t="s">
        <v>118</v>
      </c>
      <c r="D51" t="s">
        <v>102</v>
      </c>
      <c r="E51" t="s">
        <v>177</v>
      </c>
      <c r="F51" t="s">
        <v>129</v>
      </c>
      <c r="G51" t="s">
        <v>16</v>
      </c>
      <c r="H51" t="s">
        <v>16</v>
      </c>
      <c r="I51" t="s">
        <v>131</v>
      </c>
      <c r="J51" t="s">
        <v>293</v>
      </c>
      <c r="K51" t="s">
        <v>294</v>
      </c>
      <c r="L51" t="s">
        <v>134</v>
      </c>
      <c r="M51" t="s">
        <v>148</v>
      </c>
      <c r="N51" t="s">
        <v>297</v>
      </c>
      <c r="O51" s="1">
        <v>45702</v>
      </c>
      <c r="P51" s="1">
        <v>45702</v>
      </c>
      <c r="Q51" s="1">
        <v>45702</v>
      </c>
      <c r="V51">
        <v>50</v>
      </c>
      <c r="W51">
        <v>2894</v>
      </c>
      <c r="X51">
        <f>ProgIni_25_27_2025_04_08[[#This Row],[AC 2025]]-ProgIni_25_27_2025_04_08[[#This Row],[AC 2025 Trimestre précédent]]</f>
        <v>50</v>
      </c>
      <c r="Y51">
        <f>ProgIni_25_27_2025_04_08[[#This Row],[TR 2025]]-ProgIni_25_27_2025_04_08[[#This Row],[TR 2025 Trimestre précédent]]</f>
        <v>2894</v>
      </c>
      <c r="Z51">
        <f>ProgIni_25_27_2025_04_08[[#This Row],[Écart AC 2025]]+ProgIni_25_27_2025_04_08[[#This Row],[Écart TR 2025]]</f>
        <v>2944</v>
      </c>
      <c r="AD51"/>
      <c r="AE51">
        <f>ProgIni_25_27_2025_04_08[[#This Row],[AC 2026]]-ProgIni_25_27_2025_04_08[[#This Row],[AC 2026 Trimestre précédent]]</f>
        <v>0</v>
      </c>
      <c r="AF51">
        <f>ProgIni_25_27_2025_04_08[[#This Row],[TR 2026]]-ProgIni_25_27_2025_04_08[[#This Row],[TR 2026 Trimestre précédent]]</f>
        <v>0</v>
      </c>
      <c r="AG51">
        <f>ProgIni_25_27_2025_04_08[[#This Row],[Écart AC 2026]]+ProgIni_25_27_2025_04_08[[#This Row],[Écart TR 2026]]</f>
        <v>0</v>
      </c>
      <c r="AQ51"/>
      <c r="AZ51" s="14">
        <f>SUM(ProgIni_25_27_2025_04_08[[#This Row],[AC ANT]:[TR 2025]],ProgIni_25_27_2025_04_08[[#This Row],[AC 2026]:[TR 2026]],ProgIni_25_27_2025_04_08[[#This Row],[AC 2027]:[TR 2034]])</f>
        <v>2944</v>
      </c>
    </row>
    <row r="52" spans="1:52" hidden="1" x14ac:dyDescent="0.3">
      <c r="A52" t="s">
        <v>286</v>
      </c>
      <c r="C52" t="s">
        <v>101</v>
      </c>
      <c r="D52" t="s">
        <v>102</v>
      </c>
      <c r="E52" t="s">
        <v>103</v>
      </c>
      <c r="F52" t="s">
        <v>113</v>
      </c>
      <c r="G52" t="s">
        <v>16</v>
      </c>
      <c r="H52" t="s">
        <v>16</v>
      </c>
      <c r="I52" t="s">
        <v>105</v>
      </c>
      <c r="J52" t="s">
        <v>114</v>
      </c>
      <c r="K52" t="s">
        <v>115</v>
      </c>
      <c r="L52" t="s">
        <v>116</v>
      </c>
      <c r="M52" t="s">
        <v>109</v>
      </c>
      <c r="N52" t="s">
        <v>123</v>
      </c>
      <c r="O52" s="1">
        <v>45105</v>
      </c>
      <c r="P52" s="1">
        <v>45733</v>
      </c>
      <c r="Q52" s="1">
        <v>45940</v>
      </c>
      <c r="R52">
        <v>25</v>
      </c>
      <c r="T52">
        <v>13</v>
      </c>
      <c r="V52">
        <v>48</v>
      </c>
      <c r="X52">
        <f>ProgIni_25_27_2025_04_08[[#This Row],[AC 2025]]-ProgIni_25_27_2025_04_08[[#This Row],[AC 2025 Trimestre précédent]]</f>
        <v>0</v>
      </c>
      <c r="Y52">
        <f>ProgIni_25_27_2025_04_08[[#This Row],[TR 2025]]-ProgIni_25_27_2025_04_08[[#This Row],[TR 2025 Trimestre précédent]]</f>
        <v>0</v>
      </c>
      <c r="Z52">
        <f>ProgIni_25_27_2025_04_08[[#This Row],[Écart AC 2025]]+ProgIni_25_27_2025_04_08[[#This Row],[Écart TR 2025]]</f>
        <v>0</v>
      </c>
      <c r="AA52">
        <v>48</v>
      </c>
      <c r="AC52">
        <v>520</v>
      </c>
      <c r="AD52">
        <v>19125</v>
      </c>
      <c r="AE52">
        <f>ProgIni_25_27_2025_04_08[[#This Row],[AC 2026]]-ProgIni_25_27_2025_04_08[[#This Row],[AC 2026 Trimestre précédent]]</f>
        <v>-335</v>
      </c>
      <c r="AF52">
        <f>ProgIni_25_27_2025_04_08[[#This Row],[TR 2026]]-ProgIni_25_27_2025_04_08[[#This Row],[TR 2026 Trimestre précédent]]</f>
        <v>8051</v>
      </c>
      <c r="AG52">
        <f>ProgIni_25_27_2025_04_08[[#This Row],[Écart AC 2026]]+ProgIni_25_27_2025_04_08[[#This Row],[Écart TR 2026]]</f>
        <v>7716</v>
      </c>
      <c r="AH52">
        <v>855</v>
      </c>
      <c r="AI52">
        <v>11074</v>
      </c>
      <c r="AQ52"/>
      <c r="AZ52" s="14">
        <f>SUM(ProgIni_25_27_2025_04_08[[#This Row],[AC ANT]:[TR 2025]],ProgIni_25_27_2025_04_08[[#This Row],[AC 2026]:[TR 2026]],ProgIni_25_27_2025_04_08[[#This Row],[AC 2027]:[TR 2034]])</f>
        <v>19731</v>
      </c>
    </row>
    <row r="53" spans="1:52" x14ac:dyDescent="0.3">
      <c r="A53" t="s">
        <v>286</v>
      </c>
      <c r="C53" t="s">
        <v>101</v>
      </c>
      <c r="D53" t="s">
        <v>102</v>
      </c>
      <c r="E53" t="s">
        <v>200</v>
      </c>
      <c r="F53" t="s">
        <v>104</v>
      </c>
      <c r="G53" t="s">
        <v>16</v>
      </c>
      <c r="H53" t="s">
        <v>16</v>
      </c>
      <c r="I53" t="s">
        <v>105</v>
      </c>
      <c r="J53" t="s">
        <v>338</v>
      </c>
      <c r="K53" t="s">
        <v>339</v>
      </c>
      <c r="L53" t="s">
        <v>180</v>
      </c>
      <c r="N53" t="s">
        <v>164</v>
      </c>
      <c r="O53" s="1">
        <v>43360</v>
      </c>
      <c r="P53" s="1">
        <v>43671</v>
      </c>
      <c r="Q53" s="1">
        <v>44217</v>
      </c>
      <c r="R53">
        <v>128</v>
      </c>
      <c r="S53">
        <v>2061</v>
      </c>
      <c r="T53">
        <v>164</v>
      </c>
      <c r="V53">
        <v>43</v>
      </c>
      <c r="X53">
        <f>ProgIni_25_27_2025_04_08[[#This Row],[AC 2025]]-ProgIni_25_27_2025_04_08[[#This Row],[AC 2025 Trimestre précédent]]</f>
        <v>43</v>
      </c>
      <c r="Y53">
        <f>ProgIni_25_27_2025_04_08[[#This Row],[TR 2025]]-ProgIni_25_27_2025_04_08[[#This Row],[TR 2025 Trimestre précédent]]</f>
        <v>0</v>
      </c>
      <c r="Z53">
        <f>ProgIni_25_27_2025_04_08[[#This Row],[Écart AC 2025]]+ProgIni_25_27_2025_04_08[[#This Row],[Écart TR 2025]]</f>
        <v>43</v>
      </c>
      <c r="AD53"/>
      <c r="AE53">
        <f>ProgIni_25_27_2025_04_08[[#This Row],[AC 2026]]-ProgIni_25_27_2025_04_08[[#This Row],[AC 2026 Trimestre précédent]]</f>
        <v>0</v>
      </c>
      <c r="AF53">
        <f>ProgIni_25_27_2025_04_08[[#This Row],[TR 2026]]-ProgIni_25_27_2025_04_08[[#This Row],[TR 2026 Trimestre précédent]]</f>
        <v>0</v>
      </c>
      <c r="AG53">
        <f>ProgIni_25_27_2025_04_08[[#This Row],[Écart AC 2026]]+ProgIni_25_27_2025_04_08[[#This Row],[Écart TR 2026]]</f>
        <v>0</v>
      </c>
      <c r="AQ53"/>
      <c r="AZ53" s="14">
        <f>SUM(ProgIni_25_27_2025_04_08[[#This Row],[AC ANT]:[TR 2025]],ProgIni_25_27_2025_04_08[[#This Row],[AC 2026]:[TR 2026]],ProgIni_25_27_2025_04_08[[#This Row],[AC 2027]:[TR 2034]])</f>
        <v>2396</v>
      </c>
    </row>
    <row r="54" spans="1:52" hidden="1" x14ac:dyDescent="0.3">
      <c r="A54" t="s">
        <v>286</v>
      </c>
      <c r="C54" t="s">
        <v>118</v>
      </c>
      <c r="D54" t="s">
        <v>102</v>
      </c>
      <c r="E54" t="s">
        <v>119</v>
      </c>
      <c r="F54" t="s">
        <v>206</v>
      </c>
      <c r="G54" t="s">
        <v>16</v>
      </c>
      <c r="H54" t="s">
        <v>130</v>
      </c>
      <c r="I54" t="s">
        <v>131</v>
      </c>
      <c r="J54" t="s">
        <v>207</v>
      </c>
      <c r="K54" t="s">
        <v>208</v>
      </c>
      <c r="L54" t="s">
        <v>209</v>
      </c>
      <c r="M54" t="s">
        <v>173</v>
      </c>
      <c r="N54" t="s">
        <v>155</v>
      </c>
      <c r="O54" s="1">
        <v>45976</v>
      </c>
      <c r="P54" s="1">
        <v>46096</v>
      </c>
      <c r="Q54" s="1">
        <v>46310</v>
      </c>
      <c r="R54">
        <v>196</v>
      </c>
      <c r="V54">
        <v>40</v>
      </c>
      <c r="X54">
        <f>ProgIni_25_27_2025_04_08[[#This Row],[AC 2025]]-ProgIni_25_27_2025_04_08[[#This Row],[AC 2025 Trimestre précédent]]</f>
        <v>0</v>
      </c>
      <c r="Y54">
        <f>ProgIni_25_27_2025_04_08[[#This Row],[TR 2025]]-ProgIni_25_27_2025_04_08[[#This Row],[TR 2025 Trimestre précédent]]</f>
        <v>0</v>
      </c>
      <c r="Z54">
        <f>ProgIni_25_27_2025_04_08[[#This Row],[Écart AC 2025]]+ProgIni_25_27_2025_04_08[[#This Row],[Écart TR 2025]]</f>
        <v>0</v>
      </c>
      <c r="AA54">
        <v>40</v>
      </c>
      <c r="AC54">
        <v>255</v>
      </c>
      <c r="AD54"/>
      <c r="AE54">
        <f>ProgIni_25_27_2025_04_08[[#This Row],[AC 2026]]-ProgIni_25_27_2025_04_08[[#This Row],[AC 2026 Trimestre précédent]]</f>
        <v>0</v>
      </c>
      <c r="AF54">
        <f>ProgIni_25_27_2025_04_08[[#This Row],[TR 2026]]-ProgIni_25_27_2025_04_08[[#This Row],[TR 2026 Trimestre précédent]]</f>
        <v>0</v>
      </c>
      <c r="AG54">
        <f>ProgIni_25_27_2025_04_08[[#This Row],[Écart AC 2026]]+ProgIni_25_27_2025_04_08[[#This Row],[Écart TR 2026]]</f>
        <v>0</v>
      </c>
      <c r="AH54">
        <v>255</v>
      </c>
      <c r="AJ54">
        <v>396</v>
      </c>
      <c r="AK54">
        <v>1500</v>
      </c>
      <c r="AQ54"/>
      <c r="AZ54" s="14">
        <f>SUM(ProgIni_25_27_2025_04_08[[#This Row],[AC ANT]:[TR 2025]],ProgIni_25_27_2025_04_08[[#This Row],[AC 2026]:[TR 2026]],ProgIni_25_27_2025_04_08[[#This Row],[AC 2027]:[TR 2034]])</f>
        <v>2387</v>
      </c>
    </row>
    <row r="55" spans="1:52" hidden="1" x14ac:dyDescent="0.3">
      <c r="A55" t="s">
        <v>286</v>
      </c>
      <c r="C55" t="s">
        <v>101</v>
      </c>
      <c r="D55" t="s">
        <v>102</v>
      </c>
      <c r="E55" t="s">
        <v>128</v>
      </c>
      <c r="F55" t="s">
        <v>129</v>
      </c>
      <c r="G55" t="s">
        <v>16</v>
      </c>
      <c r="H55" t="s">
        <v>20</v>
      </c>
      <c r="I55" t="s">
        <v>131</v>
      </c>
      <c r="J55" t="s">
        <v>250</v>
      </c>
      <c r="K55" t="s">
        <v>251</v>
      </c>
      <c r="L55" t="s">
        <v>214</v>
      </c>
      <c r="M55" t="s">
        <v>197</v>
      </c>
      <c r="N55" t="s">
        <v>110</v>
      </c>
      <c r="O55" s="1">
        <v>45490</v>
      </c>
      <c r="P55" s="1"/>
      <c r="Q55" s="1">
        <v>46447</v>
      </c>
      <c r="V55">
        <v>37</v>
      </c>
      <c r="X55">
        <f>ProgIni_25_27_2025_04_08[[#This Row],[AC 2025]]-ProgIni_25_27_2025_04_08[[#This Row],[AC 2025 Trimestre précédent]]</f>
        <v>0</v>
      </c>
      <c r="Y55">
        <f>ProgIni_25_27_2025_04_08[[#This Row],[TR 2025]]-ProgIni_25_27_2025_04_08[[#This Row],[TR 2025 Trimestre précédent]]</f>
        <v>0</v>
      </c>
      <c r="Z55">
        <f>ProgIni_25_27_2025_04_08[[#This Row],[Écart AC 2025]]+ProgIni_25_27_2025_04_08[[#This Row],[Écart TR 2025]]</f>
        <v>0</v>
      </c>
      <c r="AA55">
        <v>37</v>
      </c>
      <c r="AC55">
        <v>10</v>
      </c>
      <c r="AD55"/>
      <c r="AE55">
        <f>ProgIni_25_27_2025_04_08[[#This Row],[AC 2026]]-ProgIni_25_27_2025_04_08[[#This Row],[AC 2026 Trimestre précédent]]</f>
        <v>0</v>
      </c>
      <c r="AF55">
        <f>ProgIni_25_27_2025_04_08[[#This Row],[TR 2026]]-ProgIni_25_27_2025_04_08[[#This Row],[TR 2026 Trimestre précédent]]</f>
        <v>0</v>
      </c>
      <c r="AG55">
        <f>ProgIni_25_27_2025_04_08[[#This Row],[Écart AC 2026]]+ProgIni_25_27_2025_04_08[[#This Row],[Écart TR 2026]]</f>
        <v>0</v>
      </c>
      <c r="AH55">
        <v>10</v>
      </c>
      <c r="AJ55">
        <v>12</v>
      </c>
      <c r="AL55">
        <v>30</v>
      </c>
      <c r="AM55">
        <v>194</v>
      </c>
      <c r="AQ55"/>
      <c r="AZ55" s="14">
        <f>SUM(ProgIni_25_27_2025_04_08[[#This Row],[AC ANT]:[TR 2025]],ProgIni_25_27_2025_04_08[[#This Row],[AC 2026]:[TR 2026]],ProgIni_25_27_2025_04_08[[#This Row],[AC 2027]:[TR 2034]])</f>
        <v>283</v>
      </c>
    </row>
    <row r="56" spans="1:52" hidden="1" x14ac:dyDescent="0.3">
      <c r="A56" t="s">
        <v>286</v>
      </c>
      <c r="C56" t="s">
        <v>118</v>
      </c>
      <c r="D56" t="s">
        <v>102</v>
      </c>
      <c r="E56" t="s">
        <v>136</v>
      </c>
      <c r="G56" t="s">
        <v>16</v>
      </c>
      <c r="H56" t="s">
        <v>20</v>
      </c>
      <c r="I56" t="s">
        <v>105</v>
      </c>
      <c r="J56" t="s">
        <v>516</v>
      </c>
      <c r="K56" t="s">
        <v>517</v>
      </c>
      <c r="L56" t="s">
        <v>302</v>
      </c>
      <c r="M56" t="s">
        <v>173</v>
      </c>
      <c r="N56" t="s">
        <v>291</v>
      </c>
      <c r="O56" s="1"/>
      <c r="P56" s="1"/>
      <c r="Q56" s="1"/>
      <c r="V56">
        <v>25</v>
      </c>
      <c r="X56">
        <f>ProgIni_25_27_2025_04_08[[#This Row],[AC 2025]]-ProgIni_25_27_2025_04_08[[#This Row],[AC 2025 Trimestre précédent]]</f>
        <v>25</v>
      </c>
      <c r="Y56">
        <f>ProgIni_25_27_2025_04_08[[#This Row],[TR 2025]]-ProgIni_25_27_2025_04_08[[#This Row],[TR 2025 Trimestre précédent]]</f>
        <v>0</v>
      </c>
      <c r="Z56">
        <f>ProgIni_25_27_2025_04_08[[#This Row],[Écart AC 2025]]+ProgIni_25_27_2025_04_08[[#This Row],[Écart TR 2025]]</f>
        <v>25</v>
      </c>
      <c r="AC56">
        <v>25</v>
      </c>
      <c r="AD56"/>
      <c r="AE56">
        <f>ProgIni_25_27_2025_04_08[[#This Row],[AC 2026]]-ProgIni_25_27_2025_04_08[[#This Row],[AC 2026 Trimestre précédent]]</f>
        <v>25</v>
      </c>
      <c r="AF56">
        <f>ProgIni_25_27_2025_04_08[[#This Row],[TR 2026]]-ProgIni_25_27_2025_04_08[[#This Row],[TR 2026 Trimestre précédent]]</f>
        <v>0</v>
      </c>
      <c r="AG56">
        <f>ProgIni_25_27_2025_04_08[[#This Row],[Écart AC 2026]]+ProgIni_25_27_2025_04_08[[#This Row],[Écart TR 2026]]</f>
        <v>25</v>
      </c>
      <c r="AK56">
        <v>250</v>
      </c>
      <c r="AQ56"/>
      <c r="AZ56" s="14">
        <f>SUM(ProgIni_25_27_2025_04_08[[#This Row],[AC ANT]:[TR 2025]],ProgIni_25_27_2025_04_08[[#This Row],[AC 2026]:[TR 2026]],ProgIni_25_27_2025_04_08[[#This Row],[AC 2027]:[TR 2034]])</f>
        <v>300</v>
      </c>
    </row>
    <row r="57" spans="1:52" hidden="1" x14ac:dyDescent="0.3">
      <c r="A57" t="s">
        <v>286</v>
      </c>
      <c r="C57" t="s">
        <v>118</v>
      </c>
      <c r="D57" t="s">
        <v>102</v>
      </c>
      <c r="E57" t="s">
        <v>136</v>
      </c>
      <c r="G57" t="s">
        <v>16</v>
      </c>
      <c r="H57" t="s">
        <v>20</v>
      </c>
      <c r="I57" t="s">
        <v>105</v>
      </c>
      <c r="J57" t="s">
        <v>518</v>
      </c>
      <c r="K57" t="s">
        <v>519</v>
      </c>
      <c r="L57" t="s">
        <v>143</v>
      </c>
      <c r="M57" t="s">
        <v>173</v>
      </c>
      <c r="N57" t="s">
        <v>291</v>
      </c>
      <c r="O57" s="1"/>
      <c r="P57" s="1"/>
      <c r="Q57" s="1"/>
      <c r="V57">
        <v>25</v>
      </c>
      <c r="X57">
        <f>ProgIni_25_27_2025_04_08[[#This Row],[AC 2025]]-ProgIni_25_27_2025_04_08[[#This Row],[AC 2025 Trimestre précédent]]</f>
        <v>25</v>
      </c>
      <c r="Y57">
        <f>ProgIni_25_27_2025_04_08[[#This Row],[TR 2025]]-ProgIni_25_27_2025_04_08[[#This Row],[TR 2025 Trimestre précédent]]</f>
        <v>0</v>
      </c>
      <c r="Z57">
        <f>ProgIni_25_27_2025_04_08[[#This Row],[Écart AC 2025]]+ProgIni_25_27_2025_04_08[[#This Row],[Écart TR 2025]]</f>
        <v>25</v>
      </c>
      <c r="AC57">
        <v>25</v>
      </c>
      <c r="AD57"/>
      <c r="AE57">
        <f>ProgIni_25_27_2025_04_08[[#This Row],[AC 2026]]-ProgIni_25_27_2025_04_08[[#This Row],[AC 2026 Trimestre précédent]]</f>
        <v>25</v>
      </c>
      <c r="AF57">
        <f>ProgIni_25_27_2025_04_08[[#This Row],[TR 2026]]-ProgIni_25_27_2025_04_08[[#This Row],[TR 2026 Trimestre précédent]]</f>
        <v>0</v>
      </c>
      <c r="AG57">
        <f>ProgIni_25_27_2025_04_08[[#This Row],[Écart AC 2026]]+ProgIni_25_27_2025_04_08[[#This Row],[Écart TR 2026]]</f>
        <v>25</v>
      </c>
      <c r="AK57">
        <v>150</v>
      </c>
      <c r="AQ57"/>
      <c r="AZ57" s="14">
        <f>SUM(ProgIni_25_27_2025_04_08[[#This Row],[AC ANT]:[TR 2025]],ProgIni_25_27_2025_04_08[[#This Row],[AC 2026]:[TR 2026]],ProgIni_25_27_2025_04_08[[#This Row],[AC 2027]:[TR 2034]])</f>
        <v>200</v>
      </c>
    </row>
    <row r="58" spans="1:52" hidden="1" x14ac:dyDescent="0.3">
      <c r="A58" t="s">
        <v>286</v>
      </c>
      <c r="C58" t="s">
        <v>118</v>
      </c>
      <c r="D58" t="s">
        <v>102</v>
      </c>
      <c r="E58" t="s">
        <v>136</v>
      </c>
      <c r="F58" t="s">
        <v>129</v>
      </c>
      <c r="G58" t="s">
        <v>16</v>
      </c>
      <c r="H58" t="s">
        <v>16</v>
      </c>
      <c r="I58" t="s">
        <v>131</v>
      </c>
      <c r="J58" t="s">
        <v>218</v>
      </c>
      <c r="K58" t="s">
        <v>219</v>
      </c>
      <c r="L58" t="s">
        <v>152</v>
      </c>
      <c r="M58" t="s">
        <v>148</v>
      </c>
      <c r="N58" t="s">
        <v>164</v>
      </c>
      <c r="O58" s="1">
        <v>45370</v>
      </c>
      <c r="P58" s="1"/>
      <c r="Q58" s="1">
        <v>45706</v>
      </c>
      <c r="R58">
        <v>6</v>
      </c>
      <c r="T58">
        <v>59</v>
      </c>
      <c r="V58">
        <v>24</v>
      </c>
      <c r="W58">
        <v>605</v>
      </c>
      <c r="X58">
        <f>ProgIni_25_27_2025_04_08[[#This Row],[AC 2025]]-ProgIni_25_27_2025_04_08[[#This Row],[AC 2025 Trimestre précédent]]</f>
        <v>-30</v>
      </c>
      <c r="Y58">
        <f>ProgIni_25_27_2025_04_08[[#This Row],[TR 2025]]-ProgIni_25_27_2025_04_08[[#This Row],[TR 2025 Trimestre précédent]]</f>
        <v>-5</v>
      </c>
      <c r="Z58">
        <f>ProgIni_25_27_2025_04_08[[#This Row],[Écart AC 2025]]+ProgIni_25_27_2025_04_08[[#This Row],[Écart TR 2025]]</f>
        <v>-35</v>
      </c>
      <c r="AA58">
        <v>54</v>
      </c>
      <c r="AB58">
        <v>610</v>
      </c>
      <c r="AD58"/>
      <c r="AE58">
        <f>ProgIni_25_27_2025_04_08[[#This Row],[AC 2026]]-ProgIni_25_27_2025_04_08[[#This Row],[AC 2026 Trimestre précédent]]</f>
        <v>0</v>
      </c>
      <c r="AF58">
        <f>ProgIni_25_27_2025_04_08[[#This Row],[TR 2026]]-ProgIni_25_27_2025_04_08[[#This Row],[TR 2026 Trimestre précédent]]</f>
        <v>0</v>
      </c>
      <c r="AG58">
        <f>ProgIni_25_27_2025_04_08[[#This Row],[Écart AC 2026]]+ProgIni_25_27_2025_04_08[[#This Row],[Écart TR 2026]]</f>
        <v>0</v>
      </c>
      <c r="AQ58"/>
      <c r="AZ58" s="14">
        <f>SUM(ProgIni_25_27_2025_04_08[[#This Row],[AC ANT]:[TR 2025]],ProgIni_25_27_2025_04_08[[#This Row],[AC 2026]:[TR 2026]],ProgIni_25_27_2025_04_08[[#This Row],[AC 2027]:[TR 2034]])</f>
        <v>694</v>
      </c>
    </row>
    <row r="59" spans="1:52" hidden="1" x14ac:dyDescent="0.3">
      <c r="A59" t="s">
        <v>286</v>
      </c>
      <c r="C59" t="s">
        <v>118</v>
      </c>
      <c r="D59" t="s">
        <v>102</v>
      </c>
      <c r="E59" t="s">
        <v>119</v>
      </c>
      <c r="F59" t="s">
        <v>113</v>
      </c>
      <c r="G59" t="s">
        <v>16</v>
      </c>
      <c r="H59" t="s">
        <v>16</v>
      </c>
      <c r="I59" t="s">
        <v>105</v>
      </c>
      <c r="J59" t="s">
        <v>120</v>
      </c>
      <c r="K59" t="s">
        <v>289</v>
      </c>
      <c r="L59" t="s">
        <v>122</v>
      </c>
      <c r="M59" t="s">
        <v>148</v>
      </c>
      <c r="N59" t="s">
        <v>164</v>
      </c>
      <c r="O59" s="1"/>
      <c r="P59" s="1"/>
      <c r="Q59" s="1">
        <v>45712</v>
      </c>
      <c r="V59">
        <v>20</v>
      </c>
      <c r="W59">
        <v>895</v>
      </c>
      <c r="X59">
        <f>ProgIni_25_27_2025_04_08[[#This Row],[AC 2025]]-ProgIni_25_27_2025_04_08[[#This Row],[AC 2025 Trimestre précédent]]</f>
        <v>-2</v>
      </c>
      <c r="Y59">
        <f>ProgIni_25_27_2025_04_08[[#This Row],[TR 2025]]-ProgIni_25_27_2025_04_08[[#This Row],[TR 2025 Trimestre précédent]]</f>
        <v>895</v>
      </c>
      <c r="Z59">
        <f>ProgIni_25_27_2025_04_08[[#This Row],[Écart AC 2025]]+ProgIni_25_27_2025_04_08[[#This Row],[Écart TR 2025]]</f>
        <v>893</v>
      </c>
      <c r="AA59">
        <v>22</v>
      </c>
      <c r="AD59"/>
      <c r="AE59">
        <f>ProgIni_25_27_2025_04_08[[#This Row],[AC 2026]]-ProgIni_25_27_2025_04_08[[#This Row],[AC 2026 Trimestre précédent]]</f>
        <v>-300</v>
      </c>
      <c r="AF59">
        <f>ProgIni_25_27_2025_04_08[[#This Row],[TR 2026]]-ProgIni_25_27_2025_04_08[[#This Row],[TR 2026 Trimestre précédent]]</f>
        <v>-6704</v>
      </c>
      <c r="AG59">
        <f>ProgIni_25_27_2025_04_08[[#This Row],[Écart AC 2026]]+ProgIni_25_27_2025_04_08[[#This Row],[Écart TR 2026]]</f>
        <v>-7004</v>
      </c>
      <c r="AH59">
        <v>300</v>
      </c>
      <c r="AI59">
        <v>6704</v>
      </c>
      <c r="AQ59"/>
      <c r="AZ59" s="14">
        <f>SUM(ProgIni_25_27_2025_04_08[[#This Row],[AC ANT]:[TR 2025]],ProgIni_25_27_2025_04_08[[#This Row],[AC 2026]:[TR 2026]],ProgIni_25_27_2025_04_08[[#This Row],[AC 2027]:[TR 2034]])</f>
        <v>915</v>
      </c>
    </row>
    <row r="60" spans="1:52" hidden="1" x14ac:dyDescent="0.3">
      <c r="A60" t="s">
        <v>286</v>
      </c>
      <c r="C60" t="s">
        <v>118</v>
      </c>
      <c r="D60" t="s">
        <v>102</v>
      </c>
      <c r="E60" t="s">
        <v>242</v>
      </c>
      <c r="F60" t="s">
        <v>129</v>
      </c>
      <c r="G60" t="s">
        <v>16</v>
      </c>
      <c r="H60" t="s">
        <v>20</v>
      </c>
      <c r="I60" t="s">
        <v>131</v>
      </c>
      <c r="J60" t="s">
        <v>385</v>
      </c>
      <c r="K60" t="s">
        <v>386</v>
      </c>
      <c r="L60" t="s">
        <v>134</v>
      </c>
      <c r="M60" t="s">
        <v>197</v>
      </c>
      <c r="N60" t="s">
        <v>155</v>
      </c>
      <c r="O60" s="1">
        <v>45809</v>
      </c>
      <c r="P60" s="1">
        <v>46174</v>
      </c>
      <c r="Q60" s="1">
        <v>46569</v>
      </c>
      <c r="V60">
        <v>20</v>
      </c>
      <c r="X60">
        <f>ProgIni_25_27_2025_04_08[[#This Row],[AC 2025]]-ProgIni_25_27_2025_04_08[[#This Row],[AC 2025 Trimestre précédent]]</f>
        <v>20</v>
      </c>
      <c r="Y60">
        <f>ProgIni_25_27_2025_04_08[[#This Row],[TR 2025]]-ProgIni_25_27_2025_04_08[[#This Row],[TR 2025 Trimestre précédent]]</f>
        <v>0</v>
      </c>
      <c r="Z60">
        <f>ProgIni_25_27_2025_04_08[[#This Row],[Écart AC 2025]]+ProgIni_25_27_2025_04_08[[#This Row],[Écart TR 2025]]</f>
        <v>20</v>
      </c>
      <c r="AC60">
        <v>50</v>
      </c>
      <c r="AD60"/>
      <c r="AE60">
        <f>ProgIni_25_27_2025_04_08[[#This Row],[AC 2026]]-ProgIni_25_27_2025_04_08[[#This Row],[AC 2026 Trimestre précédent]]</f>
        <v>50</v>
      </c>
      <c r="AF60">
        <f>ProgIni_25_27_2025_04_08[[#This Row],[TR 2026]]-ProgIni_25_27_2025_04_08[[#This Row],[TR 2026 Trimestre précédent]]</f>
        <v>0</v>
      </c>
      <c r="AG60">
        <f>ProgIni_25_27_2025_04_08[[#This Row],[Écart AC 2026]]+ProgIni_25_27_2025_04_08[[#This Row],[Écart TR 2026]]</f>
        <v>50</v>
      </c>
      <c r="AJ60">
        <v>50</v>
      </c>
      <c r="AL60">
        <v>200</v>
      </c>
      <c r="AM60">
        <v>2000</v>
      </c>
      <c r="AQ60"/>
      <c r="AZ60" s="14">
        <f>SUM(ProgIni_25_27_2025_04_08[[#This Row],[AC ANT]:[TR 2025]],ProgIni_25_27_2025_04_08[[#This Row],[AC 2026]:[TR 2026]],ProgIni_25_27_2025_04_08[[#This Row],[AC 2027]:[TR 2034]])</f>
        <v>2320</v>
      </c>
    </row>
    <row r="61" spans="1:52" hidden="1" x14ac:dyDescent="0.3">
      <c r="A61" t="s">
        <v>286</v>
      </c>
      <c r="C61" t="s">
        <v>101</v>
      </c>
      <c r="D61" t="s">
        <v>102</v>
      </c>
      <c r="E61" t="s">
        <v>119</v>
      </c>
      <c r="F61" t="s">
        <v>129</v>
      </c>
      <c r="G61" t="s">
        <v>16</v>
      </c>
      <c r="H61" t="s">
        <v>16</v>
      </c>
      <c r="I61" t="s">
        <v>131</v>
      </c>
      <c r="J61" t="s">
        <v>153</v>
      </c>
      <c r="K61" t="s">
        <v>154</v>
      </c>
      <c r="L61" t="s">
        <v>134</v>
      </c>
      <c r="M61" t="s">
        <v>109</v>
      </c>
      <c r="N61" t="s">
        <v>123</v>
      </c>
      <c r="O61" s="1">
        <v>45601</v>
      </c>
      <c r="P61" s="1">
        <v>45731</v>
      </c>
      <c r="Q61" s="1">
        <v>45976</v>
      </c>
      <c r="V61">
        <v>20</v>
      </c>
      <c r="X61">
        <f>ProgIni_25_27_2025_04_08[[#This Row],[AC 2025]]-ProgIni_25_27_2025_04_08[[#This Row],[AC 2025 Trimestre précédent]]</f>
        <v>-55</v>
      </c>
      <c r="Y61">
        <f>ProgIni_25_27_2025_04_08[[#This Row],[TR 2025]]-ProgIni_25_27_2025_04_08[[#This Row],[TR 2025 Trimestre précédent]]</f>
        <v>0</v>
      </c>
      <c r="Z61">
        <f>ProgIni_25_27_2025_04_08[[#This Row],[Écart AC 2025]]+ProgIni_25_27_2025_04_08[[#This Row],[Écart TR 2025]]</f>
        <v>-55</v>
      </c>
      <c r="AA61">
        <v>75</v>
      </c>
      <c r="AC61">
        <v>55</v>
      </c>
      <c r="AD61">
        <v>543</v>
      </c>
      <c r="AE61">
        <f>ProgIni_25_27_2025_04_08[[#This Row],[AC 2026]]-ProgIni_25_27_2025_04_08[[#This Row],[AC 2026 Trimestre précédent]]</f>
        <v>-95</v>
      </c>
      <c r="AF61">
        <f>ProgIni_25_27_2025_04_08[[#This Row],[TR 2026]]-ProgIni_25_27_2025_04_08[[#This Row],[TR 2026 Trimestre précédent]]</f>
        <v>-457</v>
      </c>
      <c r="AG61">
        <f>ProgIni_25_27_2025_04_08[[#This Row],[Écart AC 2026]]+ProgIni_25_27_2025_04_08[[#This Row],[Écart TR 2026]]</f>
        <v>-552</v>
      </c>
      <c r="AH61">
        <v>150</v>
      </c>
      <c r="AI61">
        <v>1000</v>
      </c>
      <c r="AQ61"/>
      <c r="AZ61" s="14">
        <f>SUM(ProgIni_25_27_2025_04_08[[#This Row],[AC ANT]:[TR 2025]],ProgIni_25_27_2025_04_08[[#This Row],[AC 2026]:[TR 2026]],ProgIni_25_27_2025_04_08[[#This Row],[AC 2027]:[TR 2034]])</f>
        <v>618</v>
      </c>
    </row>
    <row r="62" spans="1:52" hidden="1" x14ac:dyDescent="0.3">
      <c r="A62" t="s">
        <v>286</v>
      </c>
      <c r="C62" t="s">
        <v>126</v>
      </c>
      <c r="D62" t="s">
        <v>127</v>
      </c>
      <c r="E62" t="s">
        <v>128</v>
      </c>
      <c r="F62" t="s">
        <v>252</v>
      </c>
      <c r="G62" t="s">
        <v>16</v>
      </c>
      <c r="H62" t="s">
        <v>16</v>
      </c>
      <c r="I62" t="s">
        <v>131</v>
      </c>
      <c r="J62" t="s">
        <v>259</v>
      </c>
      <c r="K62" t="s">
        <v>260</v>
      </c>
      <c r="L62" t="s">
        <v>159</v>
      </c>
      <c r="M62" t="s">
        <v>148</v>
      </c>
      <c r="N62" t="s">
        <v>291</v>
      </c>
      <c r="O62" s="1"/>
      <c r="P62" s="1"/>
      <c r="Q62" s="1"/>
      <c r="V62">
        <v>15</v>
      </c>
      <c r="W62">
        <v>85</v>
      </c>
      <c r="X62">
        <f>ProgIni_25_27_2025_04_08[[#This Row],[AC 2025]]-ProgIni_25_27_2025_04_08[[#This Row],[AC 2025 Trimestre précédent]]</f>
        <v>15</v>
      </c>
      <c r="Y62">
        <f>ProgIni_25_27_2025_04_08[[#This Row],[TR 2025]]-ProgIni_25_27_2025_04_08[[#This Row],[TR 2025 Trimestre précédent]]</f>
        <v>-15</v>
      </c>
      <c r="Z62">
        <f>ProgIni_25_27_2025_04_08[[#This Row],[Écart AC 2025]]+ProgIni_25_27_2025_04_08[[#This Row],[Écart TR 2025]]</f>
        <v>0</v>
      </c>
      <c r="AB62">
        <v>100</v>
      </c>
      <c r="AD62"/>
      <c r="AE62">
        <f>ProgIni_25_27_2025_04_08[[#This Row],[AC 2026]]-ProgIni_25_27_2025_04_08[[#This Row],[AC 2026 Trimestre précédent]]</f>
        <v>0</v>
      </c>
      <c r="AF62">
        <f>ProgIni_25_27_2025_04_08[[#This Row],[TR 2026]]-ProgIni_25_27_2025_04_08[[#This Row],[TR 2026 Trimestre précédent]]</f>
        <v>0</v>
      </c>
      <c r="AG62">
        <f>ProgIni_25_27_2025_04_08[[#This Row],[Écart AC 2026]]+ProgIni_25_27_2025_04_08[[#This Row],[Écart TR 2026]]</f>
        <v>0</v>
      </c>
      <c r="AQ62"/>
      <c r="AZ62" s="14">
        <f>SUM(ProgIni_25_27_2025_04_08[[#This Row],[AC ANT]:[TR 2025]],ProgIni_25_27_2025_04_08[[#This Row],[AC 2026]:[TR 2026]],ProgIni_25_27_2025_04_08[[#This Row],[AC 2027]:[TR 2034]])</f>
        <v>100</v>
      </c>
    </row>
    <row r="63" spans="1:52" x14ac:dyDescent="0.3">
      <c r="A63" t="s">
        <v>286</v>
      </c>
      <c r="C63" t="s">
        <v>101</v>
      </c>
      <c r="D63" t="s">
        <v>102</v>
      </c>
      <c r="E63" t="s">
        <v>200</v>
      </c>
      <c r="F63" t="s">
        <v>104</v>
      </c>
      <c r="G63" t="s">
        <v>16</v>
      </c>
      <c r="H63" t="s">
        <v>16</v>
      </c>
      <c r="I63" t="s">
        <v>105</v>
      </c>
      <c r="J63" t="s">
        <v>330</v>
      </c>
      <c r="K63" t="s">
        <v>331</v>
      </c>
      <c r="L63" t="s">
        <v>180</v>
      </c>
      <c r="M63" t="s">
        <v>176</v>
      </c>
      <c r="N63" t="s">
        <v>164</v>
      </c>
      <c r="O63" s="1">
        <v>43360</v>
      </c>
      <c r="P63" s="1">
        <v>43671</v>
      </c>
      <c r="Q63" s="1">
        <v>44217</v>
      </c>
      <c r="R63">
        <v>432</v>
      </c>
      <c r="S63">
        <v>3057</v>
      </c>
      <c r="T63">
        <v>260</v>
      </c>
      <c r="U63">
        <v>73</v>
      </c>
      <c r="V63">
        <v>13</v>
      </c>
      <c r="X63">
        <f>ProgIni_25_27_2025_04_08[[#This Row],[AC 2025]]-ProgIni_25_27_2025_04_08[[#This Row],[AC 2025 Trimestre précédent]]</f>
        <v>13</v>
      </c>
      <c r="Y63">
        <f>ProgIni_25_27_2025_04_08[[#This Row],[TR 2025]]-ProgIni_25_27_2025_04_08[[#This Row],[TR 2025 Trimestre précédent]]</f>
        <v>0</v>
      </c>
      <c r="Z63">
        <f>ProgIni_25_27_2025_04_08[[#This Row],[Écart AC 2025]]+ProgIni_25_27_2025_04_08[[#This Row],[Écart TR 2025]]</f>
        <v>13</v>
      </c>
      <c r="AD63"/>
      <c r="AE63">
        <f>ProgIni_25_27_2025_04_08[[#This Row],[AC 2026]]-ProgIni_25_27_2025_04_08[[#This Row],[AC 2026 Trimestre précédent]]</f>
        <v>0</v>
      </c>
      <c r="AF63">
        <f>ProgIni_25_27_2025_04_08[[#This Row],[TR 2026]]-ProgIni_25_27_2025_04_08[[#This Row],[TR 2026 Trimestre précédent]]</f>
        <v>0</v>
      </c>
      <c r="AG63">
        <f>ProgIni_25_27_2025_04_08[[#This Row],[Écart AC 2026]]+ProgIni_25_27_2025_04_08[[#This Row],[Écart TR 2026]]</f>
        <v>0</v>
      </c>
      <c r="AQ63"/>
      <c r="AZ63" s="14">
        <f>SUM(ProgIni_25_27_2025_04_08[[#This Row],[AC ANT]:[TR 2025]],ProgIni_25_27_2025_04_08[[#This Row],[AC 2026]:[TR 2026]],ProgIni_25_27_2025_04_08[[#This Row],[AC 2027]:[TR 2034]])</f>
        <v>3835</v>
      </c>
    </row>
    <row r="64" spans="1:52" hidden="1" x14ac:dyDescent="0.3">
      <c r="A64" t="s">
        <v>286</v>
      </c>
      <c r="C64" t="s">
        <v>126</v>
      </c>
      <c r="D64" t="s">
        <v>127</v>
      </c>
      <c r="E64" t="s">
        <v>128</v>
      </c>
      <c r="F64" t="s">
        <v>252</v>
      </c>
      <c r="G64" t="s">
        <v>16</v>
      </c>
      <c r="H64" t="s">
        <v>16</v>
      </c>
      <c r="I64" t="s">
        <v>131</v>
      </c>
      <c r="J64" t="s">
        <v>253</v>
      </c>
      <c r="K64" t="s">
        <v>254</v>
      </c>
      <c r="L64" t="s">
        <v>147</v>
      </c>
      <c r="M64" t="s">
        <v>148</v>
      </c>
      <c r="N64" t="s">
        <v>110</v>
      </c>
      <c r="O64" s="1">
        <v>45378</v>
      </c>
      <c r="P64" s="1"/>
      <c r="Q64" s="1">
        <v>45611</v>
      </c>
      <c r="V64">
        <v>10</v>
      </c>
      <c r="W64">
        <v>39</v>
      </c>
      <c r="X64">
        <f>ProgIni_25_27_2025_04_08[[#This Row],[AC 2025]]-ProgIni_25_27_2025_04_08[[#This Row],[AC 2025 Trimestre précédent]]</f>
        <v>0</v>
      </c>
      <c r="Y64">
        <f>ProgIni_25_27_2025_04_08[[#This Row],[TR 2025]]-ProgIni_25_27_2025_04_08[[#This Row],[TR 2025 Trimestre précédent]]</f>
        <v>0</v>
      </c>
      <c r="Z64">
        <f>ProgIni_25_27_2025_04_08[[#This Row],[Écart AC 2025]]+ProgIni_25_27_2025_04_08[[#This Row],[Écart TR 2025]]</f>
        <v>0</v>
      </c>
      <c r="AA64">
        <v>10</v>
      </c>
      <c r="AB64">
        <v>39</v>
      </c>
      <c r="AD64"/>
      <c r="AE64">
        <f>ProgIni_25_27_2025_04_08[[#This Row],[AC 2026]]-ProgIni_25_27_2025_04_08[[#This Row],[AC 2026 Trimestre précédent]]</f>
        <v>0</v>
      </c>
      <c r="AF64">
        <f>ProgIni_25_27_2025_04_08[[#This Row],[TR 2026]]-ProgIni_25_27_2025_04_08[[#This Row],[TR 2026 Trimestre précédent]]</f>
        <v>0</v>
      </c>
      <c r="AG64">
        <f>ProgIni_25_27_2025_04_08[[#This Row],[Écart AC 2026]]+ProgIni_25_27_2025_04_08[[#This Row],[Écart TR 2026]]</f>
        <v>0</v>
      </c>
      <c r="AQ64"/>
      <c r="AZ64" s="14">
        <f>SUM(ProgIni_25_27_2025_04_08[[#This Row],[AC ANT]:[TR 2025]],ProgIni_25_27_2025_04_08[[#This Row],[AC 2026]:[TR 2026]],ProgIni_25_27_2025_04_08[[#This Row],[AC 2027]:[TR 2034]])</f>
        <v>49</v>
      </c>
    </row>
    <row r="65" spans="1:57" hidden="1" x14ac:dyDescent="0.3">
      <c r="A65" t="s">
        <v>286</v>
      </c>
      <c r="C65" t="s">
        <v>101</v>
      </c>
      <c r="D65" t="s">
        <v>102</v>
      </c>
      <c r="E65" t="s">
        <v>103</v>
      </c>
      <c r="F65" t="s">
        <v>129</v>
      </c>
      <c r="G65" t="s">
        <v>16</v>
      </c>
      <c r="H65" t="s">
        <v>16</v>
      </c>
      <c r="I65" t="s">
        <v>131</v>
      </c>
      <c r="J65" t="s">
        <v>132</v>
      </c>
      <c r="K65" t="s">
        <v>288</v>
      </c>
      <c r="L65" t="s">
        <v>134</v>
      </c>
      <c r="M65" t="s">
        <v>109</v>
      </c>
      <c r="N65" t="s">
        <v>123</v>
      </c>
      <c r="O65" s="1">
        <v>45218</v>
      </c>
      <c r="P65" s="1">
        <v>45722</v>
      </c>
      <c r="Q65" s="1">
        <v>45945</v>
      </c>
      <c r="T65">
        <v>12</v>
      </c>
      <c r="V65">
        <v>10</v>
      </c>
      <c r="X65">
        <f>ProgIni_25_27_2025_04_08[[#This Row],[AC 2025]]-ProgIni_25_27_2025_04_08[[#This Row],[AC 2025 Trimestre précédent]]</f>
        <v>0</v>
      </c>
      <c r="Y65">
        <f>ProgIni_25_27_2025_04_08[[#This Row],[TR 2025]]-ProgIni_25_27_2025_04_08[[#This Row],[TR 2025 Trimestre précédent]]</f>
        <v>0</v>
      </c>
      <c r="Z65">
        <f>ProgIni_25_27_2025_04_08[[#This Row],[Écart AC 2025]]+ProgIni_25_27_2025_04_08[[#This Row],[Écart TR 2025]]</f>
        <v>0</v>
      </c>
      <c r="AA65">
        <v>10</v>
      </c>
      <c r="AC65">
        <v>350</v>
      </c>
      <c r="AD65">
        <v>4669</v>
      </c>
      <c r="AE65">
        <f>ProgIni_25_27_2025_04_08[[#This Row],[AC 2026]]-ProgIni_25_27_2025_04_08[[#This Row],[AC 2026 Trimestre précédent]]</f>
        <v>250</v>
      </c>
      <c r="AF65">
        <f>ProgIni_25_27_2025_04_08[[#This Row],[TR 2026]]-ProgIni_25_27_2025_04_08[[#This Row],[TR 2026 Trimestre précédent]]</f>
        <v>-1915</v>
      </c>
      <c r="AG65">
        <f>ProgIni_25_27_2025_04_08[[#This Row],[Écart AC 2026]]+ProgIni_25_27_2025_04_08[[#This Row],[Écart TR 2026]]</f>
        <v>-1665</v>
      </c>
      <c r="AH65">
        <v>100</v>
      </c>
      <c r="AI65">
        <v>6584</v>
      </c>
      <c r="AQ65"/>
      <c r="AZ65" s="14">
        <f>SUM(ProgIni_25_27_2025_04_08[[#This Row],[AC ANT]:[TR 2025]],ProgIni_25_27_2025_04_08[[#This Row],[AC 2026]:[TR 2026]],ProgIni_25_27_2025_04_08[[#This Row],[AC 2027]:[TR 2034]])</f>
        <v>5041</v>
      </c>
    </row>
    <row r="66" spans="1:57" hidden="1" x14ac:dyDescent="0.3">
      <c r="A66" t="s">
        <v>286</v>
      </c>
      <c r="C66" t="s">
        <v>101</v>
      </c>
      <c r="D66" t="s">
        <v>102</v>
      </c>
      <c r="E66" t="s">
        <v>200</v>
      </c>
      <c r="F66" t="s">
        <v>104</v>
      </c>
      <c r="G66" t="s">
        <v>16</v>
      </c>
      <c r="H66" t="s">
        <v>20</v>
      </c>
      <c r="I66" t="s">
        <v>105</v>
      </c>
      <c r="J66" t="s">
        <v>201</v>
      </c>
      <c r="K66" t="s">
        <v>202</v>
      </c>
      <c r="L66" t="s">
        <v>108</v>
      </c>
      <c r="M66" s="2"/>
      <c r="N66" t="s">
        <v>155</v>
      </c>
      <c r="O66" s="1"/>
      <c r="P66" s="1"/>
      <c r="Q66" s="1"/>
      <c r="R66">
        <v>277</v>
      </c>
      <c r="S66">
        <v>4</v>
      </c>
      <c r="X66">
        <f>ProgIni_25_27_2025_04_08[[#This Row],[AC 2025]]-ProgIni_25_27_2025_04_08[[#This Row],[AC 2025 Trimestre précédent]]</f>
        <v>0</v>
      </c>
      <c r="Y66">
        <f>ProgIni_25_27_2025_04_08[[#This Row],[TR 2025]]-ProgIni_25_27_2025_04_08[[#This Row],[TR 2025 Trimestre précédent]]</f>
        <v>0</v>
      </c>
      <c r="Z66">
        <f>ProgIni_25_27_2025_04_08[[#This Row],[Écart AC 2025]]+ProgIni_25_27_2025_04_08[[#This Row],[Écart TR 2025]]</f>
        <v>0</v>
      </c>
      <c r="AC66">
        <v>127</v>
      </c>
      <c r="AD66"/>
      <c r="AE66">
        <f>ProgIni_25_27_2025_04_08[[#This Row],[AC 2026]]-ProgIni_25_27_2025_04_08[[#This Row],[AC 2026 Trimestre précédent]]</f>
        <v>0</v>
      </c>
      <c r="AF66">
        <f>ProgIni_25_27_2025_04_08[[#This Row],[TR 2026]]-ProgIni_25_27_2025_04_08[[#This Row],[TR 2026 Trimestre précédent]]</f>
        <v>0</v>
      </c>
      <c r="AG66">
        <f>ProgIni_25_27_2025_04_08[[#This Row],[Écart AC 2026]]+ProgIni_25_27_2025_04_08[[#This Row],[Écart TR 2026]]</f>
        <v>0</v>
      </c>
      <c r="AH66">
        <v>127</v>
      </c>
      <c r="AJ66">
        <v>125</v>
      </c>
      <c r="AL66">
        <v>471</v>
      </c>
      <c r="AQ66"/>
      <c r="AZ66" s="14">
        <f>SUM(ProgIni_25_27_2025_04_08[[#This Row],[AC ANT]:[TR 2025]],ProgIni_25_27_2025_04_08[[#This Row],[AC 2026]:[TR 2026]],ProgIni_25_27_2025_04_08[[#This Row],[AC 2027]:[TR 2034]])</f>
        <v>1004</v>
      </c>
    </row>
    <row r="67" spans="1:57" hidden="1" x14ac:dyDescent="0.3">
      <c r="A67" t="s">
        <v>286</v>
      </c>
      <c r="C67" t="s">
        <v>101</v>
      </c>
      <c r="D67" t="s">
        <v>102</v>
      </c>
      <c r="E67" t="s">
        <v>128</v>
      </c>
      <c r="F67" t="s">
        <v>140</v>
      </c>
      <c r="G67" t="s">
        <v>16</v>
      </c>
      <c r="H67" t="s">
        <v>16</v>
      </c>
      <c r="I67" t="s">
        <v>105</v>
      </c>
      <c r="J67" t="s">
        <v>141</v>
      </c>
      <c r="K67" t="s">
        <v>142</v>
      </c>
      <c r="L67" t="s">
        <v>143</v>
      </c>
      <c r="M67" t="s">
        <v>109</v>
      </c>
      <c r="N67" t="s">
        <v>123</v>
      </c>
      <c r="O67" s="1">
        <v>42900</v>
      </c>
      <c r="P67" s="1">
        <v>45323</v>
      </c>
      <c r="Q67" s="1">
        <v>45884</v>
      </c>
      <c r="R67">
        <v>61</v>
      </c>
      <c r="X67">
        <f>ProgIni_25_27_2025_04_08[[#This Row],[AC 2025]]-ProgIni_25_27_2025_04_08[[#This Row],[AC 2025 Trimestre précédent]]</f>
        <v>0</v>
      </c>
      <c r="Y67">
        <f>ProgIni_25_27_2025_04_08[[#This Row],[TR 2025]]-ProgIni_25_27_2025_04_08[[#This Row],[TR 2025 Trimestre précédent]]</f>
        <v>0</v>
      </c>
      <c r="Z67">
        <f>ProgIni_25_27_2025_04_08[[#This Row],[Écart AC 2025]]+ProgIni_25_27_2025_04_08[[#This Row],[Écart TR 2025]]</f>
        <v>0</v>
      </c>
      <c r="AC67">
        <v>370</v>
      </c>
      <c r="AD67">
        <v>4948</v>
      </c>
      <c r="AE67">
        <f>ProgIni_25_27_2025_04_08[[#This Row],[AC 2026]]-ProgIni_25_27_2025_04_08[[#This Row],[AC 2026 Trimestre précédent]]</f>
        <v>0</v>
      </c>
      <c r="AF67">
        <f>ProgIni_25_27_2025_04_08[[#This Row],[TR 2026]]-ProgIni_25_27_2025_04_08[[#This Row],[TR 2026 Trimestre précédent]]</f>
        <v>0</v>
      </c>
      <c r="AG67">
        <f>ProgIni_25_27_2025_04_08[[#This Row],[Écart AC 2026]]+ProgIni_25_27_2025_04_08[[#This Row],[Écart TR 2026]]</f>
        <v>0</v>
      </c>
      <c r="AH67">
        <v>370</v>
      </c>
      <c r="AI67">
        <v>4948</v>
      </c>
      <c r="AQ67"/>
      <c r="AZ67" s="14">
        <f>SUM(ProgIni_25_27_2025_04_08[[#This Row],[AC ANT]:[TR 2025]],ProgIni_25_27_2025_04_08[[#This Row],[AC 2026]:[TR 2026]],ProgIni_25_27_2025_04_08[[#This Row],[AC 2027]:[TR 2034]])</f>
        <v>5379</v>
      </c>
      <c r="BA67" s="57"/>
      <c r="BB67" s="57"/>
      <c r="BC67" s="57"/>
      <c r="BD67" s="57"/>
      <c r="BE67" s="57"/>
    </row>
    <row r="68" spans="1:57" x14ac:dyDescent="0.3">
      <c r="A68" t="s">
        <v>11</v>
      </c>
      <c r="C68" t="s">
        <v>118</v>
      </c>
      <c r="D68" t="s">
        <v>102</v>
      </c>
      <c r="E68" t="s">
        <v>103</v>
      </c>
      <c r="F68" t="s">
        <v>252</v>
      </c>
      <c r="G68" t="s">
        <v>20</v>
      </c>
      <c r="H68" t="s">
        <v>16</v>
      </c>
      <c r="I68" t="s">
        <v>131</v>
      </c>
      <c r="J68" t="s">
        <v>257</v>
      </c>
      <c r="K68" t="s">
        <v>258</v>
      </c>
      <c r="L68" t="s">
        <v>180</v>
      </c>
      <c r="M68" t="s">
        <v>148</v>
      </c>
      <c r="N68" t="s">
        <v>291</v>
      </c>
      <c r="O68" s="1"/>
      <c r="P68" s="1"/>
      <c r="Q68" s="1"/>
      <c r="W68">
        <v>300</v>
      </c>
      <c r="X68">
        <f>ProgIni_25_27_2025_04_08[[#This Row],[AC 2025]]-ProgIni_25_27_2025_04_08[[#This Row],[AC 2025 Trimestre précédent]]</f>
        <v>0</v>
      </c>
      <c r="Y68">
        <f>ProgIni_25_27_2025_04_08[[#This Row],[TR 2025]]-ProgIni_25_27_2025_04_08[[#This Row],[TR 2025 Trimestre précédent]]</f>
        <v>0</v>
      </c>
      <c r="Z68">
        <f>ProgIni_25_27_2025_04_08[[#This Row],[Écart AC 2025]]+ProgIni_25_27_2025_04_08[[#This Row],[Écart TR 2025]]</f>
        <v>0</v>
      </c>
      <c r="AB68">
        <v>300</v>
      </c>
      <c r="AD68"/>
      <c r="AE68">
        <f>ProgIni_25_27_2025_04_08[[#This Row],[AC 2026]]-ProgIni_25_27_2025_04_08[[#This Row],[AC 2026 Trimestre précédent]]</f>
        <v>0</v>
      </c>
      <c r="AF68">
        <f>ProgIni_25_27_2025_04_08[[#This Row],[TR 2026]]-ProgIni_25_27_2025_04_08[[#This Row],[TR 2026 Trimestre précédent]]</f>
        <v>0</v>
      </c>
      <c r="AG68">
        <f>ProgIni_25_27_2025_04_08[[#This Row],[Écart AC 2026]]+ProgIni_25_27_2025_04_08[[#This Row],[Écart TR 2026]]</f>
        <v>0</v>
      </c>
      <c r="AQ68"/>
      <c r="AZ68" s="14">
        <f>SUM(ProgIni_25_27_2025_04_08[[#This Row],[AC ANT]:[TR 2025]],ProgIni_25_27_2025_04_08[[#This Row],[AC 2026]:[TR 2026]],ProgIni_25_27_2025_04_08[[#This Row],[AC 2027]:[TR 2034]])</f>
        <v>300</v>
      </c>
    </row>
    <row r="69" spans="1:57" x14ac:dyDescent="0.3">
      <c r="J69">
        <f>SUBTOTAL(103,ProgIni_25_27_2025_04_08[Numéro projet])</f>
        <v>8</v>
      </c>
      <c r="R69" s="14">
        <f>SUBTOTAL(109,ProgIni_25_27_2025_04_08[AC ANT])</f>
        <v>1152</v>
      </c>
      <c r="S69" s="14">
        <f>SUBTOTAL(109,ProgIni_25_27_2025_04_08[TR ANT])</f>
        <v>5219</v>
      </c>
      <c r="T69" s="14">
        <f>SUBTOTAL(109,ProgIni_25_27_2025_04_08[AC 2024])</f>
        <v>611</v>
      </c>
      <c r="U69" s="14">
        <f>SUBTOTAL(109,ProgIni_25_27_2025_04_08[TR 2024])</f>
        <v>1183</v>
      </c>
      <c r="V69" s="14">
        <f>SUBTOTAL(109,ProgIni_25_27_2025_04_08[AC 2025])</f>
        <v>2167</v>
      </c>
      <c r="W69" s="14">
        <f>SUBTOTAL(109,ProgIni_25_27_2025_04_08[TR 2025])</f>
        <v>880</v>
      </c>
      <c r="X69" s="14">
        <f>SUBTOTAL(109,ProgIni_25_27_2025_04_08[Écart AC 2025])</f>
        <v>488.99999999999977</v>
      </c>
      <c r="Y69" s="14">
        <f>SUBTOTAL(109,ProgIni_25_27_2025_04_08[Écart TR 2025])</f>
        <v>32</v>
      </c>
      <c r="Z69" s="14">
        <f>SUBTOTAL(109,ProgIni_25_27_2025_04_08[Écart 2025 Total])</f>
        <v>520.99999999999977</v>
      </c>
      <c r="AA69" s="14">
        <f>SUBTOTAL(109,ProgIni_25_27_2025_04_08[AC 2025 Trimestre précédent])</f>
        <v>1678</v>
      </c>
      <c r="AB69" s="14">
        <f>SUBTOTAL(109,ProgIni_25_27_2025_04_08[TR 2025 Trimestre précédent])</f>
        <v>848</v>
      </c>
      <c r="AC69" s="14">
        <f>SUBTOTAL(109,ProgIni_25_27_2025_04_08[AC 2026])</f>
        <v>1832</v>
      </c>
      <c r="AD69" s="14">
        <f>SUBTOTAL(109,ProgIni_25_27_2025_04_08[TR 2026])</f>
        <v>355</v>
      </c>
      <c r="AE69" s="14">
        <f>SUBTOTAL(109,ProgIni_25_27_2025_04_08[Écart AC 2026])</f>
        <v>-31.000000000000014</v>
      </c>
      <c r="AF69" s="14">
        <f>SUBTOTAL(109,ProgIni_25_27_2025_04_08[Écart TR 2026])</f>
        <v>355</v>
      </c>
      <c r="AG69" s="14">
        <f>SUBTOTAL(109,ProgIni_25_27_2025_04_08[Écart 2026 Total])</f>
        <v>324</v>
      </c>
      <c r="AH69" s="14">
        <f>SUBTOTAL(109,ProgIni_25_27_2025_04_08[AC 2026 Trimestre précédent])</f>
        <v>1863</v>
      </c>
      <c r="AI69" s="14">
        <f>SUBTOTAL(109,ProgIni_25_27_2025_04_08[TR 2026 Trimestre précédent])</f>
        <v>0</v>
      </c>
      <c r="AJ69" s="14">
        <f>SUBTOTAL(109,ProgIni_25_27_2025_04_08[AC 2027])</f>
        <v>1975</v>
      </c>
      <c r="AK69" s="14">
        <f>SUBTOTAL(109,ProgIni_25_27_2025_04_08[TR 2027])</f>
        <v>6927</v>
      </c>
      <c r="AL69" s="14">
        <f>SUBTOTAL(109,ProgIni_25_27_2025_04_08[AC 2028])</f>
        <v>1484</v>
      </c>
      <c r="AM69" s="14">
        <f>SUBTOTAL(109,ProgIni_25_27_2025_04_08[TR 2028])</f>
        <v>14459</v>
      </c>
      <c r="AN69" s="14">
        <f>SUBTOTAL(109,ProgIni_25_27_2025_04_08[AC 2029])</f>
        <v>1412</v>
      </c>
      <c r="AO69" s="14">
        <f>SUBTOTAL(109,ProgIni_25_27_2025_04_08[TR 2029])</f>
        <v>16207.000000000002</v>
      </c>
      <c r="AP69" s="14">
        <f>SUBTOTAL(109,ProgIni_25_27_2025_04_08[AC 2030])</f>
        <v>667</v>
      </c>
      <c r="AQ69" s="14">
        <f>SUBTOTAL(109,ProgIni_25_27_2025_04_08[TR 2030])</f>
        <v>24846</v>
      </c>
      <c r="AR69" s="14">
        <f>SUBTOTAL(109,ProgIni_25_27_2025_04_08[AC 2031])</f>
        <v>0</v>
      </c>
      <c r="AS69" s="14">
        <f>SUBTOTAL(109,ProgIni_25_27_2025_04_08[TR 2031])</f>
        <v>0</v>
      </c>
      <c r="AT69" s="14">
        <f>SUBTOTAL(109,ProgIni_25_27_2025_04_08[AC 2032])</f>
        <v>0</v>
      </c>
      <c r="AU69" s="14">
        <f>SUBTOTAL(109,ProgIni_25_27_2025_04_08[TR 2032])</f>
        <v>0</v>
      </c>
      <c r="AV69" s="14">
        <f>SUBTOTAL(109,ProgIni_25_27_2025_04_08[AC 2033])</f>
        <v>0</v>
      </c>
      <c r="AW69" s="14">
        <f>SUBTOTAL(109,ProgIni_25_27_2025_04_08[TR 2033])</f>
        <v>0</v>
      </c>
      <c r="AX69" s="14">
        <f>SUBTOTAL(109,ProgIni_25_27_2025_04_08[AC 2034])</f>
        <v>0</v>
      </c>
      <c r="AY69" s="14">
        <f>SUBTOTAL(109,ProgIni_25_27_2025_04_08[TR 2034])</f>
        <v>0</v>
      </c>
      <c r="AZ69" s="14">
        <f>SUBTOTAL(109,ProgIni_25_27_2025_04_08[Total Projet])</f>
        <v>81376</v>
      </c>
    </row>
    <row r="70" spans="1:57" x14ac:dyDescent="0.3">
      <c r="BA70" s="57"/>
      <c r="BB70" s="57"/>
    </row>
    <row r="71" spans="1:57" x14ac:dyDescent="0.3">
      <c r="AS71" s="57"/>
      <c r="AT71" s="57"/>
      <c r="AU71" s="57"/>
      <c r="AV71" s="57"/>
      <c r="AW71" s="57"/>
      <c r="AX71" s="57"/>
      <c r="AY71" s="57"/>
      <c r="AZ71" s="57"/>
    </row>
    <row r="147" spans="60:61" x14ac:dyDescent="0.3">
      <c r="BH147" s="57"/>
      <c r="BI147" s="57"/>
    </row>
  </sheetData>
  <mergeCells count="212">
    <mergeCell ref="AV16:AW16"/>
    <mergeCell ref="AX16:AY16"/>
    <mergeCell ref="AJ16:AK16"/>
    <mergeCell ref="AL16:AM16"/>
    <mergeCell ref="AN16:AO16"/>
    <mergeCell ref="AP16:AQ16"/>
    <mergeCell ref="AR16:AS16"/>
    <mergeCell ref="AT16:AU16"/>
    <mergeCell ref="R16:S16"/>
    <mergeCell ref="T16:U16"/>
    <mergeCell ref="V16:W16"/>
    <mergeCell ref="X16:Y16"/>
    <mergeCell ref="AC16:AD16"/>
    <mergeCell ref="AE16:AF16"/>
    <mergeCell ref="AN15:AO15"/>
    <mergeCell ref="AP15:AQ15"/>
    <mergeCell ref="AR15:AS15"/>
    <mergeCell ref="AT15:AU15"/>
    <mergeCell ref="AV15:AW15"/>
    <mergeCell ref="AX15:AY15"/>
    <mergeCell ref="AV14:AW14"/>
    <mergeCell ref="AX14:AY14"/>
    <mergeCell ref="R15:S15"/>
    <mergeCell ref="T15:U15"/>
    <mergeCell ref="V15:W15"/>
    <mergeCell ref="X15:Y15"/>
    <mergeCell ref="AC15:AD15"/>
    <mergeCell ref="AE15:AF15"/>
    <mergeCell ref="AJ15:AK15"/>
    <mergeCell ref="AL15:AM15"/>
    <mergeCell ref="AJ14:AK14"/>
    <mergeCell ref="AL14:AM14"/>
    <mergeCell ref="AN14:AO14"/>
    <mergeCell ref="AP14:AQ14"/>
    <mergeCell ref="AR14:AS14"/>
    <mergeCell ref="AT14:AU14"/>
    <mergeCell ref="AR13:AS13"/>
    <mergeCell ref="AT13:AU13"/>
    <mergeCell ref="AV13:AW13"/>
    <mergeCell ref="AX13:AY13"/>
    <mergeCell ref="R14:S14"/>
    <mergeCell ref="T14:U14"/>
    <mergeCell ref="V14:W14"/>
    <mergeCell ref="X14:Y14"/>
    <mergeCell ref="AC14:AD14"/>
    <mergeCell ref="AE14:AF14"/>
    <mergeCell ref="T13:U13"/>
    <mergeCell ref="V13:W13"/>
    <mergeCell ref="X13:Y13"/>
    <mergeCell ref="AC13:AD13"/>
    <mergeCell ref="AE13:AF13"/>
    <mergeCell ref="AJ13:AK13"/>
    <mergeCell ref="AL13:AM13"/>
    <mergeCell ref="AN13:AO13"/>
    <mergeCell ref="AP13:AQ13"/>
    <mergeCell ref="AV11:AW11"/>
    <mergeCell ref="AX11:AY11"/>
    <mergeCell ref="R12:S12"/>
    <mergeCell ref="T12:U12"/>
    <mergeCell ref="V12:W12"/>
    <mergeCell ref="X12:Y12"/>
    <mergeCell ref="AC12:AD12"/>
    <mergeCell ref="AE12:AF12"/>
    <mergeCell ref="AJ12:AK12"/>
    <mergeCell ref="AG11:AI11"/>
    <mergeCell ref="AJ11:AK11"/>
    <mergeCell ref="AL11:AM11"/>
    <mergeCell ref="AN11:AO11"/>
    <mergeCell ref="AP11:AQ11"/>
    <mergeCell ref="AR11:AS11"/>
    <mergeCell ref="AX12:AY12"/>
    <mergeCell ref="AL12:AM12"/>
    <mergeCell ref="AN12:AO12"/>
    <mergeCell ref="AP12:AQ12"/>
    <mergeCell ref="AR12:AS12"/>
    <mergeCell ref="AT12:AU12"/>
    <mergeCell ref="AV12:AW12"/>
    <mergeCell ref="R11:S11"/>
    <mergeCell ref="T11:U11"/>
    <mergeCell ref="V11:W11"/>
    <mergeCell ref="X11:Y11"/>
    <mergeCell ref="Z11:AB11"/>
    <mergeCell ref="AC11:AD11"/>
    <mergeCell ref="AE11:AF11"/>
    <mergeCell ref="AG10:AI10"/>
    <mergeCell ref="AJ10:AK10"/>
    <mergeCell ref="AT9:AU9"/>
    <mergeCell ref="V9:W9"/>
    <mergeCell ref="X9:Y9"/>
    <mergeCell ref="Z9:AB9"/>
    <mergeCell ref="AC9:AD9"/>
    <mergeCell ref="AE9:AF9"/>
    <mergeCell ref="AT11:AU11"/>
    <mergeCell ref="AV9:AW9"/>
    <mergeCell ref="AX9:AY9"/>
    <mergeCell ref="R10:S10"/>
    <mergeCell ref="T10:U10"/>
    <mergeCell ref="V10:W10"/>
    <mergeCell ref="X10:Y10"/>
    <mergeCell ref="Z10:AB10"/>
    <mergeCell ref="AC10:AD10"/>
    <mergeCell ref="AE10:AF10"/>
    <mergeCell ref="AG9:AI9"/>
    <mergeCell ref="AJ9:AK9"/>
    <mergeCell ref="AL9:AM9"/>
    <mergeCell ref="AN9:AO9"/>
    <mergeCell ref="AP9:AQ9"/>
    <mergeCell ref="AR9:AS9"/>
    <mergeCell ref="AT10:AU10"/>
    <mergeCell ref="AV10:AW10"/>
    <mergeCell ref="AX10:AY10"/>
    <mergeCell ref="AL10:AM10"/>
    <mergeCell ref="AN10:AO10"/>
    <mergeCell ref="AP10:AQ10"/>
    <mergeCell ref="AR10:AS10"/>
    <mergeCell ref="R9:S9"/>
    <mergeCell ref="T9:U9"/>
    <mergeCell ref="AT7:AU7"/>
    <mergeCell ref="AV7:AW7"/>
    <mergeCell ref="AX7:AY7"/>
    <mergeCell ref="R8:S8"/>
    <mergeCell ref="T8:U8"/>
    <mergeCell ref="V8:W8"/>
    <mergeCell ref="X8:Y8"/>
    <mergeCell ref="Z8:AB8"/>
    <mergeCell ref="AC8:AD8"/>
    <mergeCell ref="AE8:AF8"/>
    <mergeCell ref="AG7:AI7"/>
    <mergeCell ref="AJ7:AK7"/>
    <mergeCell ref="AL7:AM7"/>
    <mergeCell ref="AN7:AO7"/>
    <mergeCell ref="AP7:AQ7"/>
    <mergeCell ref="AR7:AS7"/>
    <mergeCell ref="AT8:AU8"/>
    <mergeCell ref="AV8:AW8"/>
    <mergeCell ref="AX8:AY8"/>
    <mergeCell ref="AL8:AM8"/>
    <mergeCell ref="AN8:AO8"/>
    <mergeCell ref="AP8:AQ8"/>
    <mergeCell ref="AR8:AS8"/>
    <mergeCell ref="R7:S7"/>
    <mergeCell ref="T7:U7"/>
    <mergeCell ref="V7:W7"/>
    <mergeCell ref="X7:Y7"/>
    <mergeCell ref="Z7:AB7"/>
    <mergeCell ref="AC7:AD7"/>
    <mergeCell ref="AE7:AF7"/>
    <mergeCell ref="AG6:AI6"/>
    <mergeCell ref="AJ6:AK6"/>
    <mergeCell ref="AG8:AI8"/>
    <mergeCell ref="AJ8:AK8"/>
    <mergeCell ref="AX5:AY5"/>
    <mergeCell ref="R6:S6"/>
    <mergeCell ref="T6:U6"/>
    <mergeCell ref="V6:W6"/>
    <mergeCell ref="X6:Y6"/>
    <mergeCell ref="Z6:AB6"/>
    <mergeCell ref="AC6:AD6"/>
    <mergeCell ref="AE6:AF6"/>
    <mergeCell ref="AG5:AI5"/>
    <mergeCell ref="AJ5:AK5"/>
    <mergeCell ref="AL5:AM5"/>
    <mergeCell ref="AN5:AO5"/>
    <mergeCell ref="AP5:AQ5"/>
    <mergeCell ref="AR5:AS5"/>
    <mergeCell ref="AT6:AU6"/>
    <mergeCell ref="AV6:AW6"/>
    <mergeCell ref="AX6:AY6"/>
    <mergeCell ref="AL6:AM6"/>
    <mergeCell ref="AN6:AO6"/>
    <mergeCell ref="AP6:AQ6"/>
    <mergeCell ref="AR6:AS6"/>
    <mergeCell ref="R5:S5"/>
    <mergeCell ref="T5:U5"/>
    <mergeCell ref="V5:W5"/>
    <mergeCell ref="X5:Y5"/>
    <mergeCell ref="Z5:AB5"/>
    <mergeCell ref="AC5:AD5"/>
    <mergeCell ref="AE5:AF5"/>
    <mergeCell ref="AE4:AF4"/>
    <mergeCell ref="AJ4:AK4"/>
    <mergeCell ref="AV3:AW3"/>
    <mergeCell ref="AT5:AU5"/>
    <mergeCell ref="AV5:AW5"/>
    <mergeCell ref="AX3:AY3"/>
    <mergeCell ref="R4:S4"/>
    <mergeCell ref="T4:U4"/>
    <mergeCell ref="V4:W4"/>
    <mergeCell ref="X4:Y4"/>
    <mergeCell ref="AC4:AD4"/>
    <mergeCell ref="AC3:AD3"/>
    <mergeCell ref="AE3:AF3"/>
    <mergeCell ref="AG3:AI3"/>
    <mergeCell ref="AJ3:AK3"/>
    <mergeCell ref="AL3:AM3"/>
    <mergeCell ref="AN3:AO3"/>
    <mergeCell ref="AT4:AU4"/>
    <mergeCell ref="AV4:AW4"/>
    <mergeCell ref="AX4:AY4"/>
    <mergeCell ref="AL4:AM4"/>
    <mergeCell ref="AN4:AO4"/>
    <mergeCell ref="AP4:AQ4"/>
    <mergeCell ref="AR4:AS4"/>
    <mergeCell ref="P2:Q2"/>
    <mergeCell ref="R3:S3"/>
    <mergeCell ref="T3:U3"/>
    <mergeCell ref="V3:W3"/>
    <mergeCell ref="X3:Y3"/>
    <mergeCell ref="Z3:AB3"/>
    <mergeCell ref="AP3:AQ3"/>
    <mergeCell ref="AR3:AS3"/>
    <mergeCell ref="AT3:AU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55DF-2540-46ED-96F8-0D855CC19DC6}">
  <dimension ref="A1:BN152"/>
  <sheetViews>
    <sheetView topLeftCell="G1" workbookViewId="0"/>
  </sheetViews>
  <sheetFormatPr baseColWidth="10" defaultColWidth="11.44140625" defaultRowHeight="14.4" outlineLevelCol="1" x14ac:dyDescent="0.3"/>
  <cols>
    <col min="1" max="1" width="14.6640625" hidden="1" customWidth="1" outlineLevel="1"/>
    <col min="2" max="2" width="11.44140625" hidden="1" customWidth="1" outlineLevel="1"/>
    <col min="3" max="3" width="18.109375" hidden="1" customWidth="1" outlineLevel="1"/>
    <col min="4" max="4" width="18.6640625" hidden="1" customWidth="1" outlineLevel="1"/>
    <col min="5" max="5" width="15.88671875" hidden="1" customWidth="1" outlineLevel="1"/>
    <col min="6" max="6" width="16" hidden="1" customWidth="1" outlineLevel="1"/>
    <col min="7" max="7" width="15.88671875" customWidth="1" collapsed="1"/>
    <col min="8" max="8" width="17.88671875" customWidth="1"/>
    <col min="9" max="9" width="18.44140625" customWidth="1"/>
    <col min="10" max="10" width="54.33203125" customWidth="1"/>
    <col min="11" max="11" width="25.33203125" customWidth="1"/>
    <col min="12" max="12" width="13.6640625" customWidth="1" collapsed="1"/>
    <col min="13" max="13" width="21.5546875" customWidth="1"/>
    <col min="14" max="14" width="13.6640625" customWidth="1"/>
    <col min="15" max="15" width="14.5546875" hidden="1" customWidth="1" outlineLevel="1"/>
    <col min="16" max="17" width="13.6640625" hidden="1" customWidth="1" outlineLevel="1"/>
    <col min="18" max="18" width="17.88671875" hidden="1" customWidth="1" outlineLevel="1"/>
    <col min="19" max="19" width="14.33203125" hidden="1" customWidth="1" outlineLevel="1"/>
    <col min="20" max="20" width="14.88671875" customWidth="1" collapsed="1"/>
    <col min="21" max="21" width="14.6640625" customWidth="1"/>
    <col min="22" max="22" width="17.33203125" hidden="1" customWidth="1" outlineLevel="1"/>
    <col min="23" max="23" width="17.44140625" hidden="1" customWidth="1" outlineLevel="1"/>
    <col min="24" max="24" width="17.33203125" hidden="1" customWidth="1" outlineLevel="1"/>
    <col min="25" max="25" width="17.44140625" hidden="1" customWidth="1" outlineLevel="1"/>
    <col min="26" max="26" width="17.33203125" hidden="1" customWidth="1" outlineLevel="1"/>
    <col min="27" max="27" width="14.6640625" customWidth="1" collapsed="1"/>
    <col min="28" max="28" width="12.88671875" customWidth="1"/>
    <col min="29" max="29" width="10.5546875" customWidth="1"/>
    <col min="30" max="30" width="13.6640625" customWidth="1"/>
    <col min="31" max="32" width="15.109375" customWidth="1"/>
    <col min="33" max="36" width="9.88671875" hidden="1" customWidth="1" outlineLevel="1"/>
    <col min="37" max="37" width="9.88671875" style="25" customWidth="1" collapsed="1"/>
    <col min="38" max="38" width="9.88671875" customWidth="1"/>
    <col min="39" max="39" width="9.88671875" customWidth="1" collapsed="1"/>
    <col min="40" max="40" width="11.109375" customWidth="1"/>
    <col min="41" max="41" width="12.33203125" customWidth="1"/>
    <col min="42" max="42" width="11" customWidth="1"/>
    <col min="43" max="46" width="9.88671875" customWidth="1"/>
    <col min="47" max="47" width="9.88671875" style="8" customWidth="1"/>
    <col min="48" max="58" width="9.88671875" customWidth="1"/>
    <col min="59" max="59" width="18" customWidth="1"/>
    <col min="60" max="60" width="17" customWidth="1"/>
    <col min="61" max="61" width="16.6640625" bestFit="1" customWidth="1"/>
    <col min="62" max="71" width="11.33203125" customWidth="1"/>
    <col min="72" max="72" width="12.5546875" customWidth="1"/>
    <col min="73" max="73" width="13.44140625" customWidth="1"/>
    <col min="74" max="74" width="13.109375" customWidth="1"/>
    <col min="75" max="75" width="14" customWidth="1"/>
    <col min="76" max="81" width="17.33203125" customWidth="1"/>
    <col min="82" max="82" width="18.109375" customWidth="1"/>
    <col min="83" max="83" width="17.5546875" customWidth="1"/>
  </cols>
  <sheetData>
    <row r="1" spans="1:66" ht="21" x14ac:dyDescent="0.4">
      <c r="A1" s="32"/>
      <c r="B1" s="32"/>
      <c r="C1" s="32"/>
      <c r="D1" s="32"/>
      <c r="E1" s="32"/>
      <c r="F1" s="32"/>
      <c r="G1" s="32" t="s">
        <v>298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7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85"/>
      <c r="BK1" s="85"/>
      <c r="BL1" s="85"/>
      <c r="BM1" s="85"/>
      <c r="BN1" s="85"/>
    </row>
    <row r="2" spans="1:66" x14ac:dyDescent="0.3">
      <c r="AC2" s="25"/>
      <c r="AD2" s="25"/>
      <c r="AE2" s="25"/>
      <c r="AF2" s="25"/>
      <c r="AG2" s="25"/>
      <c r="AH2" s="25"/>
      <c r="AI2" s="25"/>
      <c r="AJ2" s="8"/>
      <c r="AK2"/>
      <c r="AU2"/>
    </row>
    <row r="3" spans="1:66" ht="26.4" customHeight="1" x14ac:dyDescent="0.3">
      <c r="G3" s="306" t="s">
        <v>2</v>
      </c>
      <c r="H3" s="307"/>
      <c r="N3" s="65"/>
      <c r="P3" s="65"/>
      <c r="Q3" s="65"/>
      <c r="R3" s="65"/>
      <c r="S3" s="65"/>
      <c r="T3" s="65"/>
      <c r="U3" s="65"/>
      <c r="V3" s="33"/>
      <c r="W3" s="33"/>
      <c r="X3" s="33"/>
      <c r="Y3" s="33"/>
      <c r="Z3" s="33"/>
      <c r="AA3" s="33"/>
      <c r="AB3" s="33"/>
      <c r="AC3" s="4" t="s">
        <v>3</v>
      </c>
      <c r="AD3" s="80" t="s">
        <v>4</v>
      </c>
      <c r="AE3" s="160"/>
      <c r="AF3" s="128" t="s">
        <v>5</v>
      </c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80"/>
      <c r="BF3" s="80"/>
      <c r="BG3" s="26" t="s">
        <v>7</v>
      </c>
      <c r="BH3" s="26" t="s">
        <v>8</v>
      </c>
    </row>
    <row r="4" spans="1:66" x14ac:dyDescent="0.3">
      <c r="G4" s="27" t="s">
        <v>9</v>
      </c>
      <c r="H4" s="28" t="s">
        <v>10</v>
      </c>
      <c r="N4" s="65"/>
      <c r="P4" s="65"/>
      <c r="Q4" s="65"/>
      <c r="R4" s="65"/>
      <c r="S4" s="65"/>
      <c r="T4" s="65"/>
      <c r="U4" s="65"/>
      <c r="V4" s="34"/>
      <c r="W4" s="34"/>
      <c r="X4" s="34"/>
      <c r="Y4" s="34"/>
      <c r="Z4" s="34"/>
      <c r="AA4" s="34"/>
      <c r="AB4" s="34"/>
      <c r="AC4" s="66"/>
      <c r="AD4" s="138"/>
      <c r="AE4" s="161"/>
      <c r="AF4" s="104" t="s">
        <v>11</v>
      </c>
      <c r="AG4" s="260"/>
      <c r="AH4" s="260"/>
      <c r="AI4" s="260">
        <f>SUMIFS(Portefeuille_MNT_PPS_Access15[AC 2024],Portefeuille_MNT_PPS_Access15[Numéro projet],"=154951716")+SUMIFS(Portefeuille_MNT_PPS_Access15[TR 2024],Portefeuille_MNT_PPS_Access15[Numéro projet],"=154951716")</f>
        <v>22</v>
      </c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78"/>
      <c r="BF4" s="78"/>
      <c r="BG4" s="16">
        <f t="shared" ref="BG4:BG10" si="0">SUM(AK4:AT4)</f>
        <v>0</v>
      </c>
      <c r="BH4" s="18">
        <f xml:space="preserve"> SUM(AK4:BD4)</f>
        <v>0</v>
      </c>
    </row>
    <row r="5" spans="1:66" x14ac:dyDescent="0.3">
      <c r="G5" s="27" t="s">
        <v>12</v>
      </c>
      <c r="H5" s="28" t="s">
        <v>13</v>
      </c>
      <c r="AC5" s="67"/>
      <c r="AD5" s="139" t="s">
        <v>299</v>
      </c>
      <c r="AE5" s="162"/>
      <c r="AF5" s="104" t="s">
        <v>15</v>
      </c>
      <c r="AG5" s="260">
        <f>SUMIFS(Portefeuille_MNT_PPS_Access15[AC ANT],Portefeuille_MNT_PPS_Access15[État Composante AC],"=PR")</f>
        <v>23914</v>
      </c>
      <c r="AH5" s="260"/>
      <c r="AI5" s="260">
        <f>SUMIFS(Portefeuille_MNT_PPS_Access15[AC 2024],Portefeuille_MNT_PPS_Access15[État Composante AC],"=PR")</f>
        <v>6620</v>
      </c>
      <c r="AJ5" s="260"/>
      <c r="AK5" s="260">
        <f>SUMIFS(Portefeuille_MNT_PPS_Access15[AC 2025],Portefeuille_MNT_PPS_Access15[État Composante AC],"=PR")</f>
        <v>10230</v>
      </c>
      <c r="AL5" s="260"/>
      <c r="AM5" s="260">
        <f>SUMIFS(Portefeuille_MNT_PPS_Access15[AC 2026],Portefeuille_MNT_PPS_Access15[État Composante AC],"=PR")</f>
        <v>10982</v>
      </c>
      <c r="AN5" s="260"/>
      <c r="AO5" s="260">
        <f>SUMIFS(Portefeuille_MNT_PPS_Access15[AC 2027],Portefeuille_MNT_PPS_Access15[État Composante AC],"=PR")</f>
        <v>10407</v>
      </c>
      <c r="AP5" s="260"/>
      <c r="AQ5" s="260">
        <f>SUMIFS(Portefeuille_MNT_PPS_Access15[AC 2028],Portefeuille_MNT_PPS_Access15[État Composante AC],"=PR")</f>
        <v>6087</v>
      </c>
      <c r="AR5" s="260"/>
      <c r="AS5" s="260">
        <f>SUMIFS(Portefeuille_MNT_PPS_Access15[AC 2029],Portefeuille_MNT_PPS_Access15[État Composante AC],"=PR")</f>
        <v>2785</v>
      </c>
      <c r="AT5" s="260"/>
      <c r="AU5" s="260">
        <f>SUMIFS(Portefeuille_MNT_PPS_Access15[AC 2030],Portefeuille_MNT_PPS_Access15[État Composante AC],"=PR")</f>
        <v>2362</v>
      </c>
      <c r="AV5" s="260"/>
      <c r="AW5" s="260">
        <f>SUMIFS(Portefeuille_MNT_PPS_Access15[AC 2031],Portefeuille_MNT_PPS_Access15[État Composante AC],"=PR")</f>
        <v>1822</v>
      </c>
      <c r="AX5" s="260"/>
      <c r="AY5" s="260">
        <f>SUMIFS(Portefeuille_MNT_PPS_Access15[AC 2032],Portefeuille_MNT_PPS_Access15[État Composante AC],"=PR")</f>
        <v>0</v>
      </c>
      <c r="AZ5" s="260"/>
      <c r="BA5" s="260">
        <f>SUMIFS(Portefeuille_MNT_PPS_Access15[AC 2033],Portefeuille_MNT_PPS_Access15[État Composante AC],"=PR")</f>
        <v>0</v>
      </c>
      <c r="BB5" s="260"/>
      <c r="BC5" s="260">
        <f>SUMIFS(Portefeuille_MNT_PPS_Access15[AC 2034],Portefeuille_MNT_PPS_Access15[État Composante AC],"=PR")</f>
        <v>0</v>
      </c>
      <c r="BD5" s="260"/>
      <c r="BE5" s="78"/>
      <c r="BF5" s="78"/>
      <c r="BG5" s="16">
        <f t="shared" si="0"/>
        <v>40491</v>
      </c>
      <c r="BH5" s="18">
        <f t="shared" ref="BH5:BH10" si="1" xml:space="preserve"> SUM(AK5:BD5)</f>
        <v>44675</v>
      </c>
    </row>
    <row r="6" spans="1:66" x14ac:dyDescent="0.3">
      <c r="G6" s="29" t="s">
        <v>16</v>
      </c>
      <c r="H6" s="28" t="s">
        <v>17</v>
      </c>
      <c r="AC6" s="35" t="s">
        <v>18</v>
      </c>
      <c r="AD6" s="140">
        <v>1</v>
      </c>
      <c r="AE6" s="163"/>
      <c r="AF6" s="83" t="s">
        <v>19</v>
      </c>
      <c r="AG6" s="260">
        <f>SUMIFS(Portefeuille_MNT_PPS_Access15[TR ANT],Portefeuille_MNT_PPS_Access15[État Composante TR],"=PR")</f>
        <v>149202</v>
      </c>
      <c r="AH6" s="260"/>
      <c r="AI6" s="260">
        <f>SUMIFS(Portefeuille_MNT_PPS_Access15[TR 2024],Portefeuille_MNT_PPS_Access15[État Composante TR],"=PR")</f>
        <v>75022</v>
      </c>
      <c r="AJ6" s="260"/>
      <c r="AK6" s="260">
        <f>SUMIFS(Portefeuille_MNT_PPS_Access15[TR 2025],Portefeuille_MNT_PPS_Access15[État Composante TR],"=PR")</f>
        <v>50278</v>
      </c>
      <c r="AL6" s="260"/>
      <c r="AM6" s="260">
        <f>SUMIFS(Portefeuille_MNT_PPS_Access15[TR 2026],Portefeuille_MNT_PPS_Access15[État Composante TR],"=PR")</f>
        <v>66512</v>
      </c>
      <c r="AN6" s="260"/>
      <c r="AO6" s="260">
        <f>SUMIFS(Portefeuille_MNT_PPS_Access15[TR 2027],Portefeuille_MNT_PPS_Access15[État Composante TR],"=PR")</f>
        <v>5749</v>
      </c>
      <c r="AP6" s="260"/>
      <c r="AQ6" s="260">
        <f>SUMIFS(Portefeuille_MNT_PPS_Access15[TR 2028],Portefeuille_MNT_PPS_Access15[État Composante TR],"=PR")</f>
        <v>4929</v>
      </c>
      <c r="AR6" s="260"/>
      <c r="AS6" s="260">
        <f>SUMIFS(Portefeuille_MNT_PPS_Access15[TR 2029],Portefeuille_MNT_PPS_Access15[État Composante TR],"=PR")</f>
        <v>6707.0000000000018</v>
      </c>
      <c r="AT6" s="260"/>
      <c r="AU6" s="260">
        <f>SUMIFS(Portefeuille_MNT_PPS_Access15[TR 2030],Portefeuille_MNT_PPS_Access15[État Composante TR],"=PR")</f>
        <v>6846.0000000000018</v>
      </c>
      <c r="AV6" s="260"/>
      <c r="AW6" s="260">
        <f>SUMIFS(Portefeuille_MNT_PPS_Access15[TR 2031],Portefeuille_MNT_PPS_Access15[État Composante TR],"=PR")</f>
        <v>0</v>
      </c>
      <c r="AX6" s="260"/>
      <c r="AY6" s="260">
        <f>SUMIFS(Portefeuille_MNT_PPS_Access15[TR 2032],Portefeuille_MNT_PPS_Access15[État Composante TR],"=PR")</f>
        <v>0</v>
      </c>
      <c r="AZ6" s="260"/>
      <c r="BA6" s="260">
        <f>SUMIFS(Portefeuille_MNT_PPS_Access15[TR 2033],Portefeuille_MNT_PPS_Access15[État Composante TR],"=PR")</f>
        <v>0</v>
      </c>
      <c r="BB6" s="260"/>
      <c r="BC6" s="260">
        <f>SUMIFS(Portefeuille_MNT_PPS_Access15[TR 2034],Portefeuille_MNT_PPS_Access15[État Composante TR],"=PR")</f>
        <v>0</v>
      </c>
      <c r="BD6" s="260"/>
      <c r="BE6" s="78"/>
      <c r="BF6" s="78"/>
      <c r="BG6" s="16">
        <f t="shared" si="0"/>
        <v>134175</v>
      </c>
      <c r="BH6" s="18">
        <f t="shared" si="1"/>
        <v>141021</v>
      </c>
    </row>
    <row r="7" spans="1:66" x14ac:dyDescent="0.3">
      <c r="G7" s="30" t="s">
        <v>20</v>
      </c>
      <c r="H7" s="31" t="s">
        <v>21</v>
      </c>
      <c r="AC7" s="35" t="s">
        <v>22</v>
      </c>
      <c r="AD7" s="140">
        <v>0.25</v>
      </c>
      <c r="AE7" s="163"/>
      <c r="AF7" s="116" t="s">
        <v>23</v>
      </c>
      <c r="AG7" s="262">
        <f>AG5+AG6</f>
        <v>173116</v>
      </c>
      <c r="AH7" s="262"/>
      <c r="AI7" s="262">
        <f>AI5+AI6</f>
        <v>81642</v>
      </c>
      <c r="AJ7" s="262"/>
      <c r="AK7" s="262">
        <f>AK5+AK6</f>
        <v>60508</v>
      </c>
      <c r="AL7" s="262"/>
      <c r="AM7" s="262">
        <f>AM5+AM6</f>
        <v>77494</v>
      </c>
      <c r="AN7" s="262"/>
      <c r="AO7" s="262">
        <f>AO5+AO6</f>
        <v>16156</v>
      </c>
      <c r="AP7" s="262"/>
      <c r="AQ7" s="262">
        <f>AQ5+AQ6</f>
        <v>11016</v>
      </c>
      <c r="AR7" s="262"/>
      <c r="AS7" s="262">
        <f>AS5+AS6</f>
        <v>9492.0000000000018</v>
      </c>
      <c r="AT7" s="262"/>
      <c r="AU7" s="262">
        <f>AU5+AU6</f>
        <v>9208.0000000000018</v>
      </c>
      <c r="AV7" s="262"/>
      <c r="AW7" s="262">
        <f>AW5+AW6</f>
        <v>1822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0"/>
      <c r="BF7" s="20"/>
      <c r="BG7" s="20">
        <f t="shared" si="0"/>
        <v>174666</v>
      </c>
      <c r="BH7" s="169">
        <f t="shared" si="1"/>
        <v>185696</v>
      </c>
    </row>
    <row r="8" spans="1:66" x14ac:dyDescent="0.3">
      <c r="AC8" s="35" t="s">
        <v>24</v>
      </c>
      <c r="AD8" s="140">
        <v>0.25</v>
      </c>
      <c r="AE8" s="163"/>
      <c r="AF8" s="83" t="s">
        <v>25</v>
      </c>
      <c r="AG8" s="260">
        <f>SUMIFS(Portefeuille_MNT_PPS_Access15[AC ANT],Portefeuille_MNT_PPS_Access15[État Composante AC],"&lt;&gt;PR")</f>
        <v>0</v>
      </c>
      <c r="AH8" s="260"/>
      <c r="AI8" s="260">
        <f>SUMIFS(Portefeuille_MNT_PPS_Access15[AC 2024],Portefeuille_MNT_PPS_Access15[État Composante AC],"&lt;&gt;PR")</f>
        <v>0</v>
      </c>
      <c r="AJ8" s="260"/>
      <c r="AK8" s="260">
        <f>SUMIFS(Portefeuille_MNT_PPS_Access15[AC 2025],Portefeuille_MNT_PPS_Access15[État Composante AC],"&lt;&gt;PR")</f>
        <v>0</v>
      </c>
      <c r="AL8" s="260"/>
      <c r="AM8" s="260">
        <f>SUMIFS(Portefeuille_MNT_PPS_Access15[AC 2026],Portefeuille_MNT_PPS_Access15[État Composante AC],"&lt;&gt;PR")</f>
        <v>1550</v>
      </c>
      <c r="AN8" s="260"/>
      <c r="AO8" s="260">
        <f>SUMIFS(Portefeuille_MNT_PPS_Access15[AC 2027],Portefeuille_MNT_PPS_Access15[État Composante AC],"&lt;&gt;PR")</f>
        <v>2755</v>
      </c>
      <c r="AP8" s="260"/>
      <c r="AQ8" s="260">
        <f>SUMIFS(Portefeuille_MNT_PPS_Access15[AC 2028],Portefeuille_MNT_PPS_Access15[État Composante AC],"&lt;&gt;PR")</f>
        <v>6940</v>
      </c>
      <c r="AR8" s="260"/>
      <c r="AS8" s="260">
        <f>SUMIFS(Portefeuille_MNT_PPS_Access15[AC 2029],Portefeuille_MNT_PPS_Access15[État Composante AC],"&lt;&gt;PR")</f>
        <v>6370</v>
      </c>
      <c r="AT8" s="260"/>
      <c r="AU8" s="260">
        <f>SUMIFS(Portefeuille_MNT_PPS_Access15[AC 2030],Portefeuille_MNT_PPS_Access15[État Composante AC],"&lt;&gt;PR")</f>
        <v>6250</v>
      </c>
      <c r="AV8" s="260"/>
      <c r="AW8" s="260">
        <f>SUMIFS(Portefeuille_MNT_PPS_Access15[AC 2031],Portefeuille_MNT_PPS_Access15[État Composante AC],"&lt;&gt;PR")</f>
        <v>5275</v>
      </c>
      <c r="AX8" s="260"/>
      <c r="AY8" s="260">
        <f>SUMIFS(Portefeuille_MNT_PPS_Access15[AC 2032],Portefeuille_MNT_PPS_Access15[État Composante AC],"&lt;&gt;PR")</f>
        <v>7625</v>
      </c>
      <c r="AZ8" s="260"/>
      <c r="BA8" s="260">
        <f>SUMIFS(Portefeuille_MNT_PPS_Access15[AC 2033],Portefeuille_MNT_PPS_Access15[État Composante AC],"&lt;&gt;PR")</f>
        <v>3750</v>
      </c>
      <c r="BB8" s="260"/>
      <c r="BC8" s="260">
        <f>SUMIFS(Portefeuille_MNT_PPS_Access15[AC 2034],Portefeuille_MNT_PPS_Access15[État Composante AC],"&lt;&gt;PR")</f>
        <v>3300</v>
      </c>
      <c r="BD8" s="260"/>
      <c r="BE8" s="78"/>
      <c r="BF8" s="78"/>
      <c r="BG8" s="16">
        <f t="shared" si="0"/>
        <v>17615</v>
      </c>
      <c r="BH8" s="18">
        <f t="shared" si="1"/>
        <v>43815</v>
      </c>
    </row>
    <row r="9" spans="1:66" x14ac:dyDescent="0.3">
      <c r="AC9" s="35" t="s">
        <v>26</v>
      </c>
      <c r="AD9" s="140">
        <v>0.25</v>
      </c>
      <c r="AE9" s="163"/>
      <c r="AF9" s="83" t="s">
        <v>27</v>
      </c>
      <c r="AG9" s="260">
        <f>SUMIFS(Portefeuille_MNT_PPS_Access15[TR ANT],Portefeuille_MNT_PPS_Access15[État Composante TR],"&lt;&gt;PR")</f>
        <v>3590</v>
      </c>
      <c r="AH9" s="260"/>
      <c r="AI9" s="260">
        <f>SUMIFS(Portefeuille_MNT_PPS_Access15[TR 2024],Portefeuille_MNT_PPS_Access15[État Composante TR],"&lt;&gt;PR")</f>
        <v>0</v>
      </c>
      <c r="AJ9" s="260"/>
      <c r="AK9" s="260">
        <f>SUMIFS(Portefeuille_MNT_PPS_Access15[TR 2025],Portefeuille_MNT_PPS_Access15[État Composante TR],"&lt;&gt;PR")</f>
        <v>0</v>
      </c>
      <c r="AL9" s="260"/>
      <c r="AM9" s="260">
        <f>SUMIFS(Portefeuille_MNT_PPS_Access15[TR 2026],Portefeuille_MNT_PPS_Access15[État Composante TR],"&lt;&gt;PR")</f>
        <v>140</v>
      </c>
      <c r="AN9" s="260"/>
      <c r="AO9" s="260">
        <f>SUMIFS(Portefeuille_MNT_PPS_Access15[TR 2027],Portefeuille_MNT_PPS_Access15[État Composante TR],"&lt;&gt;PR")</f>
        <v>87614</v>
      </c>
      <c r="AP9" s="260"/>
      <c r="AQ9" s="260">
        <f>SUMIFS(Portefeuille_MNT_PPS_Access15[TR 2028],Portefeuille_MNT_PPS_Access15[État Composante TR],"&lt;&gt;PR")</f>
        <v>93138</v>
      </c>
      <c r="AR9" s="260"/>
      <c r="AS9" s="260">
        <f>SUMIFS(Portefeuille_MNT_PPS_Access15[TR 2029],Portefeuille_MNT_PPS_Access15[État Composante TR],"&lt;&gt;PR")</f>
        <v>90750</v>
      </c>
      <c r="AT9" s="260"/>
      <c r="AU9" s="260">
        <f>SUMIFS(Portefeuille_MNT_PPS_Access15[TR 2030],Portefeuille_MNT_PPS_Access15[État Composante TR],"&lt;&gt;PR")</f>
        <v>78862</v>
      </c>
      <c r="AV9" s="260"/>
      <c r="AW9" s="260">
        <f>SUMIFS(Portefeuille_MNT_PPS_Access15[TR 2031],Portefeuille_MNT_PPS_Access15[État Composante TR],"&lt;&gt;PR")</f>
        <v>100119</v>
      </c>
      <c r="AX9" s="260"/>
      <c r="AY9" s="260">
        <f>SUMIFS(Portefeuille_MNT_PPS_Access15[TR 2032],Portefeuille_MNT_PPS_Access15[État Composante TR],"&lt;&gt;PR")</f>
        <v>93600</v>
      </c>
      <c r="AZ9" s="260"/>
      <c r="BA9" s="260">
        <f>SUMIFS(Portefeuille_MNT_PPS_Access15[TR 2033],Portefeuille_MNT_PPS_Access15[État Composante TR],"&lt;&gt;PR")</f>
        <v>101700</v>
      </c>
      <c r="BB9" s="260"/>
      <c r="BC9" s="260">
        <f>SUMIFS(Portefeuille_MNT_PPS_Access15[TR 2034],Portefeuille_MNT_PPS_Access15[État Composante TR],"&lt;&gt;PR")</f>
        <v>97400</v>
      </c>
      <c r="BD9" s="260"/>
      <c r="BE9" s="78"/>
      <c r="BF9" s="78"/>
      <c r="BG9" s="16">
        <f t="shared" si="0"/>
        <v>271642</v>
      </c>
      <c r="BH9" s="18">
        <f t="shared" si="1"/>
        <v>743323</v>
      </c>
    </row>
    <row r="10" spans="1:66" x14ac:dyDescent="0.3">
      <c r="V10" s="36"/>
      <c r="W10" s="36"/>
      <c r="X10" s="36"/>
      <c r="Y10" s="36"/>
      <c r="Z10" s="36"/>
      <c r="AC10" s="35" t="s">
        <v>28</v>
      </c>
      <c r="AD10" s="140">
        <v>0.25</v>
      </c>
      <c r="AE10" s="164"/>
      <c r="AF10" s="117" t="s">
        <v>29</v>
      </c>
      <c r="AG10" s="262">
        <f>AG8+AG9</f>
        <v>3590</v>
      </c>
      <c r="AH10" s="262"/>
      <c r="AI10" s="262">
        <f>AI8+AI9</f>
        <v>0</v>
      </c>
      <c r="AJ10" s="262"/>
      <c r="AK10" s="262">
        <f>AK8+AK9</f>
        <v>0</v>
      </c>
      <c r="AL10" s="262"/>
      <c r="AM10" s="262">
        <f>AM8+AM9</f>
        <v>1690</v>
      </c>
      <c r="AN10" s="262"/>
      <c r="AO10" s="262">
        <f>AO8+AO9</f>
        <v>90369</v>
      </c>
      <c r="AP10" s="262"/>
      <c r="AQ10" s="262">
        <f>AQ8+AQ9</f>
        <v>100078</v>
      </c>
      <c r="AR10" s="262"/>
      <c r="AS10" s="262">
        <f>AS8+AS9</f>
        <v>97120</v>
      </c>
      <c r="AT10" s="262"/>
      <c r="AU10" s="262">
        <f>AU8+AU9</f>
        <v>85112</v>
      </c>
      <c r="AV10" s="262"/>
      <c r="AW10" s="262">
        <f>AW8+AW9</f>
        <v>105394</v>
      </c>
      <c r="AX10" s="262"/>
      <c r="AY10" s="262">
        <f>AY8+AY9</f>
        <v>101225</v>
      </c>
      <c r="AZ10" s="262"/>
      <c r="BA10" s="262">
        <f>BA8+BA9</f>
        <v>105450</v>
      </c>
      <c r="BB10" s="262"/>
      <c r="BC10" s="262">
        <f>BC8+BC9</f>
        <v>100700</v>
      </c>
      <c r="BD10" s="262"/>
      <c r="BE10" s="20"/>
      <c r="BF10" s="20"/>
      <c r="BG10" s="20">
        <f t="shared" si="0"/>
        <v>289257</v>
      </c>
      <c r="BH10" s="169">
        <f t="shared" si="1"/>
        <v>787138</v>
      </c>
    </row>
    <row r="11" spans="1:66" ht="15.6" x14ac:dyDescent="0.3">
      <c r="AC11" s="70" t="s">
        <v>30</v>
      </c>
      <c r="AD11" s="141">
        <f>SUM(AD7:AD10)</f>
        <v>1</v>
      </c>
      <c r="AE11" s="164"/>
      <c r="AF11" s="143" t="s">
        <v>31</v>
      </c>
      <c r="AG11" s="261">
        <f>AG10+AG7</f>
        <v>176706</v>
      </c>
      <c r="AH11" s="259"/>
      <c r="AI11" s="258">
        <f>AI10+AI7</f>
        <v>81642</v>
      </c>
      <c r="AJ11" s="259"/>
      <c r="AK11" s="258">
        <f>AK10+AK7-AK4</f>
        <v>60508</v>
      </c>
      <c r="AL11" s="259"/>
      <c r="AM11" s="258">
        <f t="shared" ref="AM11" si="2">AM10+AM7-AM4</f>
        <v>79184</v>
      </c>
      <c r="AN11" s="259"/>
      <c r="AO11" s="258">
        <f t="shared" ref="AO11" si="3">AO10+AO7-AO4</f>
        <v>106525</v>
      </c>
      <c r="AP11" s="259"/>
      <c r="AQ11" s="258">
        <f t="shared" ref="AQ11" si="4">AQ10+AQ7-AQ4</f>
        <v>111094</v>
      </c>
      <c r="AR11" s="259"/>
      <c r="AS11" s="258">
        <f t="shared" ref="AS11" si="5">AS10+AS7-AS4</f>
        <v>106612</v>
      </c>
      <c r="AT11" s="259"/>
      <c r="AU11" s="258">
        <f t="shared" ref="AU11" si="6">AU10+AU7-AU4</f>
        <v>94320</v>
      </c>
      <c r="AV11" s="259"/>
      <c r="AW11" s="258">
        <f t="shared" ref="AW11" si="7">AW10+AW7-AW4</f>
        <v>107216</v>
      </c>
      <c r="AX11" s="259"/>
      <c r="AY11" s="258">
        <f t="shared" ref="AY11" si="8">AY10+AY7-AY4</f>
        <v>101225</v>
      </c>
      <c r="AZ11" s="259"/>
      <c r="BA11" s="258">
        <f t="shared" ref="BA11" si="9">BA10+BA7-BA4</f>
        <v>105450</v>
      </c>
      <c r="BB11" s="259"/>
      <c r="BC11" s="258">
        <f t="shared" ref="BC11" si="10">BC10+BC7-BC4</f>
        <v>100700</v>
      </c>
      <c r="BD11" s="259"/>
      <c r="BE11" s="167"/>
      <c r="BF11" s="167"/>
      <c r="BG11" s="21">
        <f>SUM(AK11:AT11)</f>
        <v>463923</v>
      </c>
      <c r="BH11" s="170">
        <f xml:space="preserve"> SUM(AK11:BD11)</f>
        <v>972834</v>
      </c>
    </row>
    <row r="12" spans="1:66" ht="15.6" x14ac:dyDescent="0.3">
      <c r="AC12" s="24"/>
      <c r="AD12" s="7"/>
      <c r="AE12" s="163"/>
      <c r="AF12" s="83" t="s">
        <v>32</v>
      </c>
      <c r="AG12" s="260"/>
      <c r="AH12" s="260"/>
      <c r="AI12" s="260"/>
      <c r="AJ12" s="260"/>
      <c r="AK12" s="260"/>
      <c r="AL12" s="28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78"/>
      <c r="BF12" s="78"/>
      <c r="BG12" s="76">
        <v>0</v>
      </c>
      <c r="BH12" s="77">
        <v>0</v>
      </c>
    </row>
    <row r="13" spans="1:66" ht="15.6" x14ac:dyDescent="0.3">
      <c r="AC13" s="24"/>
      <c r="AD13" s="158"/>
      <c r="AE13" s="142"/>
      <c r="AF13" s="159" t="s">
        <v>33</v>
      </c>
      <c r="AG13" s="21"/>
      <c r="AH13" s="64"/>
      <c r="AI13" s="258">
        <f>AI12+AI11</f>
        <v>81642</v>
      </c>
      <c r="AJ13" s="259"/>
      <c r="AK13" s="258">
        <f t="shared" ref="AK13" si="11">AK12+AK11</f>
        <v>60508</v>
      </c>
      <c r="AL13" s="259"/>
      <c r="AM13" s="258">
        <f t="shared" ref="AM13" si="12">AM12+AM11</f>
        <v>79184</v>
      </c>
      <c r="AN13" s="259"/>
      <c r="AO13" s="258">
        <f t="shared" ref="AO13" si="13">AO12+AO11</f>
        <v>106525</v>
      </c>
      <c r="AP13" s="259"/>
      <c r="AQ13" s="258">
        <f t="shared" ref="AQ13" si="14">AQ12+AQ11</f>
        <v>111094</v>
      </c>
      <c r="AR13" s="259"/>
      <c r="AS13" s="258">
        <f t="shared" ref="AS13" si="15">AS12+AS11</f>
        <v>106612</v>
      </c>
      <c r="AT13" s="259"/>
      <c r="AU13" s="258">
        <f t="shared" ref="AU13" si="16">AU12+AU11</f>
        <v>94320</v>
      </c>
      <c r="AV13" s="259"/>
      <c r="AW13" s="258">
        <f t="shared" ref="AW13" si="17">AW12+AW11</f>
        <v>107216</v>
      </c>
      <c r="AX13" s="259"/>
      <c r="AY13" s="258">
        <f t="shared" ref="AY13" si="18">AY12+AY11</f>
        <v>101225</v>
      </c>
      <c r="AZ13" s="259"/>
      <c r="BA13" s="258">
        <f t="shared" ref="BA13" si="19">BA12+BA11</f>
        <v>105450</v>
      </c>
      <c r="BB13" s="259"/>
      <c r="BC13" s="258">
        <f t="shared" ref="BC13" si="20">BC12+BC11</f>
        <v>100700</v>
      </c>
      <c r="BD13" s="259"/>
      <c r="BE13" s="167"/>
      <c r="BF13" s="167"/>
      <c r="BG13" s="21">
        <f>BG12+BG11</f>
        <v>463923</v>
      </c>
      <c r="BH13" s="170">
        <f>BH12+BH11</f>
        <v>972834</v>
      </c>
    </row>
    <row r="14" spans="1:66" ht="15.6" x14ac:dyDescent="0.3">
      <c r="AE14" s="165"/>
      <c r="AF14" s="144" t="s">
        <v>34</v>
      </c>
      <c r="AG14" s="256"/>
      <c r="AH14" s="257"/>
      <c r="AI14" s="256">
        <v>61550</v>
      </c>
      <c r="AJ14" s="257"/>
      <c r="AK14" s="256">
        <f>75500-8285</f>
        <v>67215</v>
      </c>
      <c r="AL14" s="257"/>
      <c r="AM14" s="256">
        <v>75500</v>
      </c>
      <c r="AN14" s="257"/>
      <c r="AO14" s="256">
        <v>75500</v>
      </c>
      <c r="AP14" s="257"/>
      <c r="AQ14" s="256">
        <v>75500</v>
      </c>
      <c r="AR14" s="257"/>
      <c r="AS14" s="256">
        <v>75500</v>
      </c>
      <c r="AT14" s="257"/>
      <c r="AU14" s="256">
        <v>75500</v>
      </c>
      <c r="AV14" s="257"/>
      <c r="AW14" s="256">
        <v>75500</v>
      </c>
      <c r="AX14" s="257"/>
      <c r="AY14" s="256">
        <v>75500</v>
      </c>
      <c r="AZ14" s="257"/>
      <c r="BA14" s="256">
        <v>75500</v>
      </c>
      <c r="BB14" s="257"/>
      <c r="BC14" s="256">
        <v>75500</v>
      </c>
      <c r="BD14" s="257"/>
      <c r="BE14" s="81"/>
      <c r="BF14" s="81"/>
      <c r="BG14" s="17">
        <f>SUM(AK14:AT14)</f>
        <v>369215</v>
      </c>
      <c r="BH14" s="19">
        <f xml:space="preserve"> SUM(AK14:BD14)</f>
        <v>746715</v>
      </c>
    </row>
    <row r="15" spans="1:66" ht="15.6" x14ac:dyDescent="0.3">
      <c r="AE15" s="165"/>
      <c r="AF15" s="84" t="s">
        <v>35</v>
      </c>
      <c r="AG15" s="252"/>
      <c r="AH15" s="253"/>
      <c r="AI15" s="252">
        <f>AI14-AI13</f>
        <v>-20092</v>
      </c>
      <c r="AJ15" s="253"/>
      <c r="AK15" s="252">
        <f>AK14-AK13</f>
        <v>6707</v>
      </c>
      <c r="AL15" s="253"/>
      <c r="AM15" s="252">
        <f>AM14-AM13</f>
        <v>-3684</v>
      </c>
      <c r="AN15" s="253"/>
      <c r="AO15" s="252">
        <f t="shared" ref="AO15" si="21">AO14-AO13</f>
        <v>-31025</v>
      </c>
      <c r="AP15" s="253"/>
      <c r="AQ15" s="252">
        <f t="shared" ref="AQ15" si="22">AQ14-AQ13</f>
        <v>-35594</v>
      </c>
      <c r="AR15" s="253"/>
      <c r="AS15" s="252">
        <f t="shared" ref="AS15" si="23">AS14-AS13</f>
        <v>-31112</v>
      </c>
      <c r="AT15" s="253"/>
      <c r="AU15" s="252">
        <f t="shared" ref="AU15" si="24">AU14-AU13</f>
        <v>-18820</v>
      </c>
      <c r="AV15" s="253"/>
      <c r="AW15" s="252">
        <f t="shared" ref="AW15" si="25">AW14-AW13</f>
        <v>-31716</v>
      </c>
      <c r="AX15" s="253"/>
      <c r="AY15" s="252">
        <f t="shared" ref="AY15" si="26">AY14-AY13</f>
        <v>-25725</v>
      </c>
      <c r="AZ15" s="253"/>
      <c r="BA15" s="252">
        <f t="shared" ref="BA15" si="27">BA14-BA13</f>
        <v>-29950</v>
      </c>
      <c r="BB15" s="253"/>
      <c r="BC15" s="252">
        <f t="shared" ref="BC15" si="28">BC14-BC13</f>
        <v>-25200</v>
      </c>
      <c r="BD15" s="253"/>
      <c r="BE15" s="79"/>
      <c r="BF15" s="79"/>
      <c r="BG15" s="23">
        <f>BG14-BG13</f>
        <v>-94708</v>
      </c>
      <c r="BH15" s="171">
        <f>BH14-BH13</f>
        <v>-226119</v>
      </c>
    </row>
    <row r="16" spans="1:66" ht="15.6" x14ac:dyDescent="0.3">
      <c r="AE16" s="166"/>
      <c r="AF16" s="145" t="s">
        <v>36</v>
      </c>
      <c r="AG16" s="254"/>
      <c r="AH16" s="255"/>
      <c r="AI16" s="254">
        <f>(AI13-AI14)/AI14</f>
        <v>0.32643379366368808</v>
      </c>
      <c r="AJ16" s="255"/>
      <c r="AK16" s="254">
        <f t="shared" ref="AK16" si="29">(AK13-AK14)/AK14</f>
        <v>-9.9784274343524507E-2</v>
      </c>
      <c r="AL16" s="255"/>
      <c r="AM16" s="254">
        <f>(AM14-AM13)/AM14</f>
        <v>-4.8794701986754965E-2</v>
      </c>
      <c r="AN16" s="255"/>
      <c r="AO16" s="254">
        <f t="shared" ref="AO16" si="30">(AO14-AO13)/AO14</f>
        <v>-0.41092715231788079</v>
      </c>
      <c r="AP16" s="255"/>
      <c r="AQ16" s="254">
        <f t="shared" ref="AQ16" si="31">(AQ14-AQ13)/AQ14</f>
        <v>-0.47144370860927154</v>
      </c>
      <c r="AR16" s="255"/>
      <c r="AS16" s="254">
        <f t="shared" ref="AS16" si="32">(AS14-AS13)/AS14</f>
        <v>-0.41207947019867552</v>
      </c>
      <c r="AT16" s="255"/>
      <c r="AU16" s="254">
        <f t="shared" ref="AU16" si="33">(AU14-AU13)/AU14</f>
        <v>-0.24927152317880794</v>
      </c>
      <c r="AV16" s="255"/>
      <c r="AW16" s="254">
        <f t="shared" ref="AW16" si="34">(AW14-AW13)/AW14</f>
        <v>-0.42007947019867548</v>
      </c>
      <c r="AX16" s="255"/>
      <c r="AY16" s="254">
        <f t="shared" ref="AY16" si="35">(AY14-AY13)/AY14</f>
        <v>-0.34072847682119206</v>
      </c>
      <c r="AZ16" s="255"/>
      <c r="BA16" s="254">
        <f t="shared" ref="BA16" si="36">(BA14-BA13)/BA14</f>
        <v>-0.39668874172185431</v>
      </c>
      <c r="BB16" s="255"/>
      <c r="BC16" s="254">
        <f t="shared" ref="BC16" si="37">(BC14-BC13)/BC14</f>
        <v>-0.33377483443708611</v>
      </c>
      <c r="BD16" s="255"/>
      <c r="BE16" s="22"/>
      <c r="BF16" s="22"/>
      <c r="BG16" s="22">
        <f>(BG13-BG14)/BG14</f>
        <v>0.25651178852430156</v>
      </c>
      <c r="BH16" s="172">
        <f>(BH13-BH14)/BH14</f>
        <v>0.30281834434824534</v>
      </c>
    </row>
    <row r="17" spans="1:57" ht="13.95" customHeight="1" thickBot="1" x14ac:dyDescent="0.35">
      <c r="AJ17" s="8"/>
      <c r="AK17"/>
      <c r="AU17"/>
    </row>
    <row r="18" spans="1:57" s="11" customFormat="1" ht="75.599999999999994" customHeight="1" x14ac:dyDescent="0.3">
      <c r="A18" t="s">
        <v>274</v>
      </c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  <c r="H18" s="11" t="s">
        <v>44</v>
      </c>
      <c r="I18" s="11" t="s">
        <v>45</v>
      </c>
      <c r="J18" s="11" t="s">
        <v>46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538</v>
      </c>
      <c r="P18" s="11" t="s">
        <v>537</v>
      </c>
      <c r="Q18" s="11" t="s">
        <v>535</v>
      </c>
      <c r="R18" s="11" t="s">
        <v>534</v>
      </c>
      <c r="S18" s="11" t="s">
        <v>536</v>
      </c>
      <c r="T18" s="11" t="s">
        <v>51</v>
      </c>
      <c r="U18" s="11" t="s">
        <v>52</v>
      </c>
      <c r="V18" s="9" t="s">
        <v>53</v>
      </c>
      <c r="W18" s="9" t="s">
        <v>54</v>
      </c>
      <c r="X18" s="9" t="s">
        <v>55</v>
      </c>
      <c r="Y18" s="9" t="s">
        <v>72</v>
      </c>
      <c r="Z18" s="9" t="s">
        <v>26</v>
      </c>
      <c r="AA18" s="9" t="s">
        <v>73</v>
      </c>
      <c r="AB18" s="9" t="s">
        <v>74</v>
      </c>
      <c r="AC18" s="9" t="s">
        <v>56</v>
      </c>
      <c r="AD18" s="10" t="s">
        <v>75</v>
      </c>
      <c r="AE18" s="9" t="s">
        <v>69</v>
      </c>
      <c r="AF18" s="9" t="s">
        <v>71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100</v>
      </c>
    </row>
    <row r="19" spans="1:57" x14ac:dyDescent="0.3">
      <c r="B19" t="s">
        <v>126</v>
      </c>
      <c r="C19" t="s">
        <v>127</v>
      </c>
      <c r="D19" t="s">
        <v>136</v>
      </c>
      <c r="E19" t="s">
        <v>104</v>
      </c>
      <c r="F19" t="s">
        <v>16</v>
      </c>
      <c r="G19" t="s">
        <v>16</v>
      </c>
      <c r="H19" t="s">
        <v>105</v>
      </c>
      <c r="I19" t="s">
        <v>300</v>
      </c>
      <c r="J19" t="s">
        <v>301</v>
      </c>
      <c r="K19" t="s">
        <v>302</v>
      </c>
      <c r="L19" t="s">
        <v>176</v>
      </c>
      <c r="M19" t="s">
        <v>164</v>
      </c>
      <c r="N19" s="1">
        <v>41907</v>
      </c>
      <c r="O1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1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2</v>
      </c>
      <c r="R1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</v>
      </c>
      <c r="S19">
        <f>Portefeuille_MNT_PPS_Access15[[#This Row],[Délais PC1 et PC3]]+Portefeuille_MNT_PPS_Access15[[#This Row],[Délais PC3 et PC5]]</f>
        <v>5</v>
      </c>
      <c r="T19" s="1">
        <v>41968</v>
      </c>
      <c r="U19" s="1">
        <v>42045</v>
      </c>
      <c r="V19">
        <v>1</v>
      </c>
      <c r="W19">
        <v>5</v>
      </c>
      <c r="X19">
        <v>5</v>
      </c>
      <c r="Y19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19" s="12" t="e">
        <f>_xlfn.XLOOKUP(Portefeuille_MNT_PPS_Access15[[#This Row],[Numéro projet]],Tableau5[Numéro projet],Tableau5[IND_Site_Prioritaire])</f>
        <v>#N/A</v>
      </c>
      <c r="AA19" s="2" t="e">
        <f>_xlfn.XLOOKUP(Portefeuille_MNT_PPS_Access15[[#This Row],[Numéro projet]],Tableau5[Numéro projet],Tableau5[Critère Etat Infrastructure])</f>
        <v>#N/A</v>
      </c>
      <c r="AB1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9">
        <v>5</v>
      </c>
      <c r="AD19" s="63"/>
      <c r="AE19" t="s">
        <v>165</v>
      </c>
      <c r="AF19" s="2"/>
      <c r="AG19">
        <v>2582</v>
      </c>
      <c r="AH19">
        <v>17091</v>
      </c>
      <c r="AI19">
        <v>35</v>
      </c>
      <c r="AJ19">
        <v>96</v>
      </c>
      <c r="AK19"/>
      <c r="AU19"/>
      <c r="BE19" s="14">
        <f>SUM(Portefeuille_MNT_PPS_Access15[[#This Row],[AC ANT]:[TR 2034]])</f>
        <v>19804</v>
      </c>
    </row>
    <row r="20" spans="1:57" x14ac:dyDescent="0.3">
      <c r="B20" t="s">
        <v>126</v>
      </c>
      <c r="C20" t="s">
        <v>127</v>
      </c>
      <c r="D20" t="s">
        <v>136</v>
      </c>
      <c r="E20" t="s">
        <v>104</v>
      </c>
      <c r="F20" t="s">
        <v>16</v>
      </c>
      <c r="G20" t="s">
        <v>16</v>
      </c>
      <c r="H20" t="s">
        <v>105</v>
      </c>
      <c r="I20" t="s">
        <v>162</v>
      </c>
      <c r="J20" t="s">
        <v>163</v>
      </c>
      <c r="K20" t="s">
        <v>122</v>
      </c>
      <c r="L20" t="s">
        <v>176</v>
      </c>
      <c r="M20" t="s">
        <v>164</v>
      </c>
      <c r="N20" s="1"/>
      <c r="O2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2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2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2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20">
        <f>Portefeuille_MNT_PPS_Access15[[#This Row],[Délais PC1 et PC3]]+Portefeuille_MNT_PPS_Access15[[#This Row],[Délais PC3 et PC5]]</f>
        <v>0</v>
      </c>
      <c r="T20" s="1"/>
      <c r="U20" s="1"/>
      <c r="V20">
        <v>1</v>
      </c>
      <c r="Y2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20" s="12" t="e">
        <f>_xlfn.XLOOKUP(Portefeuille_MNT_PPS_Access15[[#This Row],[Numéro projet]],Tableau5[Numéro projet],Tableau5[IND_Site_Prioritaire])</f>
        <v>#N/A</v>
      </c>
      <c r="AA20" s="2" t="e">
        <f>_xlfn.XLOOKUP(Portefeuille_MNT_PPS_Access15[[#This Row],[Numéro projet]],Tableau5[Numéro projet],Tableau5[Critère Etat Infrastructure])</f>
        <v>#N/A</v>
      </c>
      <c r="AB20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20" s="63"/>
      <c r="AE20" t="s">
        <v>165</v>
      </c>
      <c r="AF20" s="2">
        <v>5</v>
      </c>
      <c r="AG20">
        <v>5398</v>
      </c>
      <c r="AH20">
        <v>28152</v>
      </c>
      <c r="AI20">
        <v>79</v>
      </c>
      <c r="AJ20">
        <v>891</v>
      </c>
      <c r="AK20">
        <v>399</v>
      </c>
      <c r="AL20">
        <v>67</v>
      </c>
      <c r="AM20">
        <v>60</v>
      </c>
      <c r="AU20"/>
      <c r="BE20" s="14">
        <f>SUM(Portefeuille_MNT_PPS_Access15[[#This Row],[AC ANT]:[TR 2034]])</f>
        <v>35046</v>
      </c>
    </row>
    <row r="21" spans="1:57" x14ac:dyDescent="0.3">
      <c r="B21" t="s">
        <v>101</v>
      </c>
      <c r="C21" t="s">
        <v>102</v>
      </c>
      <c r="D21" t="s">
        <v>136</v>
      </c>
      <c r="E21" t="s">
        <v>104</v>
      </c>
      <c r="F21" t="s">
        <v>16</v>
      </c>
      <c r="G21" t="s">
        <v>130</v>
      </c>
      <c r="H21" t="s">
        <v>105</v>
      </c>
      <c r="I21" t="s">
        <v>170</v>
      </c>
      <c r="J21" t="s">
        <v>171</v>
      </c>
      <c r="K21" t="s">
        <v>172</v>
      </c>
      <c r="L21" t="s">
        <v>173</v>
      </c>
      <c r="M21" t="s">
        <v>110</v>
      </c>
      <c r="N21" s="1">
        <v>44833</v>
      </c>
      <c r="O2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2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39</v>
      </c>
      <c r="R2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10</v>
      </c>
      <c r="S21">
        <f>Portefeuille_MNT_PPS_Access15[[#This Row],[Délais PC1 et PC3]]+Portefeuille_MNT_PPS_Access15[[#This Row],[Délais PC3 et PC5]]</f>
        <v>49</v>
      </c>
      <c r="T21" s="1">
        <v>46006</v>
      </c>
      <c r="U21" s="1">
        <v>46310</v>
      </c>
      <c r="V21">
        <v>1</v>
      </c>
      <c r="W21">
        <v>1</v>
      </c>
      <c r="X21">
        <v>1</v>
      </c>
      <c r="Y2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21" s="12" t="e">
        <f>_xlfn.XLOOKUP(Portefeuille_MNT_PPS_Access15[[#This Row],[Numéro projet]],Tableau5[Numéro projet],Tableau5[IND_Site_Prioritaire])</f>
        <v>#N/A</v>
      </c>
      <c r="AA21" s="2" t="e">
        <f>_xlfn.XLOOKUP(Portefeuille_MNT_PPS_Access15[[#This Row],[Numéro projet]],Tableau5[Numéro projet],Tableau5[Critère Etat Infrastructure])</f>
        <v>#N/A</v>
      </c>
      <c r="AB2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21">
        <v>5</v>
      </c>
      <c r="AD21" s="63"/>
      <c r="AE21" t="s">
        <v>112</v>
      </c>
      <c r="AF21" s="2"/>
      <c r="AG21">
        <v>497</v>
      </c>
      <c r="AH21">
        <v>8</v>
      </c>
      <c r="AI21">
        <v>217</v>
      </c>
      <c r="AK21">
        <v>1064</v>
      </c>
      <c r="AM21">
        <v>1008</v>
      </c>
      <c r="AO21">
        <v>1886</v>
      </c>
      <c r="AP21">
        <v>15737</v>
      </c>
      <c r="AQ21">
        <v>704</v>
      </c>
      <c r="AR21">
        <v>4000</v>
      </c>
      <c r="AU21"/>
      <c r="BE21" s="14">
        <f>SUM(Portefeuille_MNT_PPS_Access15[[#This Row],[AC ANT]:[TR 2034]])</f>
        <v>25121</v>
      </c>
    </row>
    <row r="22" spans="1:57" x14ac:dyDescent="0.3">
      <c r="B22" t="s">
        <v>101</v>
      </c>
      <c r="C22" t="s">
        <v>102</v>
      </c>
      <c r="D22" t="s">
        <v>136</v>
      </c>
      <c r="E22" t="s">
        <v>113</v>
      </c>
      <c r="F22" t="s">
        <v>16</v>
      </c>
      <c r="G22" t="s">
        <v>16</v>
      </c>
      <c r="H22" t="s">
        <v>131</v>
      </c>
      <c r="I22" t="s">
        <v>137</v>
      </c>
      <c r="J22" t="s">
        <v>138</v>
      </c>
      <c r="K22" t="s">
        <v>139</v>
      </c>
      <c r="L22" t="s">
        <v>109</v>
      </c>
      <c r="M22" t="s">
        <v>123</v>
      </c>
      <c r="N22" s="1">
        <v>45062</v>
      </c>
      <c r="O2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2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21</v>
      </c>
      <c r="R2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9</v>
      </c>
      <c r="S22">
        <f>Portefeuille_MNT_PPS_Access15[[#This Row],[Délais PC1 et PC3]]+Portefeuille_MNT_PPS_Access15[[#This Row],[Délais PC3 et PC5]]</f>
        <v>30</v>
      </c>
      <c r="T22" s="1">
        <v>45698</v>
      </c>
      <c r="U22" s="1">
        <v>45962</v>
      </c>
      <c r="V22">
        <v>1</v>
      </c>
      <c r="W22">
        <v>1</v>
      </c>
      <c r="X22">
        <v>1</v>
      </c>
      <c r="Y2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22" s="12" t="e">
        <f>_xlfn.XLOOKUP(Portefeuille_MNT_PPS_Access15[[#This Row],[Numéro projet]],Tableau5[Numéro projet],Tableau5[IND_Site_Prioritaire])</f>
        <v>#N/A</v>
      </c>
      <c r="AA22" s="2" t="e">
        <f>_xlfn.XLOOKUP(Portefeuille_MNT_PPS_Access15[[#This Row],[Numéro projet]],Tableau5[Numéro projet],Tableau5[Critère Etat Infrastructure])</f>
        <v>#N/A</v>
      </c>
      <c r="AB2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22">
        <v>5</v>
      </c>
      <c r="AD22" s="63"/>
      <c r="AE22" t="s">
        <v>125</v>
      </c>
      <c r="AF22" s="2"/>
      <c r="AG22">
        <v>337</v>
      </c>
      <c r="AH22">
        <v>41</v>
      </c>
      <c r="AI22">
        <v>336</v>
      </c>
      <c r="AK22">
        <v>355</v>
      </c>
      <c r="AM22">
        <v>1006</v>
      </c>
      <c r="AN22">
        <v>5870</v>
      </c>
      <c r="AU22"/>
      <c r="BE22" s="14">
        <f>SUM(Portefeuille_MNT_PPS_Access15[[#This Row],[AC ANT]:[TR 2034]])</f>
        <v>7945</v>
      </c>
    </row>
    <row r="23" spans="1:57" x14ac:dyDescent="0.3">
      <c r="B23" t="s">
        <v>126</v>
      </c>
      <c r="C23" t="s">
        <v>127</v>
      </c>
      <c r="D23" t="s">
        <v>136</v>
      </c>
      <c r="E23" t="s">
        <v>104</v>
      </c>
      <c r="F23" t="s">
        <v>16</v>
      </c>
      <c r="G23" t="s">
        <v>16</v>
      </c>
      <c r="H23" t="s">
        <v>131</v>
      </c>
      <c r="I23" t="s">
        <v>303</v>
      </c>
      <c r="J23" t="s">
        <v>304</v>
      </c>
      <c r="K23" t="s">
        <v>194</v>
      </c>
      <c r="L23" t="s">
        <v>176</v>
      </c>
      <c r="M23" t="s">
        <v>164</v>
      </c>
      <c r="N23" s="1">
        <v>43270</v>
      </c>
      <c r="O2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2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31</v>
      </c>
      <c r="R2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5</v>
      </c>
      <c r="S23">
        <f>Portefeuille_MNT_PPS_Access15[[#This Row],[Délais PC1 et PC3]]+Portefeuille_MNT_PPS_Access15[[#This Row],[Délais PC3 et PC5]]</f>
        <v>36</v>
      </c>
      <c r="T23" s="1">
        <v>44222</v>
      </c>
      <c r="U23" s="1">
        <v>44356</v>
      </c>
      <c r="V23">
        <v>1</v>
      </c>
      <c r="W23">
        <v>5</v>
      </c>
      <c r="X23">
        <v>5</v>
      </c>
      <c r="Y23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23" s="12" t="e">
        <f>_xlfn.XLOOKUP(Portefeuille_MNT_PPS_Access15[[#This Row],[Numéro projet]],Tableau5[Numéro projet],Tableau5[IND_Site_Prioritaire])</f>
        <v>#N/A</v>
      </c>
      <c r="AA23" s="2" t="e">
        <f>_xlfn.XLOOKUP(Portefeuille_MNT_PPS_Access15[[#This Row],[Numéro projet]],Tableau5[Numéro projet],Tableau5[Critère Etat Infrastructure])</f>
        <v>#N/A</v>
      </c>
      <c r="AB23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23">
        <v>5</v>
      </c>
      <c r="AD23" s="62"/>
      <c r="AE23" t="s">
        <v>165</v>
      </c>
      <c r="AF23" s="2">
        <v>5</v>
      </c>
      <c r="AG23">
        <v>569</v>
      </c>
      <c r="AH23">
        <v>2223</v>
      </c>
      <c r="AI23">
        <v>48</v>
      </c>
      <c r="AJ23">
        <v>50</v>
      </c>
      <c r="AK23"/>
      <c r="AU23"/>
      <c r="BE23" s="14">
        <f>SUM(Portefeuille_MNT_PPS_Access15[[#This Row],[AC ANT]:[TR 2034]])</f>
        <v>2890</v>
      </c>
    </row>
    <row r="24" spans="1:57" x14ac:dyDescent="0.3">
      <c r="B24" t="s">
        <v>101</v>
      </c>
      <c r="C24" t="s">
        <v>102</v>
      </c>
      <c r="D24" t="s">
        <v>103</v>
      </c>
      <c r="E24" t="s">
        <v>104</v>
      </c>
      <c r="F24" t="s">
        <v>16</v>
      </c>
      <c r="G24" t="s">
        <v>16</v>
      </c>
      <c r="H24" t="s">
        <v>105</v>
      </c>
      <c r="I24" t="s">
        <v>215</v>
      </c>
      <c r="J24" t="s">
        <v>216</v>
      </c>
      <c r="K24" t="s">
        <v>217</v>
      </c>
      <c r="L24" t="s">
        <v>148</v>
      </c>
      <c r="M24" t="s">
        <v>164</v>
      </c>
      <c r="N24" s="1">
        <v>44838</v>
      </c>
      <c r="O2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2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19</v>
      </c>
      <c r="R2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6</v>
      </c>
      <c r="S24">
        <f>Portefeuille_MNT_PPS_Access15[[#This Row],[Délais PC1 et PC3]]+Portefeuille_MNT_PPS_Access15[[#This Row],[Délais PC3 et PC5]]</f>
        <v>25</v>
      </c>
      <c r="T24" s="1">
        <v>45441</v>
      </c>
      <c r="U24" s="1">
        <v>45623</v>
      </c>
      <c r="V24">
        <v>1</v>
      </c>
      <c r="W24">
        <v>5</v>
      </c>
      <c r="X24">
        <v>5</v>
      </c>
      <c r="Y24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24" s="12" t="e">
        <f>_xlfn.XLOOKUP(Portefeuille_MNT_PPS_Access15[[#This Row],[Numéro projet]],Tableau5[Numéro projet],Tableau5[IND_Site_Prioritaire])</f>
        <v>#N/A</v>
      </c>
      <c r="AA24" s="2" t="e">
        <f>_xlfn.XLOOKUP(Portefeuille_MNT_PPS_Access15[[#This Row],[Numéro projet]],Tableau5[Numéro projet],Tableau5[Critère Etat Infrastructure])</f>
        <v>#N/A</v>
      </c>
      <c r="AB2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24">
        <v>5</v>
      </c>
      <c r="AD24" s="63"/>
      <c r="AE24" t="s">
        <v>165</v>
      </c>
      <c r="AF24" s="2"/>
      <c r="AG24">
        <v>218</v>
      </c>
      <c r="AH24">
        <v>3</v>
      </c>
      <c r="AI24">
        <v>98</v>
      </c>
      <c r="AK24">
        <v>641</v>
      </c>
      <c r="AL24">
        <v>12563</v>
      </c>
      <c r="AU24"/>
      <c r="BE24" s="14">
        <f>SUM(Portefeuille_MNT_PPS_Access15[[#This Row],[AC ANT]:[TR 2034]])</f>
        <v>13523</v>
      </c>
    </row>
    <row r="25" spans="1:57" x14ac:dyDescent="0.3">
      <c r="B25" t="s">
        <v>101</v>
      </c>
      <c r="C25" t="s">
        <v>102</v>
      </c>
      <c r="D25" t="s">
        <v>103</v>
      </c>
      <c r="E25" t="s">
        <v>104</v>
      </c>
      <c r="F25" t="s">
        <v>16</v>
      </c>
      <c r="G25" t="s">
        <v>16</v>
      </c>
      <c r="H25" t="s">
        <v>105</v>
      </c>
      <c r="I25" t="s">
        <v>305</v>
      </c>
      <c r="J25" t="s">
        <v>306</v>
      </c>
      <c r="K25" t="s">
        <v>302</v>
      </c>
      <c r="M25" t="s">
        <v>164</v>
      </c>
      <c r="N25" s="1">
        <v>43612</v>
      </c>
      <c r="O25" s="1" t="e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#NUM!</v>
      </c>
      <c r="P25" s="1" t="e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#NUM!</v>
      </c>
      <c r="Q2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16</v>
      </c>
      <c r="R2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</v>
      </c>
      <c r="S25">
        <f>Portefeuille_MNT_PPS_Access15[[#This Row],[Délais PC1 et PC3]]+Portefeuille_MNT_PPS_Access15[[#This Row],[Délais PC3 et PC5]]</f>
        <v>19</v>
      </c>
      <c r="T25" s="1">
        <v>44098</v>
      </c>
      <c r="U25" s="1">
        <v>44188</v>
      </c>
      <c r="V25">
        <v>1</v>
      </c>
      <c r="W25">
        <v>5</v>
      </c>
      <c r="X25">
        <v>5</v>
      </c>
      <c r="Y2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25" s="12" t="e">
        <f>_xlfn.XLOOKUP(Portefeuille_MNT_PPS_Access15[[#This Row],[Numéro projet]],Tableau5[Numéro projet],Tableau5[IND_Site_Prioritaire])</f>
        <v>#N/A</v>
      </c>
      <c r="AA25" s="2" t="e">
        <f>_xlfn.XLOOKUP(Portefeuille_MNT_PPS_Access15[[#This Row],[Numéro projet]],Tableau5[Numéro projet],Tableau5[Critère Etat Infrastructure])</f>
        <v>#N/A</v>
      </c>
      <c r="AB2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25">
        <v>5</v>
      </c>
      <c r="AD25" s="63"/>
      <c r="AE25" t="s">
        <v>165</v>
      </c>
      <c r="AF25" s="2"/>
      <c r="AG25">
        <v>640</v>
      </c>
      <c r="AH25">
        <v>6783</v>
      </c>
      <c r="AI25">
        <v>20</v>
      </c>
      <c r="AK25"/>
      <c r="AU25"/>
      <c r="BE25" s="14">
        <f>SUM(Portefeuille_MNT_PPS_Access15[[#This Row],[AC ANT]:[TR 2034]])</f>
        <v>7443</v>
      </c>
    </row>
    <row r="26" spans="1:57" x14ac:dyDescent="0.3">
      <c r="B26" t="s">
        <v>126</v>
      </c>
      <c r="C26" t="s">
        <v>127</v>
      </c>
      <c r="D26" t="s">
        <v>136</v>
      </c>
      <c r="E26" t="s">
        <v>104</v>
      </c>
      <c r="F26" t="s">
        <v>16</v>
      </c>
      <c r="G26" t="s">
        <v>16</v>
      </c>
      <c r="H26" t="s">
        <v>131</v>
      </c>
      <c r="I26" t="s">
        <v>307</v>
      </c>
      <c r="J26" t="s">
        <v>308</v>
      </c>
      <c r="K26" t="s">
        <v>159</v>
      </c>
      <c r="M26" t="s">
        <v>164</v>
      </c>
      <c r="N26" s="1"/>
      <c r="O26" s="1" t="e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#NUM!</v>
      </c>
      <c r="P26" s="1" t="e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#NUM!</v>
      </c>
      <c r="Q2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1412</v>
      </c>
      <c r="R2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26</v>
      </c>
      <c r="S26">
        <f>Portefeuille_MNT_PPS_Access15[[#This Row],[Délais PC1 et PC3]]+Portefeuille_MNT_PPS_Access15[[#This Row],[Délais PC3 et PC5]]</f>
        <v>1438</v>
      </c>
      <c r="T26" s="1">
        <v>42992</v>
      </c>
      <c r="U26" s="1">
        <v>43783</v>
      </c>
      <c r="V26">
        <v>1</v>
      </c>
      <c r="W26">
        <v>5</v>
      </c>
      <c r="X26">
        <v>5</v>
      </c>
      <c r="Y2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26" s="12" t="e">
        <f>_xlfn.XLOOKUP(Portefeuille_MNT_PPS_Access15[[#This Row],[Numéro projet]],Tableau5[Numéro projet],Tableau5[IND_Site_Prioritaire])</f>
        <v>#N/A</v>
      </c>
      <c r="AA26" s="2" t="e">
        <f>_xlfn.XLOOKUP(Portefeuille_MNT_PPS_Access15[[#This Row],[Numéro projet]],Tableau5[Numéro projet],Tableau5[Critère Etat Infrastructure])</f>
        <v>#N/A</v>
      </c>
      <c r="AB2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26" s="63"/>
      <c r="AE26" t="s">
        <v>165</v>
      </c>
      <c r="AF26" s="2"/>
      <c r="AG26">
        <v>2779</v>
      </c>
      <c r="AH26">
        <v>15336</v>
      </c>
      <c r="AI26">
        <v>119</v>
      </c>
      <c r="AK26"/>
      <c r="AU26"/>
      <c r="BE26" s="14">
        <f>SUM(Portefeuille_MNT_PPS_Access15[[#This Row],[AC ANT]:[TR 2034]])</f>
        <v>18234</v>
      </c>
    </row>
    <row r="27" spans="1:57" x14ac:dyDescent="0.3">
      <c r="B27" t="s">
        <v>101</v>
      </c>
      <c r="C27" t="s">
        <v>102</v>
      </c>
      <c r="D27" t="s">
        <v>103</v>
      </c>
      <c r="F27" t="s">
        <v>16</v>
      </c>
      <c r="G27" t="s">
        <v>16</v>
      </c>
      <c r="H27" t="s">
        <v>105</v>
      </c>
      <c r="I27" t="s">
        <v>309</v>
      </c>
      <c r="J27" t="s">
        <v>310</v>
      </c>
      <c r="K27" t="s">
        <v>108</v>
      </c>
      <c r="L27" s="2"/>
      <c r="M27" t="s">
        <v>291</v>
      </c>
      <c r="N27" s="1"/>
      <c r="O2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2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2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2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27">
        <f>Portefeuille_MNT_PPS_Access15[[#This Row],[Délais PC1 et PC3]]+Portefeuille_MNT_PPS_Access15[[#This Row],[Délais PC3 et PC5]]</f>
        <v>0</v>
      </c>
      <c r="T27" s="1"/>
      <c r="U27" s="1"/>
      <c r="V27">
        <v>1</v>
      </c>
      <c r="Y2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27" s="12" t="e">
        <f>_xlfn.XLOOKUP(Portefeuille_MNT_PPS_Access15[[#This Row],[Numéro projet]],Tableau5[Numéro projet],Tableau5[IND_Site_Prioritaire])</f>
        <v>#N/A</v>
      </c>
      <c r="AA27" s="2" t="e">
        <f>_xlfn.XLOOKUP(Portefeuille_MNT_PPS_Access15[[#This Row],[Numéro projet]],Tableau5[Numéro projet],Tableau5[Critère Etat Infrastructure])</f>
        <v>#N/A</v>
      </c>
      <c r="AB2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27" s="63"/>
      <c r="AE27" t="s">
        <v>311</v>
      </c>
      <c r="AF27" s="2"/>
      <c r="AG27">
        <v>467</v>
      </c>
      <c r="AH27">
        <v>5053</v>
      </c>
      <c r="AI27">
        <v>27</v>
      </c>
      <c r="AK27"/>
      <c r="AU27"/>
      <c r="BE27" s="14">
        <f>SUM(Portefeuille_MNT_PPS_Access15[[#This Row],[AC ANT]:[TR 2034]])</f>
        <v>5547</v>
      </c>
    </row>
    <row r="28" spans="1:57" x14ac:dyDescent="0.3">
      <c r="B28" t="s">
        <v>101</v>
      </c>
      <c r="C28" t="s">
        <v>102</v>
      </c>
      <c r="D28" t="s">
        <v>103</v>
      </c>
      <c r="E28" t="s">
        <v>113</v>
      </c>
      <c r="F28" t="s">
        <v>16</v>
      </c>
      <c r="G28" t="s">
        <v>16</v>
      </c>
      <c r="H28" t="s">
        <v>105</v>
      </c>
      <c r="I28" t="s">
        <v>312</v>
      </c>
      <c r="J28" t="s">
        <v>313</v>
      </c>
      <c r="K28" t="s">
        <v>168</v>
      </c>
      <c r="L28" t="s">
        <v>176</v>
      </c>
      <c r="M28" t="s">
        <v>164</v>
      </c>
      <c r="N28" s="1">
        <v>44055</v>
      </c>
      <c r="O2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2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8</v>
      </c>
      <c r="R2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9</v>
      </c>
      <c r="S28">
        <f>Portefeuille_MNT_PPS_Access15[[#This Row],[Délais PC1 et PC3]]+Portefeuille_MNT_PPS_Access15[[#This Row],[Délais PC3 et PC5]]</f>
        <v>17</v>
      </c>
      <c r="T28" s="1">
        <v>44315</v>
      </c>
      <c r="U28" s="1">
        <v>44589</v>
      </c>
      <c r="V28">
        <v>5</v>
      </c>
      <c r="W28">
        <v>5</v>
      </c>
      <c r="X28">
        <v>5</v>
      </c>
      <c r="Y28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28" s="12" t="e">
        <f>_xlfn.XLOOKUP(Portefeuille_MNT_PPS_Access15[[#This Row],[Numéro projet]],Tableau5[Numéro projet],Tableau5[IND_Site_Prioritaire])</f>
        <v>#N/A</v>
      </c>
      <c r="AA28" s="2" t="e">
        <f>_xlfn.XLOOKUP(Portefeuille_MNT_PPS_Access15[[#This Row],[Numéro projet]],Tableau5[Numéro projet],Tableau5[Critère Etat Infrastructure])</f>
        <v>#N/A</v>
      </c>
      <c r="AB28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28">
        <v>5</v>
      </c>
      <c r="AD28" s="63"/>
      <c r="AE28" t="s">
        <v>165</v>
      </c>
      <c r="AF28" s="2">
        <v>5</v>
      </c>
      <c r="AG28">
        <v>448</v>
      </c>
      <c r="AH28">
        <v>5849</v>
      </c>
      <c r="AI28">
        <v>371</v>
      </c>
      <c r="AJ28">
        <v>3585</v>
      </c>
      <c r="AK28"/>
      <c r="AU28"/>
      <c r="BE28" s="14">
        <f>SUM(Portefeuille_MNT_PPS_Access15[[#This Row],[AC ANT]:[TR 2034]])</f>
        <v>10253</v>
      </c>
    </row>
    <row r="29" spans="1:57" x14ac:dyDescent="0.3">
      <c r="B29" t="s">
        <v>101</v>
      </c>
      <c r="C29" t="s">
        <v>102</v>
      </c>
      <c r="D29" t="s">
        <v>103</v>
      </c>
      <c r="E29" t="s">
        <v>206</v>
      </c>
      <c r="F29" t="s">
        <v>16</v>
      </c>
      <c r="G29" t="s">
        <v>16</v>
      </c>
      <c r="H29" t="s">
        <v>105</v>
      </c>
      <c r="I29" t="s">
        <v>314</v>
      </c>
      <c r="J29" t="s">
        <v>315</v>
      </c>
      <c r="K29" t="s">
        <v>316</v>
      </c>
      <c r="L29" t="s">
        <v>176</v>
      </c>
      <c r="M29" t="s">
        <v>164</v>
      </c>
      <c r="N29" s="1">
        <v>43882</v>
      </c>
      <c r="O2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2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2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5</v>
      </c>
      <c r="R2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39</v>
      </c>
      <c r="S29">
        <f>Portefeuille_MNT_PPS_Access15[[#This Row],[Délais PC1 et PC3]]+Portefeuille_MNT_PPS_Access15[[#This Row],[Délais PC3 et PC5]]</f>
        <v>44</v>
      </c>
      <c r="T29" s="1">
        <v>44033</v>
      </c>
      <c r="U29" s="1">
        <v>45225</v>
      </c>
      <c r="V29">
        <v>5</v>
      </c>
      <c r="W29">
        <v>5</v>
      </c>
      <c r="X29">
        <v>5</v>
      </c>
      <c r="Y29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29" s="12" t="e">
        <f>_xlfn.XLOOKUP(Portefeuille_MNT_PPS_Access15[[#This Row],[Numéro projet]],Tableau5[Numéro projet],Tableau5[IND_Site_Prioritaire])</f>
        <v>#N/A</v>
      </c>
      <c r="AA29" s="2" t="e">
        <f>_xlfn.XLOOKUP(Portefeuille_MNT_PPS_Access15[[#This Row],[Numéro projet]],Tableau5[Numéro projet],Tableau5[Critère Etat Infrastructure])</f>
        <v>#N/A</v>
      </c>
      <c r="AB29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29">
        <v>5</v>
      </c>
      <c r="AD29" s="63"/>
      <c r="AE29" t="s">
        <v>165</v>
      </c>
      <c r="AF29" s="2">
        <v>5</v>
      </c>
      <c r="AG29">
        <v>257</v>
      </c>
      <c r="AH29">
        <v>2407</v>
      </c>
      <c r="AI29">
        <v>518</v>
      </c>
      <c r="AJ29">
        <v>8136</v>
      </c>
      <c r="AK29"/>
      <c r="AU29"/>
      <c r="BE29" s="14">
        <f>SUM(Portefeuille_MNT_PPS_Access15[[#This Row],[AC ANT]:[TR 2034]])</f>
        <v>11318</v>
      </c>
    </row>
    <row r="30" spans="1:57" x14ac:dyDescent="0.3">
      <c r="B30" t="s">
        <v>118</v>
      </c>
      <c r="C30" t="s">
        <v>102</v>
      </c>
      <c r="D30" t="s">
        <v>103</v>
      </c>
      <c r="F30" t="s">
        <v>16</v>
      </c>
      <c r="G30" t="s">
        <v>16</v>
      </c>
      <c r="H30" t="s">
        <v>131</v>
      </c>
      <c r="I30" t="s">
        <v>317</v>
      </c>
      <c r="J30" t="s">
        <v>318</v>
      </c>
      <c r="K30" t="s">
        <v>187</v>
      </c>
      <c r="M30" t="s">
        <v>291</v>
      </c>
      <c r="N30" s="1"/>
      <c r="O3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3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3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3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30">
        <f>Portefeuille_MNT_PPS_Access15[[#This Row],[Délais PC1 et PC3]]+Portefeuille_MNT_PPS_Access15[[#This Row],[Délais PC3 et PC5]]</f>
        <v>0</v>
      </c>
      <c r="T30" s="1"/>
      <c r="U30" s="1"/>
      <c r="V30">
        <v>1</v>
      </c>
      <c r="Y3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30" s="12" t="e">
        <f>_xlfn.XLOOKUP(Portefeuille_MNT_PPS_Access15[[#This Row],[Numéro projet]],Tableau5[Numéro projet],Tableau5[IND_Site_Prioritaire])</f>
        <v>#N/A</v>
      </c>
      <c r="AA30" s="2" t="e">
        <f>_xlfn.XLOOKUP(Portefeuille_MNT_PPS_Access15[[#This Row],[Numéro projet]],Tableau5[Numéro projet],Tableau5[Critère Etat Infrastructure])</f>
        <v>#N/A</v>
      </c>
      <c r="AB3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30" s="63"/>
      <c r="AE30" t="s">
        <v>311</v>
      </c>
      <c r="AF30" s="2"/>
      <c r="AG30">
        <v>676</v>
      </c>
      <c r="AH30">
        <v>7943</v>
      </c>
      <c r="AI30">
        <v>41</v>
      </c>
      <c r="AK30"/>
      <c r="AU30"/>
      <c r="BE30" s="14">
        <f>SUM(Portefeuille_MNT_PPS_Access15[[#This Row],[AC ANT]:[TR 2034]])</f>
        <v>8660</v>
      </c>
    </row>
    <row r="31" spans="1:57" x14ac:dyDescent="0.3">
      <c r="B31" t="s">
        <v>118</v>
      </c>
      <c r="C31" t="s">
        <v>102</v>
      </c>
      <c r="D31" t="s">
        <v>103</v>
      </c>
      <c r="E31" t="s">
        <v>104</v>
      </c>
      <c r="F31" t="s">
        <v>16</v>
      </c>
      <c r="G31" t="s">
        <v>16</v>
      </c>
      <c r="H31" t="s">
        <v>131</v>
      </c>
      <c r="I31" t="s">
        <v>319</v>
      </c>
      <c r="J31" t="s">
        <v>320</v>
      </c>
      <c r="K31" t="s">
        <v>159</v>
      </c>
      <c r="M31" t="s">
        <v>164</v>
      </c>
      <c r="N31" s="1">
        <v>44063</v>
      </c>
      <c r="O31" s="1" t="e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#NUM!</v>
      </c>
      <c r="P31" s="1" t="e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#NUM!</v>
      </c>
      <c r="Q3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</v>
      </c>
      <c r="R3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4</v>
      </c>
      <c r="S31">
        <f>Portefeuille_MNT_PPS_Access15[[#This Row],[Délais PC1 et PC3]]+Portefeuille_MNT_PPS_Access15[[#This Row],[Délais PC3 et PC5]]</f>
        <v>18</v>
      </c>
      <c r="T31" s="1">
        <v>44488</v>
      </c>
      <c r="U31" s="1">
        <v>44602</v>
      </c>
      <c r="V31">
        <v>1</v>
      </c>
      <c r="W31">
        <v>5</v>
      </c>
      <c r="X31">
        <v>5</v>
      </c>
      <c r="Y3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31" s="12" t="e">
        <f>_xlfn.XLOOKUP(Portefeuille_MNT_PPS_Access15[[#This Row],[Numéro projet]],Tableau5[Numéro projet],Tableau5[IND_Site_Prioritaire])</f>
        <v>#N/A</v>
      </c>
      <c r="AA31" s="2" t="e">
        <f>_xlfn.XLOOKUP(Portefeuille_MNT_PPS_Access15[[#This Row],[Numéro projet]],Tableau5[Numéro projet],Tableau5[Critère Etat Infrastructure])</f>
        <v>#N/A</v>
      </c>
      <c r="AB3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31">
        <v>5</v>
      </c>
      <c r="AD31" s="63"/>
      <c r="AE31" t="s">
        <v>165</v>
      </c>
      <c r="AF31" s="2"/>
      <c r="AG31">
        <v>334</v>
      </c>
      <c r="AH31">
        <v>5521</v>
      </c>
      <c r="AI31">
        <v>52</v>
      </c>
      <c r="AK31"/>
      <c r="AU31"/>
      <c r="BE31" s="14">
        <f>SUM(Portefeuille_MNT_PPS_Access15[[#This Row],[AC ANT]:[TR 2034]])</f>
        <v>5907</v>
      </c>
    </row>
    <row r="32" spans="1:57" x14ac:dyDescent="0.3">
      <c r="B32" t="s">
        <v>118</v>
      </c>
      <c r="C32" t="s">
        <v>102</v>
      </c>
      <c r="D32" t="s">
        <v>103</v>
      </c>
      <c r="F32" t="s">
        <v>16</v>
      </c>
      <c r="G32" t="s">
        <v>16</v>
      </c>
      <c r="H32" t="s">
        <v>131</v>
      </c>
      <c r="I32" t="s">
        <v>321</v>
      </c>
      <c r="J32" t="s">
        <v>525</v>
      </c>
      <c r="K32" t="s">
        <v>147</v>
      </c>
      <c r="M32" t="s">
        <v>291</v>
      </c>
      <c r="N32" s="1"/>
      <c r="O3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3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3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3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32">
        <f>Portefeuille_MNT_PPS_Access15[[#This Row],[Délais PC1 et PC3]]+Portefeuille_MNT_PPS_Access15[[#This Row],[Délais PC3 et PC5]]</f>
        <v>0</v>
      </c>
      <c r="T32" s="1"/>
      <c r="U32" s="1"/>
      <c r="V32">
        <v>1</v>
      </c>
      <c r="Y3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32" s="12" t="e">
        <f>_xlfn.XLOOKUP(Portefeuille_MNT_PPS_Access15[[#This Row],[Numéro projet]],Tableau5[Numéro projet],Tableau5[IND_Site_Prioritaire])</f>
        <v>#N/A</v>
      </c>
      <c r="AA32" s="2" t="e">
        <f>_xlfn.XLOOKUP(Portefeuille_MNT_PPS_Access15[[#This Row],[Numéro projet]],Tableau5[Numéro projet],Tableau5[Critère Etat Infrastructure])</f>
        <v>#N/A</v>
      </c>
      <c r="AB3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32" s="63"/>
      <c r="AE32" t="s">
        <v>311</v>
      </c>
      <c r="AF32" s="2"/>
      <c r="AG32">
        <v>468</v>
      </c>
      <c r="AH32">
        <v>4580</v>
      </c>
      <c r="AI32">
        <v>8</v>
      </c>
      <c r="AK32"/>
      <c r="AU32"/>
      <c r="BE32" s="14">
        <f>SUM(Portefeuille_MNT_PPS_Access15[[#This Row],[AC ANT]:[TR 2034]])</f>
        <v>5056</v>
      </c>
    </row>
    <row r="33" spans="2:57" x14ac:dyDescent="0.3">
      <c r="B33" t="s">
        <v>126</v>
      </c>
      <c r="C33" t="s">
        <v>127</v>
      </c>
      <c r="D33" t="s">
        <v>128</v>
      </c>
      <c r="E33" t="s">
        <v>129</v>
      </c>
      <c r="F33" t="s">
        <v>16</v>
      </c>
      <c r="G33" t="s">
        <v>16</v>
      </c>
      <c r="H33" t="s">
        <v>131</v>
      </c>
      <c r="I33" t="s">
        <v>323</v>
      </c>
      <c r="J33" t="s">
        <v>324</v>
      </c>
      <c r="K33" t="s">
        <v>214</v>
      </c>
      <c r="L33" t="s">
        <v>176</v>
      </c>
      <c r="M33" t="s">
        <v>164</v>
      </c>
      <c r="N33" s="1">
        <v>44644</v>
      </c>
      <c r="O3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3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3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3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2</v>
      </c>
      <c r="S33">
        <f>Portefeuille_MNT_PPS_Access15[[#This Row],[Délais PC1 et PC3]]+Portefeuille_MNT_PPS_Access15[[#This Row],[Délais PC3 et PC5]]</f>
        <v>14</v>
      </c>
      <c r="T33" s="1">
        <v>44995</v>
      </c>
      <c r="U33" s="1">
        <v>45061</v>
      </c>
      <c r="V33">
        <v>5</v>
      </c>
      <c r="W33">
        <v>5</v>
      </c>
      <c r="X33">
        <v>5</v>
      </c>
      <c r="Y33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33" s="12" t="e">
        <f>_xlfn.XLOOKUP(Portefeuille_MNT_PPS_Access15[[#This Row],[Numéro projet]],Tableau5[Numéro projet],Tableau5[IND_Site_Prioritaire])</f>
        <v>#N/A</v>
      </c>
      <c r="AA33" s="2" t="e">
        <f>_xlfn.XLOOKUP(Portefeuille_MNT_PPS_Access15[[#This Row],[Numéro projet]],Tableau5[Numéro projet],Tableau5[Critère Etat Infrastructure])</f>
        <v>#N/A</v>
      </c>
      <c r="AB33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33">
        <v>5</v>
      </c>
      <c r="AD33" s="63"/>
      <c r="AE33" t="s">
        <v>165</v>
      </c>
      <c r="AF33" s="2">
        <v>5</v>
      </c>
      <c r="AG33">
        <v>80</v>
      </c>
      <c r="AH33">
        <v>347</v>
      </c>
      <c r="AI33">
        <v>36</v>
      </c>
      <c r="AJ33">
        <v>235</v>
      </c>
      <c r="AK33"/>
      <c r="AU33"/>
      <c r="BE33" s="14">
        <f>SUM(Portefeuille_MNT_PPS_Access15[[#This Row],[AC ANT]:[TR 2034]])</f>
        <v>698</v>
      </c>
    </row>
    <row r="34" spans="2:57" x14ac:dyDescent="0.3">
      <c r="B34" t="s">
        <v>101</v>
      </c>
      <c r="C34" t="s">
        <v>102</v>
      </c>
      <c r="D34" t="s">
        <v>103</v>
      </c>
      <c r="F34" t="s">
        <v>16</v>
      </c>
      <c r="G34" t="s">
        <v>325</v>
      </c>
      <c r="H34" t="s">
        <v>131</v>
      </c>
      <c r="I34" t="s">
        <v>326</v>
      </c>
      <c r="J34" t="s">
        <v>327</v>
      </c>
      <c r="K34" t="s">
        <v>183</v>
      </c>
      <c r="M34" t="s">
        <v>291</v>
      </c>
      <c r="N34" s="1"/>
      <c r="O3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3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3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3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34">
        <f>Portefeuille_MNT_PPS_Access15[[#This Row],[Délais PC1 et PC3]]+Portefeuille_MNT_PPS_Access15[[#This Row],[Délais PC3 et PC5]]</f>
        <v>0</v>
      </c>
      <c r="T34" s="1"/>
      <c r="U34" s="1"/>
      <c r="V34">
        <v>1</v>
      </c>
      <c r="Y3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34" s="12" t="e">
        <f>_xlfn.XLOOKUP(Portefeuille_MNT_PPS_Access15[[#This Row],[Numéro projet]],Tableau5[Numéro projet],Tableau5[IND_Site_Prioritaire])</f>
        <v>#N/A</v>
      </c>
      <c r="AA34" s="2" t="e">
        <f>_xlfn.XLOOKUP(Portefeuille_MNT_PPS_Access15[[#This Row],[Numéro projet]],Tableau5[Numéro projet],Tableau5[Critère Etat Infrastructure])</f>
        <v>#N/A</v>
      </c>
      <c r="AB3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34" s="63"/>
      <c r="AE34" t="s">
        <v>311</v>
      </c>
      <c r="AF34" s="2"/>
      <c r="AG34">
        <v>595</v>
      </c>
      <c r="AH34">
        <v>3578</v>
      </c>
      <c r="AI34">
        <v>1</v>
      </c>
      <c r="AK34"/>
      <c r="AU34"/>
      <c r="BE34" s="14">
        <f>SUM(Portefeuille_MNT_PPS_Access15[[#This Row],[AC ANT]:[TR 2034]])</f>
        <v>4174</v>
      </c>
    </row>
    <row r="35" spans="2:57" x14ac:dyDescent="0.3">
      <c r="B35" t="s">
        <v>101</v>
      </c>
      <c r="C35" t="s">
        <v>102</v>
      </c>
      <c r="D35" t="s">
        <v>200</v>
      </c>
      <c r="F35" t="s">
        <v>16</v>
      </c>
      <c r="G35" t="s">
        <v>16</v>
      </c>
      <c r="H35" t="s">
        <v>131</v>
      </c>
      <c r="I35" t="s">
        <v>328</v>
      </c>
      <c r="J35" t="s">
        <v>329</v>
      </c>
      <c r="K35" t="s">
        <v>152</v>
      </c>
      <c r="M35" t="s">
        <v>291</v>
      </c>
      <c r="N35" s="1"/>
      <c r="O3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3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3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3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35">
        <f>Portefeuille_MNT_PPS_Access15[[#This Row],[Délais PC1 et PC3]]+Portefeuille_MNT_PPS_Access15[[#This Row],[Délais PC3 et PC5]]</f>
        <v>0</v>
      </c>
      <c r="T35" s="1"/>
      <c r="U35" s="1"/>
      <c r="V35">
        <v>1</v>
      </c>
      <c r="Y3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35" s="12" t="e">
        <f>_xlfn.XLOOKUP(Portefeuille_MNT_PPS_Access15[[#This Row],[Numéro projet]],Tableau5[Numéro projet],Tableau5[IND_Site_Prioritaire])</f>
        <v>#N/A</v>
      </c>
      <c r="AA35" s="2" t="e">
        <f>_xlfn.XLOOKUP(Portefeuille_MNT_PPS_Access15[[#This Row],[Numéro projet]],Tableau5[Numéro projet],Tableau5[Critère Etat Infrastructure])</f>
        <v>#N/A</v>
      </c>
      <c r="AB3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35" s="63"/>
      <c r="AE35" t="s">
        <v>311</v>
      </c>
      <c r="AF35" s="2"/>
      <c r="AG35">
        <v>186</v>
      </c>
      <c r="AH35">
        <v>3019</v>
      </c>
      <c r="AI35">
        <v>9</v>
      </c>
      <c r="AK35"/>
      <c r="AU35"/>
      <c r="BE35" s="14">
        <f>SUM(Portefeuille_MNT_PPS_Access15[[#This Row],[AC ANT]:[TR 2034]])</f>
        <v>3214</v>
      </c>
    </row>
    <row r="36" spans="2:57" x14ac:dyDescent="0.3">
      <c r="B36" t="s">
        <v>101</v>
      </c>
      <c r="C36" t="s">
        <v>102</v>
      </c>
      <c r="D36" t="s">
        <v>103</v>
      </c>
      <c r="E36" t="s">
        <v>140</v>
      </c>
      <c r="F36" t="s">
        <v>16</v>
      </c>
      <c r="G36" t="s">
        <v>16</v>
      </c>
      <c r="H36" t="s">
        <v>105</v>
      </c>
      <c r="I36" t="s">
        <v>174</v>
      </c>
      <c r="J36" t="s">
        <v>175</v>
      </c>
      <c r="K36" t="s">
        <v>143</v>
      </c>
      <c r="L36" t="s">
        <v>176</v>
      </c>
      <c r="M36" t="s">
        <v>164</v>
      </c>
      <c r="N36" s="1">
        <v>44014</v>
      </c>
      <c r="O3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3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3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9</v>
      </c>
      <c r="R3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31</v>
      </c>
      <c r="S36">
        <f>Portefeuille_MNT_PPS_Access15[[#This Row],[Délais PC1 et PC3]]+Portefeuille_MNT_PPS_Access15[[#This Row],[Délais PC3 et PC5]]</f>
        <v>40</v>
      </c>
      <c r="T36" s="1">
        <v>44294</v>
      </c>
      <c r="U36" s="1">
        <v>45239</v>
      </c>
      <c r="V36">
        <v>5</v>
      </c>
      <c r="W36">
        <v>5</v>
      </c>
      <c r="X36">
        <v>5</v>
      </c>
      <c r="Y36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36" s="12" t="e">
        <f>_xlfn.XLOOKUP(Portefeuille_MNT_PPS_Access15[[#This Row],[Numéro projet]],Tableau5[Numéro projet],Tableau5[IND_Site_Prioritaire])</f>
        <v>#N/A</v>
      </c>
      <c r="AA36" s="2" t="e">
        <f>_xlfn.XLOOKUP(Portefeuille_MNT_PPS_Access15[[#This Row],[Numéro projet]],Tableau5[Numéro projet],Tableau5[Critère Etat Infrastructure])</f>
        <v>#N/A</v>
      </c>
      <c r="AB36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36">
        <v>5</v>
      </c>
      <c r="AD36" s="63"/>
      <c r="AE36" t="s">
        <v>165</v>
      </c>
      <c r="AF36" s="2">
        <v>5</v>
      </c>
      <c r="AG36">
        <v>389</v>
      </c>
      <c r="AH36">
        <v>4986</v>
      </c>
      <c r="AI36">
        <v>729</v>
      </c>
      <c r="AJ36">
        <v>28833</v>
      </c>
      <c r="AK36">
        <v>399</v>
      </c>
      <c r="AL36">
        <v>11768</v>
      </c>
      <c r="AU36"/>
      <c r="BE36" s="14">
        <f>SUM(Portefeuille_MNT_PPS_Access15[[#This Row],[AC ANT]:[TR 2034]])</f>
        <v>47104</v>
      </c>
    </row>
    <row r="37" spans="2:57" x14ac:dyDescent="0.3">
      <c r="B37" t="s">
        <v>101</v>
      </c>
      <c r="C37" t="s">
        <v>102</v>
      </c>
      <c r="D37" t="s">
        <v>200</v>
      </c>
      <c r="E37" t="s">
        <v>104</v>
      </c>
      <c r="F37" t="s">
        <v>16</v>
      </c>
      <c r="G37" t="s">
        <v>16</v>
      </c>
      <c r="H37" t="s">
        <v>105</v>
      </c>
      <c r="I37" t="s">
        <v>330</v>
      </c>
      <c r="J37" t="s">
        <v>331</v>
      </c>
      <c r="K37" t="s">
        <v>180</v>
      </c>
      <c r="L37" t="s">
        <v>176</v>
      </c>
      <c r="M37" t="s">
        <v>164</v>
      </c>
      <c r="N37" s="1">
        <v>43360</v>
      </c>
      <c r="O3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3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3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10</v>
      </c>
      <c r="R3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18</v>
      </c>
      <c r="S37">
        <f>Portefeuille_MNT_PPS_Access15[[#This Row],[Délais PC1 et PC3]]+Portefeuille_MNT_PPS_Access15[[#This Row],[Délais PC3 et PC5]]</f>
        <v>28</v>
      </c>
      <c r="T37" s="1">
        <v>43671</v>
      </c>
      <c r="U37" s="1">
        <v>44217</v>
      </c>
      <c r="V37">
        <v>1</v>
      </c>
      <c r="W37">
        <v>5</v>
      </c>
      <c r="X37">
        <v>5</v>
      </c>
      <c r="Y37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37" s="12" t="e">
        <f>_xlfn.XLOOKUP(Portefeuille_MNT_PPS_Access15[[#This Row],[Numéro projet]],Tableau5[Numéro projet],Tableau5[IND_Site_Prioritaire])</f>
        <v>#N/A</v>
      </c>
      <c r="AA37" s="2" t="e">
        <f>_xlfn.XLOOKUP(Portefeuille_MNT_PPS_Access15[[#This Row],[Numéro projet]],Tableau5[Numéro projet],Tableau5[Critère Etat Infrastructure])</f>
        <v>#N/A</v>
      </c>
      <c r="AB37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37">
        <v>5</v>
      </c>
      <c r="AD37" s="63"/>
      <c r="AE37" t="s">
        <v>165</v>
      </c>
      <c r="AF37" s="2">
        <v>5</v>
      </c>
      <c r="AG37">
        <v>432</v>
      </c>
      <c r="AH37">
        <v>3057</v>
      </c>
      <c r="AI37">
        <v>260</v>
      </c>
      <c r="AJ37">
        <v>73</v>
      </c>
      <c r="AK37">
        <v>13</v>
      </c>
      <c r="AU37"/>
      <c r="BE37" s="14">
        <f>SUM(Portefeuille_MNT_PPS_Access15[[#This Row],[AC ANT]:[TR 2034]])</f>
        <v>3835</v>
      </c>
    </row>
    <row r="38" spans="2:57" x14ac:dyDescent="0.3">
      <c r="B38" t="s">
        <v>101</v>
      </c>
      <c r="C38" t="s">
        <v>102</v>
      </c>
      <c r="D38" t="s">
        <v>200</v>
      </c>
      <c r="E38" t="s">
        <v>104</v>
      </c>
      <c r="F38" t="s">
        <v>16</v>
      </c>
      <c r="G38" t="s">
        <v>20</v>
      </c>
      <c r="H38" t="s">
        <v>105</v>
      </c>
      <c r="I38" t="s">
        <v>201</v>
      </c>
      <c r="J38" t="s">
        <v>202</v>
      </c>
      <c r="K38" t="s">
        <v>108</v>
      </c>
      <c r="M38" t="s">
        <v>155</v>
      </c>
      <c r="N38" s="1"/>
      <c r="O3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3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3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3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38">
        <f>Portefeuille_MNT_PPS_Access15[[#This Row],[Délais PC1 et PC3]]+Portefeuille_MNT_PPS_Access15[[#This Row],[Délais PC3 et PC5]]</f>
        <v>0</v>
      </c>
      <c r="T38" s="1"/>
      <c r="U38" s="1"/>
      <c r="V38">
        <v>1</v>
      </c>
      <c r="Y3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38" s="12" t="e">
        <f>_xlfn.XLOOKUP(Portefeuille_MNT_PPS_Access15[[#This Row],[Numéro projet]],Tableau5[Numéro projet],Tableau5[IND_Site_Prioritaire])</f>
        <v>#N/A</v>
      </c>
      <c r="AA38" s="2" t="e">
        <f>_xlfn.XLOOKUP(Portefeuille_MNT_PPS_Access15[[#This Row],[Numéro projet]],Tableau5[Numéro projet],Tableau5[Critère Etat Infrastructure])</f>
        <v>#N/A</v>
      </c>
      <c r="AB3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38" s="63"/>
      <c r="AE38" t="s">
        <v>156</v>
      </c>
      <c r="AF38" s="2"/>
      <c r="AG38">
        <v>277</v>
      </c>
      <c r="AH38">
        <v>4</v>
      </c>
      <c r="AK38"/>
      <c r="AM38">
        <v>127</v>
      </c>
      <c r="AO38">
        <v>125</v>
      </c>
      <c r="AQ38">
        <v>471</v>
      </c>
      <c r="AU38"/>
      <c r="BE38" s="14">
        <f>SUM(Portefeuille_MNT_PPS_Access15[[#This Row],[AC ANT]:[TR 2034]])</f>
        <v>1004</v>
      </c>
    </row>
    <row r="39" spans="2:57" x14ac:dyDescent="0.3">
      <c r="B39" t="s">
        <v>101</v>
      </c>
      <c r="C39" t="s">
        <v>102</v>
      </c>
      <c r="D39" t="s">
        <v>119</v>
      </c>
      <c r="E39" t="s">
        <v>113</v>
      </c>
      <c r="F39" t="s">
        <v>16</v>
      </c>
      <c r="G39" t="s">
        <v>16</v>
      </c>
      <c r="H39" t="s">
        <v>105</v>
      </c>
      <c r="I39" t="s">
        <v>332</v>
      </c>
      <c r="J39" t="s">
        <v>333</v>
      </c>
      <c r="K39" t="s">
        <v>122</v>
      </c>
      <c r="L39" t="s">
        <v>176</v>
      </c>
      <c r="M39" t="s">
        <v>164</v>
      </c>
      <c r="N39" s="1">
        <v>44162</v>
      </c>
      <c r="O3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3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3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11</v>
      </c>
      <c r="R3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4</v>
      </c>
      <c r="S39">
        <f>Portefeuille_MNT_PPS_Access15[[#This Row],[Délais PC1 et PC3]]+Portefeuille_MNT_PPS_Access15[[#This Row],[Délais PC3 et PC5]]</f>
        <v>15</v>
      </c>
      <c r="T39" s="1">
        <v>44489</v>
      </c>
      <c r="U39" s="1">
        <v>44608</v>
      </c>
      <c r="V39">
        <v>5</v>
      </c>
      <c r="W39">
        <v>5</v>
      </c>
      <c r="X39">
        <v>5</v>
      </c>
      <c r="Y39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39" s="12" t="e">
        <f>_xlfn.XLOOKUP(Portefeuille_MNT_PPS_Access15[[#This Row],[Numéro projet]],Tableau5[Numéro projet],Tableau5[IND_Site_Prioritaire])</f>
        <v>#N/A</v>
      </c>
      <c r="AA39" s="2" t="e">
        <f>_xlfn.XLOOKUP(Portefeuille_MNT_PPS_Access15[[#This Row],[Numéro projet]],Tableau5[Numéro projet],Tableau5[Critère Etat Infrastructure])</f>
        <v>#N/A</v>
      </c>
      <c r="AB39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39">
        <v>5</v>
      </c>
      <c r="AD39" s="63"/>
      <c r="AE39" t="s">
        <v>165</v>
      </c>
      <c r="AF39" s="2">
        <v>5</v>
      </c>
      <c r="AG39">
        <v>183</v>
      </c>
      <c r="AH39">
        <v>33</v>
      </c>
      <c r="AI39">
        <v>459</v>
      </c>
      <c r="AJ39">
        <v>6249</v>
      </c>
      <c r="AK39"/>
      <c r="AU39"/>
      <c r="BE39" s="14">
        <f>SUM(Portefeuille_MNT_PPS_Access15[[#This Row],[AC ANT]:[TR 2034]])</f>
        <v>6924</v>
      </c>
    </row>
    <row r="40" spans="2:57" x14ac:dyDescent="0.3">
      <c r="B40" t="s">
        <v>101</v>
      </c>
      <c r="C40" t="s">
        <v>102</v>
      </c>
      <c r="D40" t="s">
        <v>200</v>
      </c>
      <c r="E40" t="s">
        <v>149</v>
      </c>
      <c r="F40" t="s">
        <v>16</v>
      </c>
      <c r="G40" t="s">
        <v>16</v>
      </c>
      <c r="H40" t="s">
        <v>105</v>
      </c>
      <c r="I40" t="s">
        <v>334</v>
      </c>
      <c r="J40" t="s">
        <v>335</v>
      </c>
      <c r="K40" t="s">
        <v>205</v>
      </c>
      <c r="L40" t="s">
        <v>176</v>
      </c>
      <c r="M40" t="s">
        <v>164</v>
      </c>
      <c r="N40" s="1">
        <v>44228</v>
      </c>
      <c r="O4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4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11</v>
      </c>
      <c r="R4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9</v>
      </c>
      <c r="S40">
        <f>Portefeuille_MNT_PPS_Access15[[#This Row],[Délais PC1 et PC3]]+Portefeuille_MNT_PPS_Access15[[#This Row],[Délais PC3 et PC5]]</f>
        <v>20</v>
      </c>
      <c r="T40" s="1">
        <v>44579</v>
      </c>
      <c r="U40" s="1">
        <v>44865</v>
      </c>
      <c r="V40">
        <v>5</v>
      </c>
      <c r="W40">
        <v>5</v>
      </c>
      <c r="X40">
        <v>5</v>
      </c>
      <c r="Y40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40" s="12" t="e">
        <f>_xlfn.XLOOKUP(Portefeuille_MNT_PPS_Access15[[#This Row],[Numéro projet]],Tableau5[Numéro projet],Tableau5[IND_Site_Prioritaire])</f>
        <v>#N/A</v>
      </c>
      <c r="AA40" s="2" t="e">
        <f>_xlfn.XLOOKUP(Portefeuille_MNT_PPS_Access15[[#This Row],[Numéro projet]],Tableau5[Numéro projet],Tableau5[Critère Etat Infrastructure])</f>
        <v>#N/A</v>
      </c>
      <c r="AB40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40">
        <v>5</v>
      </c>
      <c r="AD40" s="63"/>
      <c r="AE40" t="s">
        <v>165</v>
      </c>
      <c r="AF40" s="2">
        <v>5</v>
      </c>
      <c r="AG40">
        <v>262</v>
      </c>
      <c r="AH40">
        <v>16</v>
      </c>
      <c r="AI40">
        <v>448</v>
      </c>
      <c r="AJ40">
        <v>6487</v>
      </c>
      <c r="AK40"/>
      <c r="AU40"/>
      <c r="BE40" s="14">
        <f>SUM(Portefeuille_MNT_PPS_Access15[[#This Row],[AC ANT]:[TR 2034]])</f>
        <v>7213</v>
      </c>
    </row>
    <row r="41" spans="2:57" x14ac:dyDescent="0.3">
      <c r="B41" t="s">
        <v>101</v>
      </c>
      <c r="C41" t="s">
        <v>102</v>
      </c>
      <c r="D41" t="s">
        <v>177</v>
      </c>
      <c r="E41" t="s">
        <v>129</v>
      </c>
      <c r="F41" t="s">
        <v>16</v>
      </c>
      <c r="G41" t="s">
        <v>16</v>
      </c>
      <c r="H41" t="s">
        <v>131</v>
      </c>
      <c r="I41" t="s">
        <v>178</v>
      </c>
      <c r="J41" t="s">
        <v>179</v>
      </c>
      <c r="K41" t="s">
        <v>180</v>
      </c>
      <c r="L41" t="s">
        <v>176</v>
      </c>
      <c r="M41" t="s">
        <v>164</v>
      </c>
      <c r="N41" s="1"/>
      <c r="O4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4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4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1484</v>
      </c>
      <c r="S41">
        <f>Portefeuille_MNT_PPS_Access15[[#This Row],[Délais PC1 et PC3]]+Portefeuille_MNT_PPS_Access15[[#This Row],[Délais PC3 et PC5]]</f>
        <v>1484</v>
      </c>
      <c r="T41" s="1"/>
      <c r="U41" s="1">
        <v>45195</v>
      </c>
      <c r="V41">
        <v>5</v>
      </c>
      <c r="W41">
        <v>5</v>
      </c>
      <c r="Y41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41" s="12" t="e">
        <f>_xlfn.XLOOKUP(Portefeuille_MNT_PPS_Access15[[#This Row],[Numéro projet]],Tableau5[Numéro projet],Tableau5[IND_Site_Prioritaire])</f>
        <v>#N/A</v>
      </c>
      <c r="AA41" s="2" t="e">
        <f>_xlfn.XLOOKUP(Portefeuille_MNT_PPS_Access15[[#This Row],[Numéro projet]],Tableau5[Numéro projet],Tableau5[Critère Etat Infrastructure])</f>
        <v>#N/A</v>
      </c>
      <c r="AB41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41" s="62"/>
      <c r="AE41" t="s">
        <v>165</v>
      </c>
      <c r="AF41" s="2">
        <v>5</v>
      </c>
      <c r="AG41">
        <v>75</v>
      </c>
      <c r="AH41">
        <v>101.00000000000001</v>
      </c>
      <c r="AI41">
        <v>25</v>
      </c>
      <c r="AJ41">
        <v>1110</v>
      </c>
      <c r="AK41">
        <v>73</v>
      </c>
      <c r="AL41">
        <v>580</v>
      </c>
      <c r="AU41"/>
      <c r="BE41" s="14">
        <f>SUM(Portefeuille_MNT_PPS_Access15[[#This Row],[AC ANT]:[TR 2034]])</f>
        <v>1964</v>
      </c>
    </row>
    <row r="42" spans="2:57" x14ac:dyDescent="0.3">
      <c r="B42" t="s">
        <v>101</v>
      </c>
      <c r="C42" t="s">
        <v>102</v>
      </c>
      <c r="D42" t="s">
        <v>200</v>
      </c>
      <c r="E42" t="s">
        <v>113</v>
      </c>
      <c r="F42" t="s">
        <v>16</v>
      </c>
      <c r="G42" t="s">
        <v>16</v>
      </c>
      <c r="H42" t="s">
        <v>131</v>
      </c>
      <c r="I42" t="s">
        <v>336</v>
      </c>
      <c r="J42" t="s">
        <v>337</v>
      </c>
      <c r="K42" t="s">
        <v>180</v>
      </c>
      <c r="L42" t="s">
        <v>176</v>
      </c>
      <c r="M42" t="s">
        <v>164</v>
      </c>
      <c r="N42" s="1"/>
      <c r="O4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4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1462</v>
      </c>
      <c r="R4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5</v>
      </c>
      <c r="S42">
        <f>Portefeuille_MNT_PPS_Access15[[#This Row],[Délais PC1 et PC3]]+Portefeuille_MNT_PPS_Access15[[#This Row],[Délais PC3 et PC5]]</f>
        <v>1467</v>
      </c>
      <c r="T42" s="1">
        <v>44518</v>
      </c>
      <c r="U42" s="1">
        <v>44657</v>
      </c>
      <c r="V42">
        <v>5</v>
      </c>
      <c r="W42">
        <v>5</v>
      </c>
      <c r="X42">
        <v>5</v>
      </c>
      <c r="Y42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42" s="12" t="e">
        <f>_xlfn.XLOOKUP(Portefeuille_MNT_PPS_Access15[[#This Row],[Numéro projet]],Tableau5[Numéro projet],Tableau5[IND_Site_Prioritaire])</f>
        <v>#N/A</v>
      </c>
      <c r="AA42" s="2" t="e">
        <f>_xlfn.XLOOKUP(Portefeuille_MNT_PPS_Access15[[#This Row],[Numéro projet]],Tableau5[Numéro projet],Tableau5[Critère Etat Infrastructure])</f>
        <v>#N/A</v>
      </c>
      <c r="AB42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42" s="63"/>
      <c r="AE42" t="s">
        <v>165</v>
      </c>
      <c r="AF42" s="2">
        <v>5</v>
      </c>
      <c r="AG42">
        <v>594</v>
      </c>
      <c r="AH42">
        <v>3359</v>
      </c>
      <c r="AI42">
        <v>327</v>
      </c>
      <c r="AJ42">
        <v>3179</v>
      </c>
      <c r="AK42"/>
      <c r="AU42"/>
      <c r="BE42" s="14">
        <f>SUM(Portefeuille_MNT_PPS_Access15[[#This Row],[AC ANT]:[TR 2034]])</f>
        <v>7459</v>
      </c>
    </row>
    <row r="43" spans="2:57" x14ac:dyDescent="0.3">
      <c r="B43" t="s">
        <v>101</v>
      </c>
      <c r="C43" t="s">
        <v>102</v>
      </c>
      <c r="D43" t="s">
        <v>200</v>
      </c>
      <c r="E43" t="s">
        <v>104</v>
      </c>
      <c r="F43" t="s">
        <v>16</v>
      </c>
      <c r="G43" t="s">
        <v>16</v>
      </c>
      <c r="H43" t="s">
        <v>105</v>
      </c>
      <c r="I43" t="s">
        <v>338</v>
      </c>
      <c r="J43" t="s">
        <v>339</v>
      </c>
      <c r="K43" t="s">
        <v>180</v>
      </c>
      <c r="M43" t="s">
        <v>164</v>
      </c>
      <c r="N43" s="1">
        <v>43360</v>
      </c>
      <c r="O43" s="1" t="e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#NUM!</v>
      </c>
      <c r="P43" s="1" t="e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#NUM!</v>
      </c>
      <c r="Q4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10</v>
      </c>
      <c r="R4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18</v>
      </c>
      <c r="S43">
        <f>Portefeuille_MNT_PPS_Access15[[#This Row],[Délais PC1 et PC3]]+Portefeuille_MNT_PPS_Access15[[#This Row],[Délais PC3 et PC5]]</f>
        <v>28</v>
      </c>
      <c r="T43" s="1">
        <v>43671</v>
      </c>
      <c r="U43" s="1">
        <v>44217</v>
      </c>
      <c r="V43">
        <v>1</v>
      </c>
      <c r="W43">
        <v>5</v>
      </c>
      <c r="X43">
        <v>5</v>
      </c>
      <c r="Y4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43" s="12" t="e">
        <f>_xlfn.XLOOKUP(Portefeuille_MNT_PPS_Access15[[#This Row],[Numéro projet]],Tableau5[Numéro projet],Tableau5[IND_Site_Prioritaire])</f>
        <v>#N/A</v>
      </c>
      <c r="AA43" s="2" t="e">
        <f>_xlfn.XLOOKUP(Portefeuille_MNT_PPS_Access15[[#This Row],[Numéro projet]],Tableau5[Numéro projet],Tableau5[Critère Etat Infrastructure])</f>
        <v>#N/A</v>
      </c>
      <c r="AB43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43">
        <v>5</v>
      </c>
      <c r="AD43" s="63"/>
      <c r="AE43" t="s">
        <v>165</v>
      </c>
      <c r="AF43" s="2">
        <v>5</v>
      </c>
      <c r="AG43">
        <v>128</v>
      </c>
      <c r="AH43">
        <v>2061</v>
      </c>
      <c r="AI43">
        <v>164</v>
      </c>
      <c r="AK43">
        <v>43</v>
      </c>
      <c r="AU43"/>
      <c r="BE43" s="14">
        <f>SUM(Portefeuille_MNT_PPS_Access15[[#This Row],[AC ANT]:[TR 2034]])</f>
        <v>2396</v>
      </c>
    </row>
    <row r="44" spans="2:57" x14ac:dyDescent="0.3">
      <c r="B44" t="s">
        <v>118</v>
      </c>
      <c r="C44" t="s">
        <v>102</v>
      </c>
      <c r="D44" t="s">
        <v>103</v>
      </c>
      <c r="E44" t="s">
        <v>340</v>
      </c>
      <c r="F44" t="s">
        <v>16</v>
      </c>
      <c r="G44" t="s">
        <v>16</v>
      </c>
      <c r="H44" t="s">
        <v>131</v>
      </c>
      <c r="I44" t="s">
        <v>341</v>
      </c>
      <c r="J44" t="s">
        <v>342</v>
      </c>
      <c r="K44" t="s">
        <v>147</v>
      </c>
      <c r="L44" t="s">
        <v>176</v>
      </c>
      <c r="M44" t="s">
        <v>164</v>
      </c>
      <c r="N44" s="1">
        <v>44245</v>
      </c>
      <c r="O4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4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7</v>
      </c>
      <c r="R4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</v>
      </c>
      <c r="S44">
        <f>Portefeuille_MNT_PPS_Access15[[#This Row],[Délais PC1 et PC3]]+Portefeuille_MNT_PPS_Access15[[#This Row],[Délais PC3 et PC5]]</f>
        <v>10</v>
      </c>
      <c r="T44" s="1">
        <v>44469</v>
      </c>
      <c r="U44" s="1">
        <v>44538</v>
      </c>
      <c r="V44">
        <v>1</v>
      </c>
      <c r="W44">
        <v>5</v>
      </c>
      <c r="X44">
        <v>5</v>
      </c>
      <c r="Y44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44" s="12" t="e">
        <f>_xlfn.XLOOKUP(Portefeuille_MNT_PPS_Access15[[#This Row],[Numéro projet]],Tableau5[Numéro projet],Tableau5[IND_Site_Prioritaire])</f>
        <v>#N/A</v>
      </c>
      <c r="AA44" s="2" t="e">
        <f>_xlfn.XLOOKUP(Portefeuille_MNT_PPS_Access15[[#This Row],[Numéro projet]],Tableau5[Numéro projet],Tableau5[Critère Etat Infrastructure])</f>
        <v>#N/A</v>
      </c>
      <c r="AB4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44">
        <v>5</v>
      </c>
      <c r="AD44" s="63"/>
      <c r="AE44" t="s">
        <v>165</v>
      </c>
      <c r="AF44" s="2"/>
      <c r="AG44">
        <v>603</v>
      </c>
      <c r="AH44">
        <v>10120</v>
      </c>
      <c r="AI44">
        <v>73</v>
      </c>
      <c r="AJ44">
        <v>150</v>
      </c>
      <c r="AK44"/>
      <c r="AU44"/>
      <c r="BE44" s="14">
        <f>SUM(Portefeuille_MNT_PPS_Access15[[#This Row],[AC ANT]:[TR 2034]])</f>
        <v>10946</v>
      </c>
    </row>
    <row r="45" spans="2:57" x14ac:dyDescent="0.3">
      <c r="B45" t="s">
        <v>101</v>
      </c>
      <c r="C45" t="s">
        <v>102</v>
      </c>
      <c r="D45" t="s">
        <v>136</v>
      </c>
      <c r="E45" t="s">
        <v>113</v>
      </c>
      <c r="F45" t="s">
        <v>16</v>
      </c>
      <c r="G45" t="s">
        <v>20</v>
      </c>
      <c r="H45" t="s">
        <v>105</v>
      </c>
      <c r="I45" t="s">
        <v>166</v>
      </c>
      <c r="J45" t="s">
        <v>167</v>
      </c>
      <c r="K45" t="s">
        <v>168</v>
      </c>
      <c r="L45" t="s">
        <v>169</v>
      </c>
      <c r="M45" t="s">
        <v>155</v>
      </c>
      <c r="N45" s="1">
        <v>45884</v>
      </c>
      <c r="O4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4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17</v>
      </c>
      <c r="R4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19</v>
      </c>
      <c r="S45">
        <f>Portefeuille_MNT_PPS_Access15[[#This Row],[Délais PC1 et PC3]]+Portefeuille_MNT_PPS_Access15[[#This Row],[Délais PC3 et PC5]]</f>
        <v>36</v>
      </c>
      <c r="T45" s="1">
        <v>46402</v>
      </c>
      <c r="U45" s="1">
        <v>46980</v>
      </c>
      <c r="V45">
        <v>1</v>
      </c>
      <c r="W45">
        <v>1</v>
      </c>
      <c r="X45">
        <v>1</v>
      </c>
      <c r="Y4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45" s="12" t="e">
        <f>_xlfn.XLOOKUP(Portefeuille_MNT_PPS_Access15[[#This Row],[Numéro projet]],Tableau5[Numéro projet],Tableau5[IND_Site_Prioritaire])</f>
        <v>#N/A</v>
      </c>
      <c r="AA45" s="2" t="e">
        <f>_xlfn.XLOOKUP(Portefeuille_MNT_PPS_Access15[[#This Row],[Numéro projet]],Tableau5[Numéro projet],Tableau5[Critère Etat Infrastructure])</f>
        <v>#N/A</v>
      </c>
      <c r="AB4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45">
        <v>1</v>
      </c>
      <c r="AD45" s="63"/>
      <c r="AE45" t="s">
        <v>156</v>
      </c>
      <c r="AF45" s="2"/>
      <c r="AG45">
        <v>71</v>
      </c>
      <c r="AI45">
        <v>5</v>
      </c>
      <c r="AK45">
        <v>120</v>
      </c>
      <c r="AM45">
        <v>210</v>
      </c>
      <c r="AO45">
        <v>310</v>
      </c>
      <c r="AQ45">
        <v>310</v>
      </c>
      <c r="AS45">
        <v>395</v>
      </c>
      <c r="AT45">
        <v>2000</v>
      </c>
      <c r="AU45">
        <v>395</v>
      </c>
      <c r="AV45">
        <v>2000</v>
      </c>
      <c r="AW45">
        <v>395</v>
      </c>
      <c r="AX45">
        <v>18319</v>
      </c>
      <c r="BE45" s="14">
        <f>SUM(Portefeuille_MNT_PPS_Access15[[#This Row],[AC ANT]:[TR 2034]])</f>
        <v>24530</v>
      </c>
    </row>
    <row r="46" spans="2:57" x14ac:dyDescent="0.3">
      <c r="B46" t="s">
        <v>101</v>
      </c>
      <c r="C46" t="s">
        <v>102</v>
      </c>
      <c r="D46" t="s">
        <v>188</v>
      </c>
      <c r="E46" t="s">
        <v>113</v>
      </c>
      <c r="F46" t="s">
        <v>16</v>
      </c>
      <c r="G46" t="s">
        <v>16</v>
      </c>
      <c r="H46" t="s">
        <v>131</v>
      </c>
      <c r="I46" t="s">
        <v>343</v>
      </c>
      <c r="J46" t="s">
        <v>344</v>
      </c>
      <c r="K46" t="s">
        <v>139</v>
      </c>
      <c r="L46" t="s">
        <v>176</v>
      </c>
      <c r="M46" t="s">
        <v>164</v>
      </c>
      <c r="N46" s="1"/>
      <c r="O4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4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4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4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1467</v>
      </c>
      <c r="S46">
        <f>Portefeuille_MNT_PPS_Access15[[#This Row],[Délais PC1 et PC3]]+Portefeuille_MNT_PPS_Access15[[#This Row],[Délais PC3 et PC5]]</f>
        <v>1467</v>
      </c>
      <c r="T46" s="1"/>
      <c r="U46" s="1">
        <v>44672</v>
      </c>
      <c r="V46">
        <v>1</v>
      </c>
      <c r="W46">
        <v>5</v>
      </c>
      <c r="Y46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46" s="12" t="e">
        <f>_xlfn.XLOOKUP(Portefeuille_MNT_PPS_Access15[[#This Row],[Numéro projet]],Tableau5[Numéro projet],Tableau5[IND_Site_Prioritaire])</f>
        <v>#N/A</v>
      </c>
      <c r="AA46" s="2" t="e">
        <f>_xlfn.XLOOKUP(Portefeuille_MNT_PPS_Access15[[#This Row],[Numéro projet]],Tableau5[Numéro projet],Tableau5[Critère Etat Infrastructure])</f>
        <v>#N/A</v>
      </c>
      <c r="AB46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46" s="63"/>
      <c r="AE46" t="s">
        <v>165</v>
      </c>
      <c r="AF46" s="2">
        <v>5</v>
      </c>
      <c r="AG46">
        <v>84</v>
      </c>
      <c r="AH46">
        <v>819</v>
      </c>
      <c r="AI46">
        <v>3</v>
      </c>
      <c r="AJ46">
        <v>9</v>
      </c>
      <c r="AK46"/>
      <c r="AU46"/>
      <c r="BE46" s="14">
        <f>SUM(Portefeuille_MNT_PPS_Access15[[#This Row],[AC ANT]:[TR 2034]])</f>
        <v>915</v>
      </c>
    </row>
    <row r="47" spans="2:57" x14ac:dyDescent="0.3">
      <c r="B47" t="s">
        <v>118</v>
      </c>
      <c r="C47" t="s">
        <v>102</v>
      </c>
      <c r="D47" t="s">
        <v>136</v>
      </c>
      <c r="E47" t="s">
        <v>129</v>
      </c>
      <c r="F47" t="s">
        <v>16</v>
      </c>
      <c r="G47" t="s">
        <v>16</v>
      </c>
      <c r="H47" t="s">
        <v>131</v>
      </c>
      <c r="I47" t="s">
        <v>218</v>
      </c>
      <c r="J47" t="s">
        <v>219</v>
      </c>
      <c r="K47" t="s">
        <v>152</v>
      </c>
      <c r="L47" t="s">
        <v>148</v>
      </c>
      <c r="M47" t="s">
        <v>164</v>
      </c>
      <c r="N47" s="1">
        <v>45370</v>
      </c>
      <c r="O4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4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4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-1490</v>
      </c>
      <c r="R4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1501</v>
      </c>
      <c r="S47">
        <f>Portefeuille_MNT_PPS_Access15[[#This Row],[Délais PC1 et PC3]]+Portefeuille_MNT_PPS_Access15[[#This Row],[Délais PC3 et PC5]]</f>
        <v>11</v>
      </c>
      <c r="T47" s="1"/>
      <c r="U47" s="1">
        <v>45706</v>
      </c>
      <c r="V47">
        <v>1</v>
      </c>
      <c r="W47">
        <v>1</v>
      </c>
      <c r="Y4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47" s="12" t="e">
        <f>_xlfn.XLOOKUP(Portefeuille_MNT_PPS_Access15[[#This Row],[Numéro projet]],Tableau5[Numéro projet],Tableau5[IND_Site_Prioritaire])</f>
        <v>#N/A</v>
      </c>
      <c r="AA47" s="2" t="e">
        <f>_xlfn.XLOOKUP(Portefeuille_MNT_PPS_Access15[[#This Row],[Numéro projet]],Tableau5[Numéro projet],Tableau5[Critère Etat Infrastructure])</f>
        <v>#N/A</v>
      </c>
      <c r="AB4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47">
        <v>5</v>
      </c>
      <c r="AD47" s="63"/>
      <c r="AE47" t="s">
        <v>165</v>
      </c>
      <c r="AF47" s="2"/>
      <c r="AG47">
        <v>6</v>
      </c>
      <c r="AI47">
        <v>59</v>
      </c>
      <c r="AK47">
        <v>24</v>
      </c>
      <c r="AL47">
        <v>605</v>
      </c>
      <c r="AU47"/>
      <c r="BE47" s="14">
        <f>SUM(Portefeuille_MNT_PPS_Access15[[#This Row],[AC ANT]:[TR 2034]])</f>
        <v>694</v>
      </c>
    </row>
    <row r="48" spans="2:57" x14ac:dyDescent="0.3">
      <c r="B48" t="s">
        <v>118</v>
      </c>
      <c r="C48" t="s">
        <v>102</v>
      </c>
      <c r="D48" t="s">
        <v>136</v>
      </c>
      <c r="E48" t="s">
        <v>129</v>
      </c>
      <c r="F48" t="s">
        <v>16</v>
      </c>
      <c r="G48" t="s">
        <v>16</v>
      </c>
      <c r="H48" t="s">
        <v>131</v>
      </c>
      <c r="I48" t="s">
        <v>345</v>
      </c>
      <c r="J48" t="s">
        <v>346</v>
      </c>
      <c r="K48" t="s">
        <v>147</v>
      </c>
      <c r="L48" t="s">
        <v>176</v>
      </c>
      <c r="M48" t="s">
        <v>164</v>
      </c>
      <c r="N48" s="1"/>
      <c r="O4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4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4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4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48">
        <f>Portefeuille_MNT_PPS_Access15[[#This Row],[Délais PC1 et PC3]]+Portefeuille_MNT_PPS_Access15[[#This Row],[Délais PC3 et PC5]]</f>
        <v>0</v>
      </c>
      <c r="T48" s="1"/>
      <c r="U48" s="1"/>
      <c r="V48">
        <v>1</v>
      </c>
      <c r="Y4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48" s="12" t="e">
        <f>_xlfn.XLOOKUP(Portefeuille_MNT_PPS_Access15[[#This Row],[Numéro projet]],Tableau5[Numéro projet],Tableau5[IND_Site_Prioritaire])</f>
        <v>#N/A</v>
      </c>
      <c r="AA48" s="2" t="e">
        <f>_xlfn.XLOOKUP(Portefeuille_MNT_PPS_Access15[[#This Row],[Numéro projet]],Tableau5[Numéro projet],Tableau5[Critère Etat Infrastructure])</f>
        <v>#N/A</v>
      </c>
      <c r="AB48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48" s="63"/>
      <c r="AE48" t="s">
        <v>165</v>
      </c>
      <c r="AF48" s="2">
        <v>5</v>
      </c>
      <c r="AH48">
        <v>151</v>
      </c>
      <c r="AJ48">
        <v>41</v>
      </c>
      <c r="AK48"/>
      <c r="AU48"/>
      <c r="BE48" s="14">
        <f>SUM(Portefeuille_MNT_PPS_Access15[[#This Row],[AC ANT]:[TR 2034]])</f>
        <v>192</v>
      </c>
    </row>
    <row r="49" spans="2:57" x14ac:dyDescent="0.3">
      <c r="B49" t="s">
        <v>101</v>
      </c>
      <c r="C49" t="s">
        <v>102</v>
      </c>
      <c r="D49" t="s">
        <v>136</v>
      </c>
      <c r="E49" t="s">
        <v>113</v>
      </c>
      <c r="F49" t="s">
        <v>16</v>
      </c>
      <c r="G49" t="s">
        <v>20</v>
      </c>
      <c r="H49" t="s">
        <v>131</v>
      </c>
      <c r="I49" t="s">
        <v>185</v>
      </c>
      <c r="J49" t="s">
        <v>186</v>
      </c>
      <c r="K49" t="s">
        <v>187</v>
      </c>
      <c r="L49" t="s">
        <v>173</v>
      </c>
      <c r="M49" t="s">
        <v>110</v>
      </c>
      <c r="N49" s="1">
        <v>44823</v>
      </c>
      <c r="O4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4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4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42</v>
      </c>
      <c r="R4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49">
        <f>Portefeuille_MNT_PPS_Access15[[#This Row],[Délais PC1 et PC3]]+Portefeuille_MNT_PPS_Access15[[#This Row],[Délais PC3 et PC5]]</f>
        <v>54</v>
      </c>
      <c r="T49" s="1">
        <v>46096</v>
      </c>
      <c r="U49" s="1">
        <v>46461</v>
      </c>
      <c r="V49">
        <v>1</v>
      </c>
      <c r="W49">
        <v>1</v>
      </c>
      <c r="X49">
        <v>1</v>
      </c>
      <c r="Y4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49" s="12" t="e">
        <f>_xlfn.XLOOKUP(Portefeuille_MNT_PPS_Access15[[#This Row],[Numéro projet]],Tableau5[Numéro projet],Tableau5[IND_Site_Prioritaire])</f>
        <v>#N/A</v>
      </c>
      <c r="AA49" s="2" t="e">
        <f>_xlfn.XLOOKUP(Portefeuille_MNT_PPS_Access15[[#This Row],[Numéro projet]],Tableau5[Numéro projet],Tableau5[Critère Etat Infrastructure])</f>
        <v>#N/A</v>
      </c>
      <c r="AB4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49">
        <v>5</v>
      </c>
      <c r="AD49" s="63"/>
      <c r="AE49" t="s">
        <v>112</v>
      </c>
      <c r="AF49" s="2"/>
      <c r="AG49">
        <v>282</v>
      </c>
      <c r="AI49">
        <v>452</v>
      </c>
      <c r="AK49">
        <v>835</v>
      </c>
      <c r="AM49">
        <v>630</v>
      </c>
      <c r="AO49">
        <v>225</v>
      </c>
      <c r="AP49">
        <v>1806</v>
      </c>
      <c r="AQ49">
        <v>225</v>
      </c>
      <c r="AR49">
        <v>5369</v>
      </c>
      <c r="AS49">
        <v>225</v>
      </c>
      <c r="AT49">
        <v>9000</v>
      </c>
      <c r="AU49"/>
      <c r="BE49" s="14">
        <f>SUM(Portefeuille_MNT_PPS_Access15[[#This Row],[AC ANT]:[TR 2034]])</f>
        <v>19049</v>
      </c>
    </row>
    <row r="50" spans="2:57" x14ac:dyDescent="0.3">
      <c r="B50" t="s">
        <v>118</v>
      </c>
      <c r="C50" t="s">
        <v>102</v>
      </c>
      <c r="D50" t="s">
        <v>136</v>
      </c>
      <c r="E50" t="s">
        <v>129</v>
      </c>
      <c r="F50" t="s">
        <v>325</v>
      </c>
      <c r="G50" t="s">
        <v>16</v>
      </c>
      <c r="H50" t="s">
        <v>131</v>
      </c>
      <c r="I50" t="s">
        <v>347</v>
      </c>
      <c r="J50" t="s">
        <v>348</v>
      </c>
      <c r="K50" t="s">
        <v>214</v>
      </c>
      <c r="L50" t="s">
        <v>176</v>
      </c>
      <c r="M50" t="s">
        <v>297</v>
      </c>
      <c r="N50" s="1"/>
      <c r="O5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5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5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1479</v>
      </c>
      <c r="S50">
        <f>Portefeuille_MNT_PPS_Access15[[#This Row],[Délais PC1 et PC3]]+Portefeuille_MNT_PPS_Access15[[#This Row],[Délais PC3 et PC5]]</f>
        <v>1479</v>
      </c>
      <c r="T50" s="1"/>
      <c r="U50" s="1">
        <v>45037</v>
      </c>
      <c r="V50">
        <v>1</v>
      </c>
      <c r="W50">
        <v>5</v>
      </c>
      <c r="Y50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0" s="12" t="e">
        <f>_xlfn.XLOOKUP(Portefeuille_MNT_PPS_Access15[[#This Row],[Numéro projet]],Tableau5[Numéro projet],Tableau5[IND_Site_Prioritaire])</f>
        <v>#N/A</v>
      </c>
      <c r="AA50" s="2" t="e">
        <f>_xlfn.XLOOKUP(Portefeuille_MNT_PPS_Access15[[#This Row],[Numéro projet]],Tableau5[Numéro projet],Tableau5[Critère Etat Infrastructure])</f>
        <v>#N/A</v>
      </c>
      <c r="AB50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50" s="63"/>
      <c r="AE50" t="s">
        <v>349</v>
      </c>
      <c r="AF50" s="2">
        <v>5</v>
      </c>
      <c r="AH50">
        <v>36</v>
      </c>
      <c r="AJ50">
        <v>4</v>
      </c>
      <c r="AK50"/>
      <c r="AU50"/>
      <c r="BE50" s="14">
        <f>SUM(Portefeuille_MNT_PPS_Access15[[#This Row],[AC ANT]:[TR 2034]])</f>
        <v>40</v>
      </c>
    </row>
    <row r="51" spans="2:57" x14ac:dyDescent="0.3">
      <c r="B51" t="s">
        <v>101</v>
      </c>
      <c r="C51" t="s">
        <v>102</v>
      </c>
      <c r="D51" t="s">
        <v>128</v>
      </c>
      <c r="E51" t="s">
        <v>140</v>
      </c>
      <c r="F51" t="s">
        <v>16</v>
      </c>
      <c r="G51" t="s">
        <v>16</v>
      </c>
      <c r="H51" t="s">
        <v>105</v>
      </c>
      <c r="I51" t="s">
        <v>141</v>
      </c>
      <c r="J51" t="s">
        <v>142</v>
      </c>
      <c r="K51" t="s">
        <v>143</v>
      </c>
      <c r="L51" s="2" t="s">
        <v>109</v>
      </c>
      <c r="M51" t="s">
        <v>123</v>
      </c>
      <c r="N51" s="1">
        <v>42900</v>
      </c>
      <c r="O5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5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80</v>
      </c>
      <c r="R5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18</v>
      </c>
      <c r="S51">
        <f>Portefeuille_MNT_PPS_Access15[[#This Row],[Délais PC1 et PC3]]+Portefeuille_MNT_PPS_Access15[[#This Row],[Délais PC3 et PC5]]</f>
        <v>98</v>
      </c>
      <c r="T51" s="1">
        <v>45323</v>
      </c>
      <c r="U51" s="1">
        <v>45884</v>
      </c>
      <c r="V51">
        <v>5</v>
      </c>
      <c r="W51">
        <v>1</v>
      </c>
      <c r="X51">
        <v>5</v>
      </c>
      <c r="Y51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1" s="12" t="e">
        <f>_xlfn.XLOOKUP(Portefeuille_MNT_PPS_Access15[[#This Row],[Numéro projet]],Tableau5[Numéro projet],Tableau5[IND_Site_Prioritaire])</f>
        <v>#N/A</v>
      </c>
      <c r="AA51" s="2" t="e">
        <f>_xlfn.XLOOKUP(Portefeuille_MNT_PPS_Access15[[#This Row],[Numéro projet]],Tableau5[Numéro projet],Tableau5[Critère Etat Infrastructure])</f>
        <v>#N/A</v>
      </c>
      <c r="AB5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51">
        <v>5</v>
      </c>
      <c r="AD51" s="63"/>
      <c r="AE51" t="s">
        <v>125</v>
      </c>
      <c r="AF51" s="2"/>
      <c r="AG51">
        <v>61</v>
      </c>
      <c r="AK51"/>
      <c r="AM51">
        <v>370</v>
      </c>
      <c r="AN51">
        <v>4948</v>
      </c>
      <c r="AU51"/>
      <c r="BE51" s="14">
        <f>SUM(Portefeuille_MNT_PPS_Access15[[#This Row],[AC ANT]:[TR 2034]])</f>
        <v>5379</v>
      </c>
    </row>
    <row r="52" spans="2:57" x14ac:dyDescent="0.3">
      <c r="B52" t="s">
        <v>101</v>
      </c>
      <c r="C52" t="s">
        <v>102</v>
      </c>
      <c r="D52" t="s">
        <v>177</v>
      </c>
      <c r="E52" t="s">
        <v>149</v>
      </c>
      <c r="F52" t="s">
        <v>16</v>
      </c>
      <c r="G52" t="s">
        <v>16</v>
      </c>
      <c r="H52" t="s">
        <v>131</v>
      </c>
      <c r="I52" t="s">
        <v>350</v>
      </c>
      <c r="J52" t="s">
        <v>351</v>
      </c>
      <c r="K52" t="s">
        <v>152</v>
      </c>
      <c r="L52" t="s">
        <v>176</v>
      </c>
      <c r="M52" t="s">
        <v>164</v>
      </c>
      <c r="N52" s="1"/>
      <c r="O5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5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1474</v>
      </c>
      <c r="R5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</v>
      </c>
      <c r="S52">
        <f>Portefeuille_MNT_PPS_Access15[[#This Row],[Délais PC1 et PC3]]+Portefeuille_MNT_PPS_Access15[[#This Row],[Délais PC3 et PC5]]</f>
        <v>1475</v>
      </c>
      <c r="T52" s="1">
        <v>44880</v>
      </c>
      <c r="U52" s="1">
        <v>44914</v>
      </c>
      <c r="V52">
        <v>1</v>
      </c>
      <c r="W52">
        <v>5</v>
      </c>
      <c r="X52">
        <v>5</v>
      </c>
      <c r="Y52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2" s="12" t="e">
        <f>_xlfn.XLOOKUP(Portefeuille_MNT_PPS_Access15[[#This Row],[Numéro projet]],Tableau5[Numéro projet],Tableau5[IND_Site_Prioritaire])</f>
        <v>#N/A</v>
      </c>
      <c r="AA52" s="2" t="e">
        <f>_xlfn.XLOOKUP(Portefeuille_MNT_PPS_Access15[[#This Row],[Numéro projet]],Tableau5[Numéro projet],Tableau5[Critère Etat Infrastructure])</f>
        <v>#N/A</v>
      </c>
      <c r="AB52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52" s="63"/>
      <c r="AE52" t="s">
        <v>165</v>
      </c>
      <c r="AF52" s="2">
        <v>5</v>
      </c>
      <c r="AG52">
        <v>14</v>
      </c>
      <c r="AH52">
        <v>2970</v>
      </c>
      <c r="AJ52">
        <v>25</v>
      </c>
      <c r="AK52"/>
      <c r="AU52"/>
      <c r="BE52" s="14">
        <f>SUM(Portefeuille_MNT_PPS_Access15[[#This Row],[AC ANT]:[TR 2034]])</f>
        <v>3009</v>
      </c>
    </row>
    <row r="53" spans="2:57" x14ac:dyDescent="0.3">
      <c r="B53" t="s">
        <v>101</v>
      </c>
      <c r="C53" t="s">
        <v>102</v>
      </c>
      <c r="D53" t="s">
        <v>128</v>
      </c>
      <c r="E53" t="s">
        <v>113</v>
      </c>
      <c r="F53" t="s">
        <v>16</v>
      </c>
      <c r="G53" t="s">
        <v>16</v>
      </c>
      <c r="H53" t="s">
        <v>105</v>
      </c>
      <c r="I53" t="s">
        <v>160</v>
      </c>
      <c r="J53" t="s">
        <v>161</v>
      </c>
      <c r="K53" t="s">
        <v>122</v>
      </c>
      <c r="L53" t="s">
        <v>148</v>
      </c>
      <c r="M53" t="s">
        <v>164</v>
      </c>
      <c r="N53" s="1">
        <v>44956</v>
      </c>
      <c r="O5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5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5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5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53">
        <f>Portefeuille_MNT_PPS_Access15[[#This Row],[Délais PC1 et PC3]]+Portefeuille_MNT_PPS_Access15[[#This Row],[Délais PC3 et PC5]]</f>
        <v>24</v>
      </c>
      <c r="T53" s="1">
        <v>45321</v>
      </c>
      <c r="U53" s="1">
        <v>45687</v>
      </c>
      <c r="V53">
        <v>1</v>
      </c>
      <c r="W53">
        <v>1</v>
      </c>
      <c r="X53">
        <v>5</v>
      </c>
      <c r="Y53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3" s="12" t="e">
        <f>_xlfn.XLOOKUP(Portefeuille_MNT_PPS_Access15[[#This Row],[Numéro projet]],Tableau5[Numéro projet],Tableau5[IND_Site_Prioritaire])</f>
        <v>#N/A</v>
      </c>
      <c r="AA53" s="2" t="e">
        <f>_xlfn.XLOOKUP(Portefeuille_MNT_PPS_Access15[[#This Row],[Numéro projet]],Tableau5[Numéro projet],Tableau5[Critère Etat Infrastructure])</f>
        <v>#N/A</v>
      </c>
      <c r="AB5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53">
        <v>5</v>
      </c>
      <c r="AD53" s="63"/>
      <c r="AE53" t="s">
        <v>165</v>
      </c>
      <c r="AF53" s="2"/>
      <c r="AG53">
        <v>6</v>
      </c>
      <c r="AI53">
        <v>19</v>
      </c>
      <c r="AK53">
        <v>320</v>
      </c>
      <c r="AL53">
        <v>4503</v>
      </c>
      <c r="AU53"/>
      <c r="BE53" s="14">
        <f>SUM(Portefeuille_MNT_PPS_Access15[[#This Row],[AC ANT]:[TR 2034]])</f>
        <v>4848</v>
      </c>
    </row>
    <row r="54" spans="2:57" x14ac:dyDescent="0.3">
      <c r="B54" t="s">
        <v>118</v>
      </c>
      <c r="C54" t="s">
        <v>102</v>
      </c>
      <c r="D54" t="s">
        <v>136</v>
      </c>
      <c r="E54" t="s">
        <v>340</v>
      </c>
      <c r="F54" t="s">
        <v>16</v>
      </c>
      <c r="G54" t="s">
        <v>16</v>
      </c>
      <c r="H54" t="s">
        <v>105</v>
      </c>
      <c r="I54" t="s">
        <v>352</v>
      </c>
      <c r="J54" t="s">
        <v>353</v>
      </c>
      <c r="K54" t="s">
        <v>180</v>
      </c>
      <c r="L54" t="s">
        <v>176</v>
      </c>
      <c r="M54" t="s">
        <v>164</v>
      </c>
      <c r="N54" s="1"/>
      <c r="O5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5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1477</v>
      </c>
      <c r="R5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5</v>
      </c>
      <c r="S54">
        <f>Portefeuille_MNT_PPS_Access15[[#This Row],[Délais PC1 et PC3]]+Portefeuille_MNT_PPS_Access15[[#This Row],[Délais PC3 et PC5]]</f>
        <v>1482</v>
      </c>
      <c r="T54" s="1">
        <v>44965</v>
      </c>
      <c r="U54" s="1">
        <v>45113</v>
      </c>
      <c r="V54">
        <v>1</v>
      </c>
      <c r="W54">
        <v>5</v>
      </c>
      <c r="X54">
        <v>5</v>
      </c>
      <c r="Y54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4" s="12" t="e">
        <f>_xlfn.XLOOKUP(Portefeuille_MNT_PPS_Access15[[#This Row],[Numéro projet]],Tableau5[Numéro projet],Tableau5[IND_Site_Prioritaire])</f>
        <v>#N/A</v>
      </c>
      <c r="AA54" s="2" t="e">
        <f>_xlfn.XLOOKUP(Portefeuille_MNT_PPS_Access15[[#This Row],[Numéro projet]],Tableau5[Numéro projet],Tableau5[Critère Etat Infrastructure])</f>
        <v>#N/A</v>
      </c>
      <c r="AB54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54" s="62"/>
      <c r="AE54" t="s">
        <v>165</v>
      </c>
      <c r="AF54" s="2">
        <v>5</v>
      </c>
      <c r="AG54">
        <v>87</v>
      </c>
      <c r="AH54">
        <v>304</v>
      </c>
      <c r="AI54">
        <v>40</v>
      </c>
      <c r="AJ54">
        <v>918</v>
      </c>
      <c r="AK54"/>
      <c r="AU54"/>
      <c r="BE54" s="14">
        <f>SUM(Portefeuille_MNT_PPS_Access15[[#This Row],[AC ANT]:[TR 2034]])</f>
        <v>1349</v>
      </c>
    </row>
    <row r="55" spans="2:57" x14ac:dyDescent="0.3">
      <c r="B55" t="s">
        <v>101</v>
      </c>
      <c r="C55" t="s">
        <v>102</v>
      </c>
      <c r="D55" t="s">
        <v>136</v>
      </c>
      <c r="E55" t="s">
        <v>144</v>
      </c>
      <c r="F55" t="s">
        <v>16</v>
      </c>
      <c r="G55" t="s">
        <v>20</v>
      </c>
      <c r="H55" t="s">
        <v>131</v>
      </c>
      <c r="I55" t="s">
        <v>195</v>
      </c>
      <c r="J55" t="s">
        <v>196</v>
      </c>
      <c r="K55" t="s">
        <v>180</v>
      </c>
      <c r="L55" t="s">
        <v>197</v>
      </c>
      <c r="M55" t="s">
        <v>110</v>
      </c>
      <c r="N55" s="1">
        <v>44889</v>
      </c>
      <c r="O5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5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39</v>
      </c>
      <c r="R5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17</v>
      </c>
      <c r="S55">
        <f>Portefeuille_MNT_PPS_Access15[[#This Row],[Délais PC1 et PC3]]+Portefeuille_MNT_PPS_Access15[[#This Row],[Délais PC3 et PC5]]</f>
        <v>56</v>
      </c>
      <c r="T55" s="1">
        <v>46068</v>
      </c>
      <c r="U55" s="1">
        <v>46583</v>
      </c>
      <c r="V55">
        <v>1</v>
      </c>
      <c r="W55">
        <v>1</v>
      </c>
      <c r="X55">
        <v>1</v>
      </c>
      <c r="Y5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55" s="12" t="e">
        <f>_xlfn.XLOOKUP(Portefeuille_MNT_PPS_Access15[[#This Row],[Numéro projet]],Tableau5[Numéro projet],Tableau5[IND_Site_Prioritaire])</f>
        <v>#N/A</v>
      </c>
      <c r="AA55" s="2" t="e">
        <f>_xlfn.XLOOKUP(Portefeuille_MNT_PPS_Access15[[#This Row],[Numéro projet]],Tableau5[Numéro projet],Tableau5[Critère Etat Infrastructure])</f>
        <v>#N/A</v>
      </c>
      <c r="AB5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55">
        <v>5</v>
      </c>
      <c r="AD55" s="62"/>
      <c r="AE55" t="s">
        <v>112</v>
      </c>
      <c r="AF55" s="2"/>
      <c r="AG55">
        <v>337</v>
      </c>
      <c r="AI55">
        <v>59.999999999999993</v>
      </c>
      <c r="AK55">
        <v>1657.9999999999998</v>
      </c>
      <c r="AM55">
        <v>1529</v>
      </c>
      <c r="AO55">
        <v>1529</v>
      </c>
      <c r="AQ55">
        <v>1325</v>
      </c>
      <c r="AR55">
        <v>7500</v>
      </c>
      <c r="AS55">
        <v>1200</v>
      </c>
      <c r="AT55">
        <v>9500</v>
      </c>
      <c r="AU55">
        <v>455</v>
      </c>
      <c r="AV55">
        <v>18000</v>
      </c>
      <c r="BE55" s="14">
        <f>SUM(Portefeuille_MNT_PPS_Access15[[#This Row],[AC ANT]:[TR 2034]])</f>
        <v>43093</v>
      </c>
    </row>
    <row r="56" spans="2:57" x14ac:dyDescent="0.3">
      <c r="B56" t="s">
        <v>118</v>
      </c>
      <c r="C56" t="s">
        <v>102</v>
      </c>
      <c r="D56" t="s">
        <v>103</v>
      </c>
      <c r="E56" t="s">
        <v>340</v>
      </c>
      <c r="F56" t="s">
        <v>16</v>
      </c>
      <c r="G56" t="s">
        <v>16</v>
      </c>
      <c r="H56" t="s">
        <v>105</v>
      </c>
      <c r="I56" t="s">
        <v>354</v>
      </c>
      <c r="J56" t="s">
        <v>355</v>
      </c>
      <c r="K56" t="s">
        <v>143</v>
      </c>
      <c r="L56" t="s">
        <v>176</v>
      </c>
      <c r="M56" t="s">
        <v>164</v>
      </c>
      <c r="N56" s="1"/>
      <c r="O5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5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5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5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56">
        <f>Portefeuille_MNT_PPS_Access15[[#This Row],[Délais PC1 et PC3]]+Portefeuille_MNT_PPS_Access15[[#This Row],[Délais PC3 et PC5]]</f>
        <v>0</v>
      </c>
      <c r="T56" s="1"/>
      <c r="U56" s="1"/>
      <c r="V56">
        <v>1</v>
      </c>
      <c r="Y5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56" s="12" t="e">
        <f>_xlfn.XLOOKUP(Portefeuille_MNT_PPS_Access15[[#This Row],[Numéro projet]],Tableau5[Numéro projet],Tableau5[IND_Site_Prioritaire])</f>
        <v>#N/A</v>
      </c>
      <c r="AA56" s="2" t="e">
        <f>_xlfn.XLOOKUP(Portefeuille_MNT_PPS_Access15[[#This Row],[Numéro projet]],Tableau5[Numéro projet],Tableau5[Critère Etat Infrastructure])</f>
        <v>#N/A</v>
      </c>
      <c r="AB5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56" s="63"/>
      <c r="AE56" t="s">
        <v>165</v>
      </c>
      <c r="AF56" s="2"/>
      <c r="AG56">
        <v>173</v>
      </c>
      <c r="AH56">
        <v>7850</v>
      </c>
      <c r="AI56">
        <v>22</v>
      </c>
      <c r="AJ56">
        <v>173</v>
      </c>
      <c r="AK56"/>
      <c r="AU56"/>
      <c r="BE56" s="14">
        <f>SUM(Portefeuille_MNT_PPS_Access15[[#This Row],[AC ANT]:[TR 2034]])</f>
        <v>8218</v>
      </c>
    </row>
    <row r="57" spans="2:57" x14ac:dyDescent="0.3">
      <c r="B57" t="s">
        <v>101</v>
      </c>
      <c r="C57" t="s">
        <v>102</v>
      </c>
      <c r="D57" t="s">
        <v>103</v>
      </c>
      <c r="E57" t="s">
        <v>129</v>
      </c>
      <c r="F57" t="s">
        <v>16</v>
      </c>
      <c r="G57" t="s">
        <v>16</v>
      </c>
      <c r="H57" t="s">
        <v>105</v>
      </c>
      <c r="I57" t="s">
        <v>356</v>
      </c>
      <c r="J57" t="s">
        <v>357</v>
      </c>
      <c r="K57" t="s">
        <v>116</v>
      </c>
      <c r="L57" t="s">
        <v>176</v>
      </c>
      <c r="M57" t="s">
        <v>164</v>
      </c>
      <c r="N57" s="1"/>
      <c r="O5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5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1475</v>
      </c>
      <c r="R5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8</v>
      </c>
      <c r="S57">
        <f>Portefeuille_MNT_PPS_Access15[[#This Row],[Délais PC1 et PC3]]+Portefeuille_MNT_PPS_Access15[[#This Row],[Délais PC3 et PC5]]</f>
        <v>1483</v>
      </c>
      <c r="T57" s="1">
        <v>44911</v>
      </c>
      <c r="U57" s="1">
        <v>45167</v>
      </c>
      <c r="V57">
        <v>5</v>
      </c>
      <c r="W57">
        <v>5</v>
      </c>
      <c r="X57">
        <v>5</v>
      </c>
      <c r="Y57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7" s="12" t="e">
        <f>_xlfn.XLOOKUP(Portefeuille_MNT_PPS_Access15[[#This Row],[Numéro projet]],Tableau5[Numéro projet],Tableau5[IND_Site_Prioritaire])</f>
        <v>#N/A</v>
      </c>
      <c r="AA57" s="2" t="e">
        <f>_xlfn.XLOOKUP(Portefeuille_MNT_PPS_Access15[[#This Row],[Numéro projet]],Tableau5[Numéro projet],Tableau5[Critère Etat Infrastructure])</f>
        <v>#N/A</v>
      </c>
      <c r="AB57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57" s="63"/>
      <c r="AE57" t="s">
        <v>165</v>
      </c>
      <c r="AF57" s="2">
        <v>5</v>
      </c>
      <c r="AG57">
        <v>16</v>
      </c>
      <c r="AI57">
        <v>14</v>
      </c>
      <c r="AJ57">
        <v>1900</v>
      </c>
      <c r="AK57"/>
      <c r="AU57"/>
      <c r="BE57" s="14">
        <f>SUM(Portefeuille_MNT_PPS_Access15[[#This Row],[AC ANT]:[TR 2034]])</f>
        <v>1930</v>
      </c>
    </row>
    <row r="58" spans="2:57" x14ac:dyDescent="0.3">
      <c r="B58" t="s">
        <v>126</v>
      </c>
      <c r="C58" t="s">
        <v>127</v>
      </c>
      <c r="D58" t="s">
        <v>136</v>
      </c>
      <c r="E58" t="s">
        <v>113</v>
      </c>
      <c r="F58" t="s">
        <v>16</v>
      </c>
      <c r="G58" t="s">
        <v>16</v>
      </c>
      <c r="H58" t="s">
        <v>105</v>
      </c>
      <c r="I58" t="s">
        <v>358</v>
      </c>
      <c r="J58" t="s">
        <v>359</v>
      </c>
      <c r="K58" t="s">
        <v>108</v>
      </c>
      <c r="M58" t="s">
        <v>164</v>
      </c>
      <c r="N58" s="1"/>
      <c r="O58" s="1" t="e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#NUM!</v>
      </c>
      <c r="P58" s="1" t="e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#NUM!</v>
      </c>
      <c r="Q5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1392</v>
      </c>
      <c r="R5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33</v>
      </c>
      <c r="S58">
        <f>Portefeuille_MNT_PPS_Access15[[#This Row],[Délais PC1 et PC3]]+Portefeuille_MNT_PPS_Access15[[#This Row],[Délais PC3 et PC5]]</f>
        <v>1425</v>
      </c>
      <c r="T58" s="1">
        <v>42383</v>
      </c>
      <c r="U58" s="1">
        <v>43404</v>
      </c>
      <c r="V58">
        <v>1</v>
      </c>
      <c r="W58">
        <v>5</v>
      </c>
      <c r="X58">
        <v>5</v>
      </c>
      <c r="Y5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58" s="12" t="e">
        <f>_xlfn.XLOOKUP(Portefeuille_MNT_PPS_Access15[[#This Row],[Numéro projet]],Tableau5[Numéro projet],Tableau5[IND_Site_Prioritaire])</f>
        <v>#N/A</v>
      </c>
      <c r="AA58" s="2" t="e">
        <f>_xlfn.XLOOKUP(Portefeuille_MNT_PPS_Access15[[#This Row],[Numéro projet]],Tableau5[Numéro projet],Tableau5[Critère Etat Infrastructure])</f>
        <v>#N/A</v>
      </c>
      <c r="AB5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58" s="63"/>
      <c r="AE58" t="s">
        <v>165</v>
      </c>
      <c r="AF58" s="2"/>
      <c r="AG58">
        <v>2099</v>
      </c>
      <c r="AH58">
        <v>8991</v>
      </c>
      <c r="AI58">
        <v>122</v>
      </c>
      <c r="AK58"/>
      <c r="AU58"/>
      <c r="BE58" s="14">
        <f>SUM(Portefeuille_MNT_PPS_Access15[[#This Row],[AC ANT]:[TR 2034]])</f>
        <v>11212</v>
      </c>
    </row>
    <row r="59" spans="2:57" x14ac:dyDescent="0.3">
      <c r="B59" t="s">
        <v>101</v>
      </c>
      <c r="C59" t="s">
        <v>102</v>
      </c>
      <c r="D59" t="s">
        <v>103</v>
      </c>
      <c r="E59" t="s">
        <v>113</v>
      </c>
      <c r="F59" t="s">
        <v>16</v>
      </c>
      <c r="G59" t="s">
        <v>16</v>
      </c>
      <c r="H59" t="s">
        <v>105</v>
      </c>
      <c r="I59" t="s">
        <v>114</v>
      </c>
      <c r="J59" t="s">
        <v>115</v>
      </c>
      <c r="K59" t="s">
        <v>116</v>
      </c>
      <c r="L59" t="s">
        <v>109</v>
      </c>
      <c r="M59" t="s">
        <v>123</v>
      </c>
      <c r="N59" s="1">
        <v>45105</v>
      </c>
      <c r="O5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5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5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21</v>
      </c>
      <c r="R5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7</v>
      </c>
      <c r="S59">
        <f>Portefeuille_MNT_PPS_Access15[[#This Row],[Délais PC1 et PC3]]+Portefeuille_MNT_PPS_Access15[[#This Row],[Délais PC3 et PC5]]</f>
        <v>28</v>
      </c>
      <c r="T59" s="1">
        <v>45733</v>
      </c>
      <c r="U59" s="1">
        <v>45940</v>
      </c>
      <c r="V59">
        <v>1</v>
      </c>
      <c r="W59">
        <v>1</v>
      </c>
      <c r="X59">
        <v>1</v>
      </c>
      <c r="Y5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59" s="12" t="e">
        <f>_xlfn.XLOOKUP(Portefeuille_MNT_PPS_Access15[[#This Row],[Numéro projet]],Tableau5[Numéro projet],Tableau5[IND_Site_Prioritaire])</f>
        <v>#N/A</v>
      </c>
      <c r="AA59" s="2" t="e">
        <f>_xlfn.XLOOKUP(Portefeuille_MNT_PPS_Access15[[#This Row],[Numéro projet]],Tableau5[Numéro projet],Tableau5[Critère Etat Infrastructure])</f>
        <v>#N/A</v>
      </c>
      <c r="AB5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59">
        <v>5</v>
      </c>
      <c r="AD59" s="63"/>
      <c r="AE59" t="s">
        <v>125</v>
      </c>
      <c r="AF59" s="2"/>
      <c r="AG59">
        <v>25</v>
      </c>
      <c r="AI59">
        <v>13</v>
      </c>
      <c r="AK59">
        <v>48</v>
      </c>
      <c r="AM59">
        <v>520</v>
      </c>
      <c r="AN59">
        <v>19125</v>
      </c>
      <c r="AU59"/>
      <c r="BE59" s="14">
        <f>SUM(Portefeuille_MNT_PPS_Access15[[#This Row],[AC ANT]:[TR 2034]])</f>
        <v>19731</v>
      </c>
    </row>
    <row r="60" spans="2:57" x14ac:dyDescent="0.3">
      <c r="B60" t="s">
        <v>118</v>
      </c>
      <c r="C60" t="s">
        <v>102</v>
      </c>
      <c r="D60" t="s">
        <v>119</v>
      </c>
      <c r="E60" t="s">
        <v>206</v>
      </c>
      <c r="F60" t="s">
        <v>16</v>
      </c>
      <c r="G60" t="s">
        <v>130</v>
      </c>
      <c r="H60" t="s">
        <v>131</v>
      </c>
      <c r="I60" t="s">
        <v>207</v>
      </c>
      <c r="J60" t="s">
        <v>208</v>
      </c>
      <c r="K60" t="s">
        <v>209</v>
      </c>
      <c r="L60" t="s">
        <v>173</v>
      </c>
      <c r="M60" t="s">
        <v>155</v>
      </c>
      <c r="N60" s="1">
        <v>45976</v>
      </c>
      <c r="O6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6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4</v>
      </c>
      <c r="R6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7</v>
      </c>
      <c r="S60">
        <f>Portefeuille_MNT_PPS_Access15[[#This Row],[Délais PC1 et PC3]]+Portefeuille_MNT_PPS_Access15[[#This Row],[Délais PC3 et PC5]]</f>
        <v>11</v>
      </c>
      <c r="T60" s="1">
        <v>46096</v>
      </c>
      <c r="U60" s="1">
        <v>46310</v>
      </c>
      <c r="V60">
        <v>1</v>
      </c>
      <c r="W60">
        <v>1</v>
      </c>
      <c r="X60">
        <v>1</v>
      </c>
      <c r="Y6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60" s="12" t="e">
        <f>_xlfn.XLOOKUP(Portefeuille_MNT_PPS_Access15[[#This Row],[Numéro projet]],Tableau5[Numéro projet],Tableau5[IND_Site_Prioritaire])</f>
        <v>#N/A</v>
      </c>
      <c r="AA60" s="2" t="e">
        <f>_xlfn.XLOOKUP(Portefeuille_MNT_PPS_Access15[[#This Row],[Numéro projet]],Tableau5[Numéro projet],Tableau5[Critère Etat Infrastructure])</f>
        <v>#N/A</v>
      </c>
      <c r="AB6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0">
        <v>1</v>
      </c>
      <c r="AD60" s="63"/>
      <c r="AE60" t="s">
        <v>156</v>
      </c>
      <c r="AF60" s="2"/>
      <c r="AG60">
        <v>196</v>
      </c>
      <c r="AK60">
        <v>40</v>
      </c>
      <c r="AM60">
        <v>255</v>
      </c>
      <c r="AO60">
        <v>396</v>
      </c>
      <c r="AP60">
        <v>1500</v>
      </c>
      <c r="AU60"/>
      <c r="BE60" s="14">
        <f>SUM(Portefeuille_MNT_PPS_Access15[[#This Row],[AC ANT]:[TR 2034]])</f>
        <v>2387</v>
      </c>
    </row>
    <row r="61" spans="2:57" x14ac:dyDescent="0.3">
      <c r="B61" t="s">
        <v>101</v>
      </c>
      <c r="C61" t="s">
        <v>102</v>
      </c>
      <c r="D61" t="s">
        <v>136</v>
      </c>
      <c r="E61" t="s">
        <v>140</v>
      </c>
      <c r="F61" t="s">
        <v>16</v>
      </c>
      <c r="G61" t="s">
        <v>16</v>
      </c>
      <c r="H61" t="s">
        <v>131</v>
      </c>
      <c r="I61" t="s">
        <v>360</v>
      </c>
      <c r="J61" t="s">
        <v>361</v>
      </c>
      <c r="K61" t="s">
        <v>134</v>
      </c>
      <c r="L61" t="s">
        <v>176</v>
      </c>
      <c r="M61" t="s">
        <v>164</v>
      </c>
      <c r="N61" s="1">
        <v>43390</v>
      </c>
      <c r="O6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6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-1425</v>
      </c>
      <c r="R6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1474</v>
      </c>
      <c r="S61">
        <f>Portefeuille_MNT_PPS_Access15[[#This Row],[Délais PC1 et PC3]]+Portefeuille_MNT_PPS_Access15[[#This Row],[Délais PC3 et PC5]]</f>
        <v>49</v>
      </c>
      <c r="T61" s="1"/>
      <c r="U61" s="1">
        <v>44890</v>
      </c>
      <c r="V61">
        <v>5</v>
      </c>
      <c r="W61">
        <v>5</v>
      </c>
      <c r="Y61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61" s="12" t="e">
        <f>_xlfn.XLOOKUP(Portefeuille_MNT_PPS_Access15[[#This Row],[Numéro projet]],Tableau5[Numéro projet],Tableau5[IND_Site_Prioritaire])</f>
        <v>#N/A</v>
      </c>
      <c r="AA61" s="2" t="e">
        <f>_xlfn.XLOOKUP(Portefeuille_MNT_PPS_Access15[[#This Row],[Numéro projet]],Tableau5[Numéro projet],Tableau5[Critère Etat Infrastructure])</f>
        <v>#N/A</v>
      </c>
      <c r="AB61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61">
        <v>5</v>
      </c>
      <c r="AD61" s="63"/>
      <c r="AE61" t="s">
        <v>165</v>
      </c>
      <c r="AF61" s="2">
        <v>5</v>
      </c>
      <c r="AG61">
        <v>37</v>
      </c>
      <c r="AI61">
        <v>18</v>
      </c>
      <c r="AJ61">
        <v>288</v>
      </c>
      <c r="AK61"/>
      <c r="AU61"/>
      <c r="BE61" s="14">
        <f>SUM(Portefeuille_MNT_PPS_Access15[[#This Row],[AC ANT]:[TR 2034]])</f>
        <v>343</v>
      </c>
    </row>
    <row r="62" spans="2:57" x14ac:dyDescent="0.3">
      <c r="B62" t="s">
        <v>118</v>
      </c>
      <c r="C62" t="s">
        <v>102</v>
      </c>
      <c r="D62" t="s">
        <v>103</v>
      </c>
      <c r="E62" t="s">
        <v>206</v>
      </c>
      <c r="F62" t="s">
        <v>16</v>
      </c>
      <c r="G62" t="s">
        <v>20</v>
      </c>
      <c r="H62" t="s">
        <v>131</v>
      </c>
      <c r="I62" t="s">
        <v>210</v>
      </c>
      <c r="J62" t="s">
        <v>211</v>
      </c>
      <c r="K62" t="s">
        <v>209</v>
      </c>
      <c r="L62" t="s">
        <v>197</v>
      </c>
      <c r="M62" t="s">
        <v>155</v>
      </c>
      <c r="N62" s="1">
        <v>45945</v>
      </c>
      <c r="O6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6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6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62">
        <f>Portefeuille_MNT_PPS_Access15[[#This Row],[Délais PC1 et PC3]]+Portefeuille_MNT_PPS_Access15[[#This Row],[Délais PC3 et PC5]]</f>
        <v>24</v>
      </c>
      <c r="T62" s="1">
        <v>46310</v>
      </c>
      <c r="U62" s="1">
        <v>46675</v>
      </c>
      <c r="V62">
        <v>1</v>
      </c>
      <c r="W62">
        <v>1</v>
      </c>
      <c r="X62">
        <v>1</v>
      </c>
      <c r="Y6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62" s="12" t="e">
        <f>_xlfn.XLOOKUP(Portefeuille_MNT_PPS_Access15[[#This Row],[Numéro projet]],Tableau5[Numéro projet],Tableau5[IND_Site_Prioritaire])</f>
        <v>#N/A</v>
      </c>
      <c r="AA62" s="2" t="e">
        <f>_xlfn.XLOOKUP(Portefeuille_MNT_PPS_Access15[[#This Row],[Numéro projet]],Tableau5[Numéro projet],Tableau5[Critère Etat Infrastructure])</f>
        <v>#N/A</v>
      </c>
      <c r="AB6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2">
        <v>1</v>
      </c>
      <c r="AD62" s="63"/>
      <c r="AE62" t="s">
        <v>156</v>
      </c>
      <c r="AF62" s="2"/>
      <c r="AG62">
        <v>8</v>
      </c>
      <c r="AK62">
        <v>100</v>
      </c>
      <c r="AM62">
        <v>100</v>
      </c>
      <c r="AO62">
        <v>100</v>
      </c>
      <c r="AQ62">
        <v>250</v>
      </c>
      <c r="AR62">
        <v>7500</v>
      </c>
      <c r="AU62"/>
      <c r="BE62" s="14">
        <f>SUM(Portefeuille_MNT_PPS_Access15[[#This Row],[AC ANT]:[TR 2034]])</f>
        <v>8058</v>
      </c>
    </row>
    <row r="63" spans="2:57" x14ac:dyDescent="0.3">
      <c r="B63" t="s">
        <v>101</v>
      </c>
      <c r="C63" t="s">
        <v>102</v>
      </c>
      <c r="D63" t="s">
        <v>136</v>
      </c>
      <c r="E63" t="s">
        <v>149</v>
      </c>
      <c r="F63" t="s">
        <v>16</v>
      </c>
      <c r="G63" t="s">
        <v>20</v>
      </c>
      <c r="H63" t="s">
        <v>131</v>
      </c>
      <c r="I63" t="s">
        <v>212</v>
      </c>
      <c r="J63" t="s">
        <v>213</v>
      </c>
      <c r="K63" t="s">
        <v>214</v>
      </c>
      <c r="L63" t="s">
        <v>184</v>
      </c>
      <c r="M63" t="s">
        <v>155</v>
      </c>
      <c r="N63" s="1">
        <v>45853</v>
      </c>
      <c r="O6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6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10</v>
      </c>
      <c r="R6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63">
        <f>Portefeuille_MNT_PPS_Access15[[#This Row],[Délais PC1 et PC3]]+Portefeuille_MNT_PPS_Access15[[#This Row],[Délais PC3 et PC5]]</f>
        <v>22</v>
      </c>
      <c r="T63" s="1">
        <v>46157</v>
      </c>
      <c r="U63" s="1">
        <v>46522</v>
      </c>
      <c r="V63">
        <v>1</v>
      </c>
      <c r="W63">
        <v>1</v>
      </c>
      <c r="X63">
        <v>1</v>
      </c>
      <c r="Y6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63" s="12" t="e">
        <f>_xlfn.XLOOKUP(Portefeuille_MNT_PPS_Access15[[#This Row],[Numéro projet]],Tableau5[Numéro projet],Tableau5[IND_Site_Prioritaire])</f>
        <v>#N/A</v>
      </c>
      <c r="AA63" s="2" t="e">
        <f>_xlfn.XLOOKUP(Portefeuille_MNT_PPS_Access15[[#This Row],[Numéro projet]],Tableau5[Numéro projet],Tableau5[Critère Etat Infrastructure])</f>
        <v>#N/A</v>
      </c>
      <c r="AB6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3">
        <v>1</v>
      </c>
      <c r="AD63" s="63"/>
      <c r="AE63" t="s">
        <v>156</v>
      </c>
      <c r="AF63" s="2"/>
      <c r="AG63">
        <v>47</v>
      </c>
      <c r="AI63">
        <v>174</v>
      </c>
      <c r="AK63">
        <v>150</v>
      </c>
      <c r="AM63">
        <v>125</v>
      </c>
      <c r="AO63">
        <v>125</v>
      </c>
      <c r="AQ63">
        <v>125</v>
      </c>
      <c r="AS63">
        <v>125</v>
      </c>
      <c r="AU63">
        <v>300</v>
      </c>
      <c r="AV63">
        <v>5000</v>
      </c>
      <c r="AW63">
        <v>350</v>
      </c>
      <c r="AX63">
        <v>10000</v>
      </c>
      <c r="BE63" s="14">
        <f>SUM(Portefeuille_MNT_PPS_Access15[[#This Row],[AC ANT]:[TR 2034]])</f>
        <v>16521</v>
      </c>
    </row>
    <row r="64" spans="2:57" x14ac:dyDescent="0.3">
      <c r="B64" t="s">
        <v>101</v>
      </c>
      <c r="C64" t="s">
        <v>102</v>
      </c>
      <c r="D64" t="s">
        <v>103</v>
      </c>
      <c r="E64" t="s">
        <v>113</v>
      </c>
      <c r="F64" t="s">
        <v>16</v>
      </c>
      <c r="G64" t="s">
        <v>16</v>
      </c>
      <c r="H64" t="s">
        <v>105</v>
      </c>
      <c r="I64" t="s">
        <v>362</v>
      </c>
      <c r="J64" t="s">
        <v>363</v>
      </c>
      <c r="K64" t="s">
        <v>122</v>
      </c>
      <c r="L64" t="s">
        <v>176</v>
      </c>
      <c r="M64" t="s">
        <v>164</v>
      </c>
      <c r="N64" s="1">
        <v>44316</v>
      </c>
      <c r="O6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6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11</v>
      </c>
      <c r="R6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15</v>
      </c>
      <c r="S64">
        <f>Portefeuille_MNT_PPS_Access15[[#This Row],[Délais PC1 et PC3]]+Portefeuille_MNT_PPS_Access15[[#This Row],[Délais PC3 et PC5]]</f>
        <v>26</v>
      </c>
      <c r="T64" s="1">
        <v>44636</v>
      </c>
      <c r="U64" s="1">
        <v>45084</v>
      </c>
      <c r="V64">
        <v>5</v>
      </c>
      <c r="W64">
        <v>5</v>
      </c>
      <c r="X64">
        <v>5</v>
      </c>
      <c r="Y64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64" s="12" t="e">
        <f>_xlfn.XLOOKUP(Portefeuille_MNT_PPS_Access15[[#This Row],[Numéro projet]],Tableau5[Numéro projet],Tableau5[IND_Site_Prioritaire])</f>
        <v>#N/A</v>
      </c>
      <c r="AA64" s="2" t="e">
        <f>_xlfn.XLOOKUP(Portefeuille_MNT_PPS_Access15[[#This Row],[Numéro projet]],Tableau5[Numéro projet],Tableau5[Critère Etat Infrastructure])</f>
        <v>#N/A</v>
      </c>
      <c r="AB64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64">
        <v>5</v>
      </c>
      <c r="AD64" s="63"/>
      <c r="AE64" t="s">
        <v>165</v>
      </c>
      <c r="AF64" s="2">
        <v>5</v>
      </c>
      <c r="AG64">
        <v>123</v>
      </c>
      <c r="AI64">
        <v>259</v>
      </c>
      <c r="AJ64">
        <v>10778</v>
      </c>
      <c r="AK64"/>
      <c r="AU64"/>
      <c r="BE64" s="14">
        <f>SUM(Portefeuille_MNT_PPS_Access15[[#This Row],[AC ANT]:[TR 2034]])</f>
        <v>11160</v>
      </c>
    </row>
    <row r="65" spans="2:57" x14ac:dyDescent="0.3">
      <c r="B65" t="s">
        <v>118</v>
      </c>
      <c r="C65" t="s">
        <v>102</v>
      </c>
      <c r="D65" t="s">
        <v>103</v>
      </c>
      <c r="E65" t="s">
        <v>149</v>
      </c>
      <c r="F65" t="s">
        <v>16</v>
      </c>
      <c r="G65" t="s">
        <v>16</v>
      </c>
      <c r="H65" t="s">
        <v>131</v>
      </c>
      <c r="I65" t="s">
        <v>192</v>
      </c>
      <c r="J65" t="s">
        <v>193</v>
      </c>
      <c r="K65" t="s">
        <v>194</v>
      </c>
      <c r="L65" t="s">
        <v>176</v>
      </c>
      <c r="M65" t="s">
        <v>164</v>
      </c>
      <c r="N65" s="1">
        <v>44547</v>
      </c>
      <c r="O6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6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6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18</v>
      </c>
      <c r="R6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9</v>
      </c>
      <c r="S65">
        <f>Portefeuille_MNT_PPS_Access15[[#This Row],[Délais PC1 et PC3]]+Portefeuille_MNT_PPS_Access15[[#This Row],[Délais PC3 et PC5]]</f>
        <v>27</v>
      </c>
      <c r="T65" s="1">
        <v>45091</v>
      </c>
      <c r="U65" s="1">
        <v>45375</v>
      </c>
      <c r="V65">
        <v>5</v>
      </c>
      <c r="W65">
        <v>5</v>
      </c>
      <c r="X65">
        <v>5</v>
      </c>
      <c r="Y65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65" s="12" t="e">
        <f>_xlfn.XLOOKUP(Portefeuille_MNT_PPS_Access15[[#This Row],[Numéro projet]],Tableau5[Numéro projet],Tableau5[IND_Site_Prioritaire])</f>
        <v>#N/A</v>
      </c>
      <c r="AA65" s="2" t="e">
        <f>_xlfn.XLOOKUP(Portefeuille_MNT_PPS_Access15[[#This Row],[Numéro projet]],Tableau5[Numéro projet],Tableau5[Critère Etat Infrastructure])</f>
        <v>#N/A</v>
      </c>
      <c r="AB65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C65">
        <v>5</v>
      </c>
      <c r="AD65" s="63"/>
      <c r="AE65" t="s">
        <v>165</v>
      </c>
      <c r="AF65" s="2">
        <v>5</v>
      </c>
      <c r="AG65">
        <v>7</v>
      </c>
      <c r="AI65">
        <v>81</v>
      </c>
      <c r="AJ65">
        <v>1350</v>
      </c>
      <c r="AK65">
        <v>185</v>
      </c>
      <c r="AL65">
        <v>4398</v>
      </c>
      <c r="AU65"/>
      <c r="BE65" s="14">
        <f>SUM(Portefeuille_MNT_PPS_Access15[[#This Row],[AC ANT]:[TR 2034]])</f>
        <v>6021</v>
      </c>
    </row>
    <row r="66" spans="2:57" x14ac:dyDescent="0.3">
      <c r="B66" t="s">
        <v>101</v>
      </c>
      <c r="C66" t="s">
        <v>102</v>
      </c>
      <c r="D66" t="s">
        <v>103</v>
      </c>
      <c r="E66" t="s">
        <v>149</v>
      </c>
      <c r="F66" t="s">
        <v>16</v>
      </c>
      <c r="G66" t="s">
        <v>16</v>
      </c>
      <c r="H66" t="s">
        <v>105</v>
      </c>
      <c r="I66" t="s">
        <v>228</v>
      </c>
      <c r="J66" t="s">
        <v>229</v>
      </c>
      <c r="K66" t="s">
        <v>230</v>
      </c>
      <c r="L66" t="s">
        <v>148</v>
      </c>
      <c r="M66" t="s">
        <v>164</v>
      </c>
      <c r="N66" s="1">
        <v>45022</v>
      </c>
      <c r="O6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6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</v>
      </c>
      <c r="R6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4</v>
      </c>
      <c r="S66">
        <f>Portefeuille_MNT_PPS_Access15[[#This Row],[Délais PC1 et PC3]]+Portefeuille_MNT_PPS_Access15[[#This Row],[Délais PC3 et PC5]]</f>
        <v>18</v>
      </c>
      <c r="T66" s="1">
        <v>45463</v>
      </c>
      <c r="U66" s="1">
        <v>45590</v>
      </c>
      <c r="V66">
        <v>1</v>
      </c>
      <c r="W66">
        <v>5</v>
      </c>
      <c r="X66">
        <v>5</v>
      </c>
      <c r="Y66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66" s="12" t="e">
        <f>_xlfn.XLOOKUP(Portefeuille_MNT_PPS_Access15[[#This Row],[Numéro projet]],Tableau5[Numéro projet],Tableau5[IND_Site_Prioritaire])</f>
        <v>#N/A</v>
      </c>
      <c r="AA66" s="2" t="e">
        <f>_xlfn.XLOOKUP(Portefeuille_MNT_PPS_Access15[[#This Row],[Numéro projet]],Tableau5[Numéro projet],Tableau5[Critère Etat Infrastructure])</f>
        <v>#N/A</v>
      </c>
      <c r="AB6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6">
        <v>5</v>
      </c>
      <c r="AD66" s="63"/>
      <c r="AE66" t="s">
        <v>165</v>
      </c>
      <c r="AF66" s="2"/>
      <c r="AG66">
        <v>61</v>
      </c>
      <c r="AI66">
        <v>21</v>
      </c>
      <c r="AK66">
        <v>580</v>
      </c>
      <c r="AL66">
        <v>11581</v>
      </c>
      <c r="AU66"/>
      <c r="BE66" s="14">
        <f>SUM(Portefeuille_MNT_PPS_Access15[[#This Row],[AC ANT]:[TR 2034]])</f>
        <v>12243</v>
      </c>
    </row>
    <row r="67" spans="2:57" x14ac:dyDescent="0.3">
      <c r="B67" t="s">
        <v>126</v>
      </c>
      <c r="C67" t="s">
        <v>127</v>
      </c>
      <c r="D67" t="s">
        <v>177</v>
      </c>
      <c r="E67" t="s">
        <v>206</v>
      </c>
      <c r="F67" t="s">
        <v>16</v>
      </c>
      <c r="G67" t="s">
        <v>16</v>
      </c>
      <c r="H67" t="s">
        <v>223</v>
      </c>
      <c r="I67" t="s">
        <v>224</v>
      </c>
      <c r="J67" t="s">
        <v>520</v>
      </c>
      <c r="K67" t="s">
        <v>180</v>
      </c>
      <c r="L67" t="s">
        <v>109</v>
      </c>
      <c r="M67" t="s">
        <v>123</v>
      </c>
      <c r="N67" s="1">
        <v>44623</v>
      </c>
      <c r="O6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6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35</v>
      </c>
      <c r="R6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10</v>
      </c>
      <c r="S67">
        <f>Portefeuille_MNT_PPS_Access15[[#This Row],[Délais PC1 et PC3]]+Portefeuille_MNT_PPS_Access15[[#This Row],[Délais PC3 et PC5]]</f>
        <v>45</v>
      </c>
      <c r="T67" s="1">
        <v>45698</v>
      </c>
      <c r="U67" s="1">
        <v>46006</v>
      </c>
      <c r="V67">
        <v>1</v>
      </c>
      <c r="W67">
        <v>1</v>
      </c>
      <c r="X67">
        <v>1</v>
      </c>
      <c r="Y6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67" s="12" t="e">
        <f>_xlfn.XLOOKUP(Portefeuille_MNT_PPS_Access15[[#This Row],[Numéro projet]],Tableau5[Numéro projet],Tableau5[IND_Site_Prioritaire])</f>
        <v>#N/A</v>
      </c>
      <c r="AA67" s="2" t="e">
        <f>_xlfn.XLOOKUP(Portefeuille_MNT_PPS_Access15[[#This Row],[Numéro projet]],Tableau5[Numéro projet],Tableau5[Critère Etat Infrastructure])</f>
        <v>#N/A</v>
      </c>
      <c r="AB6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7">
        <v>5</v>
      </c>
      <c r="AD67" s="63"/>
      <c r="AE67" t="s">
        <v>125</v>
      </c>
      <c r="AF67" s="2"/>
      <c r="AG67">
        <v>180.00000000000003</v>
      </c>
      <c r="AI67">
        <v>102</v>
      </c>
      <c r="AK67">
        <v>150</v>
      </c>
      <c r="AM67">
        <v>133</v>
      </c>
      <c r="AN67">
        <v>355</v>
      </c>
      <c r="AO67">
        <v>53</v>
      </c>
      <c r="AP67">
        <v>1610</v>
      </c>
      <c r="AQ67">
        <v>159</v>
      </c>
      <c r="AR67">
        <v>4929</v>
      </c>
      <c r="AS67">
        <v>211.99999999999997</v>
      </c>
      <c r="AT67">
        <v>6707.0000000000018</v>
      </c>
      <c r="AU67">
        <v>212</v>
      </c>
      <c r="AV67">
        <v>6846.0000000000018</v>
      </c>
      <c r="BE67" s="14">
        <f>SUM(Portefeuille_MNT_PPS_Access15[[#This Row],[AC ANT]:[TR 2034]])</f>
        <v>21648.000000000004</v>
      </c>
    </row>
    <row r="68" spans="2:57" x14ac:dyDescent="0.3">
      <c r="B68" t="s">
        <v>126</v>
      </c>
      <c r="C68" t="s">
        <v>127</v>
      </c>
      <c r="D68" t="s">
        <v>136</v>
      </c>
      <c r="E68" t="s">
        <v>113</v>
      </c>
      <c r="F68" t="s">
        <v>16</v>
      </c>
      <c r="G68" t="s">
        <v>20</v>
      </c>
      <c r="H68" t="s">
        <v>131</v>
      </c>
      <c r="I68" t="s">
        <v>226</v>
      </c>
      <c r="J68" t="s">
        <v>227</v>
      </c>
      <c r="K68" t="s">
        <v>139</v>
      </c>
      <c r="L68" t="s">
        <v>184</v>
      </c>
      <c r="M68" t="s">
        <v>110</v>
      </c>
      <c r="N68" s="1">
        <v>45330</v>
      </c>
      <c r="O6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6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32</v>
      </c>
      <c r="R6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10</v>
      </c>
      <c r="S68">
        <f>Portefeuille_MNT_PPS_Access15[[#This Row],[Délais PC1 et PC3]]+Portefeuille_MNT_PPS_Access15[[#This Row],[Délais PC3 et PC5]]</f>
        <v>42</v>
      </c>
      <c r="T68" s="1">
        <v>46325</v>
      </c>
      <c r="U68" s="1">
        <v>46625</v>
      </c>
      <c r="V68">
        <v>1</v>
      </c>
      <c r="W68">
        <v>1</v>
      </c>
      <c r="X68">
        <v>1</v>
      </c>
      <c r="Y6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68" s="12" t="e">
        <f>_xlfn.XLOOKUP(Portefeuille_MNT_PPS_Access15[[#This Row],[Numéro projet]],Tableau5[Numéro projet],Tableau5[IND_Site_Prioritaire])</f>
        <v>#N/A</v>
      </c>
      <c r="AA68" s="2" t="e">
        <f>_xlfn.XLOOKUP(Portefeuille_MNT_PPS_Access15[[#This Row],[Numéro projet]],Tableau5[Numéro projet],Tableau5[Critère Etat Infrastructure])</f>
        <v>#N/A</v>
      </c>
      <c r="AB6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8">
        <v>5</v>
      </c>
      <c r="AD68" s="63"/>
      <c r="AE68" t="s">
        <v>112</v>
      </c>
      <c r="AF68" s="2"/>
      <c r="AG68">
        <v>44</v>
      </c>
      <c r="AI68">
        <v>45</v>
      </c>
      <c r="AK68">
        <v>100</v>
      </c>
      <c r="AM68">
        <v>288</v>
      </c>
      <c r="AO68">
        <v>475</v>
      </c>
      <c r="AQ68">
        <v>475</v>
      </c>
      <c r="AS68">
        <v>573</v>
      </c>
      <c r="AU68">
        <v>1000</v>
      </c>
      <c r="AV68">
        <v>4362</v>
      </c>
      <c r="AW68">
        <v>1077</v>
      </c>
      <c r="AX68">
        <v>12800</v>
      </c>
      <c r="BE68" s="14">
        <f>SUM(Portefeuille_MNT_PPS_Access15[[#This Row],[AC ANT]:[TR 2034]])</f>
        <v>21239</v>
      </c>
    </row>
    <row r="69" spans="2:57" x14ac:dyDescent="0.3">
      <c r="B69" t="s">
        <v>126</v>
      </c>
      <c r="C69" t="s">
        <v>127</v>
      </c>
      <c r="D69" t="s">
        <v>103</v>
      </c>
      <c r="E69" t="s">
        <v>144</v>
      </c>
      <c r="F69" t="s">
        <v>16</v>
      </c>
      <c r="G69" t="s">
        <v>16</v>
      </c>
      <c r="H69" t="s">
        <v>131</v>
      </c>
      <c r="I69" t="s">
        <v>145</v>
      </c>
      <c r="J69" t="s">
        <v>146</v>
      </c>
      <c r="K69" t="s">
        <v>147</v>
      </c>
      <c r="L69" t="s">
        <v>109</v>
      </c>
      <c r="M69" t="s">
        <v>110</v>
      </c>
      <c r="N69" s="1">
        <v>44609</v>
      </c>
      <c r="O6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6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6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39</v>
      </c>
      <c r="R6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2</v>
      </c>
      <c r="S69">
        <f>Portefeuille_MNT_PPS_Access15[[#This Row],[Délais PC1 et PC3]]+Portefeuille_MNT_PPS_Access15[[#This Row],[Délais PC3 et PC5]]</f>
        <v>41</v>
      </c>
      <c r="T69" s="1">
        <v>45778</v>
      </c>
      <c r="U69" s="1">
        <v>45853</v>
      </c>
      <c r="V69">
        <v>5</v>
      </c>
      <c r="W69">
        <v>1</v>
      </c>
      <c r="X69">
        <v>1</v>
      </c>
      <c r="Y6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69" s="12" t="e">
        <f>_xlfn.XLOOKUP(Portefeuille_MNT_PPS_Access15[[#This Row],[Numéro projet]],Tableau5[Numéro projet],Tableau5[IND_Site_Prioritaire])</f>
        <v>#N/A</v>
      </c>
      <c r="AA69" s="2" t="e">
        <f>_xlfn.XLOOKUP(Portefeuille_MNT_PPS_Access15[[#This Row],[Numéro projet]],Tableau5[Numéro projet],Tableau5[Critère Etat Infrastructure])</f>
        <v>#N/A</v>
      </c>
      <c r="AB6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69">
        <v>5</v>
      </c>
      <c r="AD69" s="63"/>
      <c r="AE69" t="s">
        <v>112</v>
      </c>
      <c r="AF69" s="2"/>
      <c r="AG69">
        <v>117</v>
      </c>
      <c r="AI69">
        <v>159</v>
      </c>
      <c r="AK69">
        <v>105</v>
      </c>
      <c r="AM69">
        <v>342</v>
      </c>
      <c r="AN69">
        <v>9684</v>
      </c>
      <c r="AU69"/>
      <c r="BE69" s="14">
        <f>SUM(Portefeuille_MNT_PPS_Access15[[#This Row],[AC ANT]:[TR 2034]])</f>
        <v>10407</v>
      </c>
    </row>
    <row r="70" spans="2:57" x14ac:dyDescent="0.3">
      <c r="B70" t="s">
        <v>118</v>
      </c>
      <c r="C70" t="s">
        <v>102</v>
      </c>
      <c r="D70" t="s">
        <v>136</v>
      </c>
      <c r="F70" t="s">
        <v>130</v>
      </c>
      <c r="G70" t="s">
        <v>20</v>
      </c>
      <c r="H70" t="s">
        <v>105</v>
      </c>
      <c r="I70" t="s">
        <v>364</v>
      </c>
      <c r="J70" t="s">
        <v>365</v>
      </c>
      <c r="K70" t="s">
        <v>205</v>
      </c>
      <c r="L70" t="s">
        <v>184</v>
      </c>
      <c r="M70" t="s">
        <v>291</v>
      </c>
      <c r="N70" s="1"/>
      <c r="O7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7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7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7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70">
        <f>Portefeuille_MNT_PPS_Access15[[#This Row],[Délais PC1 et PC3]]+Portefeuille_MNT_PPS_Access15[[#This Row],[Délais PC3 et PC5]]</f>
        <v>0</v>
      </c>
      <c r="T70" s="1"/>
      <c r="U70" s="1"/>
      <c r="V70">
        <v>1</v>
      </c>
      <c r="Y7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70" s="12" t="e">
        <f>_xlfn.XLOOKUP(Portefeuille_MNT_PPS_Access15[[#This Row],[Numéro projet]],Tableau5[Numéro projet],Tableau5[IND_Site_Prioritaire])</f>
        <v>#N/A</v>
      </c>
      <c r="AA70" s="2" t="e">
        <f>_xlfn.XLOOKUP(Portefeuille_MNT_PPS_Access15[[#This Row],[Numéro projet]],Tableau5[Numéro projet],Tableau5[Critère Etat Infrastructure])</f>
        <v>#N/A</v>
      </c>
      <c r="AB7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70" s="63"/>
      <c r="AE70" t="s">
        <v>311</v>
      </c>
      <c r="AF70" s="2"/>
      <c r="AK70"/>
      <c r="AQ70">
        <v>200</v>
      </c>
      <c r="AS70">
        <v>250</v>
      </c>
      <c r="AU70">
        <v>400</v>
      </c>
      <c r="AV70">
        <v>4500</v>
      </c>
      <c r="AW70">
        <v>400</v>
      </c>
      <c r="AX70">
        <v>14000</v>
      </c>
      <c r="BE70" s="14">
        <f>SUM(Portefeuille_MNT_PPS_Access15[[#This Row],[AC ANT]:[TR 2034]])</f>
        <v>19750</v>
      </c>
    </row>
    <row r="71" spans="2:57" x14ac:dyDescent="0.3">
      <c r="B71" t="s">
        <v>126</v>
      </c>
      <c r="C71" t="s">
        <v>127</v>
      </c>
      <c r="D71" t="s">
        <v>136</v>
      </c>
      <c r="E71" t="s">
        <v>144</v>
      </c>
      <c r="F71" t="s">
        <v>16</v>
      </c>
      <c r="G71" t="s">
        <v>20</v>
      </c>
      <c r="H71" t="s">
        <v>131</v>
      </c>
      <c r="I71" t="s">
        <v>231</v>
      </c>
      <c r="J71" t="s">
        <v>232</v>
      </c>
      <c r="K71" t="s">
        <v>147</v>
      </c>
      <c r="L71" t="s">
        <v>173</v>
      </c>
      <c r="M71" t="s">
        <v>110</v>
      </c>
      <c r="N71" s="1">
        <v>45099</v>
      </c>
      <c r="O7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7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28</v>
      </c>
      <c r="R7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</v>
      </c>
      <c r="S71">
        <f>Portefeuille_MNT_PPS_Access15[[#This Row],[Délais PC1 et PC3]]+Portefeuille_MNT_PPS_Access15[[#This Row],[Délais PC3 et PC5]]</f>
        <v>42</v>
      </c>
      <c r="T71" s="1">
        <v>45945</v>
      </c>
      <c r="U71" s="1">
        <v>46371</v>
      </c>
      <c r="V71">
        <v>1</v>
      </c>
      <c r="W71">
        <v>1</v>
      </c>
      <c r="X71">
        <v>1</v>
      </c>
      <c r="Y7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71" s="12" t="e">
        <f>_xlfn.XLOOKUP(Portefeuille_MNT_PPS_Access15[[#This Row],[Numéro projet]],Tableau5[Numéro projet],Tableau5[IND_Site_Prioritaire])</f>
        <v>#N/A</v>
      </c>
      <c r="AA71" s="2" t="e">
        <f>_xlfn.XLOOKUP(Portefeuille_MNT_PPS_Access15[[#This Row],[Numéro projet]],Tableau5[Numéro projet],Tableau5[Critère Etat Infrastructure])</f>
        <v>#N/A</v>
      </c>
      <c r="AB7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1">
        <v>5</v>
      </c>
      <c r="AD71" s="63"/>
      <c r="AE71" t="s">
        <v>112</v>
      </c>
      <c r="AF71" s="2"/>
      <c r="AG71">
        <v>9</v>
      </c>
      <c r="AI71">
        <v>21</v>
      </c>
      <c r="AK71">
        <v>672</v>
      </c>
      <c r="AM71">
        <v>553</v>
      </c>
      <c r="AO71">
        <v>1175</v>
      </c>
      <c r="AP71">
        <v>6475</v>
      </c>
      <c r="AQ71">
        <v>1602</v>
      </c>
      <c r="AR71">
        <v>6677</v>
      </c>
      <c r="AU71"/>
      <c r="BE71" s="14">
        <f>SUM(Portefeuille_MNT_PPS_Access15[[#This Row],[AC ANT]:[TR 2034]])</f>
        <v>17184</v>
      </c>
    </row>
    <row r="72" spans="2:57" x14ac:dyDescent="0.3">
      <c r="B72" t="s">
        <v>101</v>
      </c>
      <c r="C72" t="s">
        <v>102</v>
      </c>
      <c r="D72" t="s">
        <v>136</v>
      </c>
      <c r="E72" t="s">
        <v>149</v>
      </c>
      <c r="F72" t="s">
        <v>130</v>
      </c>
      <c r="G72" t="s">
        <v>20</v>
      </c>
      <c r="H72" t="s">
        <v>105</v>
      </c>
      <c r="I72" t="s">
        <v>366</v>
      </c>
      <c r="J72" t="s">
        <v>367</v>
      </c>
      <c r="K72" t="s">
        <v>316</v>
      </c>
      <c r="L72" t="s">
        <v>184</v>
      </c>
      <c r="M72" t="s">
        <v>155</v>
      </c>
      <c r="N72" s="1">
        <v>46157</v>
      </c>
      <c r="O7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7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16</v>
      </c>
      <c r="R7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72">
        <f>Portefeuille_MNT_PPS_Access15[[#This Row],[Délais PC1 et PC3]]+Portefeuille_MNT_PPS_Access15[[#This Row],[Délais PC3 et PC5]]</f>
        <v>28</v>
      </c>
      <c r="T72" s="1">
        <v>46645</v>
      </c>
      <c r="U72" s="1">
        <v>47011</v>
      </c>
      <c r="V72">
        <v>1</v>
      </c>
      <c r="W72">
        <v>1</v>
      </c>
      <c r="X72">
        <v>1</v>
      </c>
      <c r="Y7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72" s="12" t="e">
        <f>_xlfn.XLOOKUP(Portefeuille_MNT_PPS_Access15[[#This Row],[Numéro projet]],Tableau5[Numéro projet],Tableau5[IND_Site_Prioritaire])</f>
        <v>#N/A</v>
      </c>
      <c r="AA72" s="2" t="e">
        <f>_xlfn.XLOOKUP(Portefeuille_MNT_PPS_Access15[[#This Row],[Numéro projet]],Tableau5[Numéro projet],Tableau5[Critère Etat Infrastructure])</f>
        <v>#N/A</v>
      </c>
      <c r="AB7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2">
        <v>1</v>
      </c>
      <c r="AD72" s="63"/>
      <c r="AE72" t="s">
        <v>156</v>
      </c>
      <c r="AF72" s="2"/>
      <c r="AK72"/>
      <c r="AO72">
        <v>430</v>
      </c>
      <c r="AQ72">
        <v>600</v>
      </c>
      <c r="AS72">
        <v>670</v>
      </c>
      <c r="AU72">
        <v>600</v>
      </c>
      <c r="AV72">
        <v>5000</v>
      </c>
      <c r="AY72">
        <v>500</v>
      </c>
      <c r="AZ72">
        <v>4700</v>
      </c>
      <c r="BA72">
        <v>600</v>
      </c>
      <c r="BB72">
        <v>5000</v>
      </c>
      <c r="BC72">
        <v>600</v>
      </c>
      <c r="BD72">
        <v>5000</v>
      </c>
      <c r="BE72" s="14">
        <f>SUM(Portefeuille_MNT_PPS_Access15[[#This Row],[AC ANT]:[TR 2034]])</f>
        <v>23700</v>
      </c>
    </row>
    <row r="73" spans="2:57" x14ac:dyDescent="0.3">
      <c r="B73" t="s">
        <v>101</v>
      </c>
      <c r="C73" t="s">
        <v>102</v>
      </c>
      <c r="D73" t="s">
        <v>103</v>
      </c>
      <c r="E73" t="s">
        <v>104</v>
      </c>
      <c r="F73" t="s">
        <v>16</v>
      </c>
      <c r="G73" t="s">
        <v>16</v>
      </c>
      <c r="H73" t="s">
        <v>105</v>
      </c>
      <c r="I73" t="s">
        <v>106</v>
      </c>
      <c r="J73" t="s">
        <v>107</v>
      </c>
      <c r="K73" t="s">
        <v>108</v>
      </c>
      <c r="L73" t="s">
        <v>109</v>
      </c>
      <c r="M73" t="s">
        <v>110</v>
      </c>
      <c r="N73" s="1">
        <v>45014</v>
      </c>
      <c r="O7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7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26</v>
      </c>
      <c r="R7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5</v>
      </c>
      <c r="S73">
        <f>Portefeuille_MNT_PPS_Access15[[#This Row],[Délais PC1 et PC3]]+Portefeuille_MNT_PPS_Access15[[#This Row],[Délais PC3 et PC5]]</f>
        <v>31</v>
      </c>
      <c r="T73" s="1">
        <v>45778</v>
      </c>
      <c r="U73" s="1">
        <v>45960</v>
      </c>
      <c r="V73">
        <v>1</v>
      </c>
      <c r="W73">
        <v>1</v>
      </c>
      <c r="X73">
        <v>1</v>
      </c>
      <c r="Y7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73" s="12" t="e">
        <f>_xlfn.XLOOKUP(Portefeuille_MNT_PPS_Access15[[#This Row],[Numéro projet]],Tableau5[Numéro projet],Tableau5[IND_Site_Prioritaire])</f>
        <v>#N/A</v>
      </c>
      <c r="AA73" s="2" t="e">
        <f>_xlfn.XLOOKUP(Portefeuille_MNT_PPS_Access15[[#This Row],[Numéro projet]],Tableau5[Numéro projet],Tableau5[Critère Etat Infrastructure])</f>
        <v>#N/A</v>
      </c>
      <c r="AB7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3">
        <v>5</v>
      </c>
      <c r="AD73" s="63"/>
      <c r="AE73" t="s">
        <v>112</v>
      </c>
      <c r="AF73" s="2"/>
      <c r="AG73">
        <v>69</v>
      </c>
      <c r="AI73">
        <v>225</v>
      </c>
      <c r="AK73">
        <v>180</v>
      </c>
      <c r="AM73">
        <v>881</v>
      </c>
      <c r="AN73">
        <v>16557</v>
      </c>
      <c r="AU73"/>
      <c r="BE73" s="14">
        <f>SUM(Portefeuille_MNT_PPS_Access15[[#This Row],[AC ANT]:[TR 2034]])</f>
        <v>17912</v>
      </c>
    </row>
    <row r="74" spans="2:57" x14ac:dyDescent="0.3">
      <c r="B74" t="s">
        <v>101</v>
      </c>
      <c r="C74" t="s">
        <v>102</v>
      </c>
      <c r="D74" t="s">
        <v>136</v>
      </c>
      <c r="E74" t="s">
        <v>140</v>
      </c>
      <c r="F74" t="s">
        <v>16</v>
      </c>
      <c r="G74" t="s">
        <v>20</v>
      </c>
      <c r="H74" t="s">
        <v>131</v>
      </c>
      <c r="I74" t="s">
        <v>181</v>
      </c>
      <c r="J74" t="s">
        <v>296</v>
      </c>
      <c r="K74" t="s">
        <v>183</v>
      </c>
      <c r="L74" t="s">
        <v>173</v>
      </c>
      <c r="M74" t="s">
        <v>110</v>
      </c>
      <c r="N74" s="1">
        <v>45590</v>
      </c>
      <c r="O7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7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19</v>
      </c>
      <c r="R7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74">
        <f>Portefeuille_MNT_PPS_Access15[[#This Row],[Délais PC1 et PC3]]+Portefeuille_MNT_PPS_Access15[[#This Row],[Délais PC3 et PC5]]</f>
        <v>19</v>
      </c>
      <c r="T74" s="1">
        <v>46157</v>
      </c>
      <c r="U74" s="1">
        <v>46157</v>
      </c>
      <c r="V74">
        <v>1</v>
      </c>
      <c r="W74">
        <v>1</v>
      </c>
      <c r="X74">
        <v>1</v>
      </c>
      <c r="Y7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74" s="12" t="e">
        <f>_xlfn.XLOOKUP(Portefeuille_MNT_PPS_Access15[[#This Row],[Numéro projet]],Tableau5[Numéro projet],Tableau5[IND_Site_Prioritaire])</f>
        <v>#N/A</v>
      </c>
      <c r="AA74" s="2" t="e">
        <f>_xlfn.XLOOKUP(Portefeuille_MNT_PPS_Access15[[#This Row],[Numéro projet]],Tableau5[Numéro projet],Tableau5[Critère Etat Infrastructure])</f>
        <v>#N/A</v>
      </c>
      <c r="AB7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4">
        <v>5</v>
      </c>
      <c r="AD74" s="62"/>
      <c r="AE74" t="s">
        <v>112</v>
      </c>
      <c r="AF74" s="2"/>
      <c r="AK74">
        <v>466</v>
      </c>
      <c r="AM74">
        <v>475</v>
      </c>
      <c r="AO74">
        <v>468</v>
      </c>
      <c r="AP74">
        <v>1461</v>
      </c>
      <c r="AU74"/>
      <c r="BE74" s="14">
        <f>SUM(Portefeuille_MNT_PPS_Access15[[#This Row],[AC ANT]:[TR 2034]])</f>
        <v>2870</v>
      </c>
    </row>
    <row r="75" spans="2:57" x14ac:dyDescent="0.3">
      <c r="B75" t="s">
        <v>101</v>
      </c>
      <c r="C75" t="s">
        <v>102</v>
      </c>
      <c r="D75" t="s">
        <v>128</v>
      </c>
      <c r="E75" t="s">
        <v>149</v>
      </c>
      <c r="F75" t="s">
        <v>16</v>
      </c>
      <c r="G75" t="s">
        <v>16</v>
      </c>
      <c r="H75" t="s">
        <v>131</v>
      </c>
      <c r="I75" t="s">
        <v>150</v>
      </c>
      <c r="J75" t="s">
        <v>151</v>
      </c>
      <c r="K75" t="s">
        <v>152</v>
      </c>
      <c r="L75" t="s">
        <v>109</v>
      </c>
      <c r="M75" t="s">
        <v>123</v>
      </c>
      <c r="N75" s="1">
        <v>45079</v>
      </c>
      <c r="O7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7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19</v>
      </c>
      <c r="R7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6</v>
      </c>
      <c r="S75">
        <f>Portefeuille_MNT_PPS_Access15[[#This Row],[Délais PC1 et PC3]]+Portefeuille_MNT_PPS_Access15[[#This Row],[Délais PC3 et PC5]]</f>
        <v>25</v>
      </c>
      <c r="T75" s="1">
        <v>45685</v>
      </c>
      <c r="U75" s="1">
        <v>45860</v>
      </c>
      <c r="V75">
        <v>1</v>
      </c>
      <c r="W75">
        <v>1</v>
      </c>
      <c r="X75">
        <v>1</v>
      </c>
      <c r="Y7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75" s="12" t="e">
        <f>_xlfn.XLOOKUP(Portefeuille_MNT_PPS_Access15[[#This Row],[Numéro projet]],Tableau5[Numéro projet],Tableau5[IND_Site_Prioritaire])</f>
        <v>#N/A</v>
      </c>
      <c r="AA75" s="2" t="e">
        <f>_xlfn.XLOOKUP(Portefeuille_MNT_PPS_Access15[[#This Row],[Numéro projet]],Tableau5[Numéro projet],Tableau5[Critère Etat Infrastructure])</f>
        <v>#N/A</v>
      </c>
      <c r="AB7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5">
        <v>5</v>
      </c>
      <c r="AD75" s="63"/>
      <c r="AE75" t="s">
        <v>125</v>
      </c>
      <c r="AF75" s="2"/>
      <c r="AG75">
        <v>12</v>
      </c>
      <c r="AI75">
        <v>162</v>
      </c>
      <c r="AK75">
        <v>100</v>
      </c>
      <c r="AM75">
        <v>300</v>
      </c>
      <c r="AN75">
        <v>4221</v>
      </c>
      <c r="AO75">
        <v>43</v>
      </c>
      <c r="AP75">
        <v>4139</v>
      </c>
      <c r="AU75"/>
      <c r="BE75" s="14">
        <f>SUM(Portefeuille_MNT_PPS_Access15[[#This Row],[AC ANT]:[TR 2034]])</f>
        <v>8977</v>
      </c>
    </row>
    <row r="76" spans="2:57" x14ac:dyDescent="0.3">
      <c r="B76" t="s">
        <v>118</v>
      </c>
      <c r="C76" t="s">
        <v>102</v>
      </c>
      <c r="D76" t="s">
        <v>188</v>
      </c>
      <c r="E76" t="s">
        <v>113</v>
      </c>
      <c r="F76" t="s">
        <v>16</v>
      </c>
      <c r="G76" t="s">
        <v>130</v>
      </c>
      <c r="H76" t="s">
        <v>131</v>
      </c>
      <c r="I76" t="s">
        <v>189</v>
      </c>
      <c r="J76" t="s">
        <v>190</v>
      </c>
      <c r="K76" t="s">
        <v>191</v>
      </c>
      <c r="L76" t="s">
        <v>173</v>
      </c>
      <c r="M76" t="s">
        <v>110</v>
      </c>
      <c r="N76" s="1">
        <v>45684</v>
      </c>
      <c r="O7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7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16</v>
      </c>
      <c r="R7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76">
        <f>Portefeuille_MNT_PPS_Access15[[#This Row],[Délais PC1 et PC3]]+Portefeuille_MNT_PPS_Access15[[#This Row],[Délais PC3 et PC5]]</f>
        <v>16</v>
      </c>
      <c r="T76" s="1">
        <v>46157</v>
      </c>
      <c r="U76" s="1">
        <v>46157</v>
      </c>
      <c r="V76">
        <v>1</v>
      </c>
      <c r="W76">
        <v>1</v>
      </c>
      <c r="X76">
        <v>1</v>
      </c>
      <c r="Y7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76" s="12" t="e">
        <f>_xlfn.XLOOKUP(Portefeuille_MNT_PPS_Access15[[#This Row],[Numéro projet]],Tableau5[Numéro projet],Tableau5[IND_Site_Prioritaire])</f>
        <v>#N/A</v>
      </c>
      <c r="AA76" s="2" t="e">
        <f>_xlfn.XLOOKUP(Portefeuille_MNT_PPS_Access15[[#This Row],[Numéro projet]],Tableau5[Numéro projet],Tableau5[Critère Etat Infrastructure])</f>
        <v>#N/A</v>
      </c>
      <c r="AB7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6">
        <v>1</v>
      </c>
      <c r="AD76" s="63"/>
      <c r="AE76" t="s">
        <v>112</v>
      </c>
      <c r="AF76" s="2"/>
      <c r="AK76">
        <v>80</v>
      </c>
      <c r="AM76">
        <v>87</v>
      </c>
      <c r="AO76">
        <v>227</v>
      </c>
      <c r="AP76">
        <v>899</v>
      </c>
      <c r="AU76"/>
      <c r="BE76" s="14">
        <f>SUM(Portefeuille_MNT_PPS_Access15[[#This Row],[AC ANT]:[TR 2034]])</f>
        <v>1293</v>
      </c>
    </row>
    <row r="77" spans="2:57" x14ac:dyDescent="0.3">
      <c r="B77" t="s">
        <v>118</v>
      </c>
      <c r="C77" t="s">
        <v>102</v>
      </c>
      <c r="D77" t="s">
        <v>177</v>
      </c>
      <c r="E77" t="s">
        <v>104</v>
      </c>
      <c r="F77" t="s">
        <v>16</v>
      </c>
      <c r="G77" t="s">
        <v>16</v>
      </c>
      <c r="H77" t="s">
        <v>105</v>
      </c>
      <c r="I77" t="s">
        <v>198</v>
      </c>
      <c r="J77" t="s">
        <v>199</v>
      </c>
      <c r="K77" t="s">
        <v>108</v>
      </c>
      <c r="L77" t="s">
        <v>176</v>
      </c>
      <c r="M77" t="s">
        <v>297</v>
      </c>
      <c r="N77" s="1"/>
      <c r="O7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7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7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1484</v>
      </c>
      <c r="S77">
        <f>Portefeuille_MNT_PPS_Access15[[#This Row],[Délais PC1 et PC3]]+Portefeuille_MNT_PPS_Access15[[#This Row],[Délais PC3 et PC5]]</f>
        <v>1484</v>
      </c>
      <c r="T77" s="1"/>
      <c r="U77" s="1">
        <v>45176</v>
      </c>
      <c r="V77">
        <v>5</v>
      </c>
      <c r="W77">
        <v>5</v>
      </c>
      <c r="Y77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77" s="12" t="e">
        <f>_xlfn.XLOOKUP(Portefeuille_MNT_PPS_Access15[[#This Row],[Numéro projet]],Tableau5[Numéro projet],Tableau5[IND_Site_Prioritaire])</f>
        <v>#N/A</v>
      </c>
      <c r="AA77" s="2" t="e">
        <f>_xlfn.XLOOKUP(Portefeuille_MNT_PPS_Access15[[#This Row],[Numéro projet]],Tableau5[Numéro projet],Tableau5[Critère Etat Infrastructure])</f>
        <v>#N/A</v>
      </c>
      <c r="AB77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77" s="63"/>
      <c r="AE77" t="s">
        <v>349</v>
      </c>
      <c r="AF77" s="2">
        <v>5</v>
      </c>
      <c r="AG77">
        <v>269</v>
      </c>
      <c r="AI77">
        <v>17</v>
      </c>
      <c r="AJ77">
        <v>5</v>
      </c>
      <c r="AK77"/>
      <c r="AU77"/>
      <c r="BE77" s="14">
        <f>SUM(Portefeuille_MNT_PPS_Access15[[#This Row],[AC ANT]:[TR 2034]])</f>
        <v>291</v>
      </c>
    </row>
    <row r="78" spans="2:57" x14ac:dyDescent="0.3">
      <c r="B78" t="s">
        <v>101</v>
      </c>
      <c r="C78" t="s">
        <v>102</v>
      </c>
      <c r="D78" t="s">
        <v>103</v>
      </c>
      <c r="E78" t="s">
        <v>129</v>
      </c>
      <c r="F78" t="s">
        <v>16</v>
      </c>
      <c r="G78" t="s">
        <v>16</v>
      </c>
      <c r="H78" t="s">
        <v>131</v>
      </c>
      <c r="I78" t="s">
        <v>132</v>
      </c>
      <c r="J78" t="s">
        <v>288</v>
      </c>
      <c r="K78" t="s">
        <v>134</v>
      </c>
      <c r="L78" t="s">
        <v>109</v>
      </c>
      <c r="M78" t="s">
        <v>123</v>
      </c>
      <c r="N78" s="1">
        <v>45218</v>
      </c>
      <c r="O7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7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7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17</v>
      </c>
      <c r="R7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7</v>
      </c>
      <c r="S78">
        <f>Portefeuille_MNT_PPS_Access15[[#This Row],[Délais PC1 et PC3]]+Portefeuille_MNT_PPS_Access15[[#This Row],[Délais PC3 et PC5]]</f>
        <v>24</v>
      </c>
      <c r="T78" s="1">
        <v>45722</v>
      </c>
      <c r="U78" s="1">
        <v>45945</v>
      </c>
      <c r="V78">
        <v>1</v>
      </c>
      <c r="W78">
        <v>1</v>
      </c>
      <c r="X78">
        <v>1</v>
      </c>
      <c r="Y7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78" s="12" t="e">
        <f>_xlfn.XLOOKUP(Portefeuille_MNT_PPS_Access15[[#This Row],[Numéro projet]],Tableau5[Numéro projet],Tableau5[IND_Site_Prioritaire])</f>
        <v>#N/A</v>
      </c>
      <c r="AA78" s="2" t="e">
        <f>_xlfn.XLOOKUP(Portefeuille_MNT_PPS_Access15[[#This Row],[Numéro projet]],Tableau5[Numéro projet],Tableau5[Critère Etat Infrastructure])</f>
        <v>#N/A</v>
      </c>
      <c r="AB7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78">
        <v>5</v>
      </c>
      <c r="AD78" s="63"/>
      <c r="AE78" t="s">
        <v>125</v>
      </c>
      <c r="AF78" s="2"/>
      <c r="AI78">
        <v>12</v>
      </c>
      <c r="AK78">
        <v>10</v>
      </c>
      <c r="AM78">
        <v>350</v>
      </c>
      <c r="AN78">
        <v>4669</v>
      </c>
      <c r="AU78"/>
      <c r="BE78" s="14">
        <f>SUM(Portefeuille_MNT_PPS_Access15[[#This Row],[AC ANT]:[TR 2034]])</f>
        <v>5041</v>
      </c>
    </row>
    <row r="79" spans="2:57" x14ac:dyDescent="0.3">
      <c r="B79" t="s">
        <v>101</v>
      </c>
      <c r="C79" t="s">
        <v>102</v>
      </c>
      <c r="D79" t="s">
        <v>136</v>
      </c>
      <c r="E79" t="s">
        <v>104</v>
      </c>
      <c r="F79" t="s">
        <v>20</v>
      </c>
      <c r="G79" t="s">
        <v>20</v>
      </c>
      <c r="H79" t="s">
        <v>105</v>
      </c>
      <c r="I79" t="s">
        <v>368</v>
      </c>
      <c r="J79" t="s">
        <v>369</v>
      </c>
      <c r="K79" t="s">
        <v>217</v>
      </c>
      <c r="L79" t="s">
        <v>370</v>
      </c>
      <c r="M79" t="s">
        <v>291</v>
      </c>
      <c r="N79" s="1"/>
      <c r="O7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7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7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7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79">
        <f>Portefeuille_MNT_PPS_Access15[[#This Row],[Délais PC1 et PC3]]+Portefeuille_MNT_PPS_Access15[[#This Row],[Délais PC3 et PC5]]</f>
        <v>0</v>
      </c>
      <c r="T79" s="1"/>
      <c r="U79" s="1"/>
      <c r="V79">
        <v>1</v>
      </c>
      <c r="Y7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79" s="12" t="e">
        <f>_xlfn.XLOOKUP(Portefeuille_MNT_PPS_Access15[[#This Row],[Numéro projet]],Tableau5[Numéro projet],Tableau5[IND_Site_Prioritaire])</f>
        <v>#N/A</v>
      </c>
      <c r="AA79" s="2" t="e">
        <f>_xlfn.XLOOKUP(Portefeuille_MNT_PPS_Access15[[#This Row],[Numéro projet]],Tableau5[Numéro projet],Tableau5[Critère Etat Infrastructure])</f>
        <v>#N/A</v>
      </c>
      <c r="AB7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79" s="63"/>
      <c r="AE79" t="s">
        <v>311</v>
      </c>
      <c r="AF79" s="2"/>
      <c r="AK79"/>
      <c r="AM79">
        <v>250</v>
      </c>
      <c r="AO79">
        <v>250</v>
      </c>
      <c r="AS79">
        <v>100</v>
      </c>
      <c r="AU79">
        <v>100</v>
      </c>
      <c r="AW79">
        <v>200</v>
      </c>
      <c r="AX79">
        <v>4700</v>
      </c>
      <c r="AY79">
        <v>500</v>
      </c>
      <c r="AZ79">
        <v>3500</v>
      </c>
      <c r="BA79">
        <v>500</v>
      </c>
      <c r="BB79">
        <v>5700</v>
      </c>
      <c r="BC79">
        <v>500</v>
      </c>
      <c r="BD79">
        <v>5000</v>
      </c>
      <c r="BE79" s="14">
        <f>SUM(Portefeuille_MNT_PPS_Access15[[#This Row],[AC ANT]:[TR 2034]])</f>
        <v>21300</v>
      </c>
    </row>
    <row r="80" spans="2:57" x14ac:dyDescent="0.3">
      <c r="B80" t="s">
        <v>118</v>
      </c>
      <c r="C80" t="s">
        <v>102</v>
      </c>
      <c r="D80" t="s">
        <v>103</v>
      </c>
      <c r="F80" t="s">
        <v>20</v>
      </c>
      <c r="G80" t="s">
        <v>20</v>
      </c>
      <c r="H80" t="s">
        <v>131</v>
      </c>
      <c r="I80" t="s">
        <v>371</v>
      </c>
      <c r="J80" t="s">
        <v>372</v>
      </c>
      <c r="K80" t="s">
        <v>152</v>
      </c>
      <c r="L80" t="s">
        <v>184</v>
      </c>
      <c r="M80" t="s">
        <v>291</v>
      </c>
      <c r="N80" s="1"/>
      <c r="O8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8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8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8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80">
        <f>Portefeuille_MNT_PPS_Access15[[#This Row],[Délais PC1 et PC3]]+Portefeuille_MNT_PPS_Access15[[#This Row],[Délais PC3 et PC5]]</f>
        <v>0</v>
      </c>
      <c r="T80" s="1"/>
      <c r="U80" s="1"/>
      <c r="V80">
        <v>1</v>
      </c>
      <c r="Y8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80" s="12" t="e">
        <f>_xlfn.XLOOKUP(Portefeuille_MNT_PPS_Access15[[#This Row],[Numéro projet]],Tableau5[Numéro projet],Tableau5[IND_Site_Prioritaire])</f>
        <v>#N/A</v>
      </c>
      <c r="AA80" s="2" t="e">
        <f>_xlfn.XLOOKUP(Portefeuille_MNT_PPS_Access15[[#This Row],[Numéro projet]],Tableau5[Numéro projet],Tableau5[Critère Etat Infrastructure])</f>
        <v>#N/A</v>
      </c>
      <c r="AB8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80" s="63"/>
      <c r="AE80" t="s">
        <v>311</v>
      </c>
      <c r="AF80" s="2"/>
      <c r="AK80"/>
      <c r="AQ80">
        <v>100</v>
      </c>
      <c r="AS80">
        <v>200</v>
      </c>
      <c r="AU80">
        <v>450</v>
      </c>
      <c r="AV80">
        <v>7500</v>
      </c>
      <c r="BE80" s="14">
        <f>SUM(Portefeuille_MNT_PPS_Access15[[#This Row],[AC ANT]:[TR 2034]])</f>
        <v>8250</v>
      </c>
    </row>
    <row r="81" spans="2:57" x14ac:dyDescent="0.3">
      <c r="B81" t="s">
        <v>118</v>
      </c>
      <c r="C81" t="s">
        <v>102</v>
      </c>
      <c r="D81" t="s">
        <v>136</v>
      </c>
      <c r="E81" t="s">
        <v>129</v>
      </c>
      <c r="F81" t="s">
        <v>130</v>
      </c>
      <c r="G81" t="s">
        <v>20</v>
      </c>
      <c r="H81" t="s">
        <v>131</v>
      </c>
      <c r="I81" t="s">
        <v>405</v>
      </c>
      <c r="J81" t="s">
        <v>406</v>
      </c>
      <c r="K81" t="s">
        <v>152</v>
      </c>
      <c r="L81" t="s">
        <v>169</v>
      </c>
      <c r="M81" t="s">
        <v>155</v>
      </c>
      <c r="N81" s="1">
        <v>45898</v>
      </c>
      <c r="O8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18</v>
      </c>
      <c r="R8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13</v>
      </c>
      <c r="S81">
        <f>Portefeuille_MNT_PPS_Access15[[#This Row],[Délais PC1 et PC3]]+Portefeuille_MNT_PPS_Access15[[#This Row],[Délais PC3 et PC5]]</f>
        <v>31</v>
      </c>
      <c r="T81" s="1">
        <v>46427</v>
      </c>
      <c r="U81" s="1">
        <v>46813</v>
      </c>
      <c r="V81">
        <v>1</v>
      </c>
      <c r="W81">
        <v>1</v>
      </c>
      <c r="X81">
        <v>1</v>
      </c>
      <c r="Y8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1" s="12" t="e">
        <f>_xlfn.XLOOKUP(Portefeuille_MNT_PPS_Access15[[#This Row],[Numéro projet]],Tableau5[Numéro projet],Tableau5[IND_Site_Prioritaire])</f>
        <v>#N/A</v>
      </c>
      <c r="AA81" s="2" t="e">
        <f>_xlfn.XLOOKUP(Portefeuille_MNT_PPS_Access15[[#This Row],[Numéro projet]],Tableau5[Numéro projet],Tableau5[Critère Etat Infrastructure])</f>
        <v>#N/A</v>
      </c>
      <c r="AB8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1">
        <v>1</v>
      </c>
      <c r="AD81" s="62"/>
      <c r="AE81" t="s">
        <v>156</v>
      </c>
      <c r="AF81" s="2"/>
      <c r="AK81"/>
      <c r="AM81">
        <v>150</v>
      </c>
      <c r="AO81">
        <v>200</v>
      </c>
      <c r="AQ81">
        <v>200</v>
      </c>
      <c r="AS81">
        <v>500</v>
      </c>
      <c r="AT81">
        <v>2500</v>
      </c>
      <c r="AU81">
        <v>850</v>
      </c>
      <c r="AV81">
        <v>13000</v>
      </c>
      <c r="BE81" s="14">
        <f>SUM(Portefeuille_MNT_PPS_Access15[[#This Row],[AC ANT]:[TR 2034]])</f>
        <v>17400</v>
      </c>
    </row>
    <row r="82" spans="2:57" x14ac:dyDescent="0.3">
      <c r="B82" t="s">
        <v>101</v>
      </c>
      <c r="C82" t="s">
        <v>102</v>
      </c>
      <c r="D82" t="s">
        <v>136</v>
      </c>
      <c r="E82" t="s">
        <v>206</v>
      </c>
      <c r="F82" t="s">
        <v>130</v>
      </c>
      <c r="G82" t="s">
        <v>20</v>
      </c>
      <c r="H82" t="s">
        <v>131</v>
      </c>
      <c r="I82" t="s">
        <v>375</v>
      </c>
      <c r="J82" t="s">
        <v>376</v>
      </c>
      <c r="K82" t="s">
        <v>209</v>
      </c>
      <c r="L82" t="s">
        <v>197</v>
      </c>
      <c r="M82" t="s">
        <v>155</v>
      </c>
      <c r="N82" s="1">
        <v>46006</v>
      </c>
      <c r="O8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8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82">
        <f>Portefeuille_MNT_PPS_Access15[[#This Row],[Délais PC1 et PC3]]+Portefeuille_MNT_PPS_Access15[[#This Row],[Délais PC3 et PC5]]</f>
        <v>24</v>
      </c>
      <c r="T82" s="1">
        <v>46371</v>
      </c>
      <c r="U82" s="1">
        <v>46736</v>
      </c>
      <c r="V82">
        <v>1</v>
      </c>
      <c r="W82">
        <v>1</v>
      </c>
      <c r="X82">
        <v>1</v>
      </c>
      <c r="Y8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2" s="12" t="e">
        <f>_xlfn.XLOOKUP(Portefeuille_MNT_PPS_Access15[[#This Row],[Numéro projet]],Tableau5[Numéro projet],Tableau5[IND_Site_Prioritaire])</f>
        <v>#N/A</v>
      </c>
      <c r="AA82" s="2" t="e">
        <f>_xlfn.XLOOKUP(Portefeuille_MNT_PPS_Access15[[#This Row],[Numéro projet]],Tableau5[Numéro projet],Tableau5[Critère Etat Infrastructure])</f>
        <v>#N/A</v>
      </c>
      <c r="AB8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2">
        <v>1</v>
      </c>
      <c r="AD82" s="63"/>
      <c r="AE82" t="s">
        <v>156</v>
      </c>
      <c r="AF82" s="2"/>
      <c r="AK82"/>
      <c r="AM82">
        <v>250</v>
      </c>
      <c r="AO82">
        <v>300</v>
      </c>
      <c r="AQ82">
        <v>500</v>
      </c>
      <c r="AR82">
        <v>4000</v>
      </c>
      <c r="AS82">
        <v>800</v>
      </c>
      <c r="AT82">
        <v>15000</v>
      </c>
      <c r="AU82"/>
      <c r="BE82" s="14">
        <f>SUM(Portefeuille_MNT_PPS_Access15[[#This Row],[AC ANT]:[TR 2034]])</f>
        <v>20850</v>
      </c>
    </row>
    <row r="83" spans="2:57" x14ac:dyDescent="0.3">
      <c r="B83" t="s">
        <v>118</v>
      </c>
      <c r="C83" t="s">
        <v>102</v>
      </c>
      <c r="D83" t="s">
        <v>242</v>
      </c>
      <c r="E83" t="s">
        <v>113</v>
      </c>
      <c r="F83" t="s">
        <v>16</v>
      </c>
      <c r="G83" t="s">
        <v>20</v>
      </c>
      <c r="H83" t="s">
        <v>131</v>
      </c>
      <c r="I83" t="s">
        <v>243</v>
      </c>
      <c r="J83" t="s">
        <v>244</v>
      </c>
      <c r="K83" t="s">
        <v>245</v>
      </c>
      <c r="L83" t="s">
        <v>173</v>
      </c>
      <c r="M83" t="s">
        <v>155</v>
      </c>
      <c r="N83" s="1">
        <v>45823</v>
      </c>
      <c r="O8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5</v>
      </c>
      <c r="R8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83">
        <f>Portefeuille_MNT_PPS_Access15[[#This Row],[Délais PC1 et PC3]]+Portefeuille_MNT_PPS_Access15[[#This Row],[Délais PC3 et PC5]]</f>
        <v>17</v>
      </c>
      <c r="T83" s="1">
        <v>45976</v>
      </c>
      <c r="U83" s="1">
        <v>46341</v>
      </c>
      <c r="V83">
        <v>1</v>
      </c>
      <c r="W83">
        <v>1</v>
      </c>
      <c r="X83">
        <v>1</v>
      </c>
      <c r="Y8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3" s="12" t="e">
        <f>_xlfn.XLOOKUP(Portefeuille_MNT_PPS_Access15[[#This Row],[Numéro projet]],Tableau5[Numéro projet],Tableau5[IND_Site_Prioritaire])</f>
        <v>#N/A</v>
      </c>
      <c r="AA83" s="2" t="e">
        <f>_xlfn.XLOOKUP(Portefeuille_MNT_PPS_Access15[[#This Row],[Numéro projet]],Tableau5[Numéro projet],Tableau5[Critère Etat Infrastructure])</f>
        <v>#N/A</v>
      </c>
      <c r="AB8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3">
        <v>1</v>
      </c>
      <c r="AD83" s="63"/>
      <c r="AE83" t="s">
        <v>156</v>
      </c>
      <c r="AF83" s="2"/>
      <c r="AK83">
        <v>50</v>
      </c>
      <c r="AM83">
        <v>150</v>
      </c>
      <c r="AO83">
        <v>150</v>
      </c>
      <c r="AP83">
        <v>2000</v>
      </c>
      <c r="AU83"/>
      <c r="BE83" s="14">
        <f>SUM(Portefeuille_MNT_PPS_Access15[[#This Row],[AC ANT]:[TR 2034]])</f>
        <v>2350</v>
      </c>
    </row>
    <row r="84" spans="2:57" x14ac:dyDescent="0.3">
      <c r="B84" t="s">
        <v>101</v>
      </c>
      <c r="C84" t="s">
        <v>102</v>
      </c>
      <c r="D84" t="s">
        <v>136</v>
      </c>
      <c r="E84" t="s">
        <v>149</v>
      </c>
      <c r="F84" t="s">
        <v>16</v>
      </c>
      <c r="G84" t="s">
        <v>20</v>
      </c>
      <c r="H84" t="s">
        <v>105</v>
      </c>
      <c r="I84" t="s">
        <v>203</v>
      </c>
      <c r="J84" t="s">
        <v>204</v>
      </c>
      <c r="K84" t="s">
        <v>205</v>
      </c>
      <c r="L84" t="s">
        <v>173</v>
      </c>
      <c r="M84" t="s">
        <v>155</v>
      </c>
      <c r="N84" s="1">
        <v>45828</v>
      </c>
      <c r="O8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5</v>
      </c>
      <c r="R8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10</v>
      </c>
      <c r="S84">
        <f>Portefeuille_MNT_PPS_Access15[[#This Row],[Délais PC1 et PC3]]+Portefeuille_MNT_PPS_Access15[[#This Row],[Délais PC3 et PC5]]</f>
        <v>15</v>
      </c>
      <c r="T84" s="1">
        <v>45976</v>
      </c>
      <c r="U84" s="1">
        <v>46295</v>
      </c>
      <c r="V84">
        <v>1</v>
      </c>
      <c r="W84">
        <v>1</v>
      </c>
      <c r="X84">
        <v>1</v>
      </c>
      <c r="Y8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4" s="12" t="e">
        <f>_xlfn.XLOOKUP(Portefeuille_MNT_PPS_Access15[[#This Row],[Numéro projet]],Tableau5[Numéro projet],Tableau5[IND_Site_Prioritaire])</f>
        <v>#N/A</v>
      </c>
      <c r="AA84" s="2" t="e">
        <f>_xlfn.XLOOKUP(Portefeuille_MNT_PPS_Access15[[#This Row],[Numéro projet]],Tableau5[Numéro projet],Tableau5[Critère Etat Infrastructure])</f>
        <v>#N/A</v>
      </c>
      <c r="AB8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4">
        <v>1</v>
      </c>
      <c r="AD84" s="63"/>
      <c r="AE84" t="s">
        <v>156</v>
      </c>
      <c r="AF84" s="2"/>
      <c r="AK84">
        <v>85</v>
      </c>
      <c r="AM84">
        <v>85</v>
      </c>
      <c r="AO84">
        <v>170</v>
      </c>
      <c r="AP84">
        <v>2000</v>
      </c>
      <c r="AU84"/>
      <c r="BE84" s="14">
        <f>SUM(Portefeuille_MNT_PPS_Access15[[#This Row],[AC ANT]:[TR 2034]])</f>
        <v>2340</v>
      </c>
    </row>
    <row r="85" spans="2:57" x14ac:dyDescent="0.3">
      <c r="B85" t="s">
        <v>101</v>
      </c>
      <c r="C85" t="s">
        <v>102</v>
      </c>
      <c r="D85" t="s">
        <v>103</v>
      </c>
      <c r="E85" t="s">
        <v>140</v>
      </c>
      <c r="F85" t="s">
        <v>16</v>
      </c>
      <c r="G85" t="s">
        <v>20</v>
      </c>
      <c r="H85" t="s">
        <v>131</v>
      </c>
      <c r="I85" t="s">
        <v>246</v>
      </c>
      <c r="J85" t="s">
        <v>515</v>
      </c>
      <c r="K85" t="s">
        <v>180</v>
      </c>
      <c r="L85" t="s">
        <v>173</v>
      </c>
      <c r="M85" t="s">
        <v>110</v>
      </c>
      <c r="N85" s="1">
        <v>45679</v>
      </c>
      <c r="O8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11</v>
      </c>
      <c r="R8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85">
        <f>Portefeuille_MNT_PPS_Access15[[#This Row],[Délais PC1 et PC3]]+Portefeuille_MNT_PPS_Access15[[#This Row],[Délais PC3 et PC5]]</f>
        <v>23</v>
      </c>
      <c r="T85" s="1">
        <v>46006</v>
      </c>
      <c r="U85" s="1">
        <v>46371</v>
      </c>
      <c r="V85">
        <v>1</v>
      </c>
      <c r="W85">
        <v>1</v>
      </c>
      <c r="X85">
        <v>1</v>
      </c>
      <c r="Y8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85" s="12" t="e">
        <f>_xlfn.XLOOKUP(Portefeuille_MNT_PPS_Access15[[#This Row],[Numéro projet]],Tableau5[Numéro projet],Tableau5[IND_Site_Prioritaire])</f>
        <v>#N/A</v>
      </c>
      <c r="AA85" s="2" t="e">
        <f>_xlfn.XLOOKUP(Portefeuille_MNT_PPS_Access15[[#This Row],[Numéro projet]],Tableau5[Numéro projet],Tableau5[Critère Etat Infrastructure])</f>
        <v>#N/A</v>
      </c>
      <c r="AB8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5">
        <v>1</v>
      </c>
      <c r="AD85" s="63"/>
      <c r="AE85" t="s">
        <v>112</v>
      </c>
      <c r="AF85" s="2"/>
      <c r="AK85">
        <v>130</v>
      </c>
      <c r="AM85">
        <v>60</v>
      </c>
      <c r="AO85">
        <v>283</v>
      </c>
      <c r="AP85">
        <v>3902</v>
      </c>
      <c r="AU85"/>
      <c r="BE85" s="14">
        <f>SUM(Portefeuille_MNT_PPS_Access15[[#This Row],[AC ANT]:[TR 2034]])</f>
        <v>4375</v>
      </c>
    </row>
    <row r="86" spans="2:57" x14ac:dyDescent="0.3">
      <c r="B86" t="s">
        <v>118</v>
      </c>
      <c r="C86" t="s">
        <v>102</v>
      </c>
      <c r="D86" t="s">
        <v>103</v>
      </c>
      <c r="E86" t="s">
        <v>113</v>
      </c>
      <c r="F86" t="s">
        <v>20</v>
      </c>
      <c r="G86" t="s">
        <v>20</v>
      </c>
      <c r="H86" t="s">
        <v>131</v>
      </c>
      <c r="I86" t="s">
        <v>377</v>
      </c>
      <c r="J86" t="s">
        <v>378</v>
      </c>
      <c r="K86" t="s">
        <v>191</v>
      </c>
      <c r="L86" t="s">
        <v>197</v>
      </c>
      <c r="M86" t="s">
        <v>291</v>
      </c>
      <c r="N86" s="1"/>
      <c r="O8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8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8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8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86">
        <f>Portefeuille_MNT_PPS_Access15[[#This Row],[Délais PC1 et PC3]]+Portefeuille_MNT_PPS_Access15[[#This Row],[Délais PC3 et PC5]]</f>
        <v>0</v>
      </c>
      <c r="T86" s="1"/>
      <c r="U86" s="1"/>
      <c r="V86">
        <v>1</v>
      </c>
      <c r="Y8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86" s="12" t="e">
        <f>_xlfn.XLOOKUP(Portefeuille_MNT_PPS_Access15[[#This Row],[Numéro projet]],Tableau5[Numéro projet],Tableau5[IND_Site_Prioritaire])</f>
        <v>#N/A</v>
      </c>
      <c r="AA86" s="2" t="e">
        <f>_xlfn.XLOOKUP(Portefeuille_MNT_PPS_Access15[[#This Row],[Numéro projet]],Tableau5[Numéro projet],Tableau5[Critère Etat Infrastructure])</f>
        <v>#N/A</v>
      </c>
      <c r="AB8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86" s="63"/>
      <c r="AE86" t="s">
        <v>311</v>
      </c>
      <c r="AF86" s="2"/>
      <c r="AK86"/>
      <c r="AM86">
        <v>100</v>
      </c>
      <c r="AO86">
        <v>200</v>
      </c>
      <c r="AQ86">
        <v>495</v>
      </c>
      <c r="AR86">
        <v>8000</v>
      </c>
      <c r="AU86"/>
      <c r="BE86" s="14">
        <f>SUM(Portefeuille_MNT_PPS_Access15[[#This Row],[AC ANT]:[TR 2034]])</f>
        <v>8795</v>
      </c>
    </row>
    <row r="87" spans="2:57" x14ac:dyDescent="0.3">
      <c r="B87" t="s">
        <v>118</v>
      </c>
      <c r="C87" t="s">
        <v>102</v>
      </c>
      <c r="D87" t="s">
        <v>242</v>
      </c>
      <c r="E87" t="s">
        <v>129</v>
      </c>
      <c r="F87" t="s">
        <v>20</v>
      </c>
      <c r="G87" t="s">
        <v>20</v>
      </c>
      <c r="H87" t="s">
        <v>131</v>
      </c>
      <c r="I87" t="s">
        <v>409</v>
      </c>
      <c r="J87" t="s">
        <v>410</v>
      </c>
      <c r="K87" t="s">
        <v>411</v>
      </c>
      <c r="L87" t="s">
        <v>169</v>
      </c>
      <c r="M87" t="s">
        <v>155</v>
      </c>
      <c r="N87" s="1">
        <v>46143</v>
      </c>
      <c r="O8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8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87">
        <f>Portefeuille_MNT_PPS_Access15[[#This Row],[Délais PC1 et PC3]]+Portefeuille_MNT_PPS_Access15[[#This Row],[Délais PC3 et PC5]]</f>
        <v>24</v>
      </c>
      <c r="T87" s="1">
        <v>46508</v>
      </c>
      <c r="U87" s="1">
        <v>46874</v>
      </c>
      <c r="V87">
        <v>1</v>
      </c>
      <c r="W87">
        <v>1</v>
      </c>
      <c r="X87">
        <v>1</v>
      </c>
      <c r="Y8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7" s="12" t="e">
        <f>_xlfn.XLOOKUP(Portefeuille_MNT_PPS_Access15[[#This Row],[Numéro projet]],Tableau5[Numéro projet],Tableau5[IND_Site_Prioritaire])</f>
        <v>#N/A</v>
      </c>
      <c r="AA87" s="2" t="e">
        <f>_xlfn.XLOOKUP(Portefeuille_MNT_PPS_Access15[[#This Row],[Numéro projet]],Tableau5[Numéro projet],Tableau5[Critère Etat Infrastructure])</f>
        <v>#N/A</v>
      </c>
      <c r="AB8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7">
        <v>1</v>
      </c>
      <c r="AD87" s="63"/>
      <c r="AE87" t="s">
        <v>156</v>
      </c>
      <c r="AF87" s="2"/>
      <c r="AK87"/>
      <c r="AO87">
        <v>150</v>
      </c>
      <c r="AQ87">
        <v>150</v>
      </c>
      <c r="AS87">
        <v>250</v>
      </c>
      <c r="AT87">
        <v>2000</v>
      </c>
      <c r="AU87"/>
      <c r="BE87" s="14">
        <f>SUM(Portefeuille_MNT_PPS_Access15[[#This Row],[AC ANT]:[TR 2034]])</f>
        <v>2550</v>
      </c>
    </row>
    <row r="88" spans="2:57" x14ac:dyDescent="0.3">
      <c r="B88" t="s">
        <v>101</v>
      </c>
      <c r="C88" t="s">
        <v>102</v>
      </c>
      <c r="D88" t="s">
        <v>103</v>
      </c>
      <c r="F88" t="s">
        <v>20</v>
      </c>
      <c r="G88" t="s">
        <v>20</v>
      </c>
      <c r="H88" t="s">
        <v>131</v>
      </c>
      <c r="I88" t="s">
        <v>379</v>
      </c>
      <c r="J88" t="s">
        <v>380</v>
      </c>
      <c r="K88" t="s">
        <v>134</v>
      </c>
      <c r="L88" t="s">
        <v>392</v>
      </c>
      <c r="M88" t="s">
        <v>291</v>
      </c>
      <c r="N88" s="1"/>
      <c r="O8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8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8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8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88">
        <f>Portefeuille_MNT_PPS_Access15[[#This Row],[Délais PC1 et PC3]]+Portefeuille_MNT_PPS_Access15[[#This Row],[Délais PC3 et PC5]]</f>
        <v>0</v>
      </c>
      <c r="T88" s="1"/>
      <c r="U88" s="1"/>
      <c r="V88">
        <v>1</v>
      </c>
      <c r="Y8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88" s="12" t="e">
        <f>_xlfn.XLOOKUP(Portefeuille_MNT_PPS_Access15[[#This Row],[Numéro projet]],Tableau5[Numéro projet],Tableau5[IND_Site_Prioritaire])</f>
        <v>#N/A</v>
      </c>
      <c r="AA88" s="2" t="e">
        <f>_xlfn.XLOOKUP(Portefeuille_MNT_PPS_Access15[[#This Row],[Numéro projet]],Tableau5[Numéro projet],Tableau5[Critère Etat Infrastructure])</f>
        <v>#N/A</v>
      </c>
      <c r="AB8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88" s="63"/>
      <c r="AE88" t="s">
        <v>311</v>
      </c>
      <c r="AF88" s="2"/>
      <c r="AK88"/>
      <c r="AU88"/>
      <c r="AY88">
        <v>150</v>
      </c>
      <c r="BA88">
        <v>250</v>
      </c>
      <c r="BB88">
        <v>5000</v>
      </c>
      <c r="BE88" s="14">
        <f>SUM(Portefeuille_MNT_PPS_Access15[[#This Row],[AC ANT]:[TR 2034]])</f>
        <v>5400</v>
      </c>
    </row>
    <row r="89" spans="2:57" x14ac:dyDescent="0.3">
      <c r="B89" t="s">
        <v>118</v>
      </c>
      <c r="C89" t="s">
        <v>102</v>
      </c>
      <c r="D89" t="s">
        <v>242</v>
      </c>
      <c r="E89" t="s">
        <v>129</v>
      </c>
      <c r="F89" t="s">
        <v>16</v>
      </c>
      <c r="G89" t="s">
        <v>20</v>
      </c>
      <c r="H89" t="s">
        <v>131</v>
      </c>
      <c r="I89" t="s">
        <v>385</v>
      </c>
      <c r="J89" t="s">
        <v>386</v>
      </c>
      <c r="K89" t="s">
        <v>134</v>
      </c>
      <c r="L89" t="s">
        <v>197</v>
      </c>
      <c r="M89" t="s">
        <v>155</v>
      </c>
      <c r="N89" s="1">
        <v>45809</v>
      </c>
      <c r="O8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8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8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8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13</v>
      </c>
      <c r="S89">
        <f>Portefeuille_MNT_PPS_Access15[[#This Row],[Délais PC1 et PC3]]+Portefeuille_MNT_PPS_Access15[[#This Row],[Délais PC3 et PC5]]</f>
        <v>25</v>
      </c>
      <c r="T89" s="1">
        <v>46174</v>
      </c>
      <c r="U89" s="1">
        <v>46569</v>
      </c>
      <c r="V89">
        <v>1</v>
      </c>
      <c r="W89">
        <v>1</v>
      </c>
      <c r="X89">
        <v>1</v>
      </c>
      <c r="Y8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89" s="12" t="e">
        <f>_xlfn.XLOOKUP(Portefeuille_MNT_PPS_Access15[[#This Row],[Numéro projet]],Tableau5[Numéro projet],Tableau5[IND_Site_Prioritaire])</f>
        <v>#N/A</v>
      </c>
      <c r="AA89" s="2" t="e">
        <f>_xlfn.XLOOKUP(Portefeuille_MNT_PPS_Access15[[#This Row],[Numéro projet]],Tableau5[Numéro projet],Tableau5[Critère Etat Infrastructure])</f>
        <v>#N/A</v>
      </c>
      <c r="AB8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89">
        <v>1</v>
      </c>
      <c r="AD89" s="63"/>
      <c r="AE89" t="s">
        <v>156</v>
      </c>
      <c r="AF89" s="2"/>
      <c r="AK89">
        <v>20</v>
      </c>
      <c r="AM89">
        <v>50</v>
      </c>
      <c r="AO89">
        <v>50</v>
      </c>
      <c r="AQ89">
        <v>200</v>
      </c>
      <c r="AR89">
        <v>2000</v>
      </c>
      <c r="AU89"/>
      <c r="BE89" s="14">
        <f>SUM(Portefeuille_MNT_PPS_Access15[[#This Row],[AC ANT]:[TR 2034]])</f>
        <v>2320</v>
      </c>
    </row>
    <row r="90" spans="2:57" x14ac:dyDescent="0.3">
      <c r="B90" t="s">
        <v>118</v>
      </c>
      <c r="C90" t="s">
        <v>102</v>
      </c>
      <c r="D90" t="s">
        <v>242</v>
      </c>
      <c r="E90" t="s">
        <v>129</v>
      </c>
      <c r="F90" t="s">
        <v>20</v>
      </c>
      <c r="G90" t="s">
        <v>20</v>
      </c>
      <c r="H90" t="s">
        <v>131</v>
      </c>
      <c r="I90" t="s">
        <v>412</v>
      </c>
      <c r="J90" t="s">
        <v>413</v>
      </c>
      <c r="K90" t="s">
        <v>414</v>
      </c>
      <c r="L90" t="s">
        <v>184</v>
      </c>
      <c r="M90" t="s">
        <v>291</v>
      </c>
      <c r="N90" s="1"/>
      <c r="O9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9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9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9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90">
        <f>Portefeuille_MNT_PPS_Access15[[#This Row],[Délais PC1 et PC3]]+Portefeuille_MNT_PPS_Access15[[#This Row],[Délais PC3 et PC5]]</f>
        <v>0</v>
      </c>
      <c r="T90" s="1"/>
      <c r="U90" s="1"/>
      <c r="V90">
        <v>1</v>
      </c>
      <c r="Y9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90" s="12" t="e">
        <f>_xlfn.XLOOKUP(Portefeuille_MNT_PPS_Access15[[#This Row],[Numéro projet]],Tableau5[Numéro projet],Tableau5[IND_Site_Prioritaire])</f>
        <v>#N/A</v>
      </c>
      <c r="AA90" s="2" t="e">
        <f>_xlfn.XLOOKUP(Portefeuille_MNT_PPS_Access15[[#This Row],[Numéro projet]],Tableau5[Numéro projet],Tableau5[Critère Etat Infrastructure])</f>
        <v>#N/A</v>
      </c>
      <c r="AB9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90" s="63"/>
      <c r="AE90" t="s">
        <v>311</v>
      </c>
      <c r="AF90" s="2"/>
      <c r="AK90"/>
      <c r="AQ90">
        <v>150</v>
      </c>
      <c r="AS90">
        <v>150</v>
      </c>
      <c r="AU90">
        <v>250</v>
      </c>
      <c r="AV90">
        <v>2000</v>
      </c>
      <c r="BE90" s="14">
        <f>SUM(Portefeuille_MNT_PPS_Access15[[#This Row],[AC ANT]:[TR 2034]])</f>
        <v>2550</v>
      </c>
    </row>
    <row r="91" spans="2:57" x14ac:dyDescent="0.3">
      <c r="B91" t="s">
        <v>118</v>
      </c>
      <c r="C91" t="s">
        <v>102</v>
      </c>
      <c r="D91" t="s">
        <v>136</v>
      </c>
      <c r="E91" t="s">
        <v>104</v>
      </c>
      <c r="F91" t="s">
        <v>130</v>
      </c>
      <c r="G91" t="s">
        <v>20</v>
      </c>
      <c r="H91" t="s">
        <v>131</v>
      </c>
      <c r="I91" t="s">
        <v>373</v>
      </c>
      <c r="J91" t="s">
        <v>374</v>
      </c>
      <c r="K91" t="s">
        <v>159</v>
      </c>
      <c r="L91" t="s">
        <v>169</v>
      </c>
      <c r="M91" t="s">
        <v>155</v>
      </c>
      <c r="N91" s="1">
        <v>45915</v>
      </c>
      <c r="O9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9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9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9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91">
        <f>Portefeuille_MNT_PPS_Access15[[#This Row],[Délais PC1 et PC3]]+Portefeuille_MNT_PPS_Access15[[#This Row],[Délais PC3 et PC5]]</f>
        <v>24</v>
      </c>
      <c r="T91" s="1">
        <v>46280</v>
      </c>
      <c r="U91" s="1">
        <v>46645</v>
      </c>
      <c r="V91">
        <v>1</v>
      </c>
      <c r="W91">
        <v>1</v>
      </c>
      <c r="X91">
        <v>1</v>
      </c>
      <c r="Y9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91" s="12" t="e">
        <f>_xlfn.XLOOKUP(Portefeuille_MNT_PPS_Access15[[#This Row],[Numéro projet]],Tableau5[Numéro projet],Tableau5[IND_Site_Prioritaire])</f>
        <v>#N/A</v>
      </c>
      <c r="AA91" s="2" t="e">
        <f>_xlfn.XLOOKUP(Portefeuille_MNT_PPS_Access15[[#This Row],[Numéro projet]],Tableau5[Numéro projet],Tableau5[Critère Etat Infrastructure])</f>
        <v>#N/A</v>
      </c>
      <c r="AB9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91">
        <v>1</v>
      </c>
      <c r="AD91" s="63"/>
      <c r="AE91" t="s">
        <v>156</v>
      </c>
      <c r="AF91" s="2"/>
      <c r="AK91"/>
      <c r="AM91">
        <v>50</v>
      </c>
      <c r="AO91">
        <v>50</v>
      </c>
      <c r="AQ91">
        <v>100</v>
      </c>
      <c r="AS91">
        <v>200</v>
      </c>
      <c r="AT91">
        <v>3000</v>
      </c>
      <c r="AU91"/>
      <c r="BE91" s="14">
        <f>SUM(Portefeuille_MNT_PPS_Access15[[#This Row],[AC ANT]:[TR 2034]])</f>
        <v>3400</v>
      </c>
    </row>
    <row r="92" spans="2:57" x14ac:dyDescent="0.3">
      <c r="B92" t="s">
        <v>118</v>
      </c>
      <c r="C92" t="s">
        <v>102</v>
      </c>
      <c r="D92" t="s">
        <v>242</v>
      </c>
      <c r="E92" t="s">
        <v>129</v>
      </c>
      <c r="F92" t="s">
        <v>20</v>
      </c>
      <c r="G92" t="s">
        <v>20</v>
      </c>
      <c r="H92" t="s">
        <v>131</v>
      </c>
      <c r="I92" t="s">
        <v>415</v>
      </c>
      <c r="J92" t="s">
        <v>416</v>
      </c>
      <c r="K92" t="s">
        <v>417</v>
      </c>
      <c r="L92" t="s">
        <v>169</v>
      </c>
      <c r="M92" t="s">
        <v>155</v>
      </c>
      <c r="N92" s="1">
        <v>46143</v>
      </c>
      <c r="O9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9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9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9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92">
        <f>Portefeuille_MNT_PPS_Access15[[#This Row],[Délais PC1 et PC3]]+Portefeuille_MNT_PPS_Access15[[#This Row],[Délais PC3 et PC5]]</f>
        <v>24</v>
      </c>
      <c r="T92" s="1">
        <v>46508</v>
      </c>
      <c r="U92" s="1">
        <v>46874</v>
      </c>
      <c r="V92">
        <v>1</v>
      </c>
      <c r="W92">
        <v>1</v>
      </c>
      <c r="X92">
        <v>1</v>
      </c>
      <c r="Y9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92" s="12" t="e">
        <f>_xlfn.XLOOKUP(Portefeuille_MNT_PPS_Access15[[#This Row],[Numéro projet]],Tableau5[Numéro projet],Tableau5[IND_Site_Prioritaire])</f>
        <v>#N/A</v>
      </c>
      <c r="AA92" s="2" t="e">
        <f>_xlfn.XLOOKUP(Portefeuille_MNT_PPS_Access15[[#This Row],[Numéro projet]],Tableau5[Numéro projet],Tableau5[Critère Etat Infrastructure])</f>
        <v>#N/A</v>
      </c>
      <c r="AB9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92">
        <v>1</v>
      </c>
      <c r="AD92" s="63"/>
      <c r="AE92" t="s">
        <v>156</v>
      </c>
      <c r="AF92" s="2"/>
      <c r="AK92"/>
      <c r="AO92">
        <v>150</v>
      </c>
      <c r="AQ92">
        <v>150</v>
      </c>
      <c r="AS92">
        <v>250</v>
      </c>
      <c r="AT92">
        <v>2000</v>
      </c>
      <c r="AU92"/>
      <c r="BE92" s="14">
        <f>SUM(Portefeuille_MNT_PPS_Access15[[#This Row],[AC ANT]:[TR 2034]])</f>
        <v>2550</v>
      </c>
    </row>
    <row r="93" spans="2:57" x14ac:dyDescent="0.3">
      <c r="B93" t="s">
        <v>118</v>
      </c>
      <c r="C93" t="s">
        <v>102</v>
      </c>
      <c r="D93" t="s">
        <v>119</v>
      </c>
      <c r="E93" t="s">
        <v>113</v>
      </c>
      <c r="F93" t="s">
        <v>16</v>
      </c>
      <c r="G93" t="s">
        <v>16</v>
      </c>
      <c r="H93" t="s">
        <v>105</v>
      </c>
      <c r="I93" t="s">
        <v>120</v>
      </c>
      <c r="J93" t="s">
        <v>289</v>
      </c>
      <c r="K93" t="s">
        <v>122</v>
      </c>
      <c r="L93" t="s">
        <v>148</v>
      </c>
      <c r="M93" t="s">
        <v>164</v>
      </c>
      <c r="N93" s="1"/>
      <c r="O9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9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9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9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1501</v>
      </c>
      <c r="S93">
        <f>Portefeuille_MNT_PPS_Access15[[#This Row],[Délais PC1 et PC3]]+Portefeuille_MNT_PPS_Access15[[#This Row],[Délais PC3 et PC5]]</f>
        <v>1501</v>
      </c>
      <c r="T93" s="1"/>
      <c r="U93" s="1">
        <v>45712</v>
      </c>
      <c r="V93">
        <v>1</v>
      </c>
      <c r="W93">
        <v>1</v>
      </c>
      <c r="Y9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7</v>
      </c>
      <c r="Z93" s="12" t="e">
        <f>_xlfn.XLOOKUP(Portefeuille_MNT_PPS_Access15[[#This Row],[Numéro projet]],Tableau5[Numéro projet],Tableau5[IND_Site_Prioritaire])</f>
        <v>#N/A</v>
      </c>
      <c r="AA93" s="2" t="e">
        <f>_xlfn.XLOOKUP(Portefeuille_MNT_PPS_Access15[[#This Row],[Numéro projet]],Tableau5[Numéro projet],Tableau5[Critère Etat Infrastructure])</f>
        <v>#N/A</v>
      </c>
      <c r="AB9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93" s="63"/>
      <c r="AE93" t="s">
        <v>165</v>
      </c>
      <c r="AF93" s="2"/>
      <c r="AK93">
        <v>20</v>
      </c>
      <c r="AL93">
        <v>895</v>
      </c>
      <c r="AU93"/>
      <c r="BE93" s="14">
        <f>SUM(Portefeuille_MNT_PPS_Access15[[#This Row],[AC ANT]:[TR 2034]])</f>
        <v>915</v>
      </c>
    </row>
    <row r="94" spans="2:57" x14ac:dyDescent="0.3">
      <c r="B94" t="s">
        <v>101</v>
      </c>
      <c r="C94" t="s">
        <v>102</v>
      </c>
      <c r="D94" t="s">
        <v>103</v>
      </c>
      <c r="F94" t="s">
        <v>20</v>
      </c>
      <c r="G94" t="s">
        <v>20</v>
      </c>
      <c r="H94" t="s">
        <v>131</v>
      </c>
      <c r="I94" t="s">
        <v>383</v>
      </c>
      <c r="J94" t="s">
        <v>384</v>
      </c>
      <c r="K94" t="s">
        <v>183</v>
      </c>
      <c r="L94" t="s">
        <v>184</v>
      </c>
      <c r="M94" t="s">
        <v>291</v>
      </c>
      <c r="N94" s="1"/>
      <c r="O9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9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9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9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94">
        <f>Portefeuille_MNT_PPS_Access15[[#This Row],[Délais PC1 et PC3]]+Portefeuille_MNT_PPS_Access15[[#This Row],[Délais PC3 et PC5]]</f>
        <v>0</v>
      </c>
      <c r="T94" s="1"/>
      <c r="U94" s="1"/>
      <c r="V94">
        <v>1</v>
      </c>
      <c r="Y9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94" s="12" t="e">
        <f>_xlfn.XLOOKUP(Portefeuille_MNT_PPS_Access15[[#This Row],[Numéro projet]],Tableau5[Numéro projet],Tableau5[IND_Site_Prioritaire])</f>
        <v>#N/A</v>
      </c>
      <c r="AA94" s="2" t="e">
        <f>_xlfn.XLOOKUP(Portefeuille_MNT_PPS_Access15[[#This Row],[Numéro projet]],Tableau5[Numéro projet],Tableau5[Critère Etat Infrastructure])</f>
        <v>#N/A</v>
      </c>
      <c r="AB9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94" s="63"/>
      <c r="AE94" t="s">
        <v>311</v>
      </c>
      <c r="AF94" s="2"/>
      <c r="AK94"/>
      <c r="AS94">
        <v>150</v>
      </c>
      <c r="AU94">
        <v>250</v>
      </c>
      <c r="AV94">
        <v>5000</v>
      </c>
      <c r="BE94" s="14">
        <f>SUM(Portefeuille_MNT_PPS_Access15[[#This Row],[AC ANT]:[TR 2034]])</f>
        <v>5400</v>
      </c>
    </row>
    <row r="95" spans="2:57" x14ac:dyDescent="0.3">
      <c r="B95" t="s">
        <v>118</v>
      </c>
      <c r="C95" t="s">
        <v>102</v>
      </c>
      <c r="D95" t="s">
        <v>177</v>
      </c>
      <c r="E95" t="s">
        <v>113</v>
      </c>
      <c r="F95" t="s">
        <v>16</v>
      </c>
      <c r="G95" t="s">
        <v>20</v>
      </c>
      <c r="H95" t="s">
        <v>131</v>
      </c>
      <c r="I95" t="s">
        <v>240</v>
      </c>
      <c r="J95" t="s">
        <v>241</v>
      </c>
      <c r="K95" t="s">
        <v>187</v>
      </c>
      <c r="L95" t="s">
        <v>173</v>
      </c>
      <c r="M95" t="s">
        <v>110</v>
      </c>
      <c r="N95" s="1">
        <v>45708</v>
      </c>
      <c r="O9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9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9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</v>
      </c>
      <c r="R9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95">
        <f>Portefeuille_MNT_PPS_Access15[[#This Row],[Délais PC1 et PC3]]+Portefeuille_MNT_PPS_Access15[[#This Row],[Délais PC3 et PC5]]</f>
        <v>26</v>
      </c>
      <c r="T95" s="1">
        <v>46127</v>
      </c>
      <c r="U95" s="1">
        <v>46492</v>
      </c>
      <c r="V95">
        <v>1</v>
      </c>
      <c r="W95">
        <v>1</v>
      </c>
      <c r="X95">
        <v>1</v>
      </c>
      <c r="Y9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95" s="12" t="e">
        <f>_xlfn.XLOOKUP(Portefeuille_MNT_PPS_Access15[[#This Row],[Numéro projet]],Tableau5[Numéro projet],Tableau5[IND_Site_Prioritaire])</f>
        <v>#N/A</v>
      </c>
      <c r="AA95" s="2" t="e">
        <f>_xlfn.XLOOKUP(Portefeuille_MNT_PPS_Access15[[#This Row],[Numéro projet]],Tableau5[Numéro projet],Tableau5[Critère Etat Infrastructure])</f>
        <v>#N/A</v>
      </c>
      <c r="AB9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95">
        <v>1</v>
      </c>
      <c r="AD95" s="63"/>
      <c r="AE95" t="s">
        <v>112</v>
      </c>
      <c r="AF95" s="2"/>
      <c r="AI95">
        <v>10</v>
      </c>
      <c r="AK95">
        <v>178</v>
      </c>
      <c r="AM95">
        <v>176</v>
      </c>
      <c r="AO95">
        <v>212</v>
      </c>
      <c r="AP95">
        <v>4831</v>
      </c>
      <c r="AQ95">
        <v>141</v>
      </c>
      <c r="AR95">
        <v>3298</v>
      </c>
      <c r="AU95"/>
      <c r="BE95" s="14">
        <f>SUM(Portefeuille_MNT_PPS_Access15[[#This Row],[AC ANT]:[TR 2034]])</f>
        <v>8846</v>
      </c>
    </row>
    <row r="96" spans="2:57" x14ac:dyDescent="0.3">
      <c r="B96" t="s">
        <v>126</v>
      </c>
      <c r="C96" t="s">
        <v>127</v>
      </c>
      <c r="D96" t="s">
        <v>103</v>
      </c>
      <c r="E96" t="s">
        <v>104</v>
      </c>
      <c r="F96" t="s">
        <v>16</v>
      </c>
      <c r="G96" t="s">
        <v>130</v>
      </c>
      <c r="H96" t="s">
        <v>131</v>
      </c>
      <c r="I96" t="s">
        <v>220</v>
      </c>
      <c r="J96" t="s">
        <v>221</v>
      </c>
      <c r="K96" t="s">
        <v>159</v>
      </c>
      <c r="L96" t="s">
        <v>173</v>
      </c>
      <c r="M96" t="s">
        <v>155</v>
      </c>
      <c r="N96" s="1">
        <v>45807</v>
      </c>
      <c r="O9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9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9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9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8</v>
      </c>
      <c r="S96">
        <f>Portefeuille_MNT_PPS_Access15[[#This Row],[Délais PC1 et PC3]]+Portefeuille_MNT_PPS_Access15[[#This Row],[Délais PC3 et PC5]]</f>
        <v>20</v>
      </c>
      <c r="T96" s="1">
        <v>46164</v>
      </c>
      <c r="U96" s="1">
        <v>46402</v>
      </c>
      <c r="V96">
        <v>1</v>
      </c>
      <c r="W96">
        <v>1</v>
      </c>
      <c r="X96">
        <v>1</v>
      </c>
      <c r="Y9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96" s="12" t="e">
        <f>_xlfn.XLOOKUP(Portefeuille_MNT_PPS_Access15[[#This Row],[Numéro projet]],Tableau5[Numéro projet],Tableau5[IND_Site_Prioritaire])</f>
        <v>#N/A</v>
      </c>
      <c r="AA96" s="2" t="e">
        <f>_xlfn.XLOOKUP(Portefeuille_MNT_PPS_Access15[[#This Row],[Numéro projet]],Tableau5[Numéro projet],Tableau5[Critère Etat Infrastructure])</f>
        <v>#N/A</v>
      </c>
      <c r="AB9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96">
        <v>1</v>
      </c>
      <c r="AD96" s="63"/>
      <c r="AE96" t="s">
        <v>156</v>
      </c>
      <c r="AF96" s="2"/>
      <c r="AK96">
        <v>130</v>
      </c>
      <c r="AM96">
        <v>125</v>
      </c>
      <c r="AO96">
        <v>100</v>
      </c>
      <c r="AP96">
        <v>12180</v>
      </c>
      <c r="AQ96">
        <v>70</v>
      </c>
      <c r="AR96">
        <v>7570</v>
      </c>
      <c r="AS96">
        <v>55</v>
      </c>
      <c r="AT96">
        <v>10250</v>
      </c>
      <c r="AU96"/>
      <c r="BE96" s="14">
        <f>SUM(Portefeuille_MNT_PPS_Access15[[#This Row],[AC ANT]:[TR 2034]])</f>
        <v>30480</v>
      </c>
    </row>
    <row r="97" spans="2:57" x14ac:dyDescent="0.3">
      <c r="B97" t="s">
        <v>118</v>
      </c>
      <c r="C97" t="s">
        <v>102</v>
      </c>
      <c r="D97" t="s">
        <v>103</v>
      </c>
      <c r="E97" t="s">
        <v>129</v>
      </c>
      <c r="F97" t="s">
        <v>20</v>
      </c>
      <c r="G97" t="s">
        <v>20</v>
      </c>
      <c r="H97" t="s">
        <v>131</v>
      </c>
      <c r="I97" t="s">
        <v>403</v>
      </c>
      <c r="J97" t="s">
        <v>524</v>
      </c>
      <c r="K97" t="s">
        <v>214</v>
      </c>
      <c r="L97" t="s">
        <v>169</v>
      </c>
      <c r="M97" t="s">
        <v>291</v>
      </c>
      <c r="N97" s="1"/>
      <c r="O9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9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9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9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97">
        <f>Portefeuille_MNT_PPS_Access15[[#This Row],[Délais PC1 et PC3]]+Portefeuille_MNT_PPS_Access15[[#This Row],[Délais PC3 et PC5]]</f>
        <v>0</v>
      </c>
      <c r="T97" s="1"/>
      <c r="U97" s="1"/>
      <c r="V97">
        <v>1</v>
      </c>
      <c r="Y9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97" s="12" t="e">
        <f>_xlfn.XLOOKUP(Portefeuille_MNT_PPS_Access15[[#This Row],[Numéro projet]],Tableau5[Numéro projet],Tableau5[IND_Site_Prioritaire])</f>
        <v>#N/A</v>
      </c>
      <c r="AA97" s="2" t="e">
        <f>_xlfn.XLOOKUP(Portefeuille_MNT_PPS_Access15[[#This Row],[Numéro projet]],Tableau5[Numéro projet],Tableau5[Critère Etat Infrastructure])</f>
        <v>#N/A</v>
      </c>
      <c r="AB9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97" s="63"/>
      <c r="AE97" t="s">
        <v>311</v>
      </c>
      <c r="AF97" s="2"/>
      <c r="AK97"/>
      <c r="AQ97">
        <v>200</v>
      </c>
      <c r="AS97">
        <v>200</v>
      </c>
      <c r="AT97">
        <v>10500</v>
      </c>
      <c r="AU97"/>
      <c r="BE97" s="14">
        <f>SUM(Portefeuille_MNT_PPS_Access15[[#This Row],[AC ANT]:[TR 2034]])</f>
        <v>10900</v>
      </c>
    </row>
    <row r="98" spans="2:57" x14ac:dyDescent="0.3">
      <c r="B98" t="s">
        <v>126</v>
      </c>
      <c r="C98" t="s">
        <v>127</v>
      </c>
      <c r="D98" t="s">
        <v>103</v>
      </c>
      <c r="E98" t="s">
        <v>149</v>
      </c>
      <c r="F98" t="s">
        <v>16</v>
      </c>
      <c r="G98" t="s">
        <v>20</v>
      </c>
      <c r="H98" t="s">
        <v>131</v>
      </c>
      <c r="I98" t="s">
        <v>233</v>
      </c>
      <c r="J98" t="s">
        <v>234</v>
      </c>
      <c r="K98" t="s">
        <v>152</v>
      </c>
      <c r="L98" t="s">
        <v>173</v>
      </c>
      <c r="M98" t="s">
        <v>155</v>
      </c>
      <c r="N98" s="1">
        <v>45823</v>
      </c>
      <c r="O9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9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1.Très à risque</v>
      </c>
      <c r="Q9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16</v>
      </c>
      <c r="R9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98">
        <f>Portefeuille_MNT_PPS_Access15[[#This Row],[Délais PC1 et PC3]]+Portefeuille_MNT_PPS_Access15[[#This Row],[Délais PC3 et PC5]]</f>
        <v>28</v>
      </c>
      <c r="T98" s="1">
        <v>46310</v>
      </c>
      <c r="U98" s="1">
        <v>46675</v>
      </c>
      <c r="V98">
        <v>1</v>
      </c>
      <c r="W98">
        <v>1</v>
      </c>
      <c r="X98">
        <v>1</v>
      </c>
      <c r="Y9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98" s="12" t="e">
        <f>_xlfn.XLOOKUP(Portefeuille_MNT_PPS_Access15[[#This Row],[Numéro projet]],Tableau5[Numéro projet],Tableau5[IND_Site_Prioritaire])</f>
        <v>#N/A</v>
      </c>
      <c r="AA98" s="2" t="e">
        <f>_xlfn.XLOOKUP(Portefeuille_MNT_PPS_Access15[[#This Row],[Numéro projet]],Tableau5[Numéro projet],Tableau5[Critère Etat Infrastructure])</f>
        <v>#N/A</v>
      </c>
      <c r="AB9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98">
        <v>1</v>
      </c>
      <c r="AD98" s="63"/>
      <c r="AE98" t="s">
        <v>156</v>
      </c>
      <c r="AF98" s="2"/>
      <c r="AK98">
        <v>100</v>
      </c>
      <c r="AM98">
        <v>267</v>
      </c>
      <c r="AO98">
        <v>588</v>
      </c>
      <c r="AP98">
        <v>7500</v>
      </c>
      <c r="AU98"/>
      <c r="BE98" s="14">
        <f>SUM(Portefeuille_MNT_PPS_Access15[[#This Row],[AC ANT]:[TR 2034]])</f>
        <v>8455</v>
      </c>
    </row>
    <row r="99" spans="2:57" x14ac:dyDescent="0.3">
      <c r="B99" t="s">
        <v>118</v>
      </c>
      <c r="C99" t="s">
        <v>102</v>
      </c>
      <c r="D99" t="s">
        <v>103</v>
      </c>
      <c r="E99" t="s">
        <v>149</v>
      </c>
      <c r="F99" t="s">
        <v>20</v>
      </c>
      <c r="G99" t="s">
        <v>20</v>
      </c>
      <c r="H99" t="s">
        <v>131</v>
      </c>
      <c r="I99" t="s">
        <v>396</v>
      </c>
      <c r="J99" t="s">
        <v>397</v>
      </c>
      <c r="K99" t="s">
        <v>194</v>
      </c>
      <c r="L99" t="s">
        <v>197</v>
      </c>
      <c r="M99" t="s">
        <v>291</v>
      </c>
      <c r="N99" s="1"/>
      <c r="O9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9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9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9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99">
        <f>Portefeuille_MNT_PPS_Access15[[#This Row],[Délais PC1 et PC3]]+Portefeuille_MNT_PPS_Access15[[#This Row],[Délais PC3 et PC5]]</f>
        <v>0</v>
      </c>
      <c r="T99" s="1"/>
      <c r="U99" s="1"/>
      <c r="V99">
        <v>1</v>
      </c>
      <c r="Y9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99" s="12" t="e">
        <f>_xlfn.XLOOKUP(Portefeuille_MNT_PPS_Access15[[#This Row],[Numéro projet]],Tableau5[Numéro projet],Tableau5[IND_Site_Prioritaire])</f>
        <v>#N/A</v>
      </c>
      <c r="AA99" s="2" t="e">
        <f>_xlfn.XLOOKUP(Portefeuille_MNT_PPS_Access15[[#This Row],[Numéro projet]],Tableau5[Numéro projet],Tableau5[Critère Etat Infrastructure])</f>
        <v>#N/A</v>
      </c>
      <c r="AB9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99" s="63"/>
      <c r="AE99" t="s">
        <v>311</v>
      </c>
      <c r="AF99" s="2"/>
      <c r="AK99"/>
      <c r="AM99">
        <v>150</v>
      </c>
      <c r="AO99">
        <v>250</v>
      </c>
      <c r="AQ99">
        <v>600</v>
      </c>
      <c r="AR99">
        <v>10500</v>
      </c>
      <c r="AU99"/>
      <c r="BE99" s="14">
        <f>SUM(Portefeuille_MNT_PPS_Access15[[#This Row],[AC ANT]:[TR 2034]])</f>
        <v>11500</v>
      </c>
    </row>
    <row r="100" spans="2:57" x14ac:dyDescent="0.3">
      <c r="B100" t="s">
        <v>101</v>
      </c>
      <c r="C100" t="s">
        <v>102</v>
      </c>
      <c r="D100" t="s">
        <v>103</v>
      </c>
      <c r="E100" t="s">
        <v>149</v>
      </c>
      <c r="F100" t="s">
        <v>16</v>
      </c>
      <c r="G100" t="s">
        <v>20</v>
      </c>
      <c r="H100" t="s">
        <v>105</v>
      </c>
      <c r="I100" t="s">
        <v>235</v>
      </c>
      <c r="J100" t="s">
        <v>510</v>
      </c>
      <c r="K100" t="s">
        <v>205</v>
      </c>
      <c r="L100" t="s">
        <v>173</v>
      </c>
      <c r="M100" t="s">
        <v>110</v>
      </c>
      <c r="N100" s="1">
        <v>45706</v>
      </c>
      <c r="O10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0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0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10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7</v>
      </c>
      <c r="S100">
        <f>Portefeuille_MNT_PPS_Access15[[#This Row],[Délais PC1 et PC3]]+Portefeuille_MNT_PPS_Access15[[#This Row],[Délais PC3 et PC5]]</f>
        <v>19</v>
      </c>
      <c r="T100" s="1">
        <v>46055</v>
      </c>
      <c r="U100" s="1">
        <v>46273</v>
      </c>
      <c r="V100">
        <v>1</v>
      </c>
      <c r="W100">
        <v>1</v>
      </c>
      <c r="X100">
        <v>1</v>
      </c>
      <c r="Y10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100" s="12" t="e">
        <f>_xlfn.XLOOKUP(Portefeuille_MNT_PPS_Access15[[#This Row],[Numéro projet]],Tableau5[Numéro projet],Tableau5[IND_Site_Prioritaire])</f>
        <v>#N/A</v>
      </c>
      <c r="AA100" s="2" t="e">
        <f>_xlfn.XLOOKUP(Portefeuille_MNT_PPS_Access15[[#This Row],[Numéro projet]],Tableau5[Numéro projet],Tableau5[Critère Etat Infrastructure])</f>
        <v>#N/A</v>
      </c>
      <c r="AB10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0">
        <v>1</v>
      </c>
      <c r="AD100" s="63"/>
      <c r="AE100" t="s">
        <v>112</v>
      </c>
      <c r="AF100" s="2"/>
      <c r="AK100">
        <v>90</v>
      </c>
      <c r="AM100">
        <v>200</v>
      </c>
      <c r="AO100">
        <v>970</v>
      </c>
      <c r="AP100">
        <v>13608</v>
      </c>
      <c r="AU100"/>
      <c r="BE100" s="14">
        <f>SUM(Portefeuille_MNT_PPS_Access15[[#This Row],[AC ANT]:[TR 2034]])</f>
        <v>14868</v>
      </c>
    </row>
    <row r="101" spans="2:57" x14ac:dyDescent="0.3">
      <c r="B101" t="s">
        <v>118</v>
      </c>
      <c r="C101" t="s">
        <v>102</v>
      </c>
      <c r="D101" t="s">
        <v>103</v>
      </c>
      <c r="F101" t="s">
        <v>20</v>
      </c>
      <c r="G101" t="s">
        <v>20</v>
      </c>
      <c r="H101" t="s">
        <v>131</v>
      </c>
      <c r="I101" t="s">
        <v>418</v>
      </c>
      <c r="J101" t="s">
        <v>530</v>
      </c>
      <c r="K101" t="s">
        <v>420</v>
      </c>
      <c r="L101" t="s">
        <v>421</v>
      </c>
      <c r="M101" t="s">
        <v>291</v>
      </c>
      <c r="N101" s="1"/>
      <c r="O10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0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0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0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01">
        <f>Portefeuille_MNT_PPS_Access15[[#This Row],[Délais PC1 et PC3]]+Portefeuille_MNT_PPS_Access15[[#This Row],[Délais PC3 et PC5]]</f>
        <v>0</v>
      </c>
      <c r="T101" s="1"/>
      <c r="U101" s="1"/>
      <c r="V101">
        <v>1</v>
      </c>
      <c r="Y10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01" s="12" t="e">
        <f>_xlfn.XLOOKUP(Portefeuille_MNT_PPS_Access15[[#This Row],[Numéro projet]],Tableau5[Numéro projet],Tableau5[IND_Site_Prioritaire])</f>
        <v>#N/A</v>
      </c>
      <c r="AA101" s="2" t="e">
        <f>_xlfn.XLOOKUP(Portefeuille_MNT_PPS_Access15[[#This Row],[Numéro projet]],Tableau5[Numéro projet],Tableau5[Critère Etat Infrastructure])</f>
        <v>#N/A</v>
      </c>
      <c r="AB10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01" s="62"/>
      <c r="AE101" t="s">
        <v>311</v>
      </c>
      <c r="AF101" s="2"/>
      <c r="AK101"/>
      <c r="AU101">
        <v>100</v>
      </c>
      <c r="AW101">
        <v>200</v>
      </c>
      <c r="AY101">
        <v>450</v>
      </c>
      <c r="AZ101">
        <v>7500</v>
      </c>
      <c r="BE101" s="14">
        <f>SUM(Portefeuille_MNT_PPS_Access15[[#This Row],[AC ANT]:[TR 2034]])</f>
        <v>8250</v>
      </c>
    </row>
    <row r="102" spans="2:57" x14ac:dyDescent="0.3">
      <c r="B102" t="s">
        <v>101</v>
      </c>
      <c r="C102" t="s">
        <v>102</v>
      </c>
      <c r="D102" t="s">
        <v>103</v>
      </c>
      <c r="F102" t="s">
        <v>20</v>
      </c>
      <c r="G102" t="s">
        <v>20</v>
      </c>
      <c r="H102" t="s">
        <v>105</v>
      </c>
      <c r="I102" t="s">
        <v>398</v>
      </c>
      <c r="J102" t="s">
        <v>399</v>
      </c>
      <c r="K102" t="s">
        <v>172</v>
      </c>
      <c r="L102" t="s">
        <v>169</v>
      </c>
      <c r="M102" t="s">
        <v>291</v>
      </c>
      <c r="N102" s="1"/>
      <c r="O10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0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0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0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02">
        <f>Portefeuille_MNT_PPS_Access15[[#This Row],[Délais PC1 et PC3]]+Portefeuille_MNT_PPS_Access15[[#This Row],[Délais PC3 et PC5]]</f>
        <v>0</v>
      </c>
      <c r="T102" s="1"/>
      <c r="U102" s="1"/>
      <c r="V102">
        <v>1</v>
      </c>
      <c r="Y10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02" s="12" t="e">
        <f>_xlfn.XLOOKUP(Portefeuille_MNT_PPS_Access15[[#This Row],[Numéro projet]],Tableau5[Numéro projet],Tableau5[IND_Site_Prioritaire])</f>
        <v>#N/A</v>
      </c>
      <c r="AA102" s="2" t="e">
        <f>_xlfn.XLOOKUP(Portefeuille_MNT_PPS_Access15[[#This Row],[Numéro projet]],Tableau5[Numéro projet],Tableau5[Critère Etat Infrastructure])</f>
        <v>#N/A</v>
      </c>
      <c r="AB10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02" s="62"/>
      <c r="AE102" t="s">
        <v>311</v>
      </c>
      <c r="AF102" s="2"/>
      <c r="AK102"/>
      <c r="AQ102">
        <v>100</v>
      </c>
      <c r="AS102">
        <v>250</v>
      </c>
      <c r="AT102">
        <v>5000</v>
      </c>
      <c r="AU102"/>
      <c r="BE102" s="14">
        <f>SUM(Portefeuille_MNT_PPS_Access15[[#This Row],[AC ANT]:[TR 2034]])</f>
        <v>5350</v>
      </c>
    </row>
    <row r="103" spans="2:57" x14ac:dyDescent="0.3">
      <c r="B103" t="s">
        <v>118</v>
      </c>
      <c r="C103" t="s">
        <v>102</v>
      </c>
      <c r="D103" t="s">
        <v>103</v>
      </c>
      <c r="E103" t="s">
        <v>113</v>
      </c>
      <c r="F103" t="s">
        <v>20</v>
      </c>
      <c r="G103" t="s">
        <v>20</v>
      </c>
      <c r="H103" t="s">
        <v>131</v>
      </c>
      <c r="I103" t="s">
        <v>422</v>
      </c>
      <c r="J103" t="s">
        <v>423</v>
      </c>
      <c r="K103" t="s">
        <v>139</v>
      </c>
      <c r="L103" t="s">
        <v>169</v>
      </c>
      <c r="M103" t="s">
        <v>291</v>
      </c>
      <c r="N103" s="1"/>
      <c r="O10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0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0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0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03">
        <f>Portefeuille_MNT_PPS_Access15[[#This Row],[Délais PC1 et PC3]]+Portefeuille_MNT_PPS_Access15[[#This Row],[Délais PC3 et PC5]]</f>
        <v>0</v>
      </c>
      <c r="T103" s="1"/>
      <c r="U103" s="1"/>
      <c r="V103">
        <v>1</v>
      </c>
      <c r="Y10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03" s="12" t="e">
        <f>_xlfn.XLOOKUP(Portefeuille_MNT_PPS_Access15[[#This Row],[Numéro projet]],Tableau5[Numéro projet],Tableau5[IND_Site_Prioritaire])</f>
        <v>#N/A</v>
      </c>
      <c r="AA103" s="2" t="e">
        <f>_xlfn.XLOOKUP(Portefeuille_MNT_PPS_Access15[[#This Row],[Numéro projet]],Tableau5[Numéro projet],Tableau5[Critère Etat Infrastructure])</f>
        <v>#N/A</v>
      </c>
      <c r="AB10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03" s="63"/>
      <c r="AE103" t="s">
        <v>311</v>
      </c>
      <c r="AF103" s="2"/>
      <c r="AK103"/>
      <c r="AO103">
        <v>100</v>
      </c>
      <c r="AQ103">
        <v>200</v>
      </c>
      <c r="AS103">
        <v>250</v>
      </c>
      <c r="AT103">
        <v>7500</v>
      </c>
      <c r="AU103"/>
      <c r="BE103" s="14">
        <f>SUM(Portefeuille_MNT_PPS_Access15[[#This Row],[AC ANT]:[TR 2034]])</f>
        <v>8050</v>
      </c>
    </row>
    <row r="104" spans="2:57" x14ac:dyDescent="0.3">
      <c r="B104" t="s">
        <v>101</v>
      </c>
      <c r="C104" t="s">
        <v>102</v>
      </c>
      <c r="D104" t="s">
        <v>103</v>
      </c>
      <c r="E104" t="s">
        <v>149</v>
      </c>
      <c r="F104" t="s">
        <v>16</v>
      </c>
      <c r="G104" t="s">
        <v>20</v>
      </c>
      <c r="H104" t="s">
        <v>105</v>
      </c>
      <c r="I104" t="s">
        <v>237</v>
      </c>
      <c r="J104" t="s">
        <v>238</v>
      </c>
      <c r="K104" t="s">
        <v>239</v>
      </c>
      <c r="L104" t="s">
        <v>173</v>
      </c>
      <c r="M104" t="s">
        <v>155</v>
      </c>
      <c r="N104" s="1">
        <v>45797</v>
      </c>
      <c r="O10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0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1.Très à risque</v>
      </c>
      <c r="Q10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10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12</v>
      </c>
      <c r="S104">
        <f>Portefeuille_MNT_PPS_Access15[[#This Row],[Délais PC1 et PC3]]+Portefeuille_MNT_PPS_Access15[[#This Row],[Délais PC3 et PC5]]</f>
        <v>24</v>
      </c>
      <c r="T104" s="1">
        <v>46162</v>
      </c>
      <c r="U104" s="1">
        <v>46527</v>
      </c>
      <c r="V104">
        <v>1</v>
      </c>
      <c r="W104">
        <v>1</v>
      </c>
      <c r="X104">
        <v>1</v>
      </c>
      <c r="Y10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104" s="12" t="e">
        <f>_xlfn.XLOOKUP(Portefeuille_MNT_PPS_Access15[[#This Row],[Numéro projet]],Tableau5[Numéro projet],Tableau5[IND_Site_Prioritaire])</f>
        <v>#N/A</v>
      </c>
      <c r="AA104" s="2" t="e">
        <f>_xlfn.XLOOKUP(Portefeuille_MNT_PPS_Access15[[#This Row],[Numéro projet]],Tableau5[Numéro projet],Tableau5[Critère Etat Infrastructure])</f>
        <v>#N/A</v>
      </c>
      <c r="AB10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4">
        <v>1</v>
      </c>
      <c r="AD104" s="63"/>
      <c r="AE104" t="s">
        <v>156</v>
      </c>
      <c r="AF104" s="2"/>
      <c r="AK104">
        <v>100</v>
      </c>
      <c r="AM104">
        <v>200</v>
      </c>
      <c r="AO104">
        <v>475</v>
      </c>
      <c r="AP104">
        <v>11000</v>
      </c>
      <c r="AU104"/>
      <c r="BE104" s="14">
        <f>SUM(Portefeuille_MNT_PPS_Access15[[#This Row],[AC ANT]:[TR 2034]])</f>
        <v>11775</v>
      </c>
    </row>
    <row r="105" spans="2:57" x14ac:dyDescent="0.3">
      <c r="B105" t="s">
        <v>101</v>
      </c>
      <c r="C105" t="s">
        <v>102</v>
      </c>
      <c r="D105" t="s">
        <v>103</v>
      </c>
      <c r="E105" t="s">
        <v>129</v>
      </c>
      <c r="F105" t="s">
        <v>20</v>
      </c>
      <c r="G105" t="s">
        <v>20</v>
      </c>
      <c r="H105" t="s">
        <v>105</v>
      </c>
      <c r="I105" t="s">
        <v>400</v>
      </c>
      <c r="J105" t="s">
        <v>401</v>
      </c>
      <c r="K105" t="s">
        <v>402</v>
      </c>
      <c r="L105" t="s">
        <v>197</v>
      </c>
      <c r="M105" t="s">
        <v>155</v>
      </c>
      <c r="N105" s="1">
        <v>46059</v>
      </c>
      <c r="O10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0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0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14</v>
      </c>
      <c r="R10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8</v>
      </c>
      <c r="S105">
        <f>Portefeuille_MNT_PPS_Access15[[#This Row],[Délais PC1 et PC3]]+Portefeuille_MNT_PPS_Access15[[#This Row],[Délais PC3 et PC5]]</f>
        <v>22</v>
      </c>
      <c r="T105" s="1">
        <v>46503</v>
      </c>
      <c r="U105" s="1">
        <v>46722</v>
      </c>
      <c r="V105">
        <v>1</v>
      </c>
      <c r="W105">
        <v>1</v>
      </c>
      <c r="X105">
        <v>1</v>
      </c>
      <c r="Y10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105" s="12" t="e">
        <f>_xlfn.XLOOKUP(Portefeuille_MNT_PPS_Access15[[#This Row],[Numéro projet]],Tableau5[Numéro projet],Tableau5[IND_Site_Prioritaire])</f>
        <v>#N/A</v>
      </c>
      <c r="AA105" s="2" t="e">
        <f>_xlfn.XLOOKUP(Portefeuille_MNT_PPS_Access15[[#This Row],[Numéro projet]],Tableau5[Numéro projet],Tableau5[Critère Etat Infrastructure])</f>
        <v>#N/A</v>
      </c>
      <c r="AB10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5">
        <v>1</v>
      </c>
      <c r="AD105" s="63"/>
      <c r="AE105" t="s">
        <v>156</v>
      </c>
      <c r="AF105" s="2"/>
      <c r="AK105"/>
      <c r="AM105">
        <v>200</v>
      </c>
      <c r="AO105">
        <v>200</v>
      </c>
      <c r="AQ105">
        <v>800</v>
      </c>
      <c r="AR105">
        <v>16000</v>
      </c>
      <c r="AU105"/>
      <c r="BE105" s="14">
        <f>SUM(Portefeuille_MNT_PPS_Access15[[#This Row],[AC ANT]:[TR 2034]])</f>
        <v>17200</v>
      </c>
    </row>
    <row r="106" spans="2:57" x14ac:dyDescent="0.3">
      <c r="B106" t="s">
        <v>118</v>
      </c>
      <c r="C106" t="s">
        <v>102</v>
      </c>
      <c r="D106" t="s">
        <v>136</v>
      </c>
      <c r="E106" t="s">
        <v>113</v>
      </c>
      <c r="F106" t="s">
        <v>16</v>
      </c>
      <c r="G106" t="s">
        <v>20</v>
      </c>
      <c r="H106" t="s">
        <v>105</v>
      </c>
      <c r="I106" t="s">
        <v>248</v>
      </c>
      <c r="J106" t="s">
        <v>249</v>
      </c>
      <c r="K106" t="s">
        <v>180</v>
      </c>
      <c r="L106" t="s">
        <v>173</v>
      </c>
      <c r="M106" t="s">
        <v>110</v>
      </c>
      <c r="N106" s="1">
        <v>45476</v>
      </c>
      <c r="O10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10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0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15</v>
      </c>
      <c r="R10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5</v>
      </c>
      <c r="S106">
        <f>Portefeuille_MNT_PPS_Access15[[#This Row],[Délais PC1 et PC3]]+Portefeuille_MNT_PPS_Access15[[#This Row],[Délais PC3 et PC5]]</f>
        <v>20</v>
      </c>
      <c r="T106" s="1">
        <v>45945</v>
      </c>
      <c r="U106" s="1">
        <v>46096</v>
      </c>
      <c r="V106">
        <v>1</v>
      </c>
      <c r="W106">
        <v>1</v>
      </c>
      <c r="X106">
        <v>1</v>
      </c>
      <c r="Y10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106" s="12" t="e">
        <f>_xlfn.XLOOKUP(Portefeuille_MNT_PPS_Access15[[#This Row],[Numéro projet]],Tableau5[Numéro projet],Tableau5[IND_Site_Prioritaire])</f>
        <v>#N/A</v>
      </c>
      <c r="AA106" s="2" t="e">
        <f>_xlfn.XLOOKUP(Portefeuille_MNT_PPS_Access15[[#This Row],[Numéro projet]],Tableau5[Numéro projet],Tableau5[Critère Etat Infrastructure])</f>
        <v>#N/A</v>
      </c>
      <c r="AB10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6">
        <v>5</v>
      </c>
      <c r="AD106" s="63"/>
      <c r="AE106" t="s">
        <v>112</v>
      </c>
      <c r="AF106" s="2"/>
      <c r="AK106">
        <v>100</v>
      </c>
      <c r="AM106">
        <v>110</v>
      </c>
      <c r="AO106">
        <v>110</v>
      </c>
      <c r="AP106">
        <v>1415</v>
      </c>
      <c r="AR106">
        <v>2030</v>
      </c>
      <c r="AU106"/>
      <c r="BE106" s="14">
        <f>SUM(Portefeuille_MNT_PPS_Access15[[#This Row],[AC ANT]:[TR 2034]])</f>
        <v>3765</v>
      </c>
    </row>
    <row r="107" spans="2:57" x14ac:dyDescent="0.3">
      <c r="B107" t="s">
        <v>118</v>
      </c>
      <c r="C107" t="s">
        <v>102</v>
      </c>
      <c r="D107" t="s">
        <v>389</v>
      </c>
      <c r="F107" t="s">
        <v>20</v>
      </c>
      <c r="G107" t="s">
        <v>20</v>
      </c>
      <c r="H107" t="s">
        <v>105</v>
      </c>
      <c r="I107" t="s">
        <v>424</v>
      </c>
      <c r="J107" t="s">
        <v>425</v>
      </c>
      <c r="K107" t="s">
        <v>205</v>
      </c>
      <c r="L107" t="s">
        <v>421</v>
      </c>
      <c r="M107" t="s">
        <v>291</v>
      </c>
      <c r="N107" s="1"/>
      <c r="O10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0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0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0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07">
        <f>Portefeuille_MNT_PPS_Access15[[#This Row],[Délais PC1 et PC3]]+Portefeuille_MNT_PPS_Access15[[#This Row],[Délais PC3 et PC5]]</f>
        <v>0</v>
      </c>
      <c r="T107" s="1"/>
      <c r="U107" s="1"/>
      <c r="V107">
        <v>1</v>
      </c>
      <c r="Y10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07" s="12" t="e">
        <f>_xlfn.XLOOKUP(Portefeuille_MNT_PPS_Access15[[#This Row],[Numéro projet]],Tableau5[Numéro projet],Tableau5[IND_Site_Prioritaire])</f>
        <v>#N/A</v>
      </c>
      <c r="AA107" s="2" t="e">
        <f>_xlfn.XLOOKUP(Portefeuille_MNT_PPS_Access15[[#This Row],[Numéro projet]],Tableau5[Numéro projet],Tableau5[Critère Etat Infrastructure])</f>
        <v>#N/A</v>
      </c>
      <c r="AB10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07" s="63"/>
      <c r="AE107" t="s">
        <v>311</v>
      </c>
      <c r="AF107" s="2"/>
      <c r="AK107"/>
      <c r="AU107"/>
      <c r="AW107">
        <v>100</v>
      </c>
      <c r="AY107">
        <v>200</v>
      </c>
      <c r="AZ107">
        <v>5000</v>
      </c>
      <c r="BE107" s="14">
        <f>SUM(Portefeuille_MNT_PPS_Access15[[#This Row],[AC ANT]:[TR 2034]])</f>
        <v>5300</v>
      </c>
    </row>
    <row r="108" spans="2:57" x14ac:dyDescent="0.3">
      <c r="B108" t="s">
        <v>101</v>
      </c>
      <c r="C108" t="s">
        <v>102</v>
      </c>
      <c r="D108" t="s">
        <v>119</v>
      </c>
      <c r="E108" t="s">
        <v>129</v>
      </c>
      <c r="F108" t="s">
        <v>16</v>
      </c>
      <c r="G108" t="s">
        <v>16</v>
      </c>
      <c r="H108" t="s">
        <v>131</v>
      </c>
      <c r="I108" t="s">
        <v>153</v>
      </c>
      <c r="J108" t="s">
        <v>154</v>
      </c>
      <c r="K108" t="s">
        <v>134</v>
      </c>
      <c r="L108" t="s">
        <v>109</v>
      </c>
      <c r="M108" t="s">
        <v>123</v>
      </c>
      <c r="N108" s="1">
        <v>45601</v>
      </c>
      <c r="O10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0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0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4</v>
      </c>
      <c r="R10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8</v>
      </c>
      <c r="S108">
        <f>Portefeuille_MNT_PPS_Access15[[#This Row],[Délais PC1 et PC3]]+Portefeuille_MNT_PPS_Access15[[#This Row],[Délais PC3 et PC5]]</f>
        <v>12</v>
      </c>
      <c r="T108" s="1">
        <v>45731</v>
      </c>
      <c r="U108" s="1">
        <v>45976</v>
      </c>
      <c r="V108">
        <v>1</v>
      </c>
      <c r="W108">
        <v>1</v>
      </c>
      <c r="X108">
        <v>1</v>
      </c>
      <c r="Y10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108" s="12" t="e">
        <f>_xlfn.XLOOKUP(Portefeuille_MNT_PPS_Access15[[#This Row],[Numéro projet]],Tableau5[Numéro projet],Tableau5[IND_Site_Prioritaire])</f>
        <v>#N/A</v>
      </c>
      <c r="AA108" s="2" t="e">
        <f>_xlfn.XLOOKUP(Portefeuille_MNT_PPS_Access15[[#This Row],[Numéro projet]],Tableau5[Numéro projet],Tableau5[Critère Etat Infrastructure])</f>
        <v>#N/A</v>
      </c>
      <c r="AB10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8">
        <v>5</v>
      </c>
      <c r="AD108" s="63"/>
      <c r="AE108" t="s">
        <v>125</v>
      </c>
      <c r="AF108" s="2"/>
      <c r="AK108">
        <v>20</v>
      </c>
      <c r="AM108">
        <v>55</v>
      </c>
      <c r="AN108">
        <v>543</v>
      </c>
      <c r="AU108"/>
      <c r="BE108" s="14">
        <f>SUM(Portefeuille_MNT_PPS_Access15[[#This Row],[AC ANT]:[TR 2034]])</f>
        <v>618</v>
      </c>
    </row>
    <row r="109" spans="2:57" x14ac:dyDescent="0.3">
      <c r="B109" t="s">
        <v>118</v>
      </c>
      <c r="C109" t="s">
        <v>102</v>
      </c>
      <c r="D109" t="s">
        <v>103</v>
      </c>
      <c r="E109" t="s">
        <v>113</v>
      </c>
      <c r="F109" t="s">
        <v>20</v>
      </c>
      <c r="G109" t="s">
        <v>20</v>
      </c>
      <c r="H109" t="s">
        <v>105</v>
      </c>
      <c r="I109" t="s">
        <v>426</v>
      </c>
      <c r="J109" t="s">
        <v>527</v>
      </c>
      <c r="K109" t="s">
        <v>122</v>
      </c>
      <c r="L109" t="s">
        <v>169</v>
      </c>
      <c r="M109" t="s">
        <v>155</v>
      </c>
      <c r="N109" s="1">
        <v>45945</v>
      </c>
      <c r="O10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5.Respect OPC</v>
      </c>
      <c r="P10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0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15</v>
      </c>
      <c r="R10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20</v>
      </c>
      <c r="S109">
        <f>Portefeuille_MNT_PPS_Access15[[#This Row],[Délais PC1 et PC3]]+Portefeuille_MNT_PPS_Access15[[#This Row],[Délais PC3 et PC5]]</f>
        <v>35</v>
      </c>
      <c r="T109" s="1">
        <v>46402</v>
      </c>
      <c r="U109" s="1">
        <v>47011</v>
      </c>
      <c r="V109">
        <v>1</v>
      </c>
      <c r="W109">
        <v>1</v>
      </c>
      <c r="X109">
        <v>1</v>
      </c>
      <c r="Y10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109" s="12" t="e">
        <f>_xlfn.XLOOKUP(Portefeuille_MNT_PPS_Access15[[#This Row],[Numéro projet]],Tableau5[Numéro projet],Tableau5[IND_Site_Prioritaire])</f>
        <v>#N/A</v>
      </c>
      <c r="AA109" s="2" t="e">
        <f>_xlfn.XLOOKUP(Portefeuille_MNT_PPS_Access15[[#This Row],[Numéro projet]],Tableau5[Numéro projet],Tableau5[Critère Etat Infrastructure])</f>
        <v>#N/A</v>
      </c>
      <c r="AB10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09">
        <v>1</v>
      </c>
      <c r="AD109" s="63"/>
      <c r="AE109" t="s">
        <v>156</v>
      </c>
      <c r="AF109" s="2"/>
      <c r="AK109"/>
      <c r="AQ109">
        <v>300</v>
      </c>
      <c r="AS109">
        <v>500</v>
      </c>
      <c r="AT109">
        <v>5000</v>
      </c>
      <c r="AU109"/>
      <c r="BE109" s="14">
        <f>SUM(Portefeuille_MNT_PPS_Access15[[#This Row],[AC ANT]:[TR 2034]])</f>
        <v>5800</v>
      </c>
    </row>
    <row r="110" spans="2:57" x14ac:dyDescent="0.3">
      <c r="B110" t="s">
        <v>101</v>
      </c>
      <c r="C110" t="s">
        <v>102</v>
      </c>
      <c r="D110" t="s">
        <v>136</v>
      </c>
      <c r="F110" t="s">
        <v>130</v>
      </c>
      <c r="G110" t="s">
        <v>130</v>
      </c>
      <c r="H110" t="s">
        <v>105</v>
      </c>
      <c r="I110" t="s">
        <v>407</v>
      </c>
      <c r="J110" t="s">
        <v>514</v>
      </c>
      <c r="K110" t="s">
        <v>108</v>
      </c>
      <c r="L110" t="s">
        <v>197</v>
      </c>
      <c r="M110" t="s">
        <v>291</v>
      </c>
      <c r="N110" s="1"/>
      <c r="O11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0">
        <f>Portefeuille_MNT_PPS_Access15[[#This Row],[Délais PC1 et PC3]]+Portefeuille_MNT_PPS_Access15[[#This Row],[Délais PC3 et PC5]]</f>
        <v>0</v>
      </c>
      <c r="T110" s="1"/>
      <c r="U110" s="1"/>
      <c r="V110">
        <v>1</v>
      </c>
      <c r="Y11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0" s="12" t="e">
        <f>_xlfn.XLOOKUP(Portefeuille_MNT_PPS_Access15[[#This Row],[Numéro projet]],Tableau5[Numéro projet],Tableau5[IND_Site_Prioritaire])</f>
        <v>#N/A</v>
      </c>
      <c r="AA110" s="2" t="e">
        <f>_xlfn.XLOOKUP(Portefeuille_MNT_PPS_Access15[[#This Row],[Numéro projet]],Tableau5[Numéro projet],Tableau5[Critère Etat Infrastructure])</f>
        <v>#N/A</v>
      </c>
      <c r="AB11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0" s="63"/>
      <c r="AE110" t="s">
        <v>311</v>
      </c>
      <c r="AF110" s="2"/>
      <c r="AK110"/>
      <c r="AM110">
        <v>150</v>
      </c>
      <c r="AO110">
        <v>150</v>
      </c>
      <c r="AQ110">
        <v>550</v>
      </c>
      <c r="AR110">
        <v>4000</v>
      </c>
      <c r="AU110"/>
      <c r="BE110" s="14">
        <f>SUM(Portefeuille_MNT_PPS_Access15[[#This Row],[AC ANT]:[TR 2034]])</f>
        <v>4850</v>
      </c>
    </row>
    <row r="111" spans="2:57" x14ac:dyDescent="0.3">
      <c r="B111" t="s">
        <v>118</v>
      </c>
      <c r="C111" t="s">
        <v>102</v>
      </c>
      <c r="D111" t="s">
        <v>389</v>
      </c>
      <c r="F111" t="s">
        <v>20</v>
      </c>
      <c r="G111" t="s">
        <v>20</v>
      </c>
      <c r="H111" t="s">
        <v>131</v>
      </c>
      <c r="I111" t="s">
        <v>430</v>
      </c>
      <c r="J111" t="s">
        <v>431</v>
      </c>
      <c r="K111" t="s">
        <v>147</v>
      </c>
      <c r="L111" t="s">
        <v>169</v>
      </c>
      <c r="M111" t="s">
        <v>291</v>
      </c>
      <c r="N111" s="1"/>
      <c r="O11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1">
        <f>Portefeuille_MNT_PPS_Access15[[#This Row],[Délais PC1 et PC3]]+Portefeuille_MNT_PPS_Access15[[#This Row],[Délais PC3 et PC5]]</f>
        <v>0</v>
      </c>
      <c r="T111" s="1"/>
      <c r="U111" s="1"/>
      <c r="V111">
        <v>1</v>
      </c>
      <c r="Y11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1" s="12" t="e">
        <f>_xlfn.XLOOKUP(Portefeuille_MNT_PPS_Access15[[#This Row],[Numéro projet]],Tableau5[Numéro projet],Tableau5[IND_Site_Prioritaire])</f>
        <v>#N/A</v>
      </c>
      <c r="AA111" s="2" t="e">
        <f>_xlfn.XLOOKUP(Portefeuille_MNT_PPS_Access15[[#This Row],[Numéro projet]],Tableau5[Numéro projet],Tableau5[Critère Etat Infrastructure])</f>
        <v>#N/A</v>
      </c>
      <c r="AB11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1" s="63"/>
      <c r="AE111" t="s">
        <v>311</v>
      </c>
      <c r="AF111" s="2"/>
      <c r="AK111"/>
      <c r="AQ111">
        <v>50</v>
      </c>
      <c r="AS111">
        <v>100</v>
      </c>
      <c r="AT111">
        <v>1000</v>
      </c>
      <c r="AU111"/>
      <c r="BE111" s="14">
        <f>SUM(Portefeuille_MNT_PPS_Access15[[#This Row],[AC ANT]:[TR 2034]])</f>
        <v>1150</v>
      </c>
    </row>
    <row r="112" spans="2:57" x14ac:dyDescent="0.3">
      <c r="B112" t="s">
        <v>118</v>
      </c>
      <c r="C112" t="s">
        <v>102</v>
      </c>
      <c r="D112" t="s">
        <v>103</v>
      </c>
      <c r="E112" t="s">
        <v>252</v>
      </c>
      <c r="F112" t="s">
        <v>20</v>
      </c>
      <c r="G112" t="s">
        <v>16</v>
      </c>
      <c r="H112" t="s">
        <v>131</v>
      </c>
      <c r="I112" t="s">
        <v>387</v>
      </c>
      <c r="J112" t="s">
        <v>388</v>
      </c>
      <c r="K112" t="s">
        <v>180</v>
      </c>
      <c r="L112" t="s">
        <v>176</v>
      </c>
      <c r="M112" t="s">
        <v>297</v>
      </c>
      <c r="N112" s="1"/>
      <c r="O11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2">
        <f>Portefeuille_MNT_PPS_Access15[[#This Row],[Délais PC1 et PC3]]+Portefeuille_MNT_PPS_Access15[[#This Row],[Délais PC3 et PC5]]</f>
        <v>0</v>
      </c>
      <c r="T112" s="1"/>
      <c r="U112" s="1"/>
      <c r="V112">
        <v>1</v>
      </c>
      <c r="Y11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6</v>
      </c>
      <c r="Z112" s="12" t="e">
        <f>_xlfn.XLOOKUP(Portefeuille_MNT_PPS_Access15[[#This Row],[Numéro projet]],Tableau5[Numéro projet],Tableau5[IND_Site_Prioritaire])</f>
        <v>#N/A</v>
      </c>
      <c r="AA112" s="2" t="e">
        <f>_xlfn.XLOOKUP(Portefeuille_MNT_PPS_Access15[[#This Row],[Numéro projet]],Tableau5[Numéro projet],Tableau5[Critère Etat Infrastructure])</f>
        <v>#N/A</v>
      </c>
      <c r="AB112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112" s="63"/>
      <c r="AE112" t="s">
        <v>349</v>
      </c>
      <c r="AF112" s="2">
        <v>5</v>
      </c>
      <c r="AJ112">
        <v>311</v>
      </c>
      <c r="AK112"/>
      <c r="AU112"/>
      <c r="BE112" s="14">
        <f>SUM(Portefeuille_MNT_PPS_Access15[[#This Row],[AC ANT]:[TR 2034]])</f>
        <v>311</v>
      </c>
    </row>
    <row r="113" spans="2:57" x14ac:dyDescent="0.3">
      <c r="B113" t="s">
        <v>101</v>
      </c>
      <c r="C113" t="s">
        <v>102</v>
      </c>
      <c r="D113" t="s">
        <v>136</v>
      </c>
      <c r="E113" t="s">
        <v>149</v>
      </c>
      <c r="F113" t="s">
        <v>20</v>
      </c>
      <c r="G113" t="s">
        <v>20</v>
      </c>
      <c r="H113" t="s">
        <v>131</v>
      </c>
      <c r="I113" t="s">
        <v>381</v>
      </c>
      <c r="J113" t="s">
        <v>382</v>
      </c>
      <c r="K113" t="s">
        <v>194</v>
      </c>
      <c r="L113" t="s">
        <v>173</v>
      </c>
      <c r="M113" t="s">
        <v>291</v>
      </c>
      <c r="N113" s="1"/>
      <c r="O11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3">
        <f>Portefeuille_MNT_PPS_Access15[[#This Row],[Délais PC1 et PC3]]+Portefeuille_MNT_PPS_Access15[[#This Row],[Délais PC3 et PC5]]</f>
        <v>0</v>
      </c>
      <c r="T113" s="1"/>
      <c r="U113" s="1"/>
      <c r="V113">
        <v>1</v>
      </c>
      <c r="Y11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3" s="12" t="e">
        <f>_xlfn.XLOOKUP(Portefeuille_MNT_PPS_Access15[[#This Row],[Numéro projet]],Tableau5[Numéro projet],Tableau5[IND_Site_Prioritaire])</f>
        <v>#N/A</v>
      </c>
      <c r="AA113" s="2" t="e">
        <f>_xlfn.XLOOKUP(Portefeuille_MNT_PPS_Access15[[#This Row],[Numéro projet]],Tableau5[Numéro projet],Tableau5[Critère Etat Infrastructure])</f>
        <v>#N/A</v>
      </c>
      <c r="AB11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3" s="63"/>
      <c r="AE113" t="s">
        <v>311</v>
      </c>
      <c r="AF113" s="2"/>
      <c r="AK113"/>
      <c r="AM113">
        <v>50</v>
      </c>
      <c r="AO113">
        <v>50</v>
      </c>
      <c r="AP113">
        <v>250</v>
      </c>
      <c r="AU113"/>
      <c r="BE113" s="14">
        <f>SUM(Portefeuille_MNT_PPS_Access15[[#This Row],[AC ANT]:[TR 2034]])</f>
        <v>350</v>
      </c>
    </row>
    <row r="114" spans="2:57" x14ac:dyDescent="0.3">
      <c r="B114" t="s">
        <v>101</v>
      </c>
      <c r="C114" t="s">
        <v>102</v>
      </c>
      <c r="D114" t="s">
        <v>389</v>
      </c>
      <c r="F114" t="s">
        <v>20</v>
      </c>
      <c r="G114" t="s">
        <v>20</v>
      </c>
      <c r="H114" t="s">
        <v>105</v>
      </c>
      <c r="I114" t="s">
        <v>390</v>
      </c>
      <c r="J114" t="s">
        <v>391</v>
      </c>
      <c r="K114" t="s">
        <v>172</v>
      </c>
      <c r="L114" t="s">
        <v>392</v>
      </c>
      <c r="M114" t="s">
        <v>291</v>
      </c>
      <c r="N114" s="1"/>
      <c r="O11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4">
        <f>Portefeuille_MNT_PPS_Access15[[#This Row],[Délais PC1 et PC3]]+Portefeuille_MNT_PPS_Access15[[#This Row],[Délais PC3 et PC5]]</f>
        <v>0</v>
      </c>
      <c r="T114" s="1"/>
      <c r="U114" s="1"/>
      <c r="V114">
        <v>1</v>
      </c>
      <c r="Y11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4" s="12" t="e">
        <f>_xlfn.XLOOKUP(Portefeuille_MNT_PPS_Access15[[#This Row],[Numéro projet]],Tableau5[Numéro projet],Tableau5[IND_Site_Prioritaire])</f>
        <v>#N/A</v>
      </c>
      <c r="AA114" s="2" t="e">
        <f>_xlfn.XLOOKUP(Portefeuille_MNT_PPS_Access15[[#This Row],[Numéro projet]],Tableau5[Numéro projet],Tableau5[Critère Etat Infrastructure])</f>
        <v>#N/A</v>
      </c>
      <c r="AB11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4" s="62"/>
      <c r="AE114" t="s">
        <v>311</v>
      </c>
      <c r="AF114" s="2"/>
      <c r="AK114"/>
      <c r="AU114"/>
      <c r="AY114">
        <v>100</v>
      </c>
      <c r="BA114">
        <v>250</v>
      </c>
      <c r="BB114">
        <v>5000</v>
      </c>
      <c r="BE114" s="14">
        <f>SUM(Portefeuille_MNT_PPS_Access15[[#This Row],[AC ANT]:[TR 2034]])</f>
        <v>5350</v>
      </c>
    </row>
    <row r="115" spans="2:57" x14ac:dyDescent="0.3">
      <c r="B115" t="s">
        <v>101</v>
      </c>
      <c r="C115" t="s">
        <v>102</v>
      </c>
      <c r="D115" t="s">
        <v>103</v>
      </c>
      <c r="F115" t="s">
        <v>20</v>
      </c>
      <c r="G115" t="s">
        <v>20</v>
      </c>
      <c r="H115" t="s">
        <v>105</v>
      </c>
      <c r="I115" t="s">
        <v>393</v>
      </c>
      <c r="J115" t="s">
        <v>394</v>
      </c>
      <c r="K115" t="s">
        <v>122</v>
      </c>
      <c r="L115" t="s">
        <v>533</v>
      </c>
      <c r="M115" t="s">
        <v>291</v>
      </c>
      <c r="N115" s="1"/>
      <c r="O11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5">
        <f>Portefeuille_MNT_PPS_Access15[[#This Row],[Délais PC1 et PC3]]+Portefeuille_MNT_PPS_Access15[[#This Row],[Délais PC3 et PC5]]</f>
        <v>0</v>
      </c>
      <c r="T115" s="1"/>
      <c r="U115" s="1"/>
      <c r="V115">
        <v>1</v>
      </c>
      <c r="Y11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5" s="12" t="e">
        <f>_xlfn.XLOOKUP(Portefeuille_MNT_PPS_Access15[[#This Row],[Numéro projet]],Tableau5[Numéro projet],Tableau5[IND_Site_Prioritaire])</f>
        <v>#N/A</v>
      </c>
      <c r="AA115" s="2" t="e">
        <f>_xlfn.XLOOKUP(Portefeuille_MNT_PPS_Access15[[#This Row],[Numéro projet]],Tableau5[Numéro projet],Tableau5[Critère Etat Infrastructure])</f>
        <v>#N/A</v>
      </c>
      <c r="AB11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5" s="63"/>
      <c r="AE115" t="s">
        <v>311</v>
      </c>
      <c r="AF115" s="2"/>
      <c r="AK115"/>
      <c r="AU115"/>
      <c r="BA115">
        <v>100</v>
      </c>
      <c r="BC115">
        <v>100</v>
      </c>
      <c r="BE115" s="14">
        <f>SUM(Portefeuille_MNT_PPS_Access15[[#This Row],[AC ANT]:[TR 2034]])</f>
        <v>200</v>
      </c>
    </row>
    <row r="116" spans="2:57" x14ac:dyDescent="0.3">
      <c r="B116" t="s">
        <v>101</v>
      </c>
      <c r="C116" t="s">
        <v>102</v>
      </c>
      <c r="D116" t="s">
        <v>119</v>
      </c>
      <c r="E116" t="s">
        <v>129</v>
      </c>
      <c r="F116" t="s">
        <v>20</v>
      </c>
      <c r="G116" t="s">
        <v>20</v>
      </c>
      <c r="H116" t="s">
        <v>131</v>
      </c>
      <c r="I116" t="s">
        <v>440</v>
      </c>
      <c r="J116" t="s">
        <v>441</v>
      </c>
      <c r="K116" t="s">
        <v>152</v>
      </c>
      <c r="L116" t="s">
        <v>197</v>
      </c>
      <c r="M116" t="s">
        <v>155</v>
      </c>
      <c r="N116" s="1">
        <v>46037</v>
      </c>
      <c r="O11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1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1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12</v>
      </c>
      <c r="R11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11</v>
      </c>
      <c r="S116">
        <f>Portefeuille_MNT_PPS_Access15[[#This Row],[Délais PC1 et PC3]]+Portefeuille_MNT_PPS_Access15[[#This Row],[Délais PC3 et PC5]]</f>
        <v>23</v>
      </c>
      <c r="T116" s="1">
        <v>46402</v>
      </c>
      <c r="U116" s="1">
        <v>46722</v>
      </c>
      <c r="V116">
        <v>1</v>
      </c>
      <c r="W116">
        <v>1</v>
      </c>
      <c r="X116">
        <v>1</v>
      </c>
      <c r="Y11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116" s="12" t="e">
        <f>_xlfn.XLOOKUP(Portefeuille_MNT_PPS_Access15[[#This Row],[Numéro projet]],Tableau5[Numéro projet],Tableau5[IND_Site_Prioritaire])</f>
        <v>#N/A</v>
      </c>
      <c r="AA116" s="2" t="e">
        <f>_xlfn.XLOOKUP(Portefeuille_MNT_PPS_Access15[[#This Row],[Numéro projet]],Tableau5[Numéro projet],Tableau5[Critère Etat Infrastructure])</f>
        <v>#N/A</v>
      </c>
      <c r="AB11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16">
        <v>1</v>
      </c>
      <c r="AD116" s="63"/>
      <c r="AE116" t="s">
        <v>156</v>
      </c>
      <c r="AF116" s="2"/>
      <c r="AK116"/>
      <c r="AM116">
        <v>75</v>
      </c>
      <c r="AO116">
        <v>75</v>
      </c>
      <c r="AQ116">
        <v>170</v>
      </c>
      <c r="AR116">
        <v>1000</v>
      </c>
      <c r="AU116"/>
      <c r="BE116" s="14">
        <f>SUM(Portefeuille_MNT_PPS_Access15[[#This Row],[AC ANT]:[TR 2034]])</f>
        <v>1320</v>
      </c>
    </row>
    <row r="117" spans="2:57" x14ac:dyDescent="0.3">
      <c r="B117" t="s">
        <v>101</v>
      </c>
      <c r="C117" t="s">
        <v>102</v>
      </c>
      <c r="D117" t="s">
        <v>389</v>
      </c>
      <c r="F117" t="s">
        <v>20</v>
      </c>
      <c r="G117" t="s">
        <v>20</v>
      </c>
      <c r="H117" t="s">
        <v>105</v>
      </c>
      <c r="I117" t="s">
        <v>428</v>
      </c>
      <c r="J117" t="s">
        <v>429</v>
      </c>
      <c r="K117" t="s">
        <v>302</v>
      </c>
      <c r="L117" t="s">
        <v>421</v>
      </c>
      <c r="M117" t="s">
        <v>291</v>
      </c>
      <c r="N117" s="1"/>
      <c r="O11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7">
        <f>Portefeuille_MNT_PPS_Access15[[#This Row],[Délais PC1 et PC3]]+Portefeuille_MNT_PPS_Access15[[#This Row],[Délais PC3 et PC5]]</f>
        <v>0</v>
      </c>
      <c r="T117" s="1"/>
      <c r="U117" s="1"/>
      <c r="V117">
        <v>1</v>
      </c>
      <c r="Y11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7" s="12" t="e">
        <f>_xlfn.XLOOKUP(Portefeuille_MNT_PPS_Access15[[#This Row],[Numéro projet]],Tableau5[Numéro projet],Tableau5[IND_Site_Prioritaire])</f>
        <v>#N/A</v>
      </c>
      <c r="AA117" s="2" t="e">
        <f>_xlfn.XLOOKUP(Portefeuille_MNT_PPS_Access15[[#This Row],[Numéro projet]],Tableau5[Numéro projet],Tableau5[Critère Etat Infrastructure])</f>
        <v>#N/A</v>
      </c>
      <c r="AB11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7" s="63"/>
      <c r="AE117" t="s">
        <v>311</v>
      </c>
      <c r="AF117" s="2"/>
      <c r="AK117"/>
      <c r="AU117"/>
      <c r="AW117">
        <v>100</v>
      </c>
      <c r="AY117">
        <v>200</v>
      </c>
      <c r="AZ117">
        <v>5000</v>
      </c>
      <c r="BE117" s="14">
        <f>SUM(Portefeuille_MNT_PPS_Access15[[#This Row],[AC ANT]:[TR 2034]])</f>
        <v>5300</v>
      </c>
    </row>
    <row r="118" spans="2:57" x14ac:dyDescent="0.3">
      <c r="B118" t="s">
        <v>101</v>
      </c>
      <c r="C118" t="s">
        <v>102</v>
      </c>
      <c r="D118" t="s">
        <v>389</v>
      </c>
      <c r="F118" t="s">
        <v>20</v>
      </c>
      <c r="G118" t="s">
        <v>20</v>
      </c>
      <c r="H118" t="s">
        <v>105</v>
      </c>
      <c r="I118" t="s">
        <v>432</v>
      </c>
      <c r="J118" t="s">
        <v>433</v>
      </c>
      <c r="K118" t="s">
        <v>143</v>
      </c>
      <c r="L118" t="s">
        <v>370</v>
      </c>
      <c r="M118" t="s">
        <v>291</v>
      </c>
      <c r="N118" s="1"/>
      <c r="O11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1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18">
        <f>Portefeuille_MNT_PPS_Access15[[#This Row],[Délais PC1 et PC3]]+Portefeuille_MNT_PPS_Access15[[#This Row],[Délais PC3 et PC5]]</f>
        <v>0</v>
      </c>
      <c r="T118" s="1"/>
      <c r="U118" s="1"/>
      <c r="V118">
        <v>1</v>
      </c>
      <c r="Y11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18" s="12" t="e">
        <f>_xlfn.XLOOKUP(Portefeuille_MNT_PPS_Access15[[#This Row],[Numéro projet]],Tableau5[Numéro projet],Tableau5[IND_Site_Prioritaire])</f>
        <v>#N/A</v>
      </c>
      <c r="AA118" s="2" t="e">
        <f>_xlfn.XLOOKUP(Portefeuille_MNT_PPS_Access15[[#This Row],[Numéro projet]],Tableau5[Numéro projet],Tableau5[Critère Etat Infrastructure])</f>
        <v>#N/A</v>
      </c>
      <c r="AB11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18" s="63"/>
      <c r="AE118" t="s">
        <v>311</v>
      </c>
      <c r="AF118" s="2"/>
      <c r="AK118"/>
      <c r="AU118">
        <v>100</v>
      </c>
      <c r="AW118">
        <v>200</v>
      </c>
      <c r="AX118">
        <v>5000</v>
      </c>
      <c r="BE118" s="14">
        <f>SUM(Portefeuille_MNT_PPS_Access15[[#This Row],[AC ANT]:[TR 2034]])</f>
        <v>5300</v>
      </c>
    </row>
    <row r="119" spans="2:57" x14ac:dyDescent="0.3">
      <c r="B119" t="s">
        <v>126</v>
      </c>
      <c r="C119" t="s">
        <v>127</v>
      </c>
      <c r="D119" t="s">
        <v>128</v>
      </c>
      <c r="E119" t="s">
        <v>252</v>
      </c>
      <c r="F119" t="s">
        <v>16</v>
      </c>
      <c r="G119" t="s">
        <v>16</v>
      </c>
      <c r="H119" t="s">
        <v>131</v>
      </c>
      <c r="I119" t="s">
        <v>434</v>
      </c>
      <c r="J119" t="s">
        <v>435</v>
      </c>
      <c r="K119" t="s">
        <v>147</v>
      </c>
      <c r="L119" t="s">
        <v>176</v>
      </c>
      <c r="M119" t="s">
        <v>123</v>
      </c>
      <c r="N119" s="1"/>
      <c r="O11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1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11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1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1492</v>
      </c>
      <c r="S119">
        <f>Portefeuille_MNT_PPS_Access15[[#This Row],[Délais PC1 et PC3]]+Portefeuille_MNT_PPS_Access15[[#This Row],[Délais PC3 et PC5]]</f>
        <v>1492</v>
      </c>
      <c r="T119" s="1"/>
      <c r="U119" s="1">
        <v>45413</v>
      </c>
      <c r="V119">
        <v>1</v>
      </c>
      <c r="W119">
        <v>5</v>
      </c>
      <c r="Y119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119" s="12" t="e">
        <f>_xlfn.XLOOKUP(Portefeuille_MNT_PPS_Access15[[#This Row],[Numéro projet]],Tableau5[Numéro projet],Tableau5[IND_Site_Prioritaire])</f>
        <v>#N/A</v>
      </c>
      <c r="AA119" s="2" t="e">
        <f>_xlfn.XLOOKUP(Portefeuille_MNT_PPS_Access15[[#This Row],[Numéro projet]],Tableau5[Numéro projet],Tableau5[Critère Etat Infrastructure])</f>
        <v>#N/A</v>
      </c>
      <c r="AB119" s="12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100</v>
      </c>
      <c r="AD119" s="63"/>
      <c r="AE119" t="s">
        <v>125</v>
      </c>
      <c r="AF119" s="2">
        <v>5</v>
      </c>
      <c r="AI119">
        <v>5</v>
      </c>
      <c r="AJ119">
        <v>146</v>
      </c>
      <c r="AK119"/>
      <c r="AU119"/>
      <c r="BE119" s="14">
        <f>SUM(Portefeuille_MNT_PPS_Access15[[#This Row],[AC ANT]:[TR 2034]])</f>
        <v>151</v>
      </c>
    </row>
    <row r="120" spans="2:57" x14ac:dyDescent="0.3">
      <c r="B120" t="s">
        <v>118</v>
      </c>
      <c r="C120" t="s">
        <v>102</v>
      </c>
      <c r="D120" t="s">
        <v>177</v>
      </c>
      <c r="E120" t="s">
        <v>113</v>
      </c>
      <c r="F120" t="s">
        <v>20</v>
      </c>
      <c r="G120" t="s">
        <v>20</v>
      </c>
      <c r="H120" t="s">
        <v>131</v>
      </c>
      <c r="I120" t="s">
        <v>511</v>
      </c>
      <c r="J120" t="s">
        <v>512</v>
      </c>
      <c r="K120" t="s">
        <v>187</v>
      </c>
      <c r="L120" t="s">
        <v>197</v>
      </c>
      <c r="M120" t="s">
        <v>291</v>
      </c>
      <c r="N120" s="1"/>
      <c r="O12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0">
        <f>Portefeuille_MNT_PPS_Access15[[#This Row],[Délais PC1 et PC3]]+Portefeuille_MNT_PPS_Access15[[#This Row],[Délais PC3 et PC5]]</f>
        <v>0</v>
      </c>
      <c r="T120" s="1"/>
      <c r="U120" s="1"/>
      <c r="V120">
        <v>1</v>
      </c>
      <c r="Y12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0" s="12" t="e">
        <f>_xlfn.XLOOKUP(Portefeuille_MNT_PPS_Access15[[#This Row],[Numéro projet]],Tableau5[Numéro projet],Tableau5[IND_Site_Prioritaire])</f>
        <v>#N/A</v>
      </c>
      <c r="AA120" s="2" t="e">
        <f>_xlfn.XLOOKUP(Portefeuille_MNT_PPS_Access15[[#This Row],[Numéro projet]],Tableau5[Numéro projet],Tableau5[Critère Etat Infrastructure])</f>
        <v>#N/A</v>
      </c>
      <c r="AB12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0" s="63"/>
      <c r="AE120" t="s">
        <v>311</v>
      </c>
      <c r="AF120" s="2"/>
      <c r="AK120"/>
      <c r="AM120">
        <v>75</v>
      </c>
      <c r="AO120">
        <v>100</v>
      </c>
      <c r="AQ120">
        <v>350</v>
      </c>
      <c r="AR120">
        <v>3500</v>
      </c>
      <c r="AU120"/>
      <c r="BE120" s="14">
        <f>SUM(Portefeuille_MNT_PPS_Access15[[#This Row],[AC ANT]:[TR 2034]])</f>
        <v>4025</v>
      </c>
    </row>
    <row r="121" spans="2:57" x14ac:dyDescent="0.3">
      <c r="B121" t="s">
        <v>101</v>
      </c>
      <c r="C121" t="s">
        <v>102</v>
      </c>
      <c r="D121" t="s">
        <v>200</v>
      </c>
      <c r="E121" t="s">
        <v>113</v>
      </c>
      <c r="F121" t="s">
        <v>20</v>
      </c>
      <c r="G121" t="s">
        <v>20</v>
      </c>
      <c r="H121" t="s">
        <v>131</v>
      </c>
      <c r="I121" t="s">
        <v>436</v>
      </c>
      <c r="J121" t="s">
        <v>437</v>
      </c>
      <c r="K121" t="s">
        <v>139</v>
      </c>
      <c r="L121" t="s">
        <v>169</v>
      </c>
      <c r="M121" t="s">
        <v>291</v>
      </c>
      <c r="N121" s="1"/>
      <c r="O12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1">
        <f>Portefeuille_MNT_PPS_Access15[[#This Row],[Délais PC1 et PC3]]+Portefeuille_MNT_PPS_Access15[[#This Row],[Délais PC3 et PC5]]</f>
        <v>0</v>
      </c>
      <c r="T121" s="1"/>
      <c r="U121" s="1"/>
      <c r="V121">
        <v>1</v>
      </c>
      <c r="Y12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1" s="12" t="e">
        <f>_xlfn.XLOOKUP(Portefeuille_MNT_PPS_Access15[[#This Row],[Numéro projet]],Tableau5[Numéro projet],Tableau5[IND_Site_Prioritaire])</f>
        <v>#N/A</v>
      </c>
      <c r="AA121" s="2" t="e">
        <f>_xlfn.XLOOKUP(Portefeuille_MNT_PPS_Access15[[#This Row],[Numéro projet]],Tableau5[Numéro projet],Tableau5[Critère Etat Infrastructure])</f>
        <v>#N/A</v>
      </c>
      <c r="AB12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1" s="63"/>
      <c r="AE121" t="s">
        <v>311</v>
      </c>
      <c r="AF121" s="2"/>
      <c r="AK121"/>
      <c r="AM121">
        <v>50</v>
      </c>
      <c r="AO121">
        <v>50</v>
      </c>
      <c r="AQ121">
        <v>150</v>
      </c>
      <c r="AS121">
        <v>300</v>
      </c>
      <c r="AT121">
        <v>3000</v>
      </c>
      <c r="AU121"/>
      <c r="BE121" s="14">
        <f>SUM(Portefeuille_MNT_PPS_Access15[[#This Row],[AC ANT]:[TR 2034]])</f>
        <v>3550</v>
      </c>
    </row>
    <row r="122" spans="2:57" x14ac:dyDescent="0.3">
      <c r="B122" t="s">
        <v>101</v>
      </c>
      <c r="C122" t="s">
        <v>102</v>
      </c>
      <c r="D122" t="s">
        <v>177</v>
      </c>
      <c r="E122" t="s">
        <v>129</v>
      </c>
      <c r="F122" t="s">
        <v>20</v>
      </c>
      <c r="G122" t="s">
        <v>20</v>
      </c>
      <c r="H122" t="s">
        <v>131</v>
      </c>
      <c r="I122" t="s">
        <v>438</v>
      </c>
      <c r="J122" t="s">
        <v>439</v>
      </c>
      <c r="K122" t="s">
        <v>180</v>
      </c>
      <c r="L122" t="s">
        <v>169</v>
      </c>
      <c r="M122" t="s">
        <v>291</v>
      </c>
      <c r="N122" s="1"/>
      <c r="O12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2">
        <f>Portefeuille_MNT_PPS_Access15[[#This Row],[Délais PC1 et PC3]]+Portefeuille_MNT_PPS_Access15[[#This Row],[Délais PC3 et PC5]]</f>
        <v>0</v>
      </c>
      <c r="T122" s="1"/>
      <c r="U122" s="1"/>
      <c r="V122">
        <v>1</v>
      </c>
      <c r="Y12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2" s="12" t="e">
        <f>_xlfn.XLOOKUP(Portefeuille_MNT_PPS_Access15[[#This Row],[Numéro projet]],Tableau5[Numéro projet],Tableau5[IND_Site_Prioritaire])</f>
        <v>#N/A</v>
      </c>
      <c r="AA122" s="2" t="e">
        <f>_xlfn.XLOOKUP(Portefeuille_MNT_PPS_Access15[[#This Row],[Numéro projet]],Tableau5[Numéro projet],Tableau5[Critère Etat Infrastructure])</f>
        <v>#N/A</v>
      </c>
      <c r="AB12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2" s="63"/>
      <c r="AE122" t="s">
        <v>311</v>
      </c>
      <c r="AF122" s="2"/>
      <c r="AK122"/>
      <c r="AQ122">
        <v>100</v>
      </c>
      <c r="AS122">
        <v>175</v>
      </c>
      <c r="AT122">
        <v>1500</v>
      </c>
      <c r="AU122"/>
      <c r="BE122" s="14">
        <f>SUM(Portefeuille_MNT_PPS_Access15[[#This Row],[AC ANT]:[TR 2034]])</f>
        <v>1775</v>
      </c>
    </row>
    <row r="123" spans="2:57" x14ac:dyDescent="0.3">
      <c r="B123" t="s">
        <v>118</v>
      </c>
      <c r="C123" t="s">
        <v>102</v>
      </c>
      <c r="D123" t="s">
        <v>136</v>
      </c>
      <c r="E123" t="s">
        <v>104</v>
      </c>
      <c r="F123" t="s">
        <v>16</v>
      </c>
      <c r="G123" t="s">
        <v>20</v>
      </c>
      <c r="H123" t="s">
        <v>131</v>
      </c>
      <c r="I123" t="s">
        <v>157</v>
      </c>
      <c r="J123" t="s">
        <v>158</v>
      </c>
      <c r="K123" t="s">
        <v>159</v>
      </c>
      <c r="L123" t="s">
        <v>173</v>
      </c>
      <c r="M123" t="s">
        <v>155</v>
      </c>
      <c r="N123" s="1">
        <v>46068</v>
      </c>
      <c r="O12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2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-1513</v>
      </c>
      <c r="R12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1511</v>
      </c>
      <c r="S123">
        <f>Portefeuille_MNT_PPS_Access15[[#This Row],[Délais PC1 et PC3]]+Portefeuille_MNT_PPS_Access15[[#This Row],[Délais PC3 et PC5]]</f>
        <v>-2</v>
      </c>
      <c r="T123" s="1"/>
      <c r="U123" s="1">
        <v>46006</v>
      </c>
      <c r="V123">
        <v>1</v>
      </c>
      <c r="W123">
        <v>1</v>
      </c>
      <c r="Y12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1</v>
      </c>
      <c r="Z123" s="12" t="e">
        <f>_xlfn.XLOOKUP(Portefeuille_MNT_PPS_Access15[[#This Row],[Numéro projet]],Tableau5[Numéro projet],Tableau5[IND_Site_Prioritaire])</f>
        <v>#N/A</v>
      </c>
      <c r="AA123" s="2" t="e">
        <f>_xlfn.XLOOKUP(Portefeuille_MNT_PPS_Access15[[#This Row],[Numéro projet]],Tableau5[Numéro projet],Tableau5[Critère Etat Infrastructure])</f>
        <v>#N/A</v>
      </c>
      <c r="AB12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23">
        <v>1</v>
      </c>
      <c r="AD123" s="62"/>
      <c r="AE123" t="s">
        <v>156</v>
      </c>
      <c r="AF123" s="2"/>
      <c r="AK123">
        <v>75</v>
      </c>
      <c r="AM123">
        <v>75</v>
      </c>
      <c r="AO123">
        <v>150</v>
      </c>
      <c r="AP123">
        <v>650</v>
      </c>
      <c r="AU123"/>
      <c r="BE123" s="14">
        <f>SUM(Portefeuille_MNT_PPS_Access15[[#This Row],[AC ANT]:[TR 2034]])</f>
        <v>950</v>
      </c>
    </row>
    <row r="124" spans="2:57" x14ac:dyDescent="0.3">
      <c r="B124" t="s">
        <v>126</v>
      </c>
      <c r="C124" t="s">
        <v>127</v>
      </c>
      <c r="D124" t="s">
        <v>103</v>
      </c>
      <c r="E124" t="s">
        <v>113</v>
      </c>
      <c r="F124" t="s">
        <v>20</v>
      </c>
      <c r="G124" t="s">
        <v>20</v>
      </c>
      <c r="H124" t="s">
        <v>105</v>
      </c>
      <c r="I124" t="s">
        <v>442</v>
      </c>
      <c r="J124" t="s">
        <v>526</v>
      </c>
      <c r="K124" t="s">
        <v>168</v>
      </c>
      <c r="L124" t="s">
        <v>184</v>
      </c>
      <c r="M124" t="s">
        <v>291</v>
      </c>
      <c r="N124" s="1"/>
      <c r="O12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4">
        <f>Portefeuille_MNT_PPS_Access15[[#This Row],[Délais PC1 et PC3]]+Portefeuille_MNT_PPS_Access15[[#This Row],[Délais PC3 et PC5]]</f>
        <v>0</v>
      </c>
      <c r="T124" s="1"/>
      <c r="U124" s="1"/>
      <c r="V124">
        <v>1</v>
      </c>
      <c r="Y12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4" s="12" t="e">
        <f>_xlfn.XLOOKUP(Portefeuille_MNT_PPS_Access15[[#This Row],[Numéro projet]],Tableau5[Numéro projet],Tableau5[IND_Site_Prioritaire])</f>
        <v>#N/A</v>
      </c>
      <c r="AA124" s="2" t="e">
        <f>_xlfn.XLOOKUP(Portefeuille_MNT_PPS_Access15[[#This Row],[Numéro projet]],Tableau5[Numéro projet],Tableau5[Critère Etat Infrastructure])</f>
        <v>#N/A</v>
      </c>
      <c r="AB12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4" s="63"/>
      <c r="AE124" t="s">
        <v>311</v>
      </c>
      <c r="AF124" s="2"/>
      <c r="AK124"/>
      <c r="AQ124">
        <v>250</v>
      </c>
      <c r="AS124">
        <v>250</v>
      </c>
      <c r="AU124">
        <v>500</v>
      </c>
      <c r="AV124">
        <v>2500</v>
      </c>
      <c r="AW124">
        <v>500</v>
      </c>
      <c r="AX124">
        <v>7500</v>
      </c>
      <c r="AY124">
        <v>500</v>
      </c>
      <c r="AZ124">
        <v>5000</v>
      </c>
      <c r="BE124" s="14">
        <f>SUM(Portefeuille_MNT_PPS_Access15[[#This Row],[AC ANT]:[TR 2034]])</f>
        <v>17000</v>
      </c>
    </row>
    <row r="125" spans="2:57" x14ac:dyDescent="0.3">
      <c r="B125" t="s">
        <v>101</v>
      </c>
      <c r="C125" t="s">
        <v>102</v>
      </c>
      <c r="D125" t="s">
        <v>128</v>
      </c>
      <c r="E125" t="s">
        <v>129</v>
      </c>
      <c r="F125" t="s">
        <v>16</v>
      </c>
      <c r="G125" t="s">
        <v>20</v>
      </c>
      <c r="H125" t="s">
        <v>131</v>
      </c>
      <c r="I125" t="s">
        <v>250</v>
      </c>
      <c r="J125" t="s">
        <v>251</v>
      </c>
      <c r="K125" t="s">
        <v>214</v>
      </c>
      <c r="L125" t="s">
        <v>197</v>
      </c>
      <c r="M125" t="s">
        <v>110</v>
      </c>
      <c r="N125" s="1">
        <v>45490</v>
      </c>
      <c r="O12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2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-1494</v>
      </c>
      <c r="R12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1526</v>
      </c>
      <c r="S125">
        <f>Portefeuille_MNT_PPS_Access15[[#This Row],[Délais PC1 et PC3]]+Portefeuille_MNT_PPS_Access15[[#This Row],[Délais PC3 et PC5]]</f>
        <v>32</v>
      </c>
      <c r="T125" s="1"/>
      <c r="U125" s="1">
        <v>46447</v>
      </c>
      <c r="V125">
        <v>1</v>
      </c>
      <c r="W125">
        <v>1</v>
      </c>
      <c r="Y12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3</v>
      </c>
      <c r="Z125" s="12" t="e">
        <f>_xlfn.XLOOKUP(Portefeuille_MNT_PPS_Access15[[#This Row],[Numéro projet]],Tableau5[Numéro projet],Tableau5[IND_Site_Prioritaire])</f>
        <v>#N/A</v>
      </c>
      <c r="AA125" s="2" t="e">
        <f>_xlfn.XLOOKUP(Portefeuille_MNT_PPS_Access15[[#This Row],[Numéro projet]],Tableau5[Numéro projet],Tableau5[Critère Etat Infrastructure])</f>
        <v>#N/A</v>
      </c>
      <c r="AB12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25">
        <v>5</v>
      </c>
      <c r="AD125" s="63"/>
      <c r="AE125" t="s">
        <v>112</v>
      </c>
      <c r="AF125" s="2"/>
      <c r="AK125">
        <v>37</v>
      </c>
      <c r="AM125">
        <v>10</v>
      </c>
      <c r="AO125">
        <v>12</v>
      </c>
      <c r="AQ125">
        <v>30</v>
      </c>
      <c r="AR125">
        <v>194</v>
      </c>
      <c r="AU125"/>
      <c r="BE125" s="14">
        <f>SUM(Portefeuille_MNT_PPS_Access15[[#This Row],[AC ANT]:[TR 2034]])</f>
        <v>283</v>
      </c>
    </row>
    <row r="126" spans="2:57" x14ac:dyDescent="0.3">
      <c r="B126" t="s">
        <v>126</v>
      </c>
      <c r="C126" t="s">
        <v>127</v>
      </c>
      <c r="D126" t="s">
        <v>128</v>
      </c>
      <c r="E126" t="s">
        <v>252</v>
      </c>
      <c r="F126" t="s">
        <v>16</v>
      </c>
      <c r="G126" t="s">
        <v>16</v>
      </c>
      <c r="H126" t="s">
        <v>131</v>
      </c>
      <c r="I126" t="s">
        <v>253</v>
      </c>
      <c r="J126" t="s">
        <v>254</v>
      </c>
      <c r="K126" t="s">
        <v>147</v>
      </c>
      <c r="L126" t="s">
        <v>148</v>
      </c>
      <c r="M126" t="s">
        <v>110</v>
      </c>
      <c r="N126" s="1">
        <v>45378</v>
      </c>
      <c r="O12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5.Respect OPC</v>
      </c>
      <c r="Q12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-1490</v>
      </c>
      <c r="R12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1498</v>
      </c>
      <c r="S126">
        <f>Portefeuille_MNT_PPS_Access15[[#This Row],[Délais PC1 et PC3]]+Portefeuille_MNT_PPS_Access15[[#This Row],[Délais PC3 et PC5]]</f>
        <v>8</v>
      </c>
      <c r="T126" s="1"/>
      <c r="U126" s="1">
        <v>45611</v>
      </c>
      <c r="V126">
        <v>1</v>
      </c>
      <c r="W126">
        <v>5</v>
      </c>
      <c r="Y126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5</v>
      </c>
      <c r="Z126" s="12" t="e">
        <f>_xlfn.XLOOKUP(Portefeuille_MNT_PPS_Access15[[#This Row],[Numéro projet]],Tableau5[Numéro projet],Tableau5[IND_Site_Prioritaire])</f>
        <v>#N/A</v>
      </c>
      <c r="AA126" s="2" t="e">
        <f>_xlfn.XLOOKUP(Portefeuille_MNT_PPS_Access15[[#This Row],[Numéro projet]],Tableau5[Numéro projet],Tableau5[Critère Etat Infrastructure])</f>
        <v>#N/A</v>
      </c>
      <c r="AB12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26">
        <v>5</v>
      </c>
      <c r="AD126" s="63"/>
      <c r="AE126" t="s">
        <v>112</v>
      </c>
      <c r="AF126" s="2"/>
      <c r="AK126">
        <v>10</v>
      </c>
      <c r="AL126">
        <v>39</v>
      </c>
      <c r="AU126"/>
      <c r="BE126" s="14">
        <f>SUM(Portefeuille_MNT_PPS_Access15[[#This Row],[AC ANT]:[TR 2034]])</f>
        <v>49</v>
      </c>
    </row>
    <row r="127" spans="2:57" x14ac:dyDescent="0.3">
      <c r="B127" t="s">
        <v>101</v>
      </c>
      <c r="C127" t="s">
        <v>102</v>
      </c>
      <c r="D127" t="s">
        <v>103</v>
      </c>
      <c r="F127" t="s">
        <v>20</v>
      </c>
      <c r="G127" t="s">
        <v>20</v>
      </c>
      <c r="H127" t="s">
        <v>105</v>
      </c>
      <c r="I127" t="s">
        <v>444</v>
      </c>
      <c r="J127" t="s">
        <v>445</v>
      </c>
      <c r="K127" t="s">
        <v>302</v>
      </c>
      <c r="L127" t="s">
        <v>421</v>
      </c>
      <c r="M127" t="s">
        <v>291</v>
      </c>
      <c r="N127" s="1"/>
      <c r="O12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7">
        <f>Portefeuille_MNT_PPS_Access15[[#This Row],[Délais PC1 et PC3]]+Portefeuille_MNT_PPS_Access15[[#This Row],[Délais PC3 et PC5]]</f>
        <v>0</v>
      </c>
      <c r="T127" s="1"/>
      <c r="U127" s="1"/>
      <c r="V127">
        <v>1</v>
      </c>
      <c r="Y12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7" s="12" t="e">
        <f>_xlfn.XLOOKUP(Portefeuille_MNT_PPS_Access15[[#This Row],[Numéro projet]],Tableau5[Numéro projet],Tableau5[IND_Site_Prioritaire])</f>
        <v>#N/A</v>
      </c>
      <c r="AA127" s="2" t="e">
        <f>_xlfn.XLOOKUP(Portefeuille_MNT_PPS_Access15[[#This Row],[Numéro projet]],Tableau5[Numéro projet],Tableau5[Critère Etat Infrastructure])</f>
        <v>#N/A</v>
      </c>
      <c r="AB12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7" s="63"/>
      <c r="AE127" t="s">
        <v>311</v>
      </c>
      <c r="AF127" s="2"/>
      <c r="AK127"/>
      <c r="AU127">
        <v>150</v>
      </c>
      <c r="AW127">
        <v>150</v>
      </c>
      <c r="AY127">
        <v>600</v>
      </c>
      <c r="AZ127">
        <v>12000</v>
      </c>
      <c r="BE127" s="14">
        <f>SUM(Portefeuille_MNT_PPS_Access15[[#This Row],[AC ANT]:[TR 2034]])</f>
        <v>12900</v>
      </c>
    </row>
    <row r="128" spans="2:57" x14ac:dyDescent="0.3">
      <c r="B128" t="s">
        <v>101</v>
      </c>
      <c r="C128" t="s">
        <v>102</v>
      </c>
      <c r="D128" t="s">
        <v>103</v>
      </c>
      <c r="F128" t="s">
        <v>20</v>
      </c>
      <c r="G128" t="s">
        <v>20</v>
      </c>
      <c r="H128" t="s">
        <v>105</v>
      </c>
      <c r="I128" t="s">
        <v>446</v>
      </c>
      <c r="J128" t="s">
        <v>447</v>
      </c>
      <c r="K128" t="s">
        <v>168</v>
      </c>
      <c r="L128" t="s">
        <v>395</v>
      </c>
      <c r="M128" t="s">
        <v>291</v>
      </c>
      <c r="N128" s="1"/>
      <c r="O12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8">
        <f>Portefeuille_MNT_PPS_Access15[[#This Row],[Délais PC1 et PC3]]+Portefeuille_MNT_PPS_Access15[[#This Row],[Délais PC3 et PC5]]</f>
        <v>0</v>
      </c>
      <c r="T128" s="1"/>
      <c r="U128" s="1"/>
      <c r="V128">
        <v>1</v>
      </c>
      <c r="Y12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8" s="12" t="e">
        <f>_xlfn.XLOOKUP(Portefeuille_MNT_PPS_Access15[[#This Row],[Numéro projet]],Tableau5[Numéro projet],Tableau5[IND_Site_Prioritaire])</f>
        <v>#N/A</v>
      </c>
      <c r="AA128" s="2" t="e">
        <f>_xlfn.XLOOKUP(Portefeuille_MNT_PPS_Access15[[#This Row],[Numéro projet]],Tableau5[Numéro projet],Tableau5[Critère Etat Infrastructure])</f>
        <v>#N/A</v>
      </c>
      <c r="AB12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8" s="63"/>
      <c r="AE128" t="s">
        <v>311</v>
      </c>
      <c r="AF128" s="2"/>
      <c r="AK128"/>
      <c r="AU128"/>
      <c r="AY128">
        <v>150</v>
      </c>
      <c r="BA128">
        <v>150</v>
      </c>
      <c r="BC128">
        <v>600</v>
      </c>
      <c r="BD128">
        <v>12000</v>
      </c>
      <c r="BE128" s="14">
        <f>SUM(Portefeuille_MNT_PPS_Access15[[#This Row],[AC ANT]:[TR 2034]])</f>
        <v>12900</v>
      </c>
    </row>
    <row r="129" spans="2:57" x14ac:dyDescent="0.3">
      <c r="B129" t="s">
        <v>118</v>
      </c>
      <c r="C129" t="s">
        <v>102</v>
      </c>
      <c r="D129" t="s">
        <v>177</v>
      </c>
      <c r="E129" t="s">
        <v>252</v>
      </c>
      <c r="F129" t="s">
        <v>20</v>
      </c>
      <c r="G129" t="s">
        <v>20</v>
      </c>
      <c r="H129" t="s">
        <v>131</v>
      </c>
      <c r="I129" t="s">
        <v>448</v>
      </c>
      <c r="J129" t="s">
        <v>449</v>
      </c>
      <c r="K129" t="s">
        <v>159</v>
      </c>
      <c r="L129" s="2" t="s">
        <v>109</v>
      </c>
      <c r="M129" t="s">
        <v>291</v>
      </c>
      <c r="N129" s="1"/>
      <c r="O12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2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2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2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29">
        <f>Portefeuille_MNT_PPS_Access15[[#This Row],[Délais PC1 et PC3]]+Portefeuille_MNT_PPS_Access15[[#This Row],[Délais PC3 et PC5]]</f>
        <v>0</v>
      </c>
      <c r="T129" s="1"/>
      <c r="U129" s="1"/>
      <c r="V129">
        <v>1</v>
      </c>
      <c r="Y12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29" s="12" t="e">
        <f>_xlfn.XLOOKUP(Portefeuille_MNT_PPS_Access15[[#This Row],[Numéro projet]],Tableau5[Numéro projet],Tableau5[IND_Site_Prioritaire])</f>
        <v>#N/A</v>
      </c>
      <c r="AA129" s="2" t="e">
        <f>_xlfn.XLOOKUP(Portefeuille_MNT_PPS_Access15[[#This Row],[Numéro projet]],Tableau5[Numéro projet],Tableau5[Critère Etat Infrastructure])</f>
        <v>#N/A</v>
      </c>
      <c r="AB12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29" s="63"/>
      <c r="AE129" t="s">
        <v>311</v>
      </c>
      <c r="AF129" s="2"/>
      <c r="AK129"/>
      <c r="AN129">
        <v>100</v>
      </c>
      <c r="AU129"/>
      <c r="BE129" s="14">
        <f>SUM(Portefeuille_MNT_PPS_Access15[[#This Row],[AC ANT]:[TR 2034]])</f>
        <v>100</v>
      </c>
    </row>
    <row r="130" spans="2:57" x14ac:dyDescent="0.3">
      <c r="B130" t="s">
        <v>118</v>
      </c>
      <c r="C130" t="s">
        <v>102</v>
      </c>
      <c r="D130" t="s">
        <v>119</v>
      </c>
      <c r="E130" t="s">
        <v>252</v>
      </c>
      <c r="F130" t="s">
        <v>20</v>
      </c>
      <c r="G130" t="s">
        <v>20</v>
      </c>
      <c r="H130" t="s">
        <v>131</v>
      </c>
      <c r="I130" t="s">
        <v>450</v>
      </c>
      <c r="J130" t="s">
        <v>451</v>
      </c>
      <c r="K130" t="s">
        <v>214</v>
      </c>
      <c r="L130" t="s">
        <v>109</v>
      </c>
      <c r="M130" t="s">
        <v>291</v>
      </c>
      <c r="N130" s="1"/>
      <c r="O13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0">
        <f>Portefeuille_MNT_PPS_Access15[[#This Row],[Délais PC1 et PC3]]+Portefeuille_MNT_PPS_Access15[[#This Row],[Délais PC3 et PC5]]</f>
        <v>0</v>
      </c>
      <c r="T130" s="1"/>
      <c r="U130" s="1"/>
      <c r="V130">
        <v>1</v>
      </c>
      <c r="Y13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0" s="12" t="e">
        <f>_xlfn.XLOOKUP(Portefeuille_MNT_PPS_Access15[[#This Row],[Numéro projet]],Tableau5[Numéro projet],Tableau5[IND_Site_Prioritaire])</f>
        <v>#N/A</v>
      </c>
      <c r="AA130" s="2" t="e">
        <f>_xlfn.XLOOKUP(Portefeuille_MNT_PPS_Access15[[#This Row],[Numéro projet]],Tableau5[Numéro projet],Tableau5[Critère Etat Infrastructure])</f>
        <v>#N/A</v>
      </c>
      <c r="AB13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0" s="63"/>
      <c r="AE130" t="s">
        <v>311</v>
      </c>
      <c r="AF130" s="2"/>
      <c r="AK130"/>
      <c r="AN130">
        <v>40</v>
      </c>
      <c r="AU130"/>
      <c r="BE130" s="14">
        <f>SUM(Portefeuille_MNT_PPS_Access15[[#This Row],[AC ANT]:[TR 2034]])</f>
        <v>40</v>
      </c>
    </row>
    <row r="131" spans="2:57" x14ac:dyDescent="0.3">
      <c r="B131" t="s">
        <v>118</v>
      </c>
      <c r="C131" t="s">
        <v>102</v>
      </c>
      <c r="D131" t="s">
        <v>136</v>
      </c>
      <c r="E131" t="s">
        <v>252</v>
      </c>
      <c r="F131" t="s">
        <v>16</v>
      </c>
      <c r="G131" t="s">
        <v>16</v>
      </c>
      <c r="H131" t="s">
        <v>131</v>
      </c>
      <c r="I131" t="s">
        <v>255</v>
      </c>
      <c r="J131" t="s">
        <v>529</v>
      </c>
      <c r="K131" t="s">
        <v>209</v>
      </c>
      <c r="L131" t="s">
        <v>109</v>
      </c>
      <c r="M131" t="s">
        <v>291</v>
      </c>
      <c r="N131" s="1"/>
      <c r="O13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1">
        <f>Portefeuille_MNT_PPS_Access15[[#This Row],[Délais PC1 et PC3]]+Portefeuille_MNT_PPS_Access15[[#This Row],[Délais PC3 et PC5]]</f>
        <v>0</v>
      </c>
      <c r="T131" s="1"/>
      <c r="U131" s="1"/>
      <c r="V131">
        <v>1</v>
      </c>
      <c r="Y13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1" s="12" t="e">
        <f>_xlfn.XLOOKUP(Portefeuille_MNT_PPS_Access15[[#This Row],[Numéro projet]],Tableau5[Numéro projet],Tableau5[IND_Site_Prioritaire])</f>
        <v>#N/A</v>
      </c>
      <c r="AA131" s="2" t="e">
        <f>_xlfn.XLOOKUP(Portefeuille_MNT_PPS_Access15[[#This Row],[Numéro projet]],Tableau5[Numéro projet],Tableau5[Critère Etat Infrastructure])</f>
        <v>#N/A</v>
      </c>
      <c r="AB13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1" s="62"/>
      <c r="AE131" t="s">
        <v>311</v>
      </c>
      <c r="AF131" s="2"/>
      <c r="AK131">
        <v>60</v>
      </c>
      <c r="AM131">
        <v>20</v>
      </c>
      <c r="AN131">
        <v>540</v>
      </c>
      <c r="AU131"/>
      <c r="BE131" s="14">
        <f>SUM(Portefeuille_MNT_PPS_Access15[[#This Row],[AC ANT]:[TR 2034]])</f>
        <v>620</v>
      </c>
    </row>
    <row r="132" spans="2:57" x14ac:dyDescent="0.3">
      <c r="B132" t="s">
        <v>118</v>
      </c>
      <c r="C132" t="s">
        <v>102</v>
      </c>
      <c r="D132" t="s">
        <v>103</v>
      </c>
      <c r="E132" t="s">
        <v>252</v>
      </c>
      <c r="F132" t="s">
        <v>20</v>
      </c>
      <c r="G132" t="s">
        <v>16</v>
      </c>
      <c r="H132" t="s">
        <v>131</v>
      </c>
      <c r="I132" t="s">
        <v>257</v>
      </c>
      <c r="J132" t="s">
        <v>258</v>
      </c>
      <c r="K132" t="s">
        <v>180</v>
      </c>
      <c r="L132" t="s">
        <v>148</v>
      </c>
      <c r="M132" t="s">
        <v>291</v>
      </c>
      <c r="N132" s="1"/>
      <c r="O13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2">
        <f>Portefeuille_MNT_PPS_Access15[[#This Row],[Délais PC1 et PC3]]+Portefeuille_MNT_PPS_Access15[[#This Row],[Délais PC3 et PC5]]</f>
        <v>0</v>
      </c>
      <c r="T132" s="1"/>
      <c r="U132" s="1"/>
      <c r="V132">
        <v>1</v>
      </c>
      <c r="Y13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2" s="12" t="e">
        <f>_xlfn.XLOOKUP(Portefeuille_MNT_PPS_Access15[[#This Row],[Numéro projet]],Tableau5[Numéro projet],Tableau5[IND_Site_Prioritaire])</f>
        <v>#N/A</v>
      </c>
      <c r="AA132" s="2" t="e">
        <f>_xlfn.XLOOKUP(Portefeuille_MNT_PPS_Access15[[#This Row],[Numéro projet]],Tableau5[Numéro projet],Tableau5[Critère Etat Infrastructure])</f>
        <v>#N/A</v>
      </c>
      <c r="AB13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2" s="63"/>
      <c r="AE132" t="s">
        <v>311</v>
      </c>
      <c r="AF132" s="2"/>
      <c r="AK132"/>
      <c r="AL132">
        <v>300</v>
      </c>
      <c r="AU132"/>
      <c r="BE132" s="14">
        <f>SUM(Portefeuille_MNT_PPS_Access15[[#This Row],[AC ANT]:[TR 2034]])</f>
        <v>300</v>
      </c>
    </row>
    <row r="133" spans="2:57" x14ac:dyDescent="0.3">
      <c r="B133" t="s">
        <v>126</v>
      </c>
      <c r="C133" t="s">
        <v>127</v>
      </c>
      <c r="D133" t="s">
        <v>128</v>
      </c>
      <c r="E133" t="s">
        <v>252</v>
      </c>
      <c r="F133" t="s">
        <v>16</v>
      </c>
      <c r="G133" t="s">
        <v>16</v>
      </c>
      <c r="H133" t="s">
        <v>131</v>
      </c>
      <c r="I133" t="s">
        <v>259</v>
      </c>
      <c r="J133" t="s">
        <v>260</v>
      </c>
      <c r="K133" t="s">
        <v>159</v>
      </c>
      <c r="L133" t="s">
        <v>148</v>
      </c>
      <c r="M133" t="s">
        <v>291</v>
      </c>
      <c r="N133" s="1"/>
      <c r="O13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3">
        <f>Portefeuille_MNT_PPS_Access15[[#This Row],[Délais PC1 et PC3]]+Portefeuille_MNT_PPS_Access15[[#This Row],[Délais PC3 et PC5]]</f>
        <v>0</v>
      </c>
      <c r="T133" s="1"/>
      <c r="U133" s="1"/>
      <c r="V133">
        <v>1</v>
      </c>
      <c r="Y13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3" s="12" t="e">
        <f>_xlfn.XLOOKUP(Portefeuille_MNT_PPS_Access15[[#This Row],[Numéro projet]],Tableau5[Numéro projet],Tableau5[IND_Site_Prioritaire])</f>
        <v>#N/A</v>
      </c>
      <c r="AA133" s="2" t="e">
        <f>_xlfn.XLOOKUP(Portefeuille_MNT_PPS_Access15[[#This Row],[Numéro projet]],Tableau5[Numéro projet],Tableau5[Critère Etat Infrastructure])</f>
        <v>#N/A</v>
      </c>
      <c r="AB13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3" s="63"/>
      <c r="AE133" t="s">
        <v>311</v>
      </c>
      <c r="AF133" s="2"/>
      <c r="AK133">
        <v>15</v>
      </c>
      <c r="AL133">
        <v>85</v>
      </c>
      <c r="AU133"/>
      <c r="BE133" s="14">
        <f>SUM(Portefeuille_MNT_PPS_Access15[[#This Row],[AC ANT]:[TR 2034]])</f>
        <v>100</v>
      </c>
    </row>
    <row r="134" spans="2:57" x14ac:dyDescent="0.3">
      <c r="B134" t="s">
        <v>101</v>
      </c>
      <c r="C134" t="s">
        <v>102</v>
      </c>
      <c r="D134" t="s">
        <v>136</v>
      </c>
      <c r="F134" t="s">
        <v>20</v>
      </c>
      <c r="G134" t="s">
        <v>20</v>
      </c>
      <c r="H134" t="s">
        <v>105</v>
      </c>
      <c r="I134" t="s">
        <v>454</v>
      </c>
      <c r="J134" t="s">
        <v>455</v>
      </c>
      <c r="K134" t="s">
        <v>143</v>
      </c>
      <c r="L134" t="s">
        <v>370</v>
      </c>
      <c r="M134" t="s">
        <v>291</v>
      </c>
      <c r="N134" s="1"/>
      <c r="O13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4">
        <f>Portefeuille_MNT_PPS_Access15[[#This Row],[Délais PC1 et PC3]]+Portefeuille_MNT_PPS_Access15[[#This Row],[Délais PC3 et PC5]]</f>
        <v>0</v>
      </c>
      <c r="T134" s="1"/>
      <c r="U134" s="1"/>
      <c r="V134">
        <v>1</v>
      </c>
      <c r="Y13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4" s="12" t="e">
        <f>_xlfn.XLOOKUP(Portefeuille_MNT_PPS_Access15[[#This Row],[Numéro projet]],Tableau5[Numéro projet],Tableau5[IND_Site_Prioritaire])</f>
        <v>#N/A</v>
      </c>
      <c r="AA134" s="2" t="e">
        <f>_xlfn.XLOOKUP(Portefeuille_MNT_PPS_Access15[[#This Row],[Numéro projet]],Tableau5[Numéro projet],Tableau5[Critère Etat Infrastructure])</f>
        <v>#N/A</v>
      </c>
      <c r="AB13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4" s="63"/>
      <c r="AE134" t="s">
        <v>311</v>
      </c>
      <c r="AF134" s="2"/>
      <c r="AK134"/>
      <c r="AS134">
        <v>150</v>
      </c>
      <c r="AU134">
        <v>150</v>
      </c>
      <c r="AW134">
        <v>500</v>
      </c>
      <c r="AX134">
        <v>6800</v>
      </c>
      <c r="BE134" s="14">
        <f>SUM(Portefeuille_MNT_PPS_Access15[[#This Row],[AC ANT]:[TR 2034]])</f>
        <v>7600</v>
      </c>
    </row>
    <row r="135" spans="2:57" x14ac:dyDescent="0.3">
      <c r="B135" t="s">
        <v>101</v>
      </c>
      <c r="C135" t="s">
        <v>102</v>
      </c>
      <c r="D135" t="s">
        <v>136</v>
      </c>
      <c r="F135" t="s">
        <v>20</v>
      </c>
      <c r="G135" t="s">
        <v>20</v>
      </c>
      <c r="H135" t="s">
        <v>105</v>
      </c>
      <c r="I135" t="s">
        <v>456</v>
      </c>
      <c r="J135" t="s">
        <v>457</v>
      </c>
      <c r="K135" t="s">
        <v>402</v>
      </c>
      <c r="L135" t="s">
        <v>421</v>
      </c>
      <c r="M135" t="s">
        <v>291</v>
      </c>
      <c r="N135" s="1"/>
      <c r="O13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5">
        <f>Portefeuille_MNT_PPS_Access15[[#This Row],[Délais PC1 et PC3]]+Portefeuille_MNT_PPS_Access15[[#This Row],[Délais PC3 et PC5]]</f>
        <v>0</v>
      </c>
      <c r="T135" s="1"/>
      <c r="U135" s="1"/>
      <c r="V135">
        <v>1</v>
      </c>
      <c r="Y13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5" s="12" t="e">
        <f>_xlfn.XLOOKUP(Portefeuille_MNT_PPS_Access15[[#This Row],[Numéro projet]],Tableau5[Numéro projet],Tableau5[IND_Site_Prioritaire])</f>
        <v>#N/A</v>
      </c>
      <c r="AA135" s="2" t="e">
        <f>_xlfn.XLOOKUP(Portefeuille_MNT_PPS_Access15[[#This Row],[Numéro projet]],Tableau5[Numéro projet],Tableau5[Critère Etat Infrastructure])</f>
        <v>#N/A</v>
      </c>
      <c r="AB13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5" s="63"/>
      <c r="AE135" t="s">
        <v>311</v>
      </c>
      <c r="AF135" s="2"/>
      <c r="AK135"/>
      <c r="AU135">
        <v>150</v>
      </c>
      <c r="AW135">
        <v>150</v>
      </c>
      <c r="AY135">
        <v>500</v>
      </c>
      <c r="AZ135">
        <v>6800</v>
      </c>
      <c r="BE135" s="14">
        <f>SUM(Portefeuille_MNT_PPS_Access15[[#This Row],[AC ANT]:[TR 2034]])</f>
        <v>7600</v>
      </c>
    </row>
    <row r="136" spans="2:57" x14ac:dyDescent="0.3">
      <c r="B136" t="s">
        <v>101</v>
      </c>
      <c r="C136" t="s">
        <v>102</v>
      </c>
      <c r="D136" t="s">
        <v>136</v>
      </c>
      <c r="F136" t="s">
        <v>20</v>
      </c>
      <c r="G136" t="s">
        <v>20</v>
      </c>
      <c r="H136" t="s">
        <v>105</v>
      </c>
      <c r="I136" t="s">
        <v>458</v>
      </c>
      <c r="J136" t="s">
        <v>459</v>
      </c>
      <c r="K136" t="s">
        <v>239</v>
      </c>
      <c r="L136" t="s">
        <v>421</v>
      </c>
      <c r="M136" t="s">
        <v>291</v>
      </c>
      <c r="N136" s="1"/>
      <c r="O13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6">
        <f>Portefeuille_MNT_PPS_Access15[[#This Row],[Délais PC1 et PC3]]+Portefeuille_MNT_PPS_Access15[[#This Row],[Délais PC3 et PC5]]</f>
        <v>0</v>
      </c>
      <c r="T136" s="1"/>
      <c r="U136" s="1"/>
      <c r="V136">
        <v>1</v>
      </c>
      <c r="Y13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6" s="12" t="e">
        <f>_xlfn.XLOOKUP(Portefeuille_MNT_PPS_Access15[[#This Row],[Numéro projet]],Tableau5[Numéro projet],Tableau5[IND_Site_Prioritaire])</f>
        <v>#N/A</v>
      </c>
      <c r="AA136" s="2" t="e">
        <f>_xlfn.XLOOKUP(Portefeuille_MNT_PPS_Access15[[#This Row],[Numéro projet]],Tableau5[Numéro projet],Tableau5[Critère Etat Infrastructure])</f>
        <v>#N/A</v>
      </c>
      <c r="AB13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6" s="63"/>
      <c r="AE136" t="s">
        <v>311</v>
      </c>
      <c r="AF136" s="2"/>
      <c r="AK136"/>
      <c r="AU136">
        <v>150</v>
      </c>
      <c r="AW136">
        <v>150</v>
      </c>
      <c r="AY136">
        <v>500</v>
      </c>
      <c r="AZ136">
        <v>6500</v>
      </c>
      <c r="BE136" s="14">
        <f>SUM(Portefeuille_MNT_PPS_Access15[[#This Row],[AC ANT]:[TR 2034]])</f>
        <v>7300</v>
      </c>
    </row>
    <row r="137" spans="2:57" x14ac:dyDescent="0.3">
      <c r="B137" t="s">
        <v>101</v>
      </c>
      <c r="C137" t="s">
        <v>102</v>
      </c>
      <c r="D137" t="s">
        <v>136</v>
      </c>
      <c r="F137" t="s">
        <v>20</v>
      </c>
      <c r="G137" t="s">
        <v>20</v>
      </c>
      <c r="H137" t="s">
        <v>105</v>
      </c>
      <c r="I137" t="s">
        <v>460</v>
      </c>
      <c r="J137" t="s">
        <v>461</v>
      </c>
      <c r="K137" t="s">
        <v>108</v>
      </c>
      <c r="L137" t="s">
        <v>395</v>
      </c>
      <c r="M137" t="s">
        <v>291</v>
      </c>
      <c r="N137" s="1"/>
      <c r="O13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7">
        <f>Portefeuille_MNT_PPS_Access15[[#This Row],[Délais PC1 et PC3]]+Portefeuille_MNT_PPS_Access15[[#This Row],[Délais PC3 et PC5]]</f>
        <v>0</v>
      </c>
      <c r="T137" s="1"/>
      <c r="U137" s="1"/>
      <c r="V137">
        <v>1</v>
      </c>
      <c r="Y13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7" s="12" t="e">
        <f>_xlfn.XLOOKUP(Portefeuille_MNT_PPS_Access15[[#This Row],[Numéro projet]],Tableau5[Numéro projet],Tableau5[IND_Site_Prioritaire])</f>
        <v>#N/A</v>
      </c>
      <c r="AA137" s="2" t="e">
        <f>_xlfn.XLOOKUP(Portefeuille_MNT_PPS_Access15[[#This Row],[Numéro projet]],Tableau5[Numéro projet],Tableau5[Critère Etat Infrastructure])</f>
        <v>#N/A</v>
      </c>
      <c r="AB13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7" s="63"/>
      <c r="AE137" t="s">
        <v>311</v>
      </c>
      <c r="AF137" s="2"/>
      <c r="AK137"/>
      <c r="AU137"/>
      <c r="AY137">
        <v>150</v>
      </c>
      <c r="BA137">
        <v>150</v>
      </c>
      <c r="BC137">
        <v>500</v>
      </c>
      <c r="BD137">
        <v>7400</v>
      </c>
      <c r="BE137" s="14">
        <f>SUM(Portefeuille_MNT_PPS_Access15[[#This Row],[AC ANT]:[TR 2034]])</f>
        <v>8200</v>
      </c>
    </row>
    <row r="138" spans="2:57" x14ac:dyDescent="0.3">
      <c r="B138" t="s">
        <v>101</v>
      </c>
      <c r="C138" t="s">
        <v>102</v>
      </c>
      <c r="D138" t="s">
        <v>136</v>
      </c>
      <c r="F138" t="s">
        <v>20</v>
      </c>
      <c r="G138" t="s">
        <v>20</v>
      </c>
      <c r="H138" t="s">
        <v>105</v>
      </c>
      <c r="I138" t="s">
        <v>462</v>
      </c>
      <c r="J138" t="s">
        <v>463</v>
      </c>
      <c r="K138" t="s">
        <v>230</v>
      </c>
      <c r="L138" t="s">
        <v>421</v>
      </c>
      <c r="M138" t="s">
        <v>291</v>
      </c>
      <c r="N138" s="1"/>
      <c r="O13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8">
        <f>Portefeuille_MNT_PPS_Access15[[#This Row],[Délais PC1 et PC3]]+Portefeuille_MNT_PPS_Access15[[#This Row],[Délais PC3 et PC5]]</f>
        <v>0</v>
      </c>
      <c r="T138" s="1"/>
      <c r="U138" s="1"/>
      <c r="V138">
        <v>1</v>
      </c>
      <c r="Y13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8" s="12" t="e">
        <f>_xlfn.XLOOKUP(Portefeuille_MNT_PPS_Access15[[#This Row],[Numéro projet]],Tableau5[Numéro projet],Tableau5[IND_Site_Prioritaire])</f>
        <v>#N/A</v>
      </c>
      <c r="AA138" s="2" t="e">
        <f>_xlfn.XLOOKUP(Portefeuille_MNT_PPS_Access15[[#This Row],[Numéro projet]],Tableau5[Numéro projet],Tableau5[Critère Etat Infrastructure])</f>
        <v>#N/A</v>
      </c>
      <c r="AB13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8" s="63"/>
      <c r="AE138" t="s">
        <v>311</v>
      </c>
      <c r="AF138" s="2"/>
      <c r="AK138"/>
      <c r="AU138">
        <v>150</v>
      </c>
      <c r="AW138">
        <v>150</v>
      </c>
      <c r="AY138">
        <v>500</v>
      </c>
      <c r="AZ138">
        <v>6800</v>
      </c>
      <c r="BE138" s="14">
        <f>SUM(Portefeuille_MNT_PPS_Access15[[#This Row],[AC ANT]:[TR 2034]])</f>
        <v>7600</v>
      </c>
    </row>
    <row r="139" spans="2:57" x14ac:dyDescent="0.3">
      <c r="B139" t="s">
        <v>101</v>
      </c>
      <c r="C139" t="s">
        <v>102</v>
      </c>
      <c r="D139" t="s">
        <v>136</v>
      </c>
      <c r="F139" t="s">
        <v>20</v>
      </c>
      <c r="G139" t="s">
        <v>20</v>
      </c>
      <c r="H139" t="s">
        <v>105</v>
      </c>
      <c r="I139" t="s">
        <v>464</v>
      </c>
      <c r="J139" t="s">
        <v>465</v>
      </c>
      <c r="K139" t="s">
        <v>116</v>
      </c>
      <c r="L139" t="s">
        <v>421</v>
      </c>
      <c r="M139" t="s">
        <v>291</v>
      </c>
      <c r="N139" s="1"/>
      <c r="O13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3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3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3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39">
        <f>Portefeuille_MNT_PPS_Access15[[#This Row],[Délais PC1 et PC3]]+Portefeuille_MNT_PPS_Access15[[#This Row],[Délais PC3 et PC5]]</f>
        <v>0</v>
      </c>
      <c r="T139" s="1"/>
      <c r="U139" s="1"/>
      <c r="V139">
        <v>1</v>
      </c>
      <c r="Y139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39" s="12" t="e">
        <f>_xlfn.XLOOKUP(Portefeuille_MNT_PPS_Access15[[#This Row],[Numéro projet]],Tableau5[Numéro projet],Tableau5[IND_Site_Prioritaire])</f>
        <v>#N/A</v>
      </c>
      <c r="AA139" s="2" t="e">
        <f>_xlfn.XLOOKUP(Portefeuille_MNT_PPS_Access15[[#This Row],[Numéro projet]],Tableau5[Numéro projet],Tableau5[Critère Etat Infrastructure])</f>
        <v>#N/A</v>
      </c>
      <c r="AB13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39" s="63"/>
      <c r="AE139" t="s">
        <v>311</v>
      </c>
      <c r="AF139" s="2"/>
      <c r="AK139"/>
      <c r="AU139">
        <v>150</v>
      </c>
      <c r="AW139">
        <v>150</v>
      </c>
      <c r="AY139">
        <v>500</v>
      </c>
      <c r="AZ139">
        <v>6800</v>
      </c>
      <c r="BE139" s="14">
        <f>SUM(Portefeuille_MNT_PPS_Access15[[#This Row],[AC ANT]:[TR 2034]])</f>
        <v>7600</v>
      </c>
    </row>
    <row r="140" spans="2:57" x14ac:dyDescent="0.3">
      <c r="B140" t="s">
        <v>101</v>
      </c>
      <c r="C140" t="s">
        <v>102</v>
      </c>
      <c r="D140" t="s">
        <v>103</v>
      </c>
      <c r="F140" t="s">
        <v>20</v>
      </c>
      <c r="G140" t="s">
        <v>20</v>
      </c>
      <c r="H140" t="s">
        <v>105</v>
      </c>
      <c r="I140" t="s">
        <v>466</v>
      </c>
      <c r="J140" t="s">
        <v>467</v>
      </c>
      <c r="K140" t="s">
        <v>108</v>
      </c>
      <c r="L140" t="s">
        <v>392</v>
      </c>
      <c r="M140" t="s">
        <v>291</v>
      </c>
      <c r="N140" s="1"/>
      <c r="O140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0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0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0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0">
        <f>Portefeuille_MNT_PPS_Access15[[#This Row],[Délais PC1 et PC3]]+Portefeuille_MNT_PPS_Access15[[#This Row],[Délais PC3 et PC5]]</f>
        <v>0</v>
      </c>
      <c r="T140" s="1"/>
      <c r="U140" s="1"/>
      <c r="V140">
        <v>1</v>
      </c>
      <c r="Y140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0" s="12" t="e">
        <f>_xlfn.XLOOKUP(Portefeuille_MNT_PPS_Access15[[#This Row],[Numéro projet]],Tableau5[Numéro projet],Tableau5[IND_Site_Prioritaire])</f>
        <v>#N/A</v>
      </c>
      <c r="AA140" s="2" t="e">
        <f>_xlfn.XLOOKUP(Portefeuille_MNT_PPS_Access15[[#This Row],[Numéro projet]],Tableau5[Numéro projet],Tableau5[Critère Etat Infrastructure])</f>
        <v>#N/A</v>
      </c>
      <c r="AB140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0" s="63"/>
      <c r="AE140" t="s">
        <v>311</v>
      </c>
      <c r="AF140" s="2"/>
      <c r="AK140"/>
      <c r="AU140"/>
      <c r="AW140">
        <v>375</v>
      </c>
      <c r="AY140">
        <v>375</v>
      </c>
      <c r="BA140">
        <v>750</v>
      </c>
      <c r="BB140">
        <v>45000</v>
      </c>
      <c r="BE140" s="14">
        <f>SUM(Portefeuille_MNT_PPS_Access15[[#This Row],[AC ANT]:[TR 2034]])</f>
        <v>46500</v>
      </c>
    </row>
    <row r="141" spans="2:57" x14ac:dyDescent="0.3">
      <c r="B141" t="s">
        <v>101</v>
      </c>
      <c r="C141" t="s">
        <v>102</v>
      </c>
      <c r="D141" t="s">
        <v>103</v>
      </c>
      <c r="F141" t="s">
        <v>20</v>
      </c>
      <c r="G141" t="s">
        <v>20</v>
      </c>
      <c r="H141" t="s">
        <v>105</v>
      </c>
      <c r="I141" t="s">
        <v>468</v>
      </c>
      <c r="J141" t="s">
        <v>469</v>
      </c>
      <c r="K141" t="s">
        <v>143</v>
      </c>
      <c r="L141" t="s">
        <v>421</v>
      </c>
      <c r="M141" t="s">
        <v>291</v>
      </c>
      <c r="N141" s="1"/>
      <c r="O141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1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1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1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1">
        <f>Portefeuille_MNT_PPS_Access15[[#This Row],[Délais PC1 et PC3]]+Portefeuille_MNT_PPS_Access15[[#This Row],[Délais PC3 et PC5]]</f>
        <v>0</v>
      </c>
      <c r="T141" s="1"/>
      <c r="U141" s="1"/>
      <c r="V141">
        <v>1</v>
      </c>
      <c r="Y141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1" s="12" t="e">
        <f>_xlfn.XLOOKUP(Portefeuille_MNT_PPS_Access15[[#This Row],[Numéro projet]],Tableau5[Numéro projet],Tableau5[IND_Site_Prioritaire])</f>
        <v>#N/A</v>
      </c>
      <c r="AA141" s="2" t="e">
        <f>_xlfn.XLOOKUP(Portefeuille_MNT_PPS_Access15[[#This Row],[Numéro projet]],Tableau5[Numéro projet],Tableau5[Critère Etat Infrastructure])</f>
        <v>#N/A</v>
      </c>
      <c r="AB141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1" s="63"/>
      <c r="AE141" t="s">
        <v>311</v>
      </c>
      <c r="AF141" s="2"/>
      <c r="AK141"/>
      <c r="AU141">
        <v>375</v>
      </c>
      <c r="AW141">
        <v>375</v>
      </c>
      <c r="AY141">
        <v>500</v>
      </c>
      <c r="AZ141">
        <v>5000</v>
      </c>
      <c r="BA141">
        <v>500</v>
      </c>
      <c r="BB141">
        <v>12000</v>
      </c>
      <c r="BC141">
        <v>500</v>
      </c>
      <c r="BD141">
        <v>59000</v>
      </c>
      <c r="BE141" s="14">
        <f>SUM(Portefeuille_MNT_PPS_Access15[[#This Row],[AC ANT]:[TR 2034]])</f>
        <v>78250</v>
      </c>
    </row>
    <row r="142" spans="2:57" x14ac:dyDescent="0.3">
      <c r="B142" t="s">
        <v>118</v>
      </c>
      <c r="C142" t="s">
        <v>102</v>
      </c>
      <c r="D142" t="s">
        <v>136</v>
      </c>
      <c r="F142" t="s">
        <v>20</v>
      </c>
      <c r="G142" t="s">
        <v>20</v>
      </c>
      <c r="H142" t="s">
        <v>131</v>
      </c>
      <c r="I142" t="s">
        <v>470</v>
      </c>
      <c r="J142" t="s">
        <v>471</v>
      </c>
      <c r="K142" t="s">
        <v>191</v>
      </c>
      <c r="L142" t="s">
        <v>370</v>
      </c>
      <c r="M142" t="s">
        <v>291</v>
      </c>
      <c r="N142" s="1"/>
      <c r="O142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2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2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2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2">
        <f>Portefeuille_MNT_PPS_Access15[[#This Row],[Délais PC1 et PC3]]+Portefeuille_MNT_PPS_Access15[[#This Row],[Délais PC3 et PC5]]</f>
        <v>0</v>
      </c>
      <c r="T142" s="1"/>
      <c r="U142" s="1"/>
      <c r="V142">
        <v>1</v>
      </c>
      <c r="Y142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2" s="12" t="e">
        <f>_xlfn.XLOOKUP(Portefeuille_MNT_PPS_Access15[[#This Row],[Numéro projet]],Tableau5[Numéro projet],Tableau5[IND_Site_Prioritaire])</f>
        <v>#N/A</v>
      </c>
      <c r="AA142" s="2" t="e">
        <f>_xlfn.XLOOKUP(Portefeuille_MNT_PPS_Access15[[#This Row],[Numéro projet]],Tableau5[Numéro projet],Tableau5[Critère Etat Infrastructure])</f>
        <v>#N/A</v>
      </c>
      <c r="AB142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2" s="63"/>
      <c r="AE142" t="s">
        <v>311</v>
      </c>
      <c r="AF142" s="2"/>
      <c r="AK142"/>
      <c r="AQ142">
        <v>50</v>
      </c>
      <c r="AS142">
        <v>50</v>
      </c>
      <c r="AU142">
        <v>100</v>
      </c>
      <c r="AW142">
        <v>200</v>
      </c>
      <c r="AX142">
        <v>3000</v>
      </c>
      <c r="BE142" s="14">
        <f>SUM(Portefeuille_MNT_PPS_Access15[[#This Row],[AC ANT]:[TR 2034]])</f>
        <v>3400</v>
      </c>
    </row>
    <row r="143" spans="2:57" x14ac:dyDescent="0.3">
      <c r="B143" t="s">
        <v>126</v>
      </c>
      <c r="C143" t="s">
        <v>127</v>
      </c>
      <c r="D143" t="s">
        <v>103</v>
      </c>
      <c r="F143" t="s">
        <v>20</v>
      </c>
      <c r="G143" t="s">
        <v>20</v>
      </c>
      <c r="H143" t="s">
        <v>105</v>
      </c>
      <c r="I143" t="s">
        <v>472</v>
      </c>
      <c r="J143" t="s">
        <v>473</v>
      </c>
      <c r="K143" t="s">
        <v>143</v>
      </c>
      <c r="L143" t="s">
        <v>184</v>
      </c>
      <c r="M143" t="s">
        <v>291</v>
      </c>
      <c r="N143" s="1"/>
      <c r="O143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3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3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3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3">
        <f>Portefeuille_MNT_PPS_Access15[[#This Row],[Délais PC1 et PC3]]+Portefeuille_MNT_PPS_Access15[[#This Row],[Délais PC3 et PC5]]</f>
        <v>0</v>
      </c>
      <c r="T143" s="1"/>
      <c r="U143" s="1"/>
      <c r="V143">
        <v>1</v>
      </c>
      <c r="Y143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3" s="12" t="e">
        <f>_xlfn.XLOOKUP(Portefeuille_MNT_PPS_Access15[[#This Row],[Numéro projet]],Tableau5[Numéro projet],Tableau5[IND_Site_Prioritaire])</f>
        <v>#N/A</v>
      </c>
      <c r="AA143" s="2" t="e">
        <f>_xlfn.XLOOKUP(Portefeuille_MNT_PPS_Access15[[#This Row],[Numéro projet]],Tableau5[Numéro projet],Tableau5[Critère Etat Infrastructure])</f>
        <v>#N/A</v>
      </c>
      <c r="AB143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3" s="63"/>
      <c r="AE143" t="s">
        <v>311</v>
      </c>
      <c r="AF143" s="2"/>
      <c r="AK143"/>
      <c r="AQ143">
        <v>375</v>
      </c>
      <c r="AS143">
        <v>375</v>
      </c>
      <c r="AU143">
        <v>750</v>
      </c>
      <c r="AV143">
        <v>10000</v>
      </c>
      <c r="AW143">
        <v>500</v>
      </c>
      <c r="AX143">
        <v>10000</v>
      </c>
      <c r="AY143">
        <v>500</v>
      </c>
      <c r="AZ143">
        <v>15000</v>
      </c>
      <c r="BE143" s="14">
        <f>SUM(Portefeuille_MNT_PPS_Access15[[#This Row],[AC ANT]:[TR 2034]])</f>
        <v>37500</v>
      </c>
    </row>
    <row r="144" spans="2:57" x14ac:dyDescent="0.3">
      <c r="B144" t="s">
        <v>126</v>
      </c>
      <c r="C144" t="s">
        <v>127</v>
      </c>
      <c r="D144" t="s">
        <v>103</v>
      </c>
      <c r="F144" t="s">
        <v>20</v>
      </c>
      <c r="G144" t="s">
        <v>20</v>
      </c>
      <c r="H144" t="s">
        <v>105</v>
      </c>
      <c r="I144" t="s">
        <v>474</v>
      </c>
      <c r="J144" t="s">
        <v>528</v>
      </c>
      <c r="K144" t="s">
        <v>108</v>
      </c>
      <c r="L144" t="s">
        <v>421</v>
      </c>
      <c r="M144" t="s">
        <v>291</v>
      </c>
      <c r="N144" s="1"/>
      <c r="O144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4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4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4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4">
        <f>Portefeuille_MNT_PPS_Access15[[#This Row],[Délais PC1 et PC3]]+Portefeuille_MNT_PPS_Access15[[#This Row],[Délais PC3 et PC5]]</f>
        <v>0</v>
      </c>
      <c r="T144" s="1"/>
      <c r="U144" s="1"/>
      <c r="V144">
        <v>1</v>
      </c>
      <c r="Y144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4" s="12" t="e">
        <f>_xlfn.XLOOKUP(Portefeuille_MNT_PPS_Access15[[#This Row],[Numéro projet]],Tableau5[Numéro projet],Tableau5[IND_Site_Prioritaire])</f>
        <v>#N/A</v>
      </c>
      <c r="AA144" s="2" t="e">
        <f>_xlfn.XLOOKUP(Portefeuille_MNT_PPS_Access15[[#This Row],[Numéro projet]],Tableau5[Numéro projet],Tableau5[Critère Etat Infrastructure])</f>
        <v>#N/A</v>
      </c>
      <c r="AB144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4" s="63"/>
      <c r="AE144" t="s">
        <v>311</v>
      </c>
      <c r="AF144" s="2"/>
      <c r="AK144"/>
      <c r="AU144">
        <v>375</v>
      </c>
      <c r="AW144">
        <v>375</v>
      </c>
      <c r="AY144">
        <v>750</v>
      </c>
      <c r="AZ144">
        <v>4000</v>
      </c>
      <c r="BA144">
        <v>500</v>
      </c>
      <c r="BB144">
        <v>24000</v>
      </c>
      <c r="BC144">
        <v>500</v>
      </c>
      <c r="BD144">
        <v>9000</v>
      </c>
      <c r="BE144" s="14">
        <f>SUM(Portefeuille_MNT_PPS_Access15[[#This Row],[AC ANT]:[TR 2034]])</f>
        <v>39500</v>
      </c>
    </row>
    <row r="145" spans="2:59" x14ac:dyDescent="0.3">
      <c r="B145" t="s">
        <v>118</v>
      </c>
      <c r="C145" t="s">
        <v>102</v>
      </c>
      <c r="D145" t="s">
        <v>177</v>
      </c>
      <c r="E145" t="s">
        <v>129</v>
      </c>
      <c r="F145" t="s">
        <v>16</v>
      </c>
      <c r="G145" t="s">
        <v>16</v>
      </c>
      <c r="H145" t="s">
        <v>131</v>
      </c>
      <c r="I145" t="s">
        <v>293</v>
      </c>
      <c r="J145" s="82" t="s">
        <v>294</v>
      </c>
      <c r="K145" t="s">
        <v>134</v>
      </c>
      <c r="L145" t="s">
        <v>148</v>
      </c>
      <c r="M145" t="s">
        <v>297</v>
      </c>
      <c r="N145" s="1">
        <v>45702</v>
      </c>
      <c r="O145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3.À risque</v>
      </c>
      <c r="P145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3.À risque</v>
      </c>
      <c r="Q145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5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5">
        <f>Portefeuille_MNT_PPS_Access15[[#This Row],[Délais PC1 et PC3]]+Portefeuille_MNT_PPS_Access15[[#This Row],[Délais PC3 et PC5]]</f>
        <v>0</v>
      </c>
      <c r="T145" s="1">
        <v>45702</v>
      </c>
      <c r="U145" s="1">
        <v>45702</v>
      </c>
      <c r="V145">
        <v>1</v>
      </c>
      <c r="W145">
        <v>1</v>
      </c>
      <c r="X145">
        <v>1</v>
      </c>
      <c r="Y145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6</v>
      </c>
      <c r="Z145" s="12" t="e">
        <f>_xlfn.XLOOKUP(Portefeuille_MNT_PPS_Access15[[#This Row],[Numéro projet]],Tableau5[Numéro projet],Tableau5[IND_Site_Prioritaire])</f>
        <v>#N/A</v>
      </c>
      <c r="AA145" s="2" t="e">
        <f>_xlfn.XLOOKUP(Portefeuille_MNT_PPS_Access15[[#This Row],[Numéro projet]],Tableau5[Numéro projet],Tableau5[Critère Etat Infrastructure])</f>
        <v>#N/A</v>
      </c>
      <c r="AB145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C145">
        <v>1</v>
      </c>
      <c r="AD145" s="62"/>
      <c r="AE145" t="s">
        <v>349</v>
      </c>
      <c r="AF145" s="2"/>
      <c r="AK145">
        <v>50</v>
      </c>
      <c r="AL145">
        <v>2894</v>
      </c>
      <c r="AU145"/>
      <c r="BE145" s="14">
        <f>SUM(Portefeuille_MNT_PPS_Access15[[#This Row],[AC ANT]:[TR 2034]])</f>
        <v>2944</v>
      </c>
    </row>
    <row r="146" spans="2:59" x14ac:dyDescent="0.3">
      <c r="B146" t="s">
        <v>118</v>
      </c>
      <c r="C146" t="s">
        <v>102</v>
      </c>
      <c r="D146" t="s">
        <v>136</v>
      </c>
      <c r="F146" t="s">
        <v>16</v>
      </c>
      <c r="G146" t="s">
        <v>20</v>
      </c>
      <c r="H146" t="s">
        <v>105</v>
      </c>
      <c r="I146" t="s">
        <v>516</v>
      </c>
      <c r="J146" t="s">
        <v>517</v>
      </c>
      <c r="K146" t="s">
        <v>302</v>
      </c>
      <c r="L146" t="s">
        <v>173</v>
      </c>
      <c r="M146" t="s">
        <v>291</v>
      </c>
      <c r="N146" s="1"/>
      <c r="O146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6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6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6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6">
        <f>Portefeuille_MNT_PPS_Access15[[#This Row],[Délais PC1 et PC3]]+Portefeuille_MNT_PPS_Access15[[#This Row],[Délais PC3 et PC5]]</f>
        <v>0</v>
      </c>
      <c r="T146" s="1"/>
      <c r="U146" s="1"/>
      <c r="V146">
        <v>1</v>
      </c>
      <c r="Y146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6" s="12" t="e">
        <f>_xlfn.XLOOKUP(Portefeuille_MNT_PPS_Access15[[#This Row],[Numéro projet]],Tableau5[Numéro projet],Tableau5[IND_Site_Prioritaire])</f>
        <v>#N/A</v>
      </c>
      <c r="AA146" s="2" t="e">
        <f>_xlfn.XLOOKUP(Portefeuille_MNT_PPS_Access15[[#This Row],[Numéro projet]],Tableau5[Numéro projet],Tableau5[Critère Etat Infrastructure])</f>
        <v>#N/A</v>
      </c>
      <c r="AB146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6" s="63"/>
      <c r="AE146" t="s">
        <v>311</v>
      </c>
      <c r="AF146" s="2"/>
      <c r="AK146">
        <v>25</v>
      </c>
      <c r="AM146">
        <v>25</v>
      </c>
      <c r="AP146">
        <v>250</v>
      </c>
      <c r="AU146"/>
      <c r="BE146" s="14">
        <f>SUM(Portefeuille_MNT_PPS_Access15[[#This Row],[AC ANT]:[TR 2034]])</f>
        <v>300</v>
      </c>
    </row>
    <row r="147" spans="2:59" x14ac:dyDescent="0.3">
      <c r="B147" t="s">
        <v>118</v>
      </c>
      <c r="C147" t="s">
        <v>102</v>
      </c>
      <c r="D147" t="s">
        <v>136</v>
      </c>
      <c r="F147" t="s">
        <v>16</v>
      </c>
      <c r="G147" t="s">
        <v>20</v>
      </c>
      <c r="H147" t="s">
        <v>105</v>
      </c>
      <c r="I147" t="s">
        <v>518</v>
      </c>
      <c r="J147" t="s">
        <v>519</v>
      </c>
      <c r="K147" t="s">
        <v>143</v>
      </c>
      <c r="L147" t="s">
        <v>173</v>
      </c>
      <c r="M147" t="s">
        <v>291</v>
      </c>
      <c r="N147" s="1"/>
      <c r="O147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7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7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7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7">
        <f>Portefeuille_MNT_PPS_Access15[[#This Row],[Délais PC1 et PC3]]+Portefeuille_MNT_PPS_Access15[[#This Row],[Délais PC3 et PC5]]</f>
        <v>0</v>
      </c>
      <c r="T147" s="1"/>
      <c r="U147" s="1"/>
      <c r="V147">
        <v>1</v>
      </c>
      <c r="Y147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7" s="12" t="e">
        <f>_xlfn.XLOOKUP(Portefeuille_MNT_PPS_Access15[[#This Row],[Numéro projet]],Tableau5[Numéro projet],Tableau5[IND_Site_Prioritaire])</f>
        <v>#N/A</v>
      </c>
      <c r="AA147" s="2" t="e">
        <f>_xlfn.XLOOKUP(Portefeuille_MNT_PPS_Access15[[#This Row],[Numéro projet]],Tableau5[Numéro projet],Tableau5[Critère Etat Infrastructure])</f>
        <v>#N/A</v>
      </c>
      <c r="AB147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7" s="63"/>
      <c r="AE147" t="s">
        <v>311</v>
      </c>
      <c r="AF147" s="2"/>
      <c r="AK147">
        <v>25</v>
      </c>
      <c r="AM147">
        <v>25</v>
      </c>
      <c r="AP147">
        <v>150</v>
      </c>
      <c r="AU147"/>
      <c r="BE147" s="14">
        <f>SUM(Portefeuille_MNT_PPS_Access15[[#This Row],[AC ANT]:[TR 2034]])</f>
        <v>200</v>
      </c>
    </row>
    <row r="148" spans="2:59" x14ac:dyDescent="0.3">
      <c r="B148" t="s">
        <v>118</v>
      </c>
      <c r="C148" t="s">
        <v>102</v>
      </c>
      <c r="D148" t="s">
        <v>177</v>
      </c>
      <c r="F148" t="s">
        <v>20</v>
      </c>
      <c r="G148" t="s">
        <v>20</v>
      </c>
      <c r="H148" t="s">
        <v>131</v>
      </c>
      <c r="I148" s="2" t="s">
        <v>522</v>
      </c>
      <c r="J148" t="s">
        <v>523</v>
      </c>
      <c r="K148" t="s">
        <v>187</v>
      </c>
      <c r="L148" t="s">
        <v>169</v>
      </c>
      <c r="M148" t="s">
        <v>291</v>
      </c>
      <c r="N148" s="1"/>
      <c r="O148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8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8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8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8">
        <f>Portefeuille_MNT_PPS_Access15[[#This Row],[Délais PC1 et PC3]]+Portefeuille_MNT_PPS_Access15[[#This Row],[Délais PC3 et PC5]]</f>
        <v>0</v>
      </c>
      <c r="T148" s="1"/>
      <c r="U148" s="1"/>
      <c r="V148">
        <v>1</v>
      </c>
      <c r="Y148" s="2" t="str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8" s="12" t="e">
        <f>_xlfn.XLOOKUP(Portefeuille_MNT_PPS_Access15[[#This Row],[Numéro projet]],Tableau5[Numéro projet],Tableau5[IND_Site_Prioritaire])</f>
        <v>#N/A</v>
      </c>
      <c r="AA148" s="2" t="e">
        <f>_xlfn.XLOOKUP(Portefeuille_MNT_PPS_Access15[[#This Row],[Numéro projet]],Tableau5[Numéro projet],Tableau5[Critère Etat Infrastructure])</f>
        <v>#N/A</v>
      </c>
      <c r="AB148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8" s="63"/>
      <c r="AE148" t="s">
        <v>311</v>
      </c>
      <c r="AF148" s="2"/>
      <c r="AK148"/>
      <c r="AO148">
        <v>50</v>
      </c>
      <c r="AQ148">
        <v>50</v>
      </c>
      <c r="AS148">
        <v>100</v>
      </c>
      <c r="AT148">
        <v>2000</v>
      </c>
      <c r="AU148"/>
      <c r="BE148" s="14">
        <f>SUM(Portefeuille_MNT_PPS_Access15[[#This Row],[AC ANT]:[TR 2034]])</f>
        <v>2200</v>
      </c>
      <c r="BF148" s="57"/>
      <c r="BG148" s="57"/>
    </row>
    <row r="149" spans="2:59" x14ac:dyDescent="0.3">
      <c r="B149" t="s">
        <v>118</v>
      </c>
      <c r="C149" t="s">
        <v>102</v>
      </c>
      <c r="D149" t="s">
        <v>103</v>
      </c>
      <c r="F149" t="s">
        <v>20</v>
      </c>
      <c r="G149" t="s">
        <v>20</v>
      </c>
      <c r="H149" t="s">
        <v>131</v>
      </c>
      <c r="I149" t="s">
        <v>531</v>
      </c>
      <c r="J149" t="s">
        <v>532</v>
      </c>
      <c r="K149" t="s">
        <v>187</v>
      </c>
      <c r="L149" t="s">
        <v>370</v>
      </c>
      <c r="N149" s="1"/>
      <c r="O149" s="1" t="str">
        <f xml:space="preserve"> IF(Portefeuille_MNT_PPS_Access15[[#This Row],[PC-3]] = "", "0.NA",IF(Portefeuille_MNT_PPS_Access15[[#This Row],[PC-3]] &lt;= DATE(Portefeuille_MNT_PPS_Access15[[#This Row],[Année DÉBUT Travaux prévu]]- 2, 12, 15),"5.Respect OPC",IF(Portefeuille_MNT_PPS_Access15[[#This Row],[PC-3]] &lt;= DATE(Portefeuille_MNT_PPS_Access15[[#This Row],[Année DÉBUT Travaux prévu]], 5, 1),"3.À risque","1.Très à risque")))</f>
        <v>0.NA</v>
      </c>
      <c r="P149" s="1" t="str">
        <f xml:space="preserve"> IF(Portefeuille_MNT_PPS_Access15[[#This Row],[PC-5]] = "", "0.NA",IF(Portefeuille_MNT_PPS_Access15[[#This Row],[PC-5]] &lt;= DATE(Portefeuille_MNT_PPS_Access15[[#This Row],[Année DÉBUT Travaux prévu]]- 1, 12, 15),"5.Respect OPC",IF(Portefeuille_MNT_PPS_Access15[[#This Row],[PC-5]] &lt;= DATE(Portefeuille_MNT_PPS_Access15[[#This Row],[Année DÉBUT Travaux prévu]], 5, 1),"3.À risque","1.Très à risque")))</f>
        <v>0.NA</v>
      </c>
      <c r="Q149">
        <f xml:space="preserve"> (YEAR(Portefeuille_MNT_PPS_Access15[[#This Row],[PC-3]]) - YEAR(Portefeuille_MNT_PPS_Access15[[#This Row],[PC-1]])) * 12 + MONTH(Portefeuille_MNT_PPS_Access15[[#This Row],[PC-3]]) - MONTH(Portefeuille_MNT_PPS_Access15[[#This Row],[PC-1]])</f>
        <v>0</v>
      </c>
      <c r="R149">
        <f xml:space="preserve"> (YEAR(Portefeuille_MNT_PPS_Access15[[#This Row],[PC-5]]) - YEAR(Portefeuille_MNT_PPS_Access15[[#This Row],[PC-3]])) * 12 + MONTH(Portefeuille_MNT_PPS_Access15[[#This Row],[PC-5]]) - MONTH(Portefeuille_MNT_PPS_Access15[[#This Row],[PC-3]])</f>
        <v>0</v>
      </c>
      <c r="S149">
        <f>Portefeuille_MNT_PPS_Access15[[#This Row],[Délais PC1 et PC3]]+Portefeuille_MNT_PPS_Access15[[#This Row],[Délais PC3 et PC5]]</f>
        <v>0</v>
      </c>
      <c r="T149" s="1"/>
      <c r="U149" s="1"/>
      <c r="V149">
        <v>1</v>
      </c>
      <c r="Y149" s="2">
        <f>IF(AND(Portefeuille_MNT_PPS_Access15[[#This Row],[Année DÉBUT Travaux prévu]]&gt;=2024,Portefeuille_MNT_PPS_Access15[[#This Row],[IND_PC5_TR2025]]=5),5,IF(AND(Portefeuille_MNT_PPS_Access15[[#This Row],[Année DÉBUT Travaux prévu]]&gt;=2026,Portefeuille_MNT_PPS_Access15[[#This Row],[IND_PC3_TR2026]]=5),5,Portefeuille_MNT_PPS_Access15[[#This Row],[IND_Etat_avancement]]))</f>
        <v>0</v>
      </c>
      <c r="Z149" s="12" t="e">
        <f>_xlfn.XLOOKUP(Portefeuille_MNT_PPS_Access15[[#This Row],[Numéro projet]],Tableau5[Numéro projet],Tableau5[IND_Site_Prioritaire])</f>
        <v>#N/A</v>
      </c>
      <c r="AA149" s="2" t="e">
        <f>_xlfn.XLOOKUP(Portefeuille_MNT_PPS_Access15[[#This Row],[Numéro projet]],Tableau5[Numéro projet],Tableau5[Critère Etat Infrastructure])</f>
        <v>#N/A</v>
      </c>
      <c r="AB149" s="12" t="e">
        <f>IF(Portefeuille_MNT_PPS_Access15[[#This Row],[IND_Parachèvement]]=5,100, SUM(Portefeuille_MNT_PPS_Access15[[#This Row],[Critère PC Atteint]]*$AD$8/5, Portefeuille_MNT_PPS_Access15[[#This Row],[Critère Etat Infrastructure]]*$AD$10/5,Portefeuille_MNT_PPS_Access15[[#This Row],[Site prioritaire]]* $AD$9/5, Portefeuille_MNT_PPS_Access15[[#This Row],[IND_PROJT_ANNONCE]]*$AD$7/5)*100)</f>
        <v>#N/A</v>
      </c>
      <c r="AD149" s="63"/>
      <c r="AF149" s="2"/>
      <c r="AK149"/>
      <c r="AS149">
        <v>150</v>
      </c>
      <c r="AU149">
        <v>150</v>
      </c>
      <c r="AW149">
        <v>500</v>
      </c>
      <c r="AX149">
        <v>8000</v>
      </c>
      <c r="BE149" s="14">
        <f>SUM(Portefeuille_MNT_PPS_Access15[[#This Row],[AC ANT]:[TR 2034]])</f>
        <v>8800</v>
      </c>
    </row>
    <row r="150" spans="2:59" x14ac:dyDescent="0.3">
      <c r="I150">
        <f>SUBTOTAL(103,Portefeuille_MNT_PPS_Access15[Numéro projet])</f>
        <v>131</v>
      </c>
      <c r="AD150" s="13"/>
      <c r="AG150" s="57">
        <f>SUBTOTAL(109,Portefeuille_MNT_PPS_Access15[AC ANT])</f>
        <v>23914</v>
      </c>
      <c r="AH150" s="57">
        <f>SUBTOTAL(109,Portefeuille_MNT_PPS_Access15[TR ANT])</f>
        <v>152792</v>
      </c>
      <c r="AI150" s="57">
        <f>SUBTOTAL(109,Portefeuille_MNT_PPS_Access15[AC 2024])</f>
        <v>6620</v>
      </c>
      <c r="AJ150" s="57">
        <f>SUBTOTAL(109,Portefeuille_MNT_PPS_Access15[TR 2024])</f>
        <v>75022</v>
      </c>
      <c r="AK150" s="57">
        <f>SUBTOTAL(109,Portefeuille_MNT_PPS_Access15[AC 2025])</f>
        <v>10230</v>
      </c>
      <c r="AL150" s="57">
        <f>SUBTOTAL(109,Portefeuille_MNT_PPS_Access15[TR 2025])</f>
        <v>50278</v>
      </c>
      <c r="AM150" s="57">
        <f>SUBTOTAL(109,Portefeuille_MNT_PPS_Access15[AC 2026])</f>
        <v>12532</v>
      </c>
      <c r="AN150" s="57">
        <f>SUBTOTAL(109,Portefeuille_MNT_PPS_Access15[TR 2026])</f>
        <v>66652</v>
      </c>
      <c r="AO150" s="57">
        <f>SUBTOTAL(109,Portefeuille_MNT_PPS_Access15[AC 2027])</f>
        <v>13162</v>
      </c>
      <c r="AP150" s="57">
        <f>SUBTOTAL(109,Portefeuille_MNT_PPS_Access15[TR 2027])</f>
        <v>93363</v>
      </c>
      <c r="AQ150" s="57">
        <f>SUBTOTAL(109,Portefeuille_MNT_PPS_Access15[AC 2028])</f>
        <v>13027</v>
      </c>
      <c r="AR150" s="57">
        <f>SUBTOTAL(109,Portefeuille_MNT_PPS_Access15[TR 2028])</f>
        <v>98067</v>
      </c>
      <c r="AS150" s="57">
        <f>SUBTOTAL(109,Portefeuille_MNT_PPS_Access15[AC 2029])</f>
        <v>9155</v>
      </c>
      <c r="AT150" s="57">
        <f>SUBTOTAL(109,Portefeuille_MNT_PPS_Access15[TR 2029])</f>
        <v>97457</v>
      </c>
      <c r="AU150" s="57">
        <f>SUBTOTAL(109,Portefeuille_MNT_PPS_Access15[AC 2030])</f>
        <v>8612</v>
      </c>
      <c r="AV150" s="57">
        <f>SUBTOTAL(109,Portefeuille_MNT_PPS_Access15[TR 2030])</f>
        <v>85708</v>
      </c>
      <c r="AW150" s="57">
        <f>SUBTOTAL(109,Portefeuille_MNT_PPS_Access15[AC 2031])</f>
        <v>7097</v>
      </c>
      <c r="AX150" s="57">
        <f>SUBTOTAL(109,Portefeuille_MNT_PPS_Access15[TR 2031])</f>
        <v>100119</v>
      </c>
      <c r="AY150" s="57">
        <f>SUBTOTAL(109,Portefeuille_MNT_PPS_Access15[AC 2032])</f>
        <v>7625</v>
      </c>
      <c r="AZ150" s="57">
        <f>SUBTOTAL(109,Portefeuille_MNT_PPS_Access15[TR 2032])</f>
        <v>93600</v>
      </c>
      <c r="BA150" s="57">
        <f>SUBTOTAL(109,Portefeuille_MNT_PPS_Access15[AC 2033])</f>
        <v>3750</v>
      </c>
      <c r="BB150" s="57">
        <f>SUBTOTAL(109,Portefeuille_MNT_PPS_Access15[TR 2033])</f>
        <v>101700</v>
      </c>
      <c r="BC150" s="57">
        <f>SUBTOTAL(109,Portefeuille_MNT_PPS_Access15[AC 2034])</f>
        <v>3300</v>
      </c>
      <c r="BD150" s="57">
        <f>SUBTOTAL(109,Portefeuille_MNT_PPS_Access15[TR 2034])</f>
        <v>97400</v>
      </c>
      <c r="BE150" s="14">
        <f>SUBTOTAL(109,Portefeuille_MNT_PPS_Access15[Total Projet])</f>
        <v>1231182</v>
      </c>
    </row>
    <row r="152" spans="2:59" x14ac:dyDescent="0.3"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</row>
  </sheetData>
  <mergeCells count="168">
    <mergeCell ref="AY15:AZ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S16:AT16"/>
    <mergeCell ref="AU16:AV16"/>
    <mergeCell ref="AW16:AX16"/>
    <mergeCell ref="AY16:AZ16"/>
    <mergeCell ref="BA16:BB16"/>
    <mergeCell ref="BC16:BD16"/>
    <mergeCell ref="AG16:AH16"/>
    <mergeCell ref="AI16:AJ16"/>
    <mergeCell ref="AK16:AL16"/>
    <mergeCell ref="AM16:AN16"/>
    <mergeCell ref="AO16:AP16"/>
    <mergeCell ref="AQ16:AR16"/>
    <mergeCell ref="BA13:BB13"/>
    <mergeCell ref="BC13:BD13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BA14:BB14"/>
    <mergeCell ref="BC14:BD14"/>
    <mergeCell ref="BA15:BB15"/>
    <mergeCell ref="BC15:BD15"/>
    <mergeCell ref="AW14:AX14"/>
    <mergeCell ref="AY14:AZ14"/>
    <mergeCell ref="AG12:AH12"/>
    <mergeCell ref="AI12:AJ12"/>
    <mergeCell ref="AK12:AL12"/>
    <mergeCell ref="AM12:AN12"/>
    <mergeCell ref="AO12:AP12"/>
    <mergeCell ref="BC12:BD12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AQ12:AR12"/>
    <mergeCell ref="AS12:AT12"/>
    <mergeCell ref="AU12:AV12"/>
    <mergeCell ref="AW12:AX12"/>
    <mergeCell ref="AY12:AZ12"/>
    <mergeCell ref="BA12:BB12"/>
    <mergeCell ref="AY10:AZ10"/>
    <mergeCell ref="BA10:BB10"/>
    <mergeCell ref="BC10:BD10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8:AZ8"/>
    <mergeCell ref="BA8:BB8"/>
    <mergeCell ref="BC8:BD8"/>
    <mergeCell ref="AG9:AH9"/>
    <mergeCell ref="AI9:AJ9"/>
    <mergeCell ref="AK9:AL9"/>
    <mergeCell ref="AM9:AN9"/>
    <mergeCell ref="AO9:AP9"/>
    <mergeCell ref="BC9:BD9"/>
    <mergeCell ref="AQ9:AR9"/>
    <mergeCell ref="AS9:AT9"/>
    <mergeCell ref="AU9:AV9"/>
    <mergeCell ref="AW9:AX9"/>
    <mergeCell ref="AY9:AZ9"/>
    <mergeCell ref="BA9:BB9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G6:AH6"/>
    <mergeCell ref="AI6:AJ6"/>
    <mergeCell ref="AK6:AL6"/>
    <mergeCell ref="AM6:AN6"/>
    <mergeCell ref="AO6:AP6"/>
    <mergeCell ref="BC6:BD6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Q6:AR6"/>
    <mergeCell ref="AS6:AT6"/>
    <mergeCell ref="AU6:AV6"/>
    <mergeCell ref="AW6:AX6"/>
    <mergeCell ref="AY6:AZ6"/>
    <mergeCell ref="BA6:BB6"/>
    <mergeCell ref="AY7:AZ7"/>
    <mergeCell ref="BA7:BB7"/>
    <mergeCell ref="BC7:BD7"/>
    <mergeCell ref="BC4:BD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G3:H3"/>
    <mergeCell ref="AG3:AH3"/>
    <mergeCell ref="AI3:AJ3"/>
    <mergeCell ref="AK3:AL3"/>
    <mergeCell ref="AM3:AN3"/>
    <mergeCell ref="AO3:AP3"/>
    <mergeCell ref="BC3:BD3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Q3:AR3"/>
    <mergeCell ref="AS3:AT3"/>
    <mergeCell ref="AU3:AV3"/>
    <mergeCell ref="AW3:AX3"/>
    <mergeCell ref="AY3:AZ3"/>
    <mergeCell ref="BA3:BB3"/>
    <mergeCell ref="AY4:AZ4"/>
    <mergeCell ref="BA4:BB4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1C05C2D-5072-4668-A8B3-5CB5424D9B2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Y19:Z149</xm:sqref>
        </x14:conditionalFormatting>
        <x14:conditionalFormatting xmlns:xm="http://schemas.microsoft.com/office/excel/2006/main">
          <x14:cfRule type="iconSet" priority="3" id="{04B90F8A-6817-4B5A-B7BC-3AFE3AD4990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AA19:AB149</xm:sqref>
        </x14:conditionalFormatting>
        <x14:conditionalFormatting xmlns:xm="http://schemas.microsoft.com/office/excel/2006/main">
          <x14:cfRule type="iconSet" priority="1" id="{7550C88D-EF5B-4D09-BA48-AC76469BCB7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AF19:AF149 AD19:AD149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1E15-EFF3-48B9-A15A-5A2538155F6B}">
  <dimension ref="A1:BG147"/>
  <sheetViews>
    <sheetView workbookViewId="0"/>
  </sheetViews>
  <sheetFormatPr baseColWidth="10" defaultColWidth="11.5546875" defaultRowHeight="14.4" outlineLevelCol="1" x14ac:dyDescent="0.3"/>
  <cols>
    <col min="1" max="1" width="15.33203125" customWidth="1" outlineLevel="1"/>
    <col min="2" max="2" width="11.44140625" customWidth="1" outlineLevel="1"/>
    <col min="3" max="3" width="8.109375" customWidth="1" outlineLevel="1"/>
    <col min="4" max="4" width="19.33203125" customWidth="1" outlineLevel="1"/>
    <col min="5" max="5" width="17.44140625" customWidth="1" outlineLevel="1"/>
    <col min="6" max="6" width="16" customWidth="1" outlineLevel="1"/>
    <col min="7" max="7" width="15.88671875" customWidth="1" outlineLevel="1"/>
    <col min="8" max="8" width="14.88671875" customWidth="1" outlineLevel="1"/>
    <col min="9" max="9" width="18.44140625" customWidth="1"/>
    <col min="10" max="10" width="11.33203125" customWidth="1"/>
    <col min="11" max="11" width="96.6640625" customWidth="1"/>
    <col min="12" max="12" width="25.33203125" customWidth="1" collapsed="1"/>
    <col min="13" max="13" width="11.33203125" customWidth="1"/>
    <col min="14" max="14" width="28" bestFit="1" customWidth="1"/>
    <col min="15" max="15" width="14.5546875" customWidth="1"/>
    <col min="16" max="16" width="21.88671875" customWidth="1"/>
    <col min="17" max="17" width="23.44140625" customWidth="1"/>
    <col min="18" max="21" width="9.44140625" hidden="1" customWidth="1" outlineLevel="1"/>
    <col min="22" max="22" width="9.5546875" customWidth="1" collapsed="1"/>
    <col min="23" max="23" width="9.5546875" customWidth="1"/>
    <col min="24" max="24" width="13.33203125" hidden="1" customWidth="1" outlineLevel="1"/>
    <col min="25" max="25" width="11.5546875" hidden="1" customWidth="1" outlineLevel="1"/>
    <col min="26" max="27" width="8.33203125" hidden="1" customWidth="1" outlineLevel="1"/>
    <col min="28" max="28" width="10.109375" hidden="1" customWidth="1" collapsed="1"/>
    <col min="29" max="29" width="9" customWidth="1"/>
    <col min="30" max="30" width="9.88671875" style="25" customWidth="1"/>
    <col min="31" max="31" width="13.33203125" hidden="1" customWidth="1" outlineLevel="1"/>
    <col min="32" max="32" width="13.33203125" hidden="1" customWidth="1" outlineLevel="1" collapsed="1"/>
    <col min="33" max="33" width="7.44140625" hidden="1" customWidth="1" outlineLevel="1"/>
    <col min="34" max="34" width="9.44140625" hidden="1" customWidth="1" outlineLevel="1"/>
    <col min="35" max="35" width="10.33203125" hidden="1" customWidth="1" collapsed="1"/>
    <col min="36" max="36" width="9.5546875" hidden="1" customWidth="1" outlineLevel="1"/>
    <col min="37" max="42" width="9.88671875" hidden="1" customWidth="1" outlineLevel="1"/>
    <col min="43" max="43" width="9.88671875" style="8" hidden="1" customWidth="1" outlineLevel="1"/>
    <col min="44" max="51" width="9.88671875" hidden="1" customWidth="1" outlineLevel="1"/>
    <col min="52" max="52" width="17.109375" bestFit="1" customWidth="1" collapsed="1"/>
    <col min="53" max="53" width="16.6640625" hidden="1" customWidth="1"/>
    <col min="54" max="56" width="9.88671875" customWidth="1"/>
    <col min="57" max="57" width="16.109375" customWidth="1"/>
    <col min="58" max="58" width="17" customWidth="1"/>
    <col min="59" max="69" width="11.33203125" customWidth="1"/>
    <col min="70" max="70" width="12.5546875" customWidth="1"/>
    <col min="71" max="71" width="13.44140625" customWidth="1"/>
    <col min="72" max="72" width="13.109375" customWidth="1"/>
    <col min="73" max="73" width="14" customWidth="1"/>
    <col min="74" max="79" width="17.33203125" customWidth="1"/>
    <col min="80" max="80" width="18.109375" customWidth="1"/>
    <col min="81" max="81" width="17.5546875" customWidth="1"/>
  </cols>
  <sheetData>
    <row r="1" spans="1:55" ht="21" x14ac:dyDescent="0.4">
      <c r="A1" s="85"/>
      <c r="B1" s="85"/>
      <c r="C1" s="85"/>
      <c r="D1" s="85"/>
      <c r="E1" s="85"/>
      <c r="F1" s="85"/>
      <c r="J1" s="32" t="s">
        <v>261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85"/>
      <c r="BC1" s="85"/>
    </row>
    <row r="2" spans="1:55" ht="28.5" customHeight="1" x14ac:dyDescent="0.3">
      <c r="P2" s="314" t="s">
        <v>540</v>
      </c>
      <c r="Q2" s="314"/>
      <c r="R2" s="25"/>
      <c r="S2" s="25"/>
      <c r="T2" s="25"/>
      <c r="U2" s="8"/>
      <c r="AD2"/>
      <c r="AQ2"/>
    </row>
    <row r="3" spans="1:55" ht="26.4" customHeight="1" thickBot="1" x14ac:dyDescent="0.35">
      <c r="J3" s="129" t="s">
        <v>2</v>
      </c>
      <c r="K3" s="130"/>
      <c r="N3" s="65"/>
      <c r="P3" s="128"/>
      <c r="Q3" s="128" t="s">
        <v>5</v>
      </c>
      <c r="R3" s="301" t="s">
        <v>6</v>
      </c>
      <c r="S3" s="302"/>
      <c r="T3" s="303">
        <v>2024</v>
      </c>
      <c r="U3" s="302"/>
      <c r="V3" s="293" t="s">
        <v>263</v>
      </c>
      <c r="W3" s="304"/>
      <c r="X3" s="305" t="s">
        <v>264</v>
      </c>
      <c r="Y3" s="305"/>
      <c r="Z3" s="311" t="s">
        <v>265</v>
      </c>
      <c r="AA3" s="312"/>
      <c r="AB3" s="313"/>
      <c r="AC3" s="300" t="s">
        <v>266</v>
      </c>
      <c r="AD3" s="300"/>
      <c r="AE3" s="297" t="s">
        <v>267</v>
      </c>
      <c r="AF3" s="298"/>
      <c r="AG3" s="308" t="s">
        <v>268</v>
      </c>
      <c r="AH3" s="309"/>
      <c r="AI3" s="310"/>
      <c r="AJ3" s="300">
        <v>2027</v>
      </c>
      <c r="AK3" s="294"/>
      <c r="AL3" s="293">
        <v>2028</v>
      </c>
      <c r="AM3" s="294"/>
      <c r="AN3" s="293">
        <v>2029</v>
      </c>
      <c r="AO3" s="294"/>
      <c r="AP3" s="293">
        <v>2030</v>
      </c>
      <c r="AQ3" s="294"/>
      <c r="AR3" s="293">
        <v>2031</v>
      </c>
      <c r="AS3" s="294"/>
      <c r="AT3" s="293">
        <v>2032</v>
      </c>
      <c r="AU3" s="294"/>
      <c r="AV3" s="293">
        <v>2033</v>
      </c>
      <c r="AW3" s="294"/>
      <c r="AX3" s="293">
        <v>2034</v>
      </c>
      <c r="AY3" s="294"/>
      <c r="AZ3" s="26" t="s">
        <v>269</v>
      </c>
      <c r="BA3" s="26" t="s">
        <v>8</v>
      </c>
    </row>
    <row r="4" spans="1:55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SUMIFS(Portefeuille_ProgPropose12[AC 2024],Portefeuille_ProgPropose12[DES_COMPL_NATR_COMPB],"=Fonctionnement")+SUMIFS(Portefeuille_ProgPropose12[TR 2024],Portefeuille_ProgPropose12[DES_COMPL_NATR_COMPB],"=Fonctionnement")</f>
        <v>0</v>
      </c>
      <c r="U4" s="260"/>
      <c r="V4" s="295">
        <f>SUMIFS(Portefeuille_ProgPropose12[AC 2025],Portefeuille_ProgPropose12[DES_COMPL_NATR_COMPB],"=Fonctionnement")+SUMIFS(Portefeuille_ProgPropose12[TR 2025],Portefeuille_ProgPropose12[DES_COMPL_NATR_COMPB],"=Fonctionnement")</f>
        <v>300</v>
      </c>
      <c r="W4" s="296"/>
      <c r="X4" s="260"/>
      <c r="Y4" s="260"/>
      <c r="Z4" s="106"/>
      <c r="AA4" s="78"/>
      <c r="AB4" s="107"/>
      <c r="AC4" s="260">
        <f>SUMIFS(Portefeuille_ProgPropose12[AC 2026],Portefeuille_ProgPropose12[DES_COMPL_NATR_COMPB],"=Fonctionnement")+SUMIFS(Portefeuille_ProgPropose12[TR 2026],Portefeuille_ProgPropose12[DES_COMPL_NATR_COMPB],"=Fonctionnement")</f>
        <v>0</v>
      </c>
      <c r="AD4" s="260"/>
      <c r="AE4" s="279"/>
      <c r="AF4" s="280"/>
      <c r="AG4" s="106"/>
      <c r="AH4" s="78"/>
      <c r="AI4" s="107"/>
      <c r="AJ4" s="260">
        <f>SUMIFS(Portefeuille_ProgPropose12[AC 2027],Portefeuille_ProgPropose12[DES_COMPL_NATR_COMPB],"=Fonctionnement")+SUMIFS(Portefeuille_ProgPropose12[TR 2027],Portefeuille_ProgPropose12[DES_COMPL_NATR_COMPB],"=Fonctionnement")</f>
        <v>0</v>
      </c>
      <c r="AK4" s="260"/>
      <c r="AL4" s="260">
        <f>SUMIFS(Portefeuille_ProgPropose12[AC 2028],Portefeuille_ProgPropose12[DES_COMPL_NATR_COMPB],"=Fonctionnement")+SUMIFS(Portefeuille_ProgPropose12[TR 2028],Portefeuille_ProgPropose12[DES_COMPL_NATR_COMPB],"=Fonctionnement")</f>
        <v>0</v>
      </c>
      <c r="AM4" s="260"/>
      <c r="AN4" s="260">
        <f>SUMIFS(Portefeuille_ProgPropose12[AC 2029],Portefeuille_ProgPropose12[DES_COMPL_NATR_COMPB],"=Fonctionnement")+SUMIFS(Portefeuille_ProgPropose12[TR 2029],Portefeuille_ProgPropose12[DES_COMPL_NATR_COMPB],"=Fonctionnement")</f>
        <v>0</v>
      </c>
      <c r="AO4" s="260"/>
      <c r="AP4" s="260">
        <f>SUMIFS(Portefeuille_ProgPropose12[AC 2030],Portefeuille_ProgPropose12[DES_COMPL_NATR_COMPB],"=Fonctionnement")+SUMIFS(Portefeuille_ProgPropose12[TR 2030],Portefeuille_ProgPropose12[DES_COMPL_NATR_COMPB],"=Fonctionnement")</f>
        <v>0</v>
      </c>
      <c r="AQ4" s="260"/>
      <c r="AR4" s="260">
        <f>SUMIFS(Portefeuille_ProgPropose12[AC 2031],Portefeuille_ProgPropose12[DES_COMPL_NATR_COMPB],"=Fonctionnement")+SUMIFS(Portefeuille_ProgPropose12[TR 2031],Portefeuille_ProgPropose12[DES_COMPL_NATR_COMPB],"=Fonctionnement")</f>
        <v>0</v>
      </c>
      <c r="AS4" s="260"/>
      <c r="AT4" s="260">
        <f>SUMIFS(Portefeuille_ProgPropose12[AC 2032],Portefeuille_ProgPropose12[DES_COMPL_NATR_COMPB],"=Fonctionnement")+SUMIFS(Portefeuille_ProgPropose12[TR 2032],Portefeuille_ProgPropose12[DES_COMPL_NATR_COMPB],"=Fonctionnement")</f>
        <v>0</v>
      </c>
      <c r="AU4" s="260"/>
      <c r="AV4" s="260">
        <f>SUMIFS(Portefeuille_ProgPropose12[AC 2033],Portefeuille_ProgPropose12[DES_COMPL_NATR_COMPB],"=Fonctionnement")+SUMIFS(Portefeuille_ProgPropose12[TR 2033],Portefeuille_ProgPropose12[DES_COMPL_NATR_COMPB],"=Fonctionnement")</f>
        <v>0</v>
      </c>
      <c r="AW4" s="260"/>
      <c r="AX4" s="260">
        <f>SUMIFS(Portefeuille_ProgPropose12[AC 2034],Portefeuille_ProgPropose12[DES_COMPL_NATR_COMPB],"=Fonctionnement")+SUMIFS(Portefeuille_ProgPropose12[TR 2034],Portefeuille_ProgPropose12[DES_COMPL_NATR_COMPB],"=Fonctionnement")</f>
        <v>0</v>
      </c>
      <c r="AY4" s="260"/>
      <c r="AZ4" s="16">
        <f>SUM(V4,AC4)</f>
        <v>300</v>
      </c>
      <c r="BA4" s="16">
        <f>SUM(V4,AC4,AJ4:AY4)</f>
        <v>300</v>
      </c>
    </row>
    <row r="5" spans="1:55" x14ac:dyDescent="0.3">
      <c r="J5" s="27" t="s">
        <v>12</v>
      </c>
      <c r="K5" s="28" t="s">
        <v>13</v>
      </c>
      <c r="Q5" s="104" t="s">
        <v>15</v>
      </c>
      <c r="R5" s="279">
        <f>SUMIFS(Portefeuille_ProgPropose12[AC ANT],Portefeuille_ProgPropose12[État Composante AC],"=PR")</f>
        <v>9289</v>
      </c>
      <c r="S5" s="260"/>
      <c r="T5" s="260">
        <f>SUMIFS(Portefeuille_ProgPropose12[AC 2024],Portefeuille_ProgPropose12[État Composante AC],"=PR")</f>
        <v>3518</v>
      </c>
      <c r="U5" s="260"/>
      <c r="V5" s="260">
        <f>SUMIFS(Portefeuille_ProgPropose12[AC 2025],Portefeuille_ProgPropose12[État Composante AC],"=PR")</f>
        <v>9040</v>
      </c>
      <c r="W5" s="280"/>
      <c r="X5" s="260">
        <f>SUMIFS(Portefeuille_ProgPropose12[AC 2025 Trimestre précédent],Portefeuille_ProgPropose12[État Composante AC],"=PR")</f>
        <v>6926</v>
      </c>
      <c r="Y5" s="260"/>
      <c r="Z5" s="279">
        <f>SUMIFS(Portefeuille_ProgPropose12[Écart AC 2025],Portefeuille_ProgPropose12[État Composante AC],"=PR")</f>
        <v>2114</v>
      </c>
      <c r="AA5" s="260"/>
      <c r="AB5" s="280"/>
      <c r="AC5" s="260">
        <f>SUMIFS(Portefeuille_ProgPropose12[AC 2026],Portefeuille_ProgPropose12[État Composante AC],"=PR")</f>
        <v>9474</v>
      </c>
      <c r="AD5" s="260"/>
      <c r="AE5" s="279">
        <f>SUMIFS(Portefeuille_ProgPropose12[AC 2026 Trimestre précédent],Portefeuille_ProgPropose12[État Composante AC],"=PR")</f>
        <v>8384</v>
      </c>
      <c r="AF5" s="280"/>
      <c r="AG5" s="279">
        <f>SUMIFS(Portefeuille_ProgPropose12[Écart AC 2026],Portefeuille_ProgPropose12[État Composante AC],"=PR")</f>
        <v>1090</v>
      </c>
      <c r="AH5" s="260"/>
      <c r="AI5" s="280"/>
      <c r="AJ5" s="260">
        <f>SUMIFS(Portefeuille_ProgPropose12[AC 2027],Portefeuille_ProgPropose12[État Composante AC],"=PR")</f>
        <v>7237</v>
      </c>
      <c r="AK5" s="260"/>
      <c r="AL5" s="260">
        <f>SUMIFS(Portefeuille_ProgPropose12[AC 2028],Portefeuille_ProgPropose12[État Composante AC],"=PR")</f>
        <v>5716</v>
      </c>
      <c r="AM5" s="260"/>
      <c r="AN5" s="260">
        <f>SUMIFS(Portefeuille_ProgPropose12[AC 2029],Portefeuille_ProgPropose12[État Composante AC],"=PR")</f>
        <v>2785</v>
      </c>
      <c r="AO5" s="260"/>
      <c r="AP5" s="260">
        <f>SUMIFS(Portefeuille_ProgPropose12[AC 2030],Portefeuille_ProgPropose12[État Composante AC],"=PR")</f>
        <v>2362</v>
      </c>
      <c r="AQ5" s="260"/>
      <c r="AR5" s="260">
        <f>SUMIFS(Portefeuille_ProgPropose12[AC 2031],Portefeuille_ProgPropose12[État Composante AC],"=PR")</f>
        <v>1822</v>
      </c>
      <c r="AS5" s="260"/>
      <c r="AT5" s="260">
        <f>SUMIFS(Portefeuille_ProgPropose12[AC 2032],Portefeuille_ProgPropose12[État Composante AC],"=PR")</f>
        <v>0</v>
      </c>
      <c r="AU5" s="260"/>
      <c r="AV5" s="260">
        <f>SUMIFS(Portefeuille_ProgPropose12[AC 2033],Portefeuille_ProgPropose12[État Composante AC],"=PR")</f>
        <v>0</v>
      </c>
      <c r="AW5" s="260"/>
      <c r="AX5" s="260">
        <f>SUMIFS(Portefeuille_ProgPropose12[AC 2034],Portefeuille_ProgPropose12[État Composante AC],"=PR")</f>
        <v>0</v>
      </c>
      <c r="AY5" s="260"/>
      <c r="AZ5" s="16">
        <f t="shared" ref="AZ5:AZ12" si="0">SUM(V5,AC5)</f>
        <v>18514</v>
      </c>
      <c r="BA5" s="16">
        <f t="shared" ref="BA5:BA9" si="1">SUM(V5,AC5,AJ5:AY5)</f>
        <v>38436</v>
      </c>
    </row>
    <row r="6" spans="1:55" x14ac:dyDescent="0.3">
      <c r="J6" s="29" t="s">
        <v>16</v>
      </c>
      <c r="K6" s="28" t="s">
        <v>17</v>
      </c>
      <c r="Q6" s="83" t="s">
        <v>19</v>
      </c>
      <c r="R6" s="279">
        <f>SUMIFS(Portefeuille_ProgPropose12[TR ANT],Portefeuille_ProgPropose12[État Composante TR],"=PR")</f>
        <v>38398</v>
      </c>
      <c r="S6" s="260"/>
      <c r="T6" s="260">
        <f>SUMIFS(Portefeuille_ProgPropose12[TR 2024],Portefeuille_ProgPropose12[État Composante TR],"=PR")</f>
        <v>32257</v>
      </c>
      <c r="U6" s="260"/>
      <c r="V6" s="260">
        <f>SUMIFS(Portefeuille_ProgPropose12[TR 2025],Portefeuille_ProgPropose12[État Composante TR],"=PR")</f>
        <v>16813</v>
      </c>
      <c r="W6" s="280"/>
      <c r="X6" s="260">
        <f>SUMIFS(Portefeuille_ProgPropose12[TR 2025 Trimestre précédent],Portefeuille_ProgPropose12[État Composante TR],"=PR")</f>
        <v>27070</v>
      </c>
      <c r="Y6" s="260"/>
      <c r="Z6" s="279">
        <f>SUMIFS(Portefeuille_ProgPropose12[Écart TR 2025],Portefeuille_ProgPropose12[État Composante TR],"=PR")</f>
        <v>-10257</v>
      </c>
      <c r="AA6" s="260"/>
      <c r="AB6" s="280"/>
      <c r="AC6" s="260">
        <f>SUMIFS(Portefeuille_ProgPropose12[TR 2026],Portefeuille_ProgPropose12[État Composante TR],"=PR")</f>
        <v>20502</v>
      </c>
      <c r="AD6" s="260"/>
      <c r="AE6" s="279">
        <f>SUMIFS(Portefeuille_ProgPropose12[TR 2026 Trimestre précédent],Portefeuille_ProgPropose12[État Composante TR],"=PR")</f>
        <v>15531</v>
      </c>
      <c r="AF6" s="280"/>
      <c r="AG6" s="279">
        <f>SUMIFS(Portefeuille_ProgPropose12[Écart TR 2026],Portefeuille_ProgPropose12[État Composante TR],"=PR")</f>
        <v>4971</v>
      </c>
      <c r="AH6" s="260"/>
      <c r="AI6" s="280"/>
      <c r="AJ6" s="260">
        <f>SUMIFS(Portefeuille_ProgPropose12[TR 2027],Portefeuille_ProgPropose12[État Composante TR],"=PR")</f>
        <v>0</v>
      </c>
      <c r="AK6" s="260"/>
      <c r="AL6" s="260">
        <f>SUMIFS(Portefeuille_ProgPropose12[TR 2028],Portefeuille_ProgPropose12[État Composante TR],"=PR")</f>
        <v>0</v>
      </c>
      <c r="AM6" s="260"/>
      <c r="AN6" s="260">
        <f>SUMIFS(Portefeuille_ProgPropose12[TR 2029],Portefeuille_ProgPropose12[État Composante TR],"=PR")</f>
        <v>0</v>
      </c>
      <c r="AO6" s="260"/>
      <c r="AP6" s="260">
        <f>SUMIFS(Portefeuille_ProgPropose12[TR 2030],Portefeuille_ProgPropose12[État Composante TR],"=PR")</f>
        <v>0</v>
      </c>
      <c r="AQ6" s="260"/>
      <c r="AR6" s="260">
        <f>SUMIFS(Portefeuille_ProgPropose12[TR 2031],Portefeuille_ProgPropose12[État Composante TR],"=PR")</f>
        <v>0</v>
      </c>
      <c r="AS6" s="260"/>
      <c r="AT6" s="260">
        <f>SUMIFS(Portefeuille_ProgPropose12[TR 2032],Portefeuille_ProgPropose12[État Composante TR],"=PR")</f>
        <v>0</v>
      </c>
      <c r="AU6" s="260"/>
      <c r="AV6" s="260">
        <f>SUMIFS(Portefeuille_ProgPropose12[TR 2033],Portefeuille_ProgPropose12[État Composante TR],"=PR")</f>
        <v>0</v>
      </c>
      <c r="AW6" s="260"/>
      <c r="AX6" s="260">
        <f>SUMIFS(Portefeuille_ProgPropose12[TR 2034],Portefeuille_ProgPropose12[État Composante TR],"=PR")</f>
        <v>0</v>
      </c>
      <c r="AY6" s="260"/>
      <c r="AZ6" s="16">
        <f t="shared" si="0"/>
        <v>37315</v>
      </c>
      <c r="BA6" s="16">
        <f t="shared" si="1"/>
        <v>37315</v>
      </c>
    </row>
    <row r="7" spans="1:55" x14ac:dyDescent="0.3">
      <c r="J7" s="29" t="s">
        <v>20</v>
      </c>
      <c r="K7" s="28" t="s">
        <v>21</v>
      </c>
      <c r="P7" s="127"/>
      <c r="Q7" s="116" t="s">
        <v>23</v>
      </c>
      <c r="R7" s="288">
        <f>R5+R6</f>
        <v>47687</v>
      </c>
      <c r="S7" s="262"/>
      <c r="T7" s="262">
        <f>T5+T6</f>
        <v>35775</v>
      </c>
      <c r="U7" s="262"/>
      <c r="V7" s="262">
        <f>V5+V6</f>
        <v>25853</v>
      </c>
      <c r="W7" s="289"/>
      <c r="X7" s="262">
        <f>X5+X6</f>
        <v>33996</v>
      </c>
      <c r="Y7" s="262"/>
      <c r="Z7" s="288">
        <f>Z5+Z6</f>
        <v>-8143</v>
      </c>
      <c r="AA7" s="262"/>
      <c r="AB7" s="289"/>
      <c r="AC7" s="290">
        <f>AC5+AC6</f>
        <v>29976</v>
      </c>
      <c r="AD7" s="291"/>
      <c r="AE7" s="288">
        <f>AE5+AE6</f>
        <v>23915</v>
      </c>
      <c r="AF7" s="289"/>
      <c r="AG7" s="290">
        <f>AG5+AG6</f>
        <v>6061</v>
      </c>
      <c r="AH7" s="292"/>
      <c r="AI7" s="291"/>
      <c r="AJ7" s="262">
        <f>AJ5+AJ6</f>
        <v>7237</v>
      </c>
      <c r="AK7" s="262"/>
      <c r="AL7" s="262">
        <f>AL5+AL6</f>
        <v>5716</v>
      </c>
      <c r="AM7" s="262"/>
      <c r="AN7" s="262">
        <f>AN5+AN6</f>
        <v>2785</v>
      </c>
      <c r="AO7" s="262"/>
      <c r="AP7" s="262">
        <f>AP5+AP6</f>
        <v>2362</v>
      </c>
      <c r="AQ7" s="262"/>
      <c r="AR7" s="262">
        <f>AR5+AR6</f>
        <v>1822</v>
      </c>
      <c r="AS7" s="262"/>
      <c r="AT7" s="262">
        <f>AT5+AT6</f>
        <v>0</v>
      </c>
      <c r="AU7" s="262"/>
      <c r="AV7" s="262">
        <f>AV5+AV6</f>
        <v>0</v>
      </c>
      <c r="AW7" s="262"/>
      <c r="AX7" s="262">
        <f>AX5+AX6</f>
        <v>0</v>
      </c>
      <c r="AY7" s="262"/>
      <c r="AZ7" s="20">
        <f t="shared" si="0"/>
        <v>55829</v>
      </c>
      <c r="BA7" s="20">
        <f t="shared" si="1"/>
        <v>75751</v>
      </c>
    </row>
    <row r="8" spans="1:55" x14ac:dyDescent="0.3">
      <c r="J8" s="131"/>
      <c r="K8" s="28" t="s">
        <v>270</v>
      </c>
      <c r="Q8" s="83" t="s">
        <v>25</v>
      </c>
      <c r="R8" s="279">
        <f>SUMIFS(Portefeuille_ProgPropose12[AC ANT],Portefeuille_ProgPropose12[État Composante AC],"&lt;&gt;PR")</f>
        <v>0</v>
      </c>
      <c r="S8" s="260"/>
      <c r="T8" s="260">
        <f>SUMIFS(Portefeuille_ProgPropose12[AC 2024],Portefeuille_ProgPropose12[État Composante AC],"&lt;&gt;PR")</f>
        <v>10</v>
      </c>
      <c r="U8" s="260"/>
      <c r="V8" s="260">
        <f>SUMIFS(Portefeuille_ProgPropose12[AC 2025],Portefeuille_ProgPropose12[État Composante AC],"&lt;&gt;PR")</f>
        <v>1190</v>
      </c>
      <c r="W8" s="280"/>
      <c r="X8" s="260">
        <f>SUMIFS(Portefeuille_ProgPropose12[AC 2025 Trimestre précédent],Portefeuille_ProgPropose12[État Composante AC],"&lt;&gt;PR")</f>
        <v>954</v>
      </c>
      <c r="Y8" s="260"/>
      <c r="Z8" s="279">
        <f>SUMIFS(Portefeuille_ProgPropose12[Écart AC 2025],Portefeuille_ProgPropose12[État Composante AC],"&lt;&gt;PR")</f>
        <v>236</v>
      </c>
      <c r="AA8" s="260"/>
      <c r="AB8" s="280"/>
      <c r="AC8" s="260">
        <f>SUMIFS(Portefeuille_ProgPropose12[AC 2026],Portefeuille_ProgPropose12[État Composante AC],"&lt;&gt;PR")</f>
        <v>1508</v>
      </c>
      <c r="AD8" s="260"/>
      <c r="AE8" s="279">
        <f>SUMIFS(Portefeuille_ProgPropose12[AC 2026 Trimestre précédent],Portefeuille_ProgPropose12[État Composante AC],"&lt;&gt;PR")</f>
        <v>1805</v>
      </c>
      <c r="AF8" s="280"/>
      <c r="AG8" s="279">
        <f>SUMIFS(Portefeuille_ProgPropose12[Écart AC 2026],Portefeuille_ProgPropose12[État Composante AC],"&lt;&gt;PR")</f>
        <v>-297</v>
      </c>
      <c r="AH8" s="260"/>
      <c r="AI8" s="280"/>
      <c r="AJ8" s="260">
        <f>SUMIFS(Portefeuille_ProgPropose12[AC 2027],Portefeuille_ProgPropose12[État Composante AC],"&lt;&gt;PR")</f>
        <v>3170</v>
      </c>
      <c r="AK8" s="260"/>
      <c r="AL8" s="260">
        <f>SUMIFS(Portefeuille_ProgPropose12[AC 2028],Portefeuille_ProgPropose12[État Composante AC],"&lt;&gt;PR")</f>
        <v>371</v>
      </c>
      <c r="AM8" s="260"/>
      <c r="AN8" s="260">
        <f>SUMIFS(Portefeuille_ProgPropose12[AC 2029],Portefeuille_ProgPropose12[État Composante AC],"&lt;&gt;PR")</f>
        <v>0</v>
      </c>
      <c r="AO8" s="260"/>
      <c r="AP8" s="260">
        <f>SUMIFS(Portefeuille_ProgPropose12[AC 2030],Portefeuille_ProgPropose12[État Composante AC],"&lt;&gt;PR")</f>
        <v>0</v>
      </c>
      <c r="AQ8" s="260"/>
      <c r="AR8" s="260">
        <f>SUMIFS(Portefeuille_ProgPropose12[AC 2031],Portefeuille_ProgPropose12[État Composante AC],"&lt;&gt;PR")</f>
        <v>0</v>
      </c>
      <c r="AS8" s="260"/>
      <c r="AT8" s="260">
        <f>SUMIFS(Portefeuille_ProgPropose12[AC 2032],Portefeuille_ProgPropose12[État Composante AC],"&lt;&gt;PR")</f>
        <v>0</v>
      </c>
      <c r="AU8" s="260"/>
      <c r="AV8" s="260">
        <f>SUMIFS(Portefeuille_ProgPropose12[AC 2033],Portefeuille_ProgPropose12[État Composante AC],"&lt;&gt;PR")</f>
        <v>0</v>
      </c>
      <c r="AW8" s="260"/>
      <c r="AX8" s="260">
        <f>SUMIFS(Portefeuille_ProgPropose12[AC 2034],Portefeuille_ProgPropose12[État Composante AC],"&lt;&gt;PR")</f>
        <v>0</v>
      </c>
      <c r="AY8" s="260"/>
      <c r="AZ8" s="16">
        <f t="shared" si="0"/>
        <v>2698</v>
      </c>
      <c r="BA8" s="16">
        <f t="shared" si="1"/>
        <v>6239</v>
      </c>
    </row>
    <row r="9" spans="1:55" x14ac:dyDescent="0.3">
      <c r="J9" s="176"/>
      <c r="K9" s="28" t="s">
        <v>271</v>
      </c>
      <c r="Q9" s="83" t="s">
        <v>27</v>
      </c>
      <c r="R9" s="279">
        <f>SUMIFS(Portefeuille_ProgPropose12[TR ANT],Portefeuille_ProgPropose12[État Composante TR],"&lt;&gt;PR")</f>
        <v>15</v>
      </c>
      <c r="S9" s="260"/>
      <c r="T9" s="260">
        <f>SUMIFS(Portefeuille_ProgPropose12[TR 2024],Portefeuille_ProgPropose12[État Composante TR],"&lt;&gt;PR")</f>
        <v>0</v>
      </c>
      <c r="U9" s="260"/>
      <c r="V9" s="260">
        <f>SUMIFS(Portefeuille_ProgPropose12[TR 2025],Portefeuille_ProgPropose12[État Composante TR],"&lt;&gt;PR")</f>
        <v>33465</v>
      </c>
      <c r="W9" s="280"/>
      <c r="X9" s="260">
        <f>SUMIFS(Portefeuille_ProgPropose12[TR 2025 Trimestre précédent],Portefeuille_ProgPropose12[État Composante TR],"&lt;&gt;PR")</f>
        <v>32265</v>
      </c>
      <c r="Y9" s="260"/>
      <c r="Z9" s="279">
        <f>SUMIFS(Portefeuille_ProgPropose12[Écart TR 2025],Portefeuille_ProgPropose12[État Composante TR],"&lt;&gt;PR")</f>
        <v>1200</v>
      </c>
      <c r="AA9" s="260"/>
      <c r="AB9" s="280"/>
      <c r="AC9" s="260">
        <f>SUMIFS(Portefeuille_ProgPropose12[TR 2026],Portefeuille_ProgPropose12[État Composante TR],"&lt;&gt;PR")</f>
        <v>46010</v>
      </c>
      <c r="AD9" s="260"/>
      <c r="AE9" s="279">
        <f>SUMIFS(Portefeuille_ProgPropose12[TR 2026 Trimestre précédent],Portefeuille_ProgPropose12[État Composante TR],"&lt;&gt;PR")</f>
        <v>45566</v>
      </c>
      <c r="AF9" s="280"/>
      <c r="AG9" s="279">
        <f>SUMIFS(Portefeuille_ProgPropose12[Écart TR 2026],Portefeuille_ProgPropose12[État Composante TR],"&lt;&gt;PR")</f>
        <v>444</v>
      </c>
      <c r="AH9" s="260"/>
      <c r="AI9" s="280"/>
      <c r="AJ9" s="260">
        <f>SUMIFS(Portefeuille_ProgPropose12[TR 2027],Portefeuille_ProgPropose12[État Composante TR],"&lt;&gt;PR")</f>
        <v>93113</v>
      </c>
      <c r="AK9" s="260"/>
      <c r="AL9" s="260">
        <f>SUMIFS(Portefeuille_ProgPropose12[TR 2028],Portefeuille_ProgPropose12[État Composante TR],"&lt;&gt;PR")</f>
        <v>51067</v>
      </c>
      <c r="AM9" s="260"/>
      <c r="AN9" s="260">
        <f>SUMIFS(Portefeuille_ProgPropose12[TR 2029],Portefeuille_ProgPropose12[État Composante TR],"&lt;&gt;PR")</f>
        <v>37457</v>
      </c>
      <c r="AO9" s="260"/>
      <c r="AP9" s="260">
        <f>SUMIFS(Portefeuille_ProgPropose12[TR 2030],Portefeuille_ProgPropose12[État Composante TR],"&lt;&gt;PR")</f>
        <v>36208</v>
      </c>
      <c r="AQ9" s="260"/>
      <c r="AR9" s="260">
        <f>SUMIFS(Portefeuille_ProgPropose12[TR 2031],Portefeuille_ProgPropose12[État Composante TR],"&lt;&gt;PR")</f>
        <v>41119</v>
      </c>
      <c r="AS9" s="260"/>
      <c r="AT9" s="260">
        <f>SUMIFS(Portefeuille_ProgPropose12[TR 2032],Portefeuille_ProgPropose12[État Composante TR],"&lt;&gt;PR")</f>
        <v>0</v>
      </c>
      <c r="AU9" s="260"/>
      <c r="AV9" s="260">
        <f>SUMIFS(Portefeuille_ProgPropose12[TR 2033],Portefeuille_ProgPropose12[État Composante TR],"&lt;&gt;PR")</f>
        <v>0</v>
      </c>
      <c r="AW9" s="260"/>
      <c r="AX9" s="260">
        <f>SUMIFS(Portefeuille_ProgPropose12[TR 2034],Portefeuille_ProgPropose12[État Composante TR],"&lt;&gt;PR")</f>
        <v>0</v>
      </c>
      <c r="AY9" s="260"/>
      <c r="AZ9" s="16">
        <f t="shared" si="0"/>
        <v>79475</v>
      </c>
      <c r="BA9" s="16">
        <f t="shared" si="1"/>
        <v>338439</v>
      </c>
    </row>
    <row r="10" spans="1:55" ht="27" x14ac:dyDescent="0.3">
      <c r="J10" s="175"/>
      <c r="K10" s="177" t="s">
        <v>521</v>
      </c>
      <c r="P10" s="127"/>
      <c r="Q10" s="117" t="s">
        <v>29</v>
      </c>
      <c r="R10" s="288">
        <f>R8+R9</f>
        <v>15</v>
      </c>
      <c r="S10" s="262"/>
      <c r="T10" s="262">
        <f>T8+T9</f>
        <v>10</v>
      </c>
      <c r="U10" s="262"/>
      <c r="V10" s="262">
        <f>V8+V9</f>
        <v>34655</v>
      </c>
      <c r="W10" s="289"/>
      <c r="X10" s="262">
        <f>X8+X9</f>
        <v>33219</v>
      </c>
      <c r="Y10" s="262"/>
      <c r="Z10" s="288">
        <f>Z9+Z8</f>
        <v>1436</v>
      </c>
      <c r="AA10" s="262"/>
      <c r="AB10" s="289"/>
      <c r="AC10" s="262">
        <f>AC8+AC9</f>
        <v>47518</v>
      </c>
      <c r="AD10" s="262"/>
      <c r="AE10" s="288">
        <f>AE8+AE9</f>
        <v>47371</v>
      </c>
      <c r="AF10" s="289"/>
      <c r="AG10" s="288">
        <f>AG9+AG8</f>
        <v>147</v>
      </c>
      <c r="AH10" s="262"/>
      <c r="AI10" s="289"/>
      <c r="AJ10" s="262">
        <f>AJ8+AJ9</f>
        <v>96283</v>
      </c>
      <c r="AK10" s="262"/>
      <c r="AL10" s="262">
        <f>AL8+AL9</f>
        <v>51438</v>
      </c>
      <c r="AM10" s="262"/>
      <c r="AN10" s="262">
        <f>AN8+AN9</f>
        <v>37457</v>
      </c>
      <c r="AO10" s="262"/>
      <c r="AP10" s="262">
        <f>AP8+AP9</f>
        <v>36208</v>
      </c>
      <c r="AQ10" s="262"/>
      <c r="AR10" s="262">
        <f>AR8+AR9</f>
        <v>41119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0">
        <f t="shared" si="0"/>
        <v>82173</v>
      </c>
      <c r="BA10" s="20">
        <f>SUM(V10,AC10,AJ10:AY10)</f>
        <v>344678</v>
      </c>
    </row>
    <row r="11" spans="1:55" s="133" customFormat="1" ht="13.8" x14ac:dyDescent="0.3">
      <c r="P11" s="134"/>
      <c r="Q11" s="135" t="s">
        <v>272</v>
      </c>
      <c r="R11" s="286">
        <f>R10+R7</f>
        <v>47702</v>
      </c>
      <c r="S11" s="284"/>
      <c r="T11" s="285">
        <f>T10+T7</f>
        <v>35785</v>
      </c>
      <c r="U11" s="284"/>
      <c r="V11" s="285">
        <f>V10+V7</f>
        <v>60508</v>
      </c>
      <c r="W11" s="287"/>
      <c r="X11" s="283">
        <f>X10+X7-X4</f>
        <v>67215</v>
      </c>
      <c r="Y11" s="283"/>
      <c r="Z11" s="286">
        <f>Z10+Z7</f>
        <v>-6707</v>
      </c>
      <c r="AA11" s="283"/>
      <c r="AB11" s="287"/>
      <c r="AC11" s="286">
        <f>AC10+AC7-AC4</f>
        <v>77494</v>
      </c>
      <c r="AD11" s="287"/>
      <c r="AE11" s="286">
        <f t="shared" ref="AE11" si="2">AE10+AE7-AE4</f>
        <v>71286</v>
      </c>
      <c r="AF11" s="287"/>
      <c r="AG11" s="286">
        <f>AG10+AG7</f>
        <v>6208</v>
      </c>
      <c r="AH11" s="283"/>
      <c r="AI11" s="287"/>
      <c r="AJ11" s="283">
        <f t="shared" ref="AJ11" si="3">AJ10+AJ7-AJ4</f>
        <v>103520</v>
      </c>
      <c r="AK11" s="284"/>
      <c r="AL11" s="285">
        <f t="shared" ref="AL11" si="4">AL10+AL7-AL4</f>
        <v>57154</v>
      </c>
      <c r="AM11" s="284"/>
      <c r="AN11" s="285">
        <f t="shared" ref="AN11" si="5">AN10+AN7-AN4</f>
        <v>40242</v>
      </c>
      <c r="AO11" s="284"/>
      <c r="AP11" s="285">
        <f t="shared" ref="AP11" si="6">AP10+AP7-AP4</f>
        <v>38570</v>
      </c>
      <c r="AQ11" s="284"/>
      <c r="AR11" s="285">
        <f t="shared" ref="AR11" si="7">AR10+AR7-AR4</f>
        <v>42941</v>
      </c>
      <c r="AS11" s="284"/>
      <c r="AT11" s="285">
        <f t="shared" ref="AT11" si="8">AT10+AT7-AT4</f>
        <v>0</v>
      </c>
      <c r="AU11" s="284"/>
      <c r="AV11" s="285">
        <f t="shared" ref="AV11" si="9">AV10+AV7-AV4</f>
        <v>0</v>
      </c>
      <c r="AW11" s="284"/>
      <c r="AX11" s="285">
        <f t="shared" ref="AX11" si="10">AX10+AX7-AX4</f>
        <v>0</v>
      </c>
      <c r="AY11" s="284"/>
      <c r="AZ11" s="105">
        <f t="shared" si="0"/>
        <v>138002</v>
      </c>
      <c r="BA11" s="105">
        <f>SUM(V11,AC11,AJ11:AY11)</f>
        <v>420429</v>
      </c>
      <c r="BB11" s="136"/>
    </row>
    <row r="12" spans="1:55" x14ac:dyDescent="0.3">
      <c r="Q12" s="83" t="s">
        <v>32</v>
      </c>
      <c r="R12" s="279"/>
      <c r="S12" s="260"/>
      <c r="T12" s="260"/>
      <c r="U12" s="260"/>
      <c r="V12" s="260"/>
      <c r="W12" s="280"/>
      <c r="X12" s="281"/>
      <c r="Y12" s="282"/>
      <c r="Z12" s="108"/>
      <c r="AA12" s="95"/>
      <c r="AB12" s="109"/>
      <c r="AC12" s="260"/>
      <c r="AD12" s="260"/>
      <c r="AE12" s="279">
        <v>0</v>
      </c>
      <c r="AF12" s="280"/>
      <c r="AG12" s="108"/>
      <c r="AH12" s="95"/>
      <c r="AI12" s="123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>
        <v>0</v>
      </c>
      <c r="AU12" s="260"/>
      <c r="AV12" s="260">
        <v>0</v>
      </c>
      <c r="AW12" s="260"/>
      <c r="AX12" s="260">
        <v>0</v>
      </c>
      <c r="AY12" s="260"/>
      <c r="AZ12" s="78">
        <f t="shared" si="0"/>
        <v>0</v>
      </c>
      <c r="BA12" s="78">
        <f>SUM(AJ12:AY12,V12,AC12)</f>
        <v>0</v>
      </c>
    </row>
    <row r="13" spans="1:55" ht="15.6" x14ac:dyDescent="0.3">
      <c r="P13" s="126"/>
      <c r="Q13" s="118" t="s">
        <v>33</v>
      </c>
      <c r="R13" s="120"/>
      <c r="S13" s="64"/>
      <c r="T13" s="258">
        <f>T12+T11</f>
        <v>35785</v>
      </c>
      <c r="U13" s="259"/>
      <c r="V13" s="258">
        <f>V12+V11</f>
        <v>60508</v>
      </c>
      <c r="W13" s="277"/>
      <c r="X13" s="261">
        <f>X12+X11</f>
        <v>67215</v>
      </c>
      <c r="Y13" s="261"/>
      <c r="Z13" s="110"/>
      <c r="AA13" s="96"/>
      <c r="AB13" s="111"/>
      <c r="AC13" s="261">
        <f>AC12+AC11</f>
        <v>77494</v>
      </c>
      <c r="AD13" s="261"/>
      <c r="AE13" s="278">
        <f>AE12+AE11</f>
        <v>71286</v>
      </c>
      <c r="AF13" s="277"/>
      <c r="AG13" s="110"/>
      <c r="AH13" s="96"/>
      <c r="AI13" s="111"/>
      <c r="AJ13" s="261">
        <f>AJ12+AJ11</f>
        <v>103520</v>
      </c>
      <c r="AK13" s="259"/>
      <c r="AL13" s="258">
        <f t="shared" ref="AL13" si="11">AL12+AL11</f>
        <v>57154</v>
      </c>
      <c r="AM13" s="259"/>
      <c r="AN13" s="258">
        <f t="shared" ref="AN13" si="12">AN12+AN11</f>
        <v>40242</v>
      </c>
      <c r="AO13" s="259"/>
      <c r="AP13" s="258">
        <f t="shared" ref="AP13" si="13">AP12+AP11</f>
        <v>38570</v>
      </c>
      <c r="AQ13" s="259"/>
      <c r="AR13" s="258">
        <f t="shared" ref="AR13" si="14">AR12+AR11</f>
        <v>42941</v>
      </c>
      <c r="AS13" s="259"/>
      <c r="AT13" s="258">
        <f t="shared" ref="AT13" si="15">AT12+AT11</f>
        <v>0</v>
      </c>
      <c r="AU13" s="259"/>
      <c r="AV13" s="258">
        <f t="shared" ref="AV13" si="16">AV12+AV11</f>
        <v>0</v>
      </c>
      <c r="AW13" s="259"/>
      <c r="AX13" s="258">
        <f t="shared" ref="AX13" si="17">AX12+AX11</f>
        <v>0</v>
      </c>
      <c r="AY13" s="259"/>
      <c r="AZ13" s="21">
        <f>AZ12+AZ11</f>
        <v>138002</v>
      </c>
      <c r="BA13" s="21">
        <f>BA12+BA11</f>
        <v>420429</v>
      </c>
    </row>
    <row r="14" spans="1:55" ht="15.6" x14ac:dyDescent="0.3">
      <c r="Q14" s="84" t="s">
        <v>539</v>
      </c>
      <c r="R14" s="270"/>
      <c r="S14" s="257"/>
      <c r="T14" s="256"/>
      <c r="U14" s="257"/>
      <c r="V14" s="256">
        <v>75500</v>
      </c>
      <c r="W14" s="271"/>
      <c r="X14" s="272">
        <v>67215</v>
      </c>
      <c r="Y14" s="272"/>
      <c r="Z14" s="112"/>
      <c r="AA14" s="81"/>
      <c r="AB14" s="100"/>
      <c r="AC14" s="270">
        <v>74960</v>
      </c>
      <c r="AD14" s="271"/>
      <c r="AE14" s="270">
        <v>75500</v>
      </c>
      <c r="AF14" s="271"/>
      <c r="AG14" s="112"/>
      <c r="AH14" s="81"/>
      <c r="AI14" s="100"/>
      <c r="AJ14" s="272">
        <v>75500</v>
      </c>
      <c r="AK14" s="257"/>
      <c r="AL14" s="256">
        <v>75500</v>
      </c>
      <c r="AM14" s="257"/>
      <c r="AN14" s="256">
        <v>75500</v>
      </c>
      <c r="AO14" s="257"/>
      <c r="AP14" s="256">
        <v>75500</v>
      </c>
      <c r="AQ14" s="257"/>
      <c r="AR14" s="256">
        <v>75500</v>
      </c>
      <c r="AS14" s="257"/>
      <c r="AT14" s="256">
        <v>75500</v>
      </c>
      <c r="AU14" s="257"/>
      <c r="AV14" s="256">
        <v>75500</v>
      </c>
      <c r="AW14" s="257"/>
      <c r="AX14" s="256">
        <v>75500</v>
      </c>
      <c r="AY14" s="257"/>
      <c r="AZ14" s="17">
        <f>SUM(V14,AC14)</f>
        <v>150460</v>
      </c>
      <c r="BA14" s="17">
        <f>SUM(V14,AC14,AJ14:AY14)</f>
        <v>754460</v>
      </c>
      <c r="BB14" s="98"/>
    </row>
    <row r="15" spans="1:55" ht="15.6" x14ac:dyDescent="0.3">
      <c r="P15" s="86"/>
      <c r="Q15" s="174" t="s">
        <v>35</v>
      </c>
      <c r="R15" s="268"/>
      <c r="S15" s="253"/>
      <c r="T15" s="252"/>
      <c r="U15" s="253"/>
      <c r="V15" s="252">
        <f>V14-V13</f>
        <v>14992</v>
      </c>
      <c r="W15" s="269"/>
      <c r="X15" s="253">
        <f>X14-X13</f>
        <v>0</v>
      </c>
      <c r="Y15" s="253"/>
      <c r="Z15" s="94"/>
      <c r="AA15" s="79"/>
      <c r="AB15" s="101"/>
      <c r="AC15" s="268">
        <f>AC14-AC13</f>
        <v>-2534</v>
      </c>
      <c r="AD15" s="269"/>
      <c r="AE15" s="268">
        <f>AE14-AE13</f>
        <v>4214</v>
      </c>
      <c r="AF15" s="269"/>
      <c r="AG15" s="94"/>
      <c r="AH15" s="79"/>
      <c r="AI15" s="101"/>
      <c r="AJ15" s="253">
        <f t="shared" ref="AJ15" si="18">AJ14-AJ13</f>
        <v>-28020</v>
      </c>
      <c r="AK15" s="253"/>
      <c r="AL15" s="252">
        <f t="shared" ref="AL15" si="19">AL14-AL13</f>
        <v>18346</v>
      </c>
      <c r="AM15" s="253"/>
      <c r="AN15" s="252">
        <f t="shared" ref="AN15" si="20">AN14-AN13</f>
        <v>35258</v>
      </c>
      <c r="AO15" s="253"/>
      <c r="AP15" s="252">
        <f t="shared" ref="AP15" si="21">AP14-AP13</f>
        <v>36930</v>
      </c>
      <c r="AQ15" s="253"/>
      <c r="AR15" s="252">
        <f t="shared" ref="AR15" si="22">AR14-AR13</f>
        <v>32559</v>
      </c>
      <c r="AS15" s="253"/>
      <c r="AT15" s="252">
        <f t="shared" ref="AT15" si="23">AT14-AT13</f>
        <v>75500</v>
      </c>
      <c r="AU15" s="253"/>
      <c r="AV15" s="252">
        <f t="shared" ref="AV15" si="24">AV14-AV13</f>
        <v>75500</v>
      </c>
      <c r="AW15" s="253"/>
      <c r="AX15" s="252">
        <f t="shared" ref="AX15" si="25">AX14-AX13</f>
        <v>75500</v>
      </c>
      <c r="AY15" s="253"/>
      <c r="AZ15" s="173">
        <f>AZ14-AZ13</f>
        <v>12458</v>
      </c>
      <c r="BA15" s="23">
        <f>BA14-BA13</f>
        <v>334031</v>
      </c>
      <c r="BB15" s="98"/>
    </row>
    <row r="16" spans="1:55" ht="16.2" thickBot="1" x14ac:dyDescent="0.35">
      <c r="Q16" s="119" t="s">
        <v>36</v>
      </c>
      <c r="R16" s="273"/>
      <c r="S16" s="274"/>
      <c r="T16" s="254"/>
      <c r="U16" s="255"/>
      <c r="V16" s="254">
        <f t="shared" ref="V16:X16" si="26">(V13-V14)/V14</f>
        <v>-0.19856953642384106</v>
      </c>
      <c r="W16" s="275"/>
      <c r="X16" s="255">
        <f t="shared" si="26"/>
        <v>0</v>
      </c>
      <c r="Y16" s="255"/>
      <c r="Z16" s="113"/>
      <c r="AA16" s="114"/>
      <c r="AB16" s="115"/>
      <c r="AC16" s="255">
        <f t="shared" ref="AC16" si="27">(AC13-AC14)/AC14</f>
        <v>3.3804695837780147E-2</v>
      </c>
      <c r="AD16" s="255"/>
      <c r="AE16" s="276">
        <f>(AE14-AE13)/AE14</f>
        <v>5.5814569536423844E-2</v>
      </c>
      <c r="AF16" s="275"/>
      <c r="AG16" s="121"/>
      <c r="AH16" s="122"/>
      <c r="AI16" s="124"/>
      <c r="AJ16" s="255">
        <f t="shared" ref="AJ16" si="28">(AJ14-AJ13)/AJ14</f>
        <v>-0.37112582781456954</v>
      </c>
      <c r="AK16" s="255"/>
      <c r="AL16" s="254">
        <f t="shared" ref="AL16" si="29">(AL14-AL13)/AL14</f>
        <v>0.24299337748344371</v>
      </c>
      <c r="AM16" s="255"/>
      <c r="AN16" s="254">
        <f t="shared" ref="AN16" si="30">(AN14-AN13)/AN14</f>
        <v>0.46699337748344372</v>
      </c>
      <c r="AO16" s="255"/>
      <c r="AP16" s="254">
        <f t="shared" ref="AP16" si="31">(AP14-AP13)/AP14</f>
        <v>0.4891390728476821</v>
      </c>
      <c r="AQ16" s="255"/>
      <c r="AR16" s="254">
        <f t="shared" ref="AR16" si="32">(AR14-AR13)/AR14</f>
        <v>0.43124503311258278</v>
      </c>
      <c r="AS16" s="255"/>
      <c r="AT16" s="254">
        <f t="shared" ref="AT16" si="33">(AT14-AT13)/AT14</f>
        <v>1</v>
      </c>
      <c r="AU16" s="255"/>
      <c r="AV16" s="254">
        <f t="shared" ref="AV16" si="34">(AV14-AV13)/AV14</f>
        <v>1</v>
      </c>
      <c r="AW16" s="255"/>
      <c r="AX16" s="254">
        <f t="shared" ref="AX16" si="35">(AX14-AX13)/AX14</f>
        <v>1</v>
      </c>
      <c r="AY16" s="255"/>
      <c r="AZ16" s="97">
        <f>(AZ13-AZ14)/AZ14</f>
        <v>-8.279941512694404E-2</v>
      </c>
      <c r="BA16" s="125">
        <f>(BA13-BA14)/BA14</f>
        <v>-0.44274182859263578</v>
      </c>
    </row>
    <row r="17" spans="1:52" s="11" customFormat="1" ht="75.599999999999994" customHeight="1" x14ac:dyDescent="0.3">
      <c r="A17" s="11" t="s">
        <v>273</v>
      </c>
      <c r="B17" s="11" t="s">
        <v>274</v>
      </c>
      <c r="C17" s="11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11" t="s">
        <v>42</v>
      </c>
      <c r="I17" s="11" t="s">
        <v>44</v>
      </c>
      <c r="J17" s="11" t="s">
        <v>45</v>
      </c>
      <c r="K17" s="11" t="s">
        <v>46</v>
      </c>
      <c r="L17" s="11" t="s">
        <v>47</v>
      </c>
      <c r="M17" s="11" t="s">
        <v>48</v>
      </c>
      <c r="N17" s="11" t="s">
        <v>49</v>
      </c>
      <c r="O17" s="11" t="s">
        <v>50</v>
      </c>
      <c r="P17" s="11" t="s">
        <v>51</v>
      </c>
      <c r="Q17" s="11" t="s">
        <v>52</v>
      </c>
      <c r="R17" s="9" t="s">
        <v>76</v>
      </c>
      <c r="S17" s="9" t="s">
        <v>77</v>
      </c>
      <c r="T17" s="9" t="s">
        <v>78</v>
      </c>
      <c r="U17" s="9" t="s">
        <v>79</v>
      </c>
      <c r="V17" s="11" t="s">
        <v>80</v>
      </c>
      <c r="W17" s="11" t="s">
        <v>81</v>
      </c>
      <c r="X17" s="92" t="s">
        <v>275</v>
      </c>
      <c r="Y17" s="92" t="s">
        <v>276</v>
      </c>
      <c r="Z17" s="99" t="s">
        <v>277</v>
      </c>
      <c r="AA17" s="99" t="s">
        <v>278</v>
      </c>
      <c r="AB17" s="99" t="s">
        <v>279</v>
      </c>
      <c r="AC17" s="11" t="s">
        <v>82</v>
      </c>
      <c r="AD17" s="11" t="s">
        <v>83</v>
      </c>
      <c r="AE17" s="92" t="s">
        <v>281</v>
      </c>
      <c r="AF17" s="92" t="s">
        <v>282</v>
      </c>
      <c r="AG17" s="93" t="s">
        <v>283</v>
      </c>
      <c r="AH17" s="93" t="s">
        <v>284</v>
      </c>
      <c r="AI17" s="93" t="s">
        <v>285</v>
      </c>
      <c r="AJ17" s="11" t="s">
        <v>84</v>
      </c>
      <c r="AK17" s="11" t="s">
        <v>85</v>
      </c>
      <c r="AL17" s="11" t="s">
        <v>86</v>
      </c>
      <c r="AM17" s="11" t="s">
        <v>87</v>
      </c>
      <c r="AN17" s="11" t="s">
        <v>88</v>
      </c>
      <c r="AO17" s="11" t="s">
        <v>89</v>
      </c>
      <c r="AP17" s="11" t="s">
        <v>90</v>
      </c>
      <c r="AQ17" s="11" t="s">
        <v>91</v>
      </c>
      <c r="AR17" s="11" t="s">
        <v>92</v>
      </c>
      <c r="AS17" s="11" t="s">
        <v>93</v>
      </c>
      <c r="AT17" s="11" t="s">
        <v>94</v>
      </c>
      <c r="AU17" s="11" t="s">
        <v>95</v>
      </c>
      <c r="AV17" s="11" t="s">
        <v>96</v>
      </c>
      <c r="AW17" s="11" t="s">
        <v>97</v>
      </c>
      <c r="AX17" s="11" t="s">
        <v>98</v>
      </c>
      <c r="AY17" s="11" t="s">
        <v>99</v>
      </c>
      <c r="AZ17" s="11" t="s">
        <v>100</v>
      </c>
    </row>
    <row r="18" spans="1:52" hidden="1" x14ac:dyDescent="0.3">
      <c r="A18" t="s">
        <v>286</v>
      </c>
      <c r="C18" t="s">
        <v>126</v>
      </c>
      <c r="D18" t="s">
        <v>127</v>
      </c>
      <c r="E18" t="s">
        <v>136</v>
      </c>
      <c r="F18" t="s">
        <v>104</v>
      </c>
      <c r="G18" t="s">
        <v>16</v>
      </c>
      <c r="H18" t="s">
        <v>16</v>
      </c>
      <c r="I18" t="s">
        <v>105</v>
      </c>
      <c r="J18" t="s">
        <v>162</v>
      </c>
      <c r="K18" t="s">
        <v>163</v>
      </c>
      <c r="L18" t="s">
        <v>122</v>
      </c>
      <c r="M18" t="s">
        <v>176</v>
      </c>
      <c r="N18" t="s">
        <v>164</v>
      </c>
      <c r="O18" s="1"/>
      <c r="P18" s="1"/>
      <c r="Q18" s="1"/>
      <c r="R18">
        <v>5398</v>
      </c>
      <c r="S18">
        <v>28152</v>
      </c>
      <c r="T18">
        <v>79</v>
      </c>
      <c r="U18">
        <v>891</v>
      </c>
      <c r="V18">
        <v>399</v>
      </c>
      <c r="W18">
        <v>67</v>
      </c>
      <c r="X18">
        <v>49</v>
      </c>
      <c r="Y18">
        <v>67</v>
      </c>
      <c r="Z18">
        <f>Portefeuille_ProgPropose12[[#This Row],[AC 2025]]-Portefeuille_ProgPropose12[[#This Row],[AC 2025 Trimestre précédent]]</f>
        <v>350</v>
      </c>
      <c r="AA18">
        <f>Portefeuille_ProgPropose12[[#This Row],[TR 2025]]-Portefeuille_ProgPropose12[[#This Row],[TR 2025 Trimestre précédent]]</f>
        <v>0</v>
      </c>
      <c r="AB18">
        <f>Portefeuille_ProgPropose12[[#This Row],[Écart AC 2025]]+Portefeuille_ProgPropose12[[#This Row],[Écart TR 2025]]</f>
        <v>350</v>
      </c>
      <c r="AC18">
        <v>60</v>
      </c>
      <c r="AD18"/>
      <c r="AE18">
        <v>30</v>
      </c>
      <c r="AG18">
        <f>Portefeuille_ProgPropose12[[#This Row],[AC 2026]]-Portefeuille_ProgPropose12[[#This Row],[AC 2026 Trimestre précédent]]</f>
        <v>30</v>
      </c>
      <c r="AH18">
        <f>Portefeuille_ProgPropose12[[#This Row],[TR 2026]]-Portefeuille_ProgPropose12[[#This Row],[TR 2026 Trimestre précédent]]</f>
        <v>0</v>
      </c>
      <c r="AI18">
        <f>Portefeuille_ProgPropose12[[#This Row],[Écart AC 2026]]+Portefeuille_ProgPropose12[[#This Row],[Écart TR 2026]]</f>
        <v>30</v>
      </c>
      <c r="AQ18"/>
      <c r="AZ18" s="14">
        <f>SUM(Portefeuille_ProgPropose12[[#This Row],[AC ANT]:[TR 2025]],Portefeuille_ProgPropose12[[#This Row],[AC 2026]:[TR 2026]],Portefeuille_ProgPropose12[[#This Row],[AC 2027]:[TR 2034]])</f>
        <v>35046</v>
      </c>
    </row>
    <row r="19" spans="1:52" hidden="1" x14ac:dyDescent="0.3">
      <c r="A19" t="s">
        <v>286</v>
      </c>
      <c r="C19" t="s">
        <v>101</v>
      </c>
      <c r="D19" t="s">
        <v>102</v>
      </c>
      <c r="E19" t="s">
        <v>103</v>
      </c>
      <c r="F19" t="s">
        <v>140</v>
      </c>
      <c r="G19" t="s">
        <v>16</v>
      </c>
      <c r="H19" t="s">
        <v>16</v>
      </c>
      <c r="I19" t="s">
        <v>105</v>
      </c>
      <c r="J19" t="s">
        <v>174</v>
      </c>
      <c r="K19" t="s">
        <v>175</v>
      </c>
      <c r="L19" t="s">
        <v>143</v>
      </c>
      <c r="M19" s="2" t="s">
        <v>176</v>
      </c>
      <c r="N19" t="s">
        <v>164</v>
      </c>
      <c r="O19" s="1">
        <v>44014</v>
      </c>
      <c r="P19" s="1">
        <v>44294</v>
      </c>
      <c r="Q19" s="1">
        <v>45239</v>
      </c>
      <c r="R19">
        <v>389</v>
      </c>
      <c r="S19">
        <v>4986</v>
      </c>
      <c r="T19">
        <v>729</v>
      </c>
      <c r="U19">
        <v>28833</v>
      </c>
      <c r="V19">
        <v>399</v>
      </c>
      <c r="W19">
        <v>11768</v>
      </c>
      <c r="X19">
        <v>300</v>
      </c>
      <c r="Y19">
        <v>16142</v>
      </c>
      <c r="Z19">
        <f>Portefeuille_ProgPropose12[[#This Row],[AC 2025]]-Portefeuille_ProgPropose12[[#This Row],[AC 2025 Trimestre précédent]]</f>
        <v>99</v>
      </c>
      <c r="AA19">
        <f>Portefeuille_ProgPropose12[[#This Row],[TR 2025]]-Portefeuille_ProgPropose12[[#This Row],[TR 2025 Trimestre précédent]]</f>
        <v>-4374</v>
      </c>
      <c r="AB19">
        <f>Portefeuille_ProgPropose12[[#This Row],[Écart AC 2025]]+Portefeuille_ProgPropose12[[#This Row],[Écart TR 2025]]</f>
        <v>-4275</v>
      </c>
      <c r="AD19"/>
      <c r="AG19">
        <f>Portefeuille_ProgPropose12[[#This Row],[AC 2026]]-Portefeuille_ProgPropose12[[#This Row],[AC 2026 Trimestre précédent]]</f>
        <v>0</v>
      </c>
      <c r="AH19">
        <f>Portefeuille_ProgPropose12[[#This Row],[TR 2026]]-Portefeuille_ProgPropose12[[#This Row],[TR 2026 Trimestre précédent]]</f>
        <v>0</v>
      </c>
      <c r="AI19">
        <f>Portefeuille_ProgPropose12[[#This Row],[Écart AC 2026]]+Portefeuille_ProgPropose12[[#This Row],[Écart TR 2026]]</f>
        <v>0</v>
      </c>
      <c r="AQ19"/>
      <c r="AZ19" s="14">
        <f>SUM(Portefeuille_ProgPropose12[[#This Row],[AC ANT]:[TR 2025]],Portefeuille_ProgPropose12[[#This Row],[AC 2026]:[TR 2026]],Portefeuille_ProgPropose12[[#This Row],[AC 2027]:[TR 2034]])</f>
        <v>47104</v>
      </c>
    </row>
    <row r="20" spans="1:52" hidden="1" x14ac:dyDescent="0.3">
      <c r="A20" t="s">
        <v>286</v>
      </c>
      <c r="C20" t="s">
        <v>101</v>
      </c>
      <c r="D20" t="s">
        <v>102</v>
      </c>
      <c r="E20" t="s">
        <v>136</v>
      </c>
      <c r="F20" t="s">
        <v>104</v>
      </c>
      <c r="G20" t="s">
        <v>16</v>
      </c>
      <c r="H20" t="s">
        <v>130</v>
      </c>
      <c r="I20" t="s">
        <v>105</v>
      </c>
      <c r="J20" t="s">
        <v>170</v>
      </c>
      <c r="K20" t="s">
        <v>171</v>
      </c>
      <c r="L20" t="s">
        <v>172</v>
      </c>
      <c r="M20" t="s">
        <v>173</v>
      </c>
      <c r="N20" t="s">
        <v>110</v>
      </c>
      <c r="O20" s="1">
        <v>44833</v>
      </c>
      <c r="P20" s="1">
        <v>46006</v>
      </c>
      <c r="Q20" s="1">
        <v>46310</v>
      </c>
      <c r="R20">
        <v>497</v>
      </c>
      <c r="S20">
        <v>8</v>
      </c>
      <c r="T20">
        <v>217</v>
      </c>
      <c r="V20">
        <v>1064</v>
      </c>
      <c r="X20">
        <v>443</v>
      </c>
      <c r="Z20">
        <f>Portefeuille_ProgPropose12[[#This Row],[AC 2025]]-Portefeuille_ProgPropose12[[#This Row],[AC 2025 Trimestre précédent]]</f>
        <v>621</v>
      </c>
      <c r="AA20">
        <f>Portefeuille_ProgPropose12[[#This Row],[TR 2025]]-Portefeuille_ProgPropose12[[#This Row],[TR 2025 Trimestre précédent]]</f>
        <v>0</v>
      </c>
      <c r="AB20">
        <f>Portefeuille_ProgPropose12[[#This Row],[Écart AC 2025]]+Portefeuille_ProgPropose12[[#This Row],[Écart TR 2025]]</f>
        <v>621</v>
      </c>
      <c r="AC20">
        <v>1008</v>
      </c>
      <c r="AD20"/>
      <c r="AE20">
        <v>346</v>
      </c>
      <c r="AG20">
        <f>Portefeuille_ProgPropose12[[#This Row],[AC 2026]]-Portefeuille_ProgPropose12[[#This Row],[AC 2026 Trimestre précédent]]</f>
        <v>662</v>
      </c>
      <c r="AH20">
        <f>Portefeuille_ProgPropose12[[#This Row],[TR 2026]]-Portefeuille_ProgPropose12[[#This Row],[TR 2026 Trimestre précédent]]</f>
        <v>0</v>
      </c>
      <c r="AI20">
        <f>Portefeuille_ProgPropose12[[#This Row],[Écart AC 2026]]+Portefeuille_ProgPropose12[[#This Row],[Écart TR 2026]]</f>
        <v>662</v>
      </c>
      <c r="AJ20">
        <v>1886</v>
      </c>
      <c r="AK20">
        <v>15737</v>
      </c>
      <c r="AL20">
        <v>704</v>
      </c>
      <c r="AM20">
        <v>4000</v>
      </c>
      <c r="AQ20"/>
      <c r="AZ20" s="14">
        <f>SUM(Portefeuille_ProgPropose12[[#This Row],[AC ANT]:[TR 2025]],Portefeuille_ProgPropose12[[#This Row],[AC 2026]:[TR 2026]],Portefeuille_ProgPropose12[[#This Row],[AC 2027]:[TR 2034]])</f>
        <v>25121</v>
      </c>
    </row>
    <row r="21" spans="1:52" hidden="1" x14ac:dyDescent="0.3">
      <c r="A21" t="s">
        <v>286</v>
      </c>
      <c r="C21" t="s">
        <v>101</v>
      </c>
      <c r="D21" t="s">
        <v>102</v>
      </c>
      <c r="E21" t="s">
        <v>177</v>
      </c>
      <c r="F21" t="s">
        <v>129</v>
      </c>
      <c r="G21" t="s">
        <v>16</v>
      </c>
      <c r="H21" t="s">
        <v>16</v>
      </c>
      <c r="I21" t="s">
        <v>131</v>
      </c>
      <c r="J21" t="s">
        <v>178</v>
      </c>
      <c r="K21" t="s">
        <v>179</v>
      </c>
      <c r="L21" t="s">
        <v>180</v>
      </c>
      <c r="M21" t="s">
        <v>176</v>
      </c>
      <c r="N21" t="s">
        <v>164</v>
      </c>
      <c r="O21" s="1"/>
      <c r="P21" s="1"/>
      <c r="Q21" s="1">
        <v>45195</v>
      </c>
      <c r="R21">
        <v>75</v>
      </c>
      <c r="S21">
        <v>101.00000000000001</v>
      </c>
      <c r="T21">
        <v>25</v>
      </c>
      <c r="U21">
        <v>1110</v>
      </c>
      <c r="V21">
        <v>73</v>
      </c>
      <c r="W21">
        <v>580</v>
      </c>
      <c r="X21">
        <v>15</v>
      </c>
      <c r="Y21">
        <v>548</v>
      </c>
      <c r="Z21">
        <f>Portefeuille_ProgPropose12[[#This Row],[AC 2025]]-Portefeuille_ProgPropose12[[#This Row],[AC 2025 Trimestre précédent]]</f>
        <v>58</v>
      </c>
      <c r="AA21">
        <f>Portefeuille_ProgPropose12[[#This Row],[TR 2025]]-Portefeuille_ProgPropose12[[#This Row],[TR 2025 Trimestre précédent]]</f>
        <v>32</v>
      </c>
      <c r="AB21">
        <f>Portefeuille_ProgPropose12[[#This Row],[Écart AC 2025]]+Portefeuille_ProgPropose12[[#This Row],[Écart TR 2025]]</f>
        <v>90</v>
      </c>
      <c r="AD21"/>
      <c r="AG21">
        <f>Portefeuille_ProgPropose12[[#This Row],[AC 2026]]-Portefeuille_ProgPropose12[[#This Row],[AC 2026 Trimestre précédent]]</f>
        <v>0</v>
      </c>
      <c r="AH21">
        <f>Portefeuille_ProgPropose12[[#This Row],[TR 2026]]-Portefeuille_ProgPropose12[[#This Row],[TR 2026 Trimestre précédent]]</f>
        <v>0</v>
      </c>
      <c r="AI21">
        <f>Portefeuille_ProgPropose12[[#This Row],[Écart AC 2026]]+Portefeuille_ProgPropose12[[#This Row],[Écart TR 2026]]</f>
        <v>0</v>
      </c>
      <c r="AQ21"/>
      <c r="AZ21" s="14">
        <f>SUM(Portefeuille_ProgPropose12[[#This Row],[AC ANT]:[TR 2025]],Portefeuille_ProgPropose12[[#This Row],[AC 2026]:[TR 2026]],Portefeuille_ProgPropose12[[#This Row],[AC 2027]:[TR 2034]])</f>
        <v>1964</v>
      </c>
    </row>
    <row r="22" spans="1:52" hidden="1" x14ac:dyDescent="0.3">
      <c r="A22" t="s">
        <v>286</v>
      </c>
      <c r="C22" t="s">
        <v>101</v>
      </c>
      <c r="D22" t="s">
        <v>102</v>
      </c>
      <c r="E22" t="s">
        <v>136</v>
      </c>
      <c r="F22" t="s">
        <v>113</v>
      </c>
      <c r="G22" t="s">
        <v>16</v>
      </c>
      <c r="H22" t="s">
        <v>20</v>
      </c>
      <c r="I22" t="s">
        <v>105</v>
      </c>
      <c r="J22" t="s">
        <v>166</v>
      </c>
      <c r="K22" t="s">
        <v>167</v>
      </c>
      <c r="L22" t="s">
        <v>168</v>
      </c>
      <c r="M22" t="s">
        <v>169</v>
      </c>
      <c r="N22" t="s">
        <v>155</v>
      </c>
      <c r="O22" s="1">
        <v>45884</v>
      </c>
      <c r="P22" s="1">
        <v>46402</v>
      </c>
      <c r="Q22" s="1">
        <v>46980</v>
      </c>
      <c r="R22">
        <v>71</v>
      </c>
      <c r="T22">
        <v>5</v>
      </c>
      <c r="V22">
        <v>120</v>
      </c>
      <c r="X22">
        <v>120</v>
      </c>
      <c r="Z22">
        <f>Portefeuille_ProgPropose12[[#This Row],[AC 2025]]-Portefeuille_ProgPropose12[[#This Row],[AC 2025 Trimestre précédent]]</f>
        <v>0</v>
      </c>
      <c r="AA22">
        <f>Portefeuille_ProgPropose12[[#This Row],[TR 2025]]-Portefeuille_ProgPropose12[[#This Row],[TR 2025 Trimestre précédent]]</f>
        <v>0</v>
      </c>
      <c r="AB22">
        <f>Portefeuille_ProgPropose12[[#This Row],[Écart AC 2025]]+Portefeuille_ProgPropose12[[#This Row],[Écart TR 2025]]</f>
        <v>0</v>
      </c>
      <c r="AC22">
        <v>210</v>
      </c>
      <c r="AD22"/>
      <c r="AE22">
        <v>210</v>
      </c>
      <c r="AG22">
        <f>Portefeuille_ProgPropose12[[#This Row],[AC 2026]]-Portefeuille_ProgPropose12[[#This Row],[AC 2026 Trimestre précédent]]</f>
        <v>0</v>
      </c>
      <c r="AH22">
        <f>Portefeuille_ProgPropose12[[#This Row],[TR 2026]]-Portefeuille_ProgPropose12[[#This Row],[TR 2026 Trimestre précédent]]</f>
        <v>0</v>
      </c>
      <c r="AI22">
        <f>Portefeuille_ProgPropose12[[#This Row],[Écart AC 2026]]+Portefeuille_ProgPropose12[[#This Row],[Écart TR 2026]]</f>
        <v>0</v>
      </c>
      <c r="AJ22">
        <v>310</v>
      </c>
      <c r="AL22">
        <v>310</v>
      </c>
      <c r="AN22">
        <v>395</v>
      </c>
      <c r="AO22">
        <v>2000</v>
      </c>
      <c r="AP22">
        <v>395</v>
      </c>
      <c r="AQ22">
        <v>2000</v>
      </c>
      <c r="AR22">
        <v>395</v>
      </c>
      <c r="AS22">
        <v>18319</v>
      </c>
      <c r="AZ22" s="14">
        <f>SUM(Portefeuille_ProgPropose12[[#This Row],[AC ANT]:[TR 2025]],Portefeuille_ProgPropose12[[#This Row],[AC 2026]:[TR 2026]],Portefeuille_ProgPropose12[[#This Row],[AC 2027]:[TR 2034]])</f>
        <v>24530</v>
      </c>
    </row>
    <row r="23" spans="1:52" hidden="1" x14ac:dyDescent="0.3">
      <c r="A23" t="s">
        <v>286</v>
      </c>
      <c r="C23" t="s">
        <v>118</v>
      </c>
      <c r="D23" t="s">
        <v>102</v>
      </c>
      <c r="E23" t="s">
        <v>103</v>
      </c>
      <c r="F23" t="s">
        <v>149</v>
      </c>
      <c r="G23" t="s">
        <v>16</v>
      </c>
      <c r="H23" t="s">
        <v>16</v>
      </c>
      <c r="I23" t="s">
        <v>131</v>
      </c>
      <c r="J23" t="s">
        <v>192</v>
      </c>
      <c r="K23" t="s">
        <v>193</v>
      </c>
      <c r="L23" t="s">
        <v>194</v>
      </c>
      <c r="M23" t="s">
        <v>176</v>
      </c>
      <c r="N23" t="s">
        <v>164</v>
      </c>
      <c r="O23" s="1">
        <v>44547</v>
      </c>
      <c r="P23" s="1">
        <v>45091</v>
      </c>
      <c r="Q23" s="1">
        <v>45375</v>
      </c>
      <c r="R23">
        <v>7</v>
      </c>
      <c r="T23">
        <v>81</v>
      </c>
      <c r="U23">
        <v>1350</v>
      </c>
      <c r="V23">
        <v>185</v>
      </c>
      <c r="W23">
        <v>4398</v>
      </c>
      <c r="X23">
        <v>185</v>
      </c>
      <c r="Y23">
        <v>5471</v>
      </c>
      <c r="Z23">
        <f>Portefeuille_ProgPropose12[[#This Row],[AC 2025]]-Portefeuille_ProgPropose12[[#This Row],[AC 2025 Trimestre précédent]]</f>
        <v>0</v>
      </c>
      <c r="AA23">
        <f>Portefeuille_ProgPropose12[[#This Row],[TR 2025]]-Portefeuille_ProgPropose12[[#This Row],[TR 2025 Trimestre précédent]]</f>
        <v>-1073</v>
      </c>
      <c r="AB23">
        <f>Portefeuille_ProgPropose12[[#This Row],[Écart AC 2025]]+Portefeuille_ProgPropose12[[#This Row],[Écart TR 2025]]</f>
        <v>-1073</v>
      </c>
      <c r="AD23"/>
      <c r="AG23">
        <f>Portefeuille_ProgPropose12[[#This Row],[AC 2026]]-Portefeuille_ProgPropose12[[#This Row],[AC 2026 Trimestre précédent]]</f>
        <v>0</v>
      </c>
      <c r="AH23">
        <f>Portefeuille_ProgPropose12[[#This Row],[TR 2026]]-Portefeuille_ProgPropose12[[#This Row],[TR 2026 Trimestre précédent]]</f>
        <v>0</v>
      </c>
      <c r="AI23">
        <f>Portefeuille_ProgPropose12[[#This Row],[Écart AC 2026]]+Portefeuille_ProgPropose12[[#This Row],[Écart TR 2026]]</f>
        <v>0</v>
      </c>
      <c r="AQ23"/>
      <c r="AZ23" s="14">
        <f>SUM(Portefeuille_ProgPropose12[[#This Row],[AC ANT]:[TR 2025]],Portefeuille_ProgPropose12[[#This Row],[AC 2026]:[TR 2026]],Portefeuille_ProgPropose12[[#This Row],[AC 2027]:[TR 2034]])</f>
        <v>6021</v>
      </c>
    </row>
    <row r="24" spans="1:52" hidden="1" x14ac:dyDescent="0.3">
      <c r="A24" t="s">
        <v>286</v>
      </c>
      <c r="C24" t="s">
        <v>101</v>
      </c>
      <c r="D24" t="s">
        <v>102</v>
      </c>
      <c r="E24" t="s">
        <v>136</v>
      </c>
      <c r="F24" t="s">
        <v>113</v>
      </c>
      <c r="G24" t="s">
        <v>16</v>
      </c>
      <c r="H24" t="s">
        <v>16</v>
      </c>
      <c r="I24" t="s">
        <v>131</v>
      </c>
      <c r="J24" t="s">
        <v>137</v>
      </c>
      <c r="K24" t="s">
        <v>138</v>
      </c>
      <c r="L24" t="s">
        <v>139</v>
      </c>
      <c r="M24" t="s">
        <v>109</v>
      </c>
      <c r="N24" t="s">
        <v>123</v>
      </c>
      <c r="O24" s="1">
        <v>45062</v>
      </c>
      <c r="P24" s="1">
        <v>45698</v>
      </c>
      <c r="Q24" s="1">
        <v>45962</v>
      </c>
      <c r="R24">
        <v>337</v>
      </c>
      <c r="S24">
        <v>41</v>
      </c>
      <c r="T24">
        <v>336</v>
      </c>
      <c r="V24">
        <v>355</v>
      </c>
      <c r="X24">
        <v>340</v>
      </c>
      <c r="Z24">
        <f>Portefeuille_ProgPropose12[[#This Row],[AC 2025]]-Portefeuille_ProgPropose12[[#This Row],[AC 2025 Trimestre précédent]]</f>
        <v>15</v>
      </c>
      <c r="AA24">
        <f>Portefeuille_ProgPropose12[[#This Row],[TR 2025]]-Portefeuille_ProgPropose12[[#This Row],[TR 2025 Trimestre précédent]]</f>
        <v>0</v>
      </c>
      <c r="AB24">
        <f>Portefeuille_ProgPropose12[[#This Row],[Écart AC 2025]]+Portefeuille_ProgPropose12[[#This Row],[Écart TR 2025]]</f>
        <v>15</v>
      </c>
      <c r="AC24">
        <v>1006</v>
      </c>
      <c r="AD24">
        <v>5870</v>
      </c>
      <c r="AE24">
        <v>1377</v>
      </c>
      <c r="AF24">
        <v>5741</v>
      </c>
      <c r="AG24">
        <f>Portefeuille_ProgPropose12[[#This Row],[AC 2026]]-Portefeuille_ProgPropose12[[#This Row],[AC 2026 Trimestre précédent]]</f>
        <v>-371</v>
      </c>
      <c r="AH24">
        <f>Portefeuille_ProgPropose12[[#This Row],[TR 2026]]-Portefeuille_ProgPropose12[[#This Row],[TR 2026 Trimestre précédent]]</f>
        <v>129</v>
      </c>
      <c r="AI24">
        <f>Portefeuille_ProgPropose12[[#This Row],[Écart AC 2026]]+Portefeuille_ProgPropose12[[#This Row],[Écart TR 2026]]</f>
        <v>-242</v>
      </c>
      <c r="AQ24"/>
      <c r="AZ24" s="14">
        <f>SUM(Portefeuille_ProgPropose12[[#This Row],[AC ANT]:[TR 2025]],Portefeuille_ProgPropose12[[#This Row],[AC 2026]:[TR 2026]],Portefeuille_ProgPropose12[[#This Row],[AC 2027]:[TR 2034]])</f>
        <v>7945</v>
      </c>
    </row>
    <row r="25" spans="1:52" hidden="1" x14ac:dyDescent="0.3">
      <c r="A25" t="s">
        <v>286</v>
      </c>
      <c r="B25">
        <v>1</v>
      </c>
      <c r="C25" t="s">
        <v>101</v>
      </c>
      <c r="D25" t="s">
        <v>102</v>
      </c>
      <c r="E25" t="s">
        <v>103</v>
      </c>
      <c r="F25" t="s">
        <v>104</v>
      </c>
      <c r="G25" t="s">
        <v>16</v>
      </c>
      <c r="H25" t="s">
        <v>130</v>
      </c>
      <c r="I25" t="s">
        <v>105</v>
      </c>
      <c r="J25" t="s">
        <v>215</v>
      </c>
      <c r="K25" t="s">
        <v>216</v>
      </c>
      <c r="L25" t="s">
        <v>217</v>
      </c>
      <c r="M25" t="s">
        <v>148</v>
      </c>
      <c r="N25" t="s">
        <v>164</v>
      </c>
      <c r="O25" s="1">
        <v>44838</v>
      </c>
      <c r="P25" s="1">
        <v>45441</v>
      </c>
      <c r="Q25" s="1">
        <v>45623</v>
      </c>
      <c r="R25">
        <v>218</v>
      </c>
      <c r="S25">
        <v>3</v>
      </c>
      <c r="T25">
        <v>98</v>
      </c>
      <c r="V25">
        <v>641</v>
      </c>
      <c r="W25">
        <v>12563</v>
      </c>
      <c r="X25">
        <v>641</v>
      </c>
      <c r="Y25">
        <v>11754</v>
      </c>
      <c r="Z25">
        <f>Portefeuille_ProgPropose12[[#This Row],[AC 2025]]-Portefeuille_ProgPropose12[[#This Row],[AC 2025 Trimestre précédent]]</f>
        <v>0</v>
      </c>
      <c r="AA25">
        <f>Portefeuille_ProgPropose12[[#This Row],[TR 2025]]-Portefeuille_ProgPropose12[[#This Row],[TR 2025 Trimestre précédent]]</f>
        <v>809</v>
      </c>
      <c r="AB25">
        <f>Portefeuille_ProgPropose12[[#This Row],[Écart AC 2025]]+Portefeuille_ProgPropose12[[#This Row],[Écart TR 2025]]</f>
        <v>809</v>
      </c>
      <c r="AD25"/>
      <c r="AG25">
        <f>Portefeuille_ProgPropose12[[#This Row],[AC 2026]]-Portefeuille_ProgPropose12[[#This Row],[AC 2026 Trimestre précédent]]</f>
        <v>0</v>
      </c>
      <c r="AH25">
        <f>Portefeuille_ProgPropose12[[#This Row],[TR 2026]]-Portefeuille_ProgPropose12[[#This Row],[TR 2026 Trimestre précédent]]</f>
        <v>0</v>
      </c>
      <c r="AI25">
        <f>Portefeuille_ProgPropose12[[#This Row],[Écart AC 2026]]+Portefeuille_ProgPropose12[[#This Row],[Écart TR 2026]]</f>
        <v>0</v>
      </c>
      <c r="AQ25"/>
      <c r="AZ25" s="14">
        <f>SUM(Portefeuille_ProgPropose12[[#This Row],[AC ANT]:[TR 2025]],Portefeuille_ProgPropose12[[#This Row],[AC 2026]:[TR 2026]],Portefeuille_ProgPropose12[[#This Row],[AC 2027]:[TR 2034]])</f>
        <v>13523</v>
      </c>
    </row>
    <row r="26" spans="1:52" hidden="1" x14ac:dyDescent="0.3">
      <c r="A26" t="s">
        <v>286</v>
      </c>
      <c r="C26" t="s">
        <v>126</v>
      </c>
      <c r="D26" t="s">
        <v>127</v>
      </c>
      <c r="E26" t="s">
        <v>103</v>
      </c>
      <c r="F26" t="s">
        <v>144</v>
      </c>
      <c r="G26" t="s">
        <v>16</v>
      </c>
      <c r="H26" t="s">
        <v>16</v>
      </c>
      <c r="I26" t="s">
        <v>131</v>
      </c>
      <c r="J26" t="s">
        <v>145</v>
      </c>
      <c r="K26" t="s">
        <v>146</v>
      </c>
      <c r="L26" t="s">
        <v>147</v>
      </c>
      <c r="M26" t="s">
        <v>109</v>
      </c>
      <c r="N26" t="s">
        <v>110</v>
      </c>
      <c r="O26" s="1">
        <v>44609</v>
      </c>
      <c r="P26" s="1">
        <v>45778</v>
      </c>
      <c r="Q26" s="1">
        <v>45853</v>
      </c>
      <c r="R26">
        <v>117</v>
      </c>
      <c r="T26">
        <v>159</v>
      </c>
      <c r="V26">
        <v>105</v>
      </c>
      <c r="X26">
        <v>230</v>
      </c>
      <c r="Y26">
        <v>4842</v>
      </c>
      <c r="Z26">
        <f>Portefeuille_ProgPropose12[[#This Row],[AC 2025]]-Portefeuille_ProgPropose12[[#This Row],[AC 2025 Trimestre précédent]]</f>
        <v>-125</v>
      </c>
      <c r="AA26">
        <f>Portefeuille_ProgPropose12[[#This Row],[TR 2025]]-Portefeuille_ProgPropose12[[#This Row],[TR 2025 Trimestre précédent]]</f>
        <v>-4842</v>
      </c>
      <c r="AB26">
        <f>Portefeuille_ProgPropose12[[#This Row],[Écart AC 2025]]+Portefeuille_ProgPropose12[[#This Row],[Écart TR 2025]]</f>
        <v>-4967</v>
      </c>
      <c r="AC26">
        <v>342</v>
      </c>
      <c r="AD26">
        <v>9684</v>
      </c>
      <c r="AE26">
        <v>130</v>
      </c>
      <c r="AF26">
        <v>4842</v>
      </c>
      <c r="AG26">
        <f>Portefeuille_ProgPropose12[[#This Row],[AC 2026]]-Portefeuille_ProgPropose12[[#This Row],[AC 2026 Trimestre précédent]]</f>
        <v>212</v>
      </c>
      <c r="AH26">
        <f>Portefeuille_ProgPropose12[[#This Row],[TR 2026]]-Portefeuille_ProgPropose12[[#This Row],[TR 2026 Trimestre précédent]]</f>
        <v>4842</v>
      </c>
      <c r="AI26">
        <f>Portefeuille_ProgPropose12[[#This Row],[Écart AC 2026]]+Portefeuille_ProgPropose12[[#This Row],[Écart TR 2026]]</f>
        <v>5054</v>
      </c>
      <c r="AQ26"/>
      <c r="AZ26" s="14">
        <f>SUM(Portefeuille_ProgPropose12[[#This Row],[AC ANT]:[TR 2025]],Portefeuille_ProgPropose12[[#This Row],[AC 2026]:[TR 2026]],Portefeuille_ProgPropose12[[#This Row],[AC 2027]:[TR 2034]])</f>
        <v>10407</v>
      </c>
    </row>
    <row r="27" spans="1:52" hidden="1" x14ac:dyDescent="0.3">
      <c r="A27" t="s">
        <v>286</v>
      </c>
      <c r="C27" t="s">
        <v>101</v>
      </c>
      <c r="D27" t="s">
        <v>102</v>
      </c>
      <c r="E27" t="s">
        <v>200</v>
      </c>
      <c r="F27" t="s">
        <v>104</v>
      </c>
      <c r="G27" t="s">
        <v>16</v>
      </c>
      <c r="H27" t="s">
        <v>16</v>
      </c>
      <c r="I27" t="s">
        <v>105</v>
      </c>
      <c r="J27" t="s">
        <v>330</v>
      </c>
      <c r="K27" t="s">
        <v>331</v>
      </c>
      <c r="L27" t="s">
        <v>180</v>
      </c>
      <c r="M27" t="s">
        <v>176</v>
      </c>
      <c r="N27" t="s">
        <v>164</v>
      </c>
      <c r="O27" s="1">
        <v>43360</v>
      </c>
      <c r="P27" s="1">
        <v>43671</v>
      </c>
      <c r="Q27" s="1">
        <v>44217</v>
      </c>
      <c r="R27">
        <v>432</v>
      </c>
      <c r="S27">
        <v>3057</v>
      </c>
      <c r="T27">
        <v>260</v>
      </c>
      <c r="U27">
        <v>73</v>
      </c>
      <c r="V27">
        <v>13</v>
      </c>
      <c r="Z27">
        <f>Portefeuille_ProgPropose12[[#This Row],[AC 2025]]-Portefeuille_ProgPropose12[[#This Row],[AC 2025 Trimestre précédent]]</f>
        <v>13</v>
      </c>
      <c r="AA27">
        <f>Portefeuille_ProgPropose12[[#This Row],[TR 2025]]-Portefeuille_ProgPropose12[[#This Row],[TR 2025 Trimestre précédent]]</f>
        <v>0</v>
      </c>
      <c r="AB27">
        <f>Portefeuille_ProgPropose12[[#This Row],[Écart AC 2025]]+Portefeuille_ProgPropose12[[#This Row],[Écart TR 2025]]</f>
        <v>13</v>
      </c>
      <c r="AD27"/>
      <c r="AG27">
        <f>Portefeuille_ProgPropose12[[#This Row],[AC 2026]]-Portefeuille_ProgPropose12[[#This Row],[AC 2026 Trimestre précédent]]</f>
        <v>0</v>
      </c>
      <c r="AH27">
        <f>Portefeuille_ProgPropose12[[#This Row],[TR 2026]]-Portefeuille_ProgPropose12[[#This Row],[TR 2026 Trimestre précédent]]</f>
        <v>0</v>
      </c>
      <c r="AI27">
        <f>Portefeuille_ProgPropose12[[#This Row],[Écart AC 2026]]+Portefeuille_ProgPropose12[[#This Row],[Écart TR 2026]]</f>
        <v>0</v>
      </c>
      <c r="AQ27"/>
      <c r="AZ27" s="14">
        <f>SUM(Portefeuille_ProgPropose12[[#This Row],[AC ANT]:[TR 2025]],Portefeuille_ProgPropose12[[#This Row],[AC 2026]:[TR 2026]],Portefeuille_ProgPropose12[[#This Row],[AC 2027]:[TR 2034]])</f>
        <v>3835</v>
      </c>
    </row>
    <row r="28" spans="1:52" hidden="1" x14ac:dyDescent="0.3">
      <c r="A28" t="s">
        <v>286</v>
      </c>
      <c r="B28">
        <v>1</v>
      </c>
      <c r="C28" t="s">
        <v>118</v>
      </c>
      <c r="D28" t="s">
        <v>102</v>
      </c>
      <c r="E28" t="s">
        <v>136</v>
      </c>
      <c r="F28" t="s">
        <v>129</v>
      </c>
      <c r="G28" t="s">
        <v>16</v>
      </c>
      <c r="H28" t="s">
        <v>130</v>
      </c>
      <c r="I28" t="s">
        <v>131</v>
      </c>
      <c r="J28" t="s">
        <v>218</v>
      </c>
      <c r="K28" t="s">
        <v>219</v>
      </c>
      <c r="L28" t="s">
        <v>152</v>
      </c>
      <c r="M28" t="s">
        <v>148</v>
      </c>
      <c r="N28" t="s">
        <v>123</v>
      </c>
      <c r="O28" s="1">
        <v>45370</v>
      </c>
      <c r="P28" s="1"/>
      <c r="Q28" s="1">
        <v>45706</v>
      </c>
      <c r="R28">
        <v>6</v>
      </c>
      <c r="T28">
        <v>59</v>
      </c>
      <c r="V28">
        <v>24</v>
      </c>
      <c r="W28">
        <v>605</v>
      </c>
      <c r="X28">
        <v>54</v>
      </c>
      <c r="Y28">
        <v>610</v>
      </c>
      <c r="Z28">
        <f>Portefeuille_ProgPropose12[[#This Row],[AC 2025]]-Portefeuille_ProgPropose12[[#This Row],[AC 2025 Trimestre précédent]]</f>
        <v>-30</v>
      </c>
      <c r="AA28">
        <f>Portefeuille_ProgPropose12[[#This Row],[TR 2025]]-Portefeuille_ProgPropose12[[#This Row],[TR 2025 Trimestre précédent]]</f>
        <v>-5</v>
      </c>
      <c r="AB28">
        <f>Portefeuille_ProgPropose12[[#This Row],[Écart AC 2025]]+Portefeuille_ProgPropose12[[#This Row],[Écart TR 2025]]</f>
        <v>-35</v>
      </c>
      <c r="AD28"/>
      <c r="AG28">
        <f>Portefeuille_ProgPropose12[[#This Row],[AC 2026]]-Portefeuille_ProgPropose12[[#This Row],[AC 2026 Trimestre précédent]]</f>
        <v>0</v>
      </c>
      <c r="AH28">
        <f>Portefeuille_ProgPropose12[[#This Row],[TR 2026]]-Portefeuille_ProgPropose12[[#This Row],[TR 2026 Trimestre précédent]]</f>
        <v>0</v>
      </c>
      <c r="AI28">
        <f>Portefeuille_ProgPropose12[[#This Row],[Écart AC 2026]]+Portefeuille_ProgPropose12[[#This Row],[Écart TR 2026]]</f>
        <v>0</v>
      </c>
      <c r="AQ28"/>
      <c r="AZ28" s="14">
        <f>SUM(Portefeuille_ProgPropose12[[#This Row],[AC ANT]:[TR 2025]],Portefeuille_ProgPropose12[[#This Row],[AC 2026]:[TR 2026]],Portefeuille_ProgPropose12[[#This Row],[AC 2027]:[TR 2034]])</f>
        <v>694</v>
      </c>
    </row>
    <row r="29" spans="1:52" hidden="1" x14ac:dyDescent="0.3">
      <c r="A29" t="s">
        <v>286</v>
      </c>
      <c r="B29">
        <v>10</v>
      </c>
      <c r="C29" t="s">
        <v>118</v>
      </c>
      <c r="D29" t="s">
        <v>102</v>
      </c>
      <c r="E29" t="s">
        <v>119</v>
      </c>
      <c r="F29" t="s">
        <v>113</v>
      </c>
      <c r="G29" t="s">
        <v>20</v>
      </c>
      <c r="H29" t="s">
        <v>20</v>
      </c>
      <c r="I29" t="s">
        <v>105</v>
      </c>
      <c r="J29" t="s">
        <v>120</v>
      </c>
      <c r="K29" t="s">
        <v>289</v>
      </c>
      <c r="L29" t="s">
        <v>122</v>
      </c>
      <c r="M29" t="s">
        <v>148</v>
      </c>
      <c r="N29" t="s">
        <v>297</v>
      </c>
      <c r="O29" s="1"/>
      <c r="P29" s="1"/>
      <c r="Q29" s="1">
        <v>45712</v>
      </c>
      <c r="V29">
        <v>20</v>
      </c>
      <c r="W29">
        <v>895</v>
      </c>
      <c r="X29">
        <v>22</v>
      </c>
      <c r="Z29">
        <f>Portefeuille_ProgPropose12[[#This Row],[AC 2025]]-Portefeuille_ProgPropose12[[#This Row],[AC 2025 Trimestre précédent]]</f>
        <v>-2</v>
      </c>
      <c r="AA29">
        <f>Portefeuille_ProgPropose12[[#This Row],[TR 2025]]-Portefeuille_ProgPropose12[[#This Row],[TR 2025 Trimestre précédent]]</f>
        <v>895</v>
      </c>
      <c r="AB29">
        <f>Portefeuille_ProgPropose12[[#This Row],[Écart AC 2025]]+Portefeuille_ProgPropose12[[#This Row],[Écart TR 2025]]</f>
        <v>893</v>
      </c>
      <c r="AD29"/>
      <c r="AE29">
        <v>300</v>
      </c>
      <c r="AF29">
        <v>6704</v>
      </c>
      <c r="AG29">
        <f>Portefeuille_ProgPropose12[[#This Row],[AC 2026]]-Portefeuille_ProgPropose12[[#This Row],[AC 2026 Trimestre précédent]]</f>
        <v>-300</v>
      </c>
      <c r="AH29">
        <f>Portefeuille_ProgPropose12[[#This Row],[TR 2026]]-Portefeuille_ProgPropose12[[#This Row],[TR 2026 Trimestre précédent]]</f>
        <v>-6704</v>
      </c>
      <c r="AI29">
        <f>Portefeuille_ProgPropose12[[#This Row],[Écart AC 2026]]+Portefeuille_ProgPropose12[[#This Row],[Écart TR 2026]]</f>
        <v>-7004</v>
      </c>
      <c r="AQ29"/>
      <c r="AZ29" s="14">
        <f>SUM(Portefeuille_ProgPropose12[[#This Row],[AC ANT]:[TR 2025]],Portefeuille_ProgPropose12[[#This Row],[AC 2026]:[TR 2026]],Portefeuille_ProgPropose12[[#This Row],[AC 2027]:[TR 2034]])</f>
        <v>915</v>
      </c>
    </row>
    <row r="30" spans="1:52" hidden="1" x14ac:dyDescent="0.3">
      <c r="A30" t="s">
        <v>286</v>
      </c>
      <c r="C30" t="s">
        <v>101</v>
      </c>
      <c r="D30" t="s">
        <v>102</v>
      </c>
      <c r="E30" t="s">
        <v>200</v>
      </c>
      <c r="F30" t="s">
        <v>104</v>
      </c>
      <c r="G30" t="s">
        <v>16</v>
      </c>
      <c r="H30" t="s">
        <v>20</v>
      </c>
      <c r="I30" t="s">
        <v>105</v>
      </c>
      <c r="J30" t="s">
        <v>201</v>
      </c>
      <c r="K30" t="s">
        <v>202</v>
      </c>
      <c r="L30" t="s">
        <v>108</v>
      </c>
      <c r="N30" t="s">
        <v>155</v>
      </c>
      <c r="O30" s="1"/>
      <c r="P30" s="1"/>
      <c r="Q30" s="1"/>
      <c r="R30">
        <v>277</v>
      </c>
      <c r="S30">
        <v>4</v>
      </c>
      <c r="Z30">
        <f>Portefeuille_ProgPropose12[[#This Row],[AC 2025]]-Portefeuille_ProgPropose12[[#This Row],[AC 2025 Trimestre précédent]]</f>
        <v>0</v>
      </c>
      <c r="AA30">
        <f>Portefeuille_ProgPropose12[[#This Row],[TR 2025]]-Portefeuille_ProgPropose12[[#This Row],[TR 2025 Trimestre précédent]]</f>
        <v>0</v>
      </c>
      <c r="AB30">
        <f>Portefeuille_ProgPropose12[[#This Row],[Écart AC 2025]]+Portefeuille_ProgPropose12[[#This Row],[Écart TR 2025]]</f>
        <v>0</v>
      </c>
      <c r="AC30">
        <v>127</v>
      </c>
      <c r="AD30"/>
      <c r="AE30">
        <v>127</v>
      </c>
      <c r="AG30">
        <f>Portefeuille_ProgPropose12[[#This Row],[AC 2026]]-Portefeuille_ProgPropose12[[#This Row],[AC 2026 Trimestre précédent]]</f>
        <v>0</v>
      </c>
      <c r="AH30">
        <f>Portefeuille_ProgPropose12[[#This Row],[TR 2026]]-Portefeuille_ProgPropose12[[#This Row],[TR 2026 Trimestre précédent]]</f>
        <v>0</v>
      </c>
      <c r="AI30">
        <f>Portefeuille_ProgPropose12[[#This Row],[Écart AC 2026]]+Portefeuille_ProgPropose12[[#This Row],[Écart TR 2026]]</f>
        <v>0</v>
      </c>
      <c r="AJ30">
        <v>125</v>
      </c>
      <c r="AL30">
        <v>471</v>
      </c>
      <c r="AQ30"/>
      <c r="AZ30" s="14">
        <f>SUM(Portefeuille_ProgPropose12[[#This Row],[AC ANT]:[TR 2025]],Portefeuille_ProgPropose12[[#This Row],[AC 2026]:[TR 2026]],Portefeuille_ProgPropose12[[#This Row],[AC 2027]:[TR 2034]])</f>
        <v>1004</v>
      </c>
    </row>
    <row r="31" spans="1:52" hidden="1" x14ac:dyDescent="0.3">
      <c r="A31" t="s">
        <v>286</v>
      </c>
      <c r="C31" t="s">
        <v>101</v>
      </c>
      <c r="D31" t="s">
        <v>102</v>
      </c>
      <c r="E31" t="s">
        <v>128</v>
      </c>
      <c r="F31" t="s">
        <v>140</v>
      </c>
      <c r="G31" t="s">
        <v>16</v>
      </c>
      <c r="H31" t="s">
        <v>16</v>
      </c>
      <c r="I31" t="s">
        <v>105</v>
      </c>
      <c r="J31" t="s">
        <v>141</v>
      </c>
      <c r="K31" t="s">
        <v>142</v>
      </c>
      <c r="L31" t="s">
        <v>143</v>
      </c>
      <c r="M31" t="s">
        <v>109</v>
      </c>
      <c r="N31" t="s">
        <v>123</v>
      </c>
      <c r="O31" s="1">
        <v>42900</v>
      </c>
      <c r="P31" s="1">
        <v>45323</v>
      </c>
      <c r="Q31" s="1">
        <v>45884</v>
      </c>
      <c r="R31">
        <v>61</v>
      </c>
      <c r="Z31">
        <f>Portefeuille_ProgPropose12[[#This Row],[AC 2025]]-Portefeuille_ProgPropose12[[#This Row],[AC 2025 Trimestre précédent]]</f>
        <v>0</v>
      </c>
      <c r="AA31">
        <f>Portefeuille_ProgPropose12[[#This Row],[TR 2025]]-Portefeuille_ProgPropose12[[#This Row],[TR 2025 Trimestre précédent]]</f>
        <v>0</v>
      </c>
      <c r="AB31">
        <f>Portefeuille_ProgPropose12[[#This Row],[Écart AC 2025]]+Portefeuille_ProgPropose12[[#This Row],[Écart TR 2025]]</f>
        <v>0</v>
      </c>
      <c r="AC31">
        <v>370</v>
      </c>
      <c r="AD31">
        <v>4948</v>
      </c>
      <c r="AE31">
        <v>370</v>
      </c>
      <c r="AF31">
        <v>4948</v>
      </c>
      <c r="AG31">
        <f>Portefeuille_ProgPropose12[[#This Row],[AC 2026]]-Portefeuille_ProgPropose12[[#This Row],[AC 2026 Trimestre précédent]]</f>
        <v>0</v>
      </c>
      <c r="AH31">
        <f>Portefeuille_ProgPropose12[[#This Row],[TR 2026]]-Portefeuille_ProgPropose12[[#This Row],[TR 2026 Trimestre précédent]]</f>
        <v>0</v>
      </c>
      <c r="AI31">
        <f>Portefeuille_ProgPropose12[[#This Row],[Écart AC 2026]]+Portefeuille_ProgPropose12[[#This Row],[Écart TR 2026]]</f>
        <v>0</v>
      </c>
      <c r="AQ31"/>
      <c r="AZ31" s="14">
        <f>SUM(Portefeuille_ProgPropose12[[#This Row],[AC ANT]:[TR 2025]],Portefeuille_ProgPropose12[[#This Row],[AC 2026]:[TR 2026]],Portefeuille_ProgPropose12[[#This Row],[AC 2027]:[TR 2034]])</f>
        <v>5379</v>
      </c>
    </row>
    <row r="32" spans="1:52" hidden="1" x14ac:dyDescent="0.3">
      <c r="A32" t="s">
        <v>286</v>
      </c>
      <c r="C32" t="s">
        <v>101</v>
      </c>
      <c r="D32" t="s">
        <v>102</v>
      </c>
      <c r="E32" t="s">
        <v>136</v>
      </c>
      <c r="F32" t="s">
        <v>113</v>
      </c>
      <c r="G32" t="s">
        <v>16</v>
      </c>
      <c r="H32" t="s">
        <v>20</v>
      </c>
      <c r="I32" t="s">
        <v>131</v>
      </c>
      <c r="J32" t="s">
        <v>185</v>
      </c>
      <c r="K32" t="s">
        <v>186</v>
      </c>
      <c r="L32" t="s">
        <v>187</v>
      </c>
      <c r="M32" t="s">
        <v>173</v>
      </c>
      <c r="N32" t="s">
        <v>110</v>
      </c>
      <c r="O32" s="1">
        <v>44823</v>
      </c>
      <c r="P32" s="1">
        <v>46096</v>
      </c>
      <c r="Q32" s="1">
        <v>46461</v>
      </c>
      <c r="R32">
        <v>282</v>
      </c>
      <c r="T32">
        <v>452</v>
      </c>
      <c r="V32">
        <v>835</v>
      </c>
      <c r="X32">
        <v>835</v>
      </c>
      <c r="Z32">
        <f>Portefeuille_ProgPropose12[[#This Row],[AC 2025]]-Portefeuille_ProgPropose12[[#This Row],[AC 2025 Trimestre précédent]]</f>
        <v>0</v>
      </c>
      <c r="AA32">
        <f>Portefeuille_ProgPropose12[[#This Row],[TR 2025]]-Portefeuille_ProgPropose12[[#This Row],[TR 2025 Trimestre précédent]]</f>
        <v>0</v>
      </c>
      <c r="AB32">
        <f>Portefeuille_ProgPropose12[[#This Row],[Écart AC 2025]]+Portefeuille_ProgPropose12[[#This Row],[Écart TR 2025]]</f>
        <v>0</v>
      </c>
      <c r="AC32">
        <v>630</v>
      </c>
      <c r="AD32"/>
      <c r="AE32">
        <v>630</v>
      </c>
      <c r="AG32">
        <f>Portefeuille_ProgPropose12[[#This Row],[AC 2026]]-Portefeuille_ProgPropose12[[#This Row],[AC 2026 Trimestre précédent]]</f>
        <v>0</v>
      </c>
      <c r="AH32">
        <f>Portefeuille_ProgPropose12[[#This Row],[TR 2026]]-Portefeuille_ProgPropose12[[#This Row],[TR 2026 Trimestre précédent]]</f>
        <v>0</v>
      </c>
      <c r="AI32">
        <f>Portefeuille_ProgPropose12[[#This Row],[Écart AC 2026]]+Portefeuille_ProgPropose12[[#This Row],[Écart TR 2026]]</f>
        <v>0</v>
      </c>
      <c r="AJ32">
        <v>225</v>
      </c>
      <c r="AK32">
        <v>1806</v>
      </c>
      <c r="AL32">
        <v>225</v>
      </c>
      <c r="AM32">
        <v>5369</v>
      </c>
      <c r="AN32">
        <v>225</v>
      </c>
      <c r="AO32">
        <v>9000</v>
      </c>
      <c r="AQ32"/>
      <c r="AZ32" s="14">
        <f>SUM(Portefeuille_ProgPropose12[[#This Row],[AC ANT]:[TR 2025]],Portefeuille_ProgPropose12[[#This Row],[AC 2026]:[TR 2026]],Portefeuille_ProgPropose12[[#This Row],[AC 2027]:[TR 2034]])</f>
        <v>19049</v>
      </c>
    </row>
    <row r="33" spans="1:52" hidden="1" x14ac:dyDescent="0.3">
      <c r="A33" t="s">
        <v>286</v>
      </c>
      <c r="B33">
        <v>11</v>
      </c>
      <c r="C33" t="s">
        <v>101</v>
      </c>
      <c r="D33" t="s">
        <v>102</v>
      </c>
      <c r="E33" t="s">
        <v>128</v>
      </c>
      <c r="F33" t="s">
        <v>149</v>
      </c>
      <c r="G33" t="s">
        <v>16</v>
      </c>
      <c r="H33" t="s">
        <v>20</v>
      </c>
      <c r="I33" t="s">
        <v>131</v>
      </c>
      <c r="J33" t="s">
        <v>150</v>
      </c>
      <c r="K33" t="s">
        <v>151</v>
      </c>
      <c r="L33" t="s">
        <v>152</v>
      </c>
      <c r="M33" t="s">
        <v>109</v>
      </c>
      <c r="N33" t="s">
        <v>123</v>
      </c>
      <c r="O33" s="1">
        <v>45079</v>
      </c>
      <c r="P33" s="1">
        <v>45685</v>
      </c>
      <c r="Q33" s="1">
        <v>45860</v>
      </c>
      <c r="R33">
        <v>12</v>
      </c>
      <c r="T33">
        <v>162</v>
      </c>
      <c r="V33">
        <v>100</v>
      </c>
      <c r="X33">
        <v>144</v>
      </c>
      <c r="Y33">
        <v>3159</v>
      </c>
      <c r="Z33">
        <f>Portefeuille_ProgPropose12[[#This Row],[AC 2025]]-Portefeuille_ProgPropose12[[#This Row],[AC 2025 Trimestre précédent]]</f>
        <v>-44</v>
      </c>
      <c r="AA33">
        <f>Portefeuille_ProgPropose12[[#This Row],[TR 2025]]-Portefeuille_ProgPropose12[[#This Row],[TR 2025 Trimestre précédent]]</f>
        <v>-3159</v>
      </c>
      <c r="AB33">
        <f>Portefeuille_ProgPropose12[[#This Row],[Écart AC 2025]]+Portefeuille_ProgPropose12[[#This Row],[Écart TR 2025]]</f>
        <v>-3203</v>
      </c>
      <c r="AC33">
        <v>300</v>
      </c>
      <c r="AD33">
        <v>4221</v>
      </c>
      <c r="AE33">
        <v>43</v>
      </c>
      <c r="AF33">
        <v>2781</v>
      </c>
      <c r="AG33">
        <f>Portefeuille_ProgPropose12[[#This Row],[AC 2026]]-Portefeuille_ProgPropose12[[#This Row],[AC 2026 Trimestre précédent]]</f>
        <v>257</v>
      </c>
      <c r="AH33">
        <f>Portefeuille_ProgPropose12[[#This Row],[TR 2026]]-Portefeuille_ProgPropose12[[#This Row],[TR 2026 Trimestre précédent]]</f>
        <v>1440</v>
      </c>
      <c r="AI33">
        <f>Portefeuille_ProgPropose12[[#This Row],[Écart AC 2026]]+Portefeuille_ProgPropose12[[#This Row],[Écart TR 2026]]</f>
        <v>1697</v>
      </c>
      <c r="AJ33">
        <v>43</v>
      </c>
      <c r="AK33">
        <v>4139</v>
      </c>
      <c r="AQ33"/>
      <c r="AZ33" s="14">
        <f>SUM(Portefeuille_ProgPropose12[[#This Row],[AC ANT]:[TR 2025]],Portefeuille_ProgPropose12[[#This Row],[AC 2026]:[TR 2026]],Portefeuille_ProgPropose12[[#This Row],[AC 2027]:[TR 2034]])</f>
        <v>8977</v>
      </c>
    </row>
    <row r="34" spans="1:52" hidden="1" x14ac:dyDescent="0.3">
      <c r="A34" t="s">
        <v>286</v>
      </c>
      <c r="B34">
        <v>8</v>
      </c>
      <c r="C34" t="s">
        <v>101</v>
      </c>
      <c r="D34" t="s">
        <v>102</v>
      </c>
      <c r="E34" t="s">
        <v>103</v>
      </c>
      <c r="F34" t="s">
        <v>149</v>
      </c>
      <c r="G34" t="s">
        <v>16</v>
      </c>
      <c r="H34" t="s">
        <v>20</v>
      </c>
      <c r="I34" t="s">
        <v>105</v>
      </c>
      <c r="J34" t="s">
        <v>228</v>
      </c>
      <c r="K34" t="s">
        <v>229</v>
      </c>
      <c r="L34" t="s">
        <v>230</v>
      </c>
      <c r="M34" t="s">
        <v>148</v>
      </c>
      <c r="N34" t="s">
        <v>164</v>
      </c>
      <c r="O34" s="1">
        <v>45022</v>
      </c>
      <c r="P34" s="1">
        <v>45463</v>
      </c>
      <c r="Q34" s="1">
        <v>45590</v>
      </c>
      <c r="R34">
        <v>61</v>
      </c>
      <c r="T34">
        <v>21</v>
      </c>
      <c r="V34">
        <v>580</v>
      </c>
      <c r="W34">
        <v>11581</v>
      </c>
      <c r="X34">
        <v>580</v>
      </c>
      <c r="Y34">
        <v>11581</v>
      </c>
      <c r="Z34">
        <f>Portefeuille_ProgPropose12[[#This Row],[AC 2025]]-Portefeuille_ProgPropose12[[#This Row],[AC 2025 Trimestre précédent]]</f>
        <v>0</v>
      </c>
      <c r="AA34">
        <f>Portefeuille_ProgPropose12[[#This Row],[TR 2025]]-Portefeuille_ProgPropose12[[#This Row],[TR 2025 Trimestre précédent]]</f>
        <v>0</v>
      </c>
      <c r="AB34">
        <f>Portefeuille_ProgPropose12[[#This Row],[Écart AC 2025]]+Portefeuille_ProgPropose12[[#This Row],[Écart TR 2025]]</f>
        <v>0</v>
      </c>
      <c r="AD34"/>
      <c r="AG34">
        <f>Portefeuille_ProgPropose12[[#This Row],[AC 2026]]-Portefeuille_ProgPropose12[[#This Row],[AC 2026 Trimestre précédent]]</f>
        <v>0</v>
      </c>
      <c r="AH34">
        <f>Portefeuille_ProgPropose12[[#This Row],[TR 2026]]-Portefeuille_ProgPropose12[[#This Row],[TR 2026 Trimestre précédent]]</f>
        <v>0</v>
      </c>
      <c r="AI34">
        <f>Portefeuille_ProgPropose12[[#This Row],[Écart AC 2026]]+Portefeuille_ProgPropose12[[#This Row],[Écart TR 2026]]</f>
        <v>0</v>
      </c>
      <c r="AQ34"/>
      <c r="AZ34" s="14">
        <f>SUM(Portefeuille_ProgPropose12[[#This Row],[AC ANT]:[TR 2025]],Portefeuille_ProgPropose12[[#This Row],[AC 2026]:[TR 2026]],Portefeuille_ProgPropose12[[#This Row],[AC 2027]:[TR 2034]])</f>
        <v>12243</v>
      </c>
    </row>
    <row r="35" spans="1:52" hidden="1" x14ac:dyDescent="0.3">
      <c r="A35" t="s">
        <v>286</v>
      </c>
      <c r="B35">
        <v>4</v>
      </c>
      <c r="C35" t="s">
        <v>126</v>
      </c>
      <c r="D35" t="s">
        <v>127</v>
      </c>
      <c r="E35" t="s">
        <v>128</v>
      </c>
      <c r="F35" t="s">
        <v>252</v>
      </c>
      <c r="G35" t="s">
        <v>20</v>
      </c>
      <c r="H35" t="s">
        <v>20</v>
      </c>
      <c r="I35" t="s">
        <v>131</v>
      </c>
      <c r="J35" t="s">
        <v>253</v>
      </c>
      <c r="K35" t="s">
        <v>254</v>
      </c>
      <c r="L35" t="s">
        <v>147</v>
      </c>
      <c r="M35" t="s">
        <v>148</v>
      </c>
      <c r="N35" t="s">
        <v>110</v>
      </c>
      <c r="O35" s="1">
        <v>45378</v>
      </c>
      <c r="P35" s="1"/>
      <c r="Q35" s="1">
        <v>45611</v>
      </c>
      <c r="V35">
        <v>10</v>
      </c>
      <c r="W35">
        <v>39</v>
      </c>
      <c r="X35">
        <v>10</v>
      </c>
      <c r="Y35">
        <v>39</v>
      </c>
      <c r="Z35">
        <f>Portefeuille_ProgPropose12[[#This Row],[AC 2025]]-Portefeuille_ProgPropose12[[#This Row],[AC 2025 Trimestre précédent]]</f>
        <v>0</v>
      </c>
      <c r="AA35">
        <f>Portefeuille_ProgPropose12[[#This Row],[TR 2025]]-Portefeuille_ProgPropose12[[#This Row],[TR 2025 Trimestre précédent]]</f>
        <v>0</v>
      </c>
      <c r="AB35">
        <f>Portefeuille_ProgPropose12[[#This Row],[Écart AC 2025]]+Portefeuille_ProgPropose12[[#This Row],[Écart TR 2025]]</f>
        <v>0</v>
      </c>
      <c r="AD35"/>
      <c r="AG35">
        <f>Portefeuille_ProgPropose12[[#This Row],[AC 2026]]-Portefeuille_ProgPropose12[[#This Row],[AC 2026 Trimestre précédent]]</f>
        <v>0</v>
      </c>
      <c r="AH35">
        <f>Portefeuille_ProgPropose12[[#This Row],[TR 2026]]-Portefeuille_ProgPropose12[[#This Row],[TR 2026 Trimestre précédent]]</f>
        <v>0</v>
      </c>
      <c r="AI35">
        <f>Portefeuille_ProgPropose12[[#This Row],[Écart AC 2026]]+Portefeuille_ProgPropose12[[#This Row],[Écart TR 2026]]</f>
        <v>0</v>
      </c>
      <c r="AQ35"/>
      <c r="AZ35" s="14">
        <f>SUM(Portefeuille_ProgPropose12[[#This Row],[AC ANT]:[TR 2025]],Portefeuille_ProgPropose12[[#This Row],[AC 2026]:[TR 2026]],Portefeuille_ProgPropose12[[#This Row],[AC 2027]:[TR 2034]])</f>
        <v>49</v>
      </c>
    </row>
    <row r="36" spans="1:52" hidden="1" x14ac:dyDescent="0.3">
      <c r="A36" t="s">
        <v>286</v>
      </c>
      <c r="C36" t="s">
        <v>101</v>
      </c>
      <c r="D36" t="s">
        <v>102</v>
      </c>
      <c r="E36" t="s">
        <v>200</v>
      </c>
      <c r="F36" t="s">
        <v>104</v>
      </c>
      <c r="G36" t="s">
        <v>16</v>
      </c>
      <c r="H36" t="s">
        <v>16</v>
      </c>
      <c r="I36" t="s">
        <v>105</v>
      </c>
      <c r="J36" t="s">
        <v>338</v>
      </c>
      <c r="K36" t="s">
        <v>339</v>
      </c>
      <c r="L36" t="s">
        <v>180</v>
      </c>
      <c r="N36" t="s">
        <v>164</v>
      </c>
      <c r="O36" s="1">
        <v>43360</v>
      </c>
      <c r="P36" s="1">
        <v>43671</v>
      </c>
      <c r="Q36" s="1">
        <v>44217</v>
      </c>
      <c r="R36">
        <v>128</v>
      </c>
      <c r="S36">
        <v>2061</v>
      </c>
      <c r="T36">
        <v>164</v>
      </c>
      <c r="V36">
        <v>43</v>
      </c>
      <c r="Z36">
        <f>Portefeuille_ProgPropose12[[#This Row],[AC 2025]]-Portefeuille_ProgPropose12[[#This Row],[AC 2025 Trimestre précédent]]</f>
        <v>43</v>
      </c>
      <c r="AA36">
        <f>Portefeuille_ProgPropose12[[#This Row],[TR 2025]]-Portefeuille_ProgPropose12[[#This Row],[TR 2025 Trimestre précédent]]</f>
        <v>0</v>
      </c>
      <c r="AB36">
        <f>Portefeuille_ProgPropose12[[#This Row],[Écart AC 2025]]+Portefeuille_ProgPropose12[[#This Row],[Écart TR 2025]]</f>
        <v>43</v>
      </c>
      <c r="AD36"/>
      <c r="AG36">
        <f>Portefeuille_ProgPropose12[[#This Row],[AC 2026]]-Portefeuille_ProgPropose12[[#This Row],[AC 2026 Trimestre précédent]]</f>
        <v>0</v>
      </c>
      <c r="AH36">
        <f>Portefeuille_ProgPropose12[[#This Row],[TR 2026]]-Portefeuille_ProgPropose12[[#This Row],[TR 2026 Trimestre précédent]]</f>
        <v>0</v>
      </c>
      <c r="AI36">
        <f>Portefeuille_ProgPropose12[[#This Row],[Écart AC 2026]]+Portefeuille_ProgPropose12[[#This Row],[Écart TR 2026]]</f>
        <v>0</v>
      </c>
      <c r="AQ36"/>
      <c r="AZ36" s="14">
        <f>SUM(Portefeuille_ProgPropose12[[#This Row],[AC ANT]:[TR 2025]],Portefeuille_ProgPropose12[[#This Row],[AC 2026]:[TR 2026]],Portefeuille_ProgPropose12[[#This Row],[AC 2027]:[TR 2034]])</f>
        <v>2396</v>
      </c>
    </row>
    <row r="37" spans="1:52" hidden="1" x14ac:dyDescent="0.3">
      <c r="A37" t="s">
        <v>286</v>
      </c>
      <c r="B37">
        <v>11</v>
      </c>
      <c r="C37" t="s">
        <v>118</v>
      </c>
      <c r="D37" t="s">
        <v>102</v>
      </c>
      <c r="E37" t="s">
        <v>136</v>
      </c>
      <c r="F37" t="s">
        <v>252</v>
      </c>
      <c r="G37" t="s">
        <v>20</v>
      </c>
      <c r="H37" t="s">
        <v>20</v>
      </c>
      <c r="I37" t="s">
        <v>131</v>
      </c>
      <c r="J37" t="s">
        <v>255</v>
      </c>
      <c r="K37" t="s">
        <v>529</v>
      </c>
      <c r="L37" t="s">
        <v>209</v>
      </c>
      <c r="M37" t="s">
        <v>109</v>
      </c>
      <c r="N37" t="s">
        <v>291</v>
      </c>
      <c r="O37" s="1"/>
      <c r="P37" s="1"/>
      <c r="Q37" s="1"/>
      <c r="V37">
        <v>60</v>
      </c>
      <c r="Y37">
        <v>300</v>
      </c>
      <c r="Z37">
        <f>Portefeuille_ProgPropose12[[#This Row],[AC 2025]]-Portefeuille_ProgPropose12[[#This Row],[AC 2025 Trimestre précédent]]</f>
        <v>60</v>
      </c>
      <c r="AA37">
        <f>Portefeuille_ProgPropose12[[#This Row],[TR 2025]]-Portefeuille_ProgPropose12[[#This Row],[TR 2025 Trimestre précédent]]</f>
        <v>-300</v>
      </c>
      <c r="AB37">
        <f>Portefeuille_ProgPropose12[[#This Row],[Écart AC 2025]]+Portefeuille_ProgPropose12[[#This Row],[Écart TR 2025]]</f>
        <v>-240</v>
      </c>
      <c r="AC37">
        <v>20</v>
      </c>
      <c r="AD37">
        <v>540</v>
      </c>
      <c r="AG37">
        <f>Portefeuille_ProgPropose12[[#This Row],[AC 2026]]-Portefeuille_ProgPropose12[[#This Row],[AC 2026 Trimestre précédent]]</f>
        <v>20</v>
      </c>
      <c r="AH37">
        <f>Portefeuille_ProgPropose12[[#This Row],[TR 2026]]-Portefeuille_ProgPropose12[[#This Row],[TR 2026 Trimestre précédent]]</f>
        <v>540</v>
      </c>
      <c r="AI37">
        <f>Portefeuille_ProgPropose12[[#This Row],[Écart AC 2026]]+Portefeuille_ProgPropose12[[#This Row],[Écart TR 2026]]</f>
        <v>560</v>
      </c>
      <c r="AQ37"/>
      <c r="AZ37" s="14">
        <f>SUM(Portefeuille_ProgPropose12[[#This Row],[AC ANT]:[TR 2025]],Portefeuille_ProgPropose12[[#This Row],[AC 2026]:[TR 2026]],Portefeuille_ProgPropose12[[#This Row],[AC 2027]:[TR 2034]])</f>
        <v>620</v>
      </c>
    </row>
    <row r="38" spans="1:52" hidden="1" x14ac:dyDescent="0.3">
      <c r="A38" t="s">
        <v>286</v>
      </c>
      <c r="B38">
        <v>5</v>
      </c>
      <c r="C38" t="s">
        <v>101</v>
      </c>
      <c r="D38" t="s">
        <v>102</v>
      </c>
      <c r="E38" t="s">
        <v>128</v>
      </c>
      <c r="F38" t="s">
        <v>113</v>
      </c>
      <c r="G38" t="s">
        <v>16</v>
      </c>
      <c r="H38" t="s">
        <v>130</v>
      </c>
      <c r="I38" t="s">
        <v>105</v>
      </c>
      <c r="J38" t="s">
        <v>160</v>
      </c>
      <c r="K38" t="s">
        <v>161</v>
      </c>
      <c r="L38" t="s">
        <v>122</v>
      </c>
      <c r="M38" t="s">
        <v>148</v>
      </c>
      <c r="N38" t="s">
        <v>164</v>
      </c>
      <c r="O38" s="1">
        <v>44956</v>
      </c>
      <c r="P38" s="1">
        <v>45321</v>
      </c>
      <c r="Q38" s="1">
        <v>45687</v>
      </c>
      <c r="R38">
        <v>6</v>
      </c>
      <c r="T38">
        <v>19</v>
      </c>
      <c r="V38">
        <v>320</v>
      </c>
      <c r="W38">
        <v>4503</v>
      </c>
      <c r="X38">
        <v>200</v>
      </c>
      <c r="Y38">
        <v>4422</v>
      </c>
      <c r="Z38">
        <f>Portefeuille_ProgPropose12[[#This Row],[AC 2025]]-Portefeuille_ProgPropose12[[#This Row],[AC 2025 Trimestre précédent]]</f>
        <v>120</v>
      </c>
      <c r="AA38">
        <f>Portefeuille_ProgPropose12[[#This Row],[TR 2025]]-Portefeuille_ProgPropose12[[#This Row],[TR 2025 Trimestre précédent]]</f>
        <v>81</v>
      </c>
      <c r="AB38">
        <f>Portefeuille_ProgPropose12[[#This Row],[Écart AC 2025]]+Portefeuille_ProgPropose12[[#This Row],[Écart TR 2025]]</f>
        <v>201</v>
      </c>
      <c r="AD38"/>
      <c r="AE38">
        <v>69</v>
      </c>
      <c r="AF38">
        <v>216</v>
      </c>
      <c r="AG38">
        <f>Portefeuille_ProgPropose12[[#This Row],[AC 2026]]-Portefeuille_ProgPropose12[[#This Row],[AC 2026 Trimestre précédent]]</f>
        <v>-69</v>
      </c>
      <c r="AH38">
        <f>Portefeuille_ProgPropose12[[#This Row],[TR 2026]]-Portefeuille_ProgPropose12[[#This Row],[TR 2026 Trimestre précédent]]</f>
        <v>-216</v>
      </c>
      <c r="AI38">
        <f>Portefeuille_ProgPropose12[[#This Row],[Écart AC 2026]]+Portefeuille_ProgPropose12[[#This Row],[Écart TR 2026]]</f>
        <v>-285</v>
      </c>
      <c r="AQ38"/>
      <c r="AZ38" s="14">
        <f>SUM(Portefeuille_ProgPropose12[[#This Row],[AC ANT]:[TR 2025]],Portefeuille_ProgPropose12[[#This Row],[AC 2026]:[TR 2026]],Portefeuille_ProgPropose12[[#This Row],[AC 2027]:[TR 2034]])</f>
        <v>4848</v>
      </c>
    </row>
    <row r="39" spans="1:52" hidden="1" x14ac:dyDescent="0.3">
      <c r="A39" t="s">
        <v>286</v>
      </c>
      <c r="C39" t="s">
        <v>101</v>
      </c>
      <c r="D39" t="s">
        <v>102</v>
      </c>
      <c r="E39" t="s">
        <v>136</v>
      </c>
      <c r="F39" t="s">
        <v>144</v>
      </c>
      <c r="G39" t="s">
        <v>16</v>
      </c>
      <c r="H39" t="s">
        <v>20</v>
      </c>
      <c r="I39" t="s">
        <v>131</v>
      </c>
      <c r="J39" t="s">
        <v>195</v>
      </c>
      <c r="K39" t="s">
        <v>196</v>
      </c>
      <c r="L39" t="s">
        <v>180</v>
      </c>
      <c r="M39" t="s">
        <v>197</v>
      </c>
      <c r="N39" t="s">
        <v>110</v>
      </c>
      <c r="O39" s="1">
        <v>44889</v>
      </c>
      <c r="P39" s="1">
        <v>46068</v>
      </c>
      <c r="Q39" s="1">
        <v>46583</v>
      </c>
      <c r="R39">
        <v>337</v>
      </c>
      <c r="T39">
        <v>59.999999999999993</v>
      </c>
      <c r="V39">
        <v>1657.9999999999998</v>
      </c>
      <c r="X39">
        <v>1230</v>
      </c>
      <c r="Z39">
        <f>Portefeuille_ProgPropose12[[#This Row],[AC 2025]]-Portefeuille_ProgPropose12[[#This Row],[AC 2025 Trimestre précédent]]</f>
        <v>427.99999999999977</v>
      </c>
      <c r="AA39">
        <f>Portefeuille_ProgPropose12[[#This Row],[TR 2025]]-Portefeuille_ProgPropose12[[#This Row],[TR 2025 Trimestre précédent]]</f>
        <v>0</v>
      </c>
      <c r="AB39">
        <f>Portefeuille_ProgPropose12[[#This Row],[Écart AC 2025]]+Portefeuille_ProgPropose12[[#This Row],[Écart TR 2025]]</f>
        <v>427.99999999999977</v>
      </c>
      <c r="AC39">
        <v>1529</v>
      </c>
      <c r="AD39"/>
      <c r="AE39">
        <v>1600</v>
      </c>
      <c r="AG39">
        <f>Portefeuille_ProgPropose12[[#This Row],[AC 2026]]-Portefeuille_ProgPropose12[[#This Row],[AC 2026 Trimestre précédent]]</f>
        <v>-71</v>
      </c>
      <c r="AH39">
        <f>Portefeuille_ProgPropose12[[#This Row],[TR 2026]]-Portefeuille_ProgPropose12[[#This Row],[TR 2026 Trimestre précédent]]</f>
        <v>0</v>
      </c>
      <c r="AI39">
        <f>Portefeuille_ProgPropose12[[#This Row],[Écart AC 2026]]+Portefeuille_ProgPropose12[[#This Row],[Écart TR 2026]]</f>
        <v>-71</v>
      </c>
      <c r="AJ39">
        <v>1529</v>
      </c>
      <c r="AL39">
        <v>1325</v>
      </c>
      <c r="AM39">
        <v>7500</v>
      </c>
      <c r="AN39">
        <v>1200</v>
      </c>
      <c r="AO39">
        <v>9500</v>
      </c>
      <c r="AP39">
        <v>455</v>
      </c>
      <c r="AQ39">
        <v>18000</v>
      </c>
      <c r="AZ39" s="14">
        <f>SUM(Portefeuille_ProgPropose12[[#This Row],[AC ANT]:[TR 2025]],Portefeuille_ProgPropose12[[#This Row],[AC 2026]:[TR 2026]],Portefeuille_ProgPropose12[[#This Row],[AC 2027]:[TR 2034]])</f>
        <v>43093</v>
      </c>
    </row>
    <row r="40" spans="1:52" hidden="1" x14ac:dyDescent="0.3">
      <c r="A40" t="s">
        <v>286</v>
      </c>
      <c r="B40">
        <v>7</v>
      </c>
      <c r="C40" t="s">
        <v>101</v>
      </c>
      <c r="D40" t="s">
        <v>102</v>
      </c>
      <c r="E40" t="s">
        <v>103</v>
      </c>
      <c r="F40" t="s">
        <v>113</v>
      </c>
      <c r="G40" t="s">
        <v>16</v>
      </c>
      <c r="H40" t="s">
        <v>20</v>
      </c>
      <c r="I40" t="s">
        <v>105</v>
      </c>
      <c r="J40" t="s">
        <v>114</v>
      </c>
      <c r="K40" t="s">
        <v>115</v>
      </c>
      <c r="L40" t="s">
        <v>116</v>
      </c>
      <c r="M40" t="s">
        <v>109</v>
      </c>
      <c r="N40" t="s">
        <v>123</v>
      </c>
      <c r="O40" s="1">
        <v>45105</v>
      </c>
      <c r="P40" s="1">
        <v>45733</v>
      </c>
      <c r="Q40" s="1">
        <v>45940</v>
      </c>
      <c r="R40">
        <v>25</v>
      </c>
      <c r="T40">
        <v>13</v>
      </c>
      <c r="V40">
        <v>48</v>
      </c>
      <c r="X40">
        <v>48</v>
      </c>
      <c r="Z40">
        <f>Portefeuille_ProgPropose12[[#This Row],[AC 2025]]-Portefeuille_ProgPropose12[[#This Row],[AC 2025 Trimestre précédent]]</f>
        <v>0</v>
      </c>
      <c r="AA40">
        <f>Portefeuille_ProgPropose12[[#This Row],[TR 2025]]-Portefeuille_ProgPropose12[[#This Row],[TR 2025 Trimestre précédent]]</f>
        <v>0</v>
      </c>
      <c r="AB40">
        <f>Portefeuille_ProgPropose12[[#This Row],[Écart AC 2025]]+Portefeuille_ProgPropose12[[#This Row],[Écart TR 2025]]</f>
        <v>0</v>
      </c>
      <c r="AC40">
        <v>520</v>
      </c>
      <c r="AD40">
        <v>19125</v>
      </c>
      <c r="AE40">
        <v>855</v>
      </c>
      <c r="AF40">
        <v>11074</v>
      </c>
      <c r="AG40">
        <f>Portefeuille_ProgPropose12[[#This Row],[AC 2026]]-Portefeuille_ProgPropose12[[#This Row],[AC 2026 Trimestre précédent]]</f>
        <v>-335</v>
      </c>
      <c r="AH40">
        <f>Portefeuille_ProgPropose12[[#This Row],[TR 2026]]-Portefeuille_ProgPropose12[[#This Row],[TR 2026 Trimestre précédent]]</f>
        <v>8051</v>
      </c>
      <c r="AI40">
        <f>Portefeuille_ProgPropose12[[#This Row],[Écart AC 2026]]+Portefeuille_ProgPropose12[[#This Row],[Écart TR 2026]]</f>
        <v>7716</v>
      </c>
      <c r="AQ40"/>
      <c r="AZ40" s="14">
        <f>SUM(Portefeuille_ProgPropose12[[#This Row],[AC ANT]:[TR 2025]],Portefeuille_ProgPropose12[[#This Row],[AC 2026]:[TR 2026]],Portefeuille_ProgPropose12[[#This Row],[AC 2027]:[TR 2034]])</f>
        <v>19731</v>
      </c>
    </row>
    <row r="41" spans="1:52" hidden="1" x14ac:dyDescent="0.3">
      <c r="A41" t="s">
        <v>286</v>
      </c>
      <c r="C41" t="s">
        <v>126</v>
      </c>
      <c r="D41" t="s">
        <v>127</v>
      </c>
      <c r="E41" t="s">
        <v>136</v>
      </c>
      <c r="F41" t="s">
        <v>144</v>
      </c>
      <c r="G41" t="s">
        <v>16</v>
      </c>
      <c r="H41" t="s">
        <v>20</v>
      </c>
      <c r="I41" t="s">
        <v>131</v>
      </c>
      <c r="J41" t="s">
        <v>231</v>
      </c>
      <c r="K41" t="s">
        <v>232</v>
      </c>
      <c r="L41" t="s">
        <v>147</v>
      </c>
      <c r="M41" t="s">
        <v>173</v>
      </c>
      <c r="N41" t="s">
        <v>110</v>
      </c>
      <c r="O41" s="1">
        <v>45099</v>
      </c>
      <c r="P41" s="1">
        <v>45945</v>
      </c>
      <c r="Q41" s="1">
        <v>46371</v>
      </c>
      <c r="R41">
        <v>9</v>
      </c>
      <c r="T41">
        <v>21</v>
      </c>
      <c r="V41">
        <v>672</v>
      </c>
      <c r="X41">
        <v>503</v>
      </c>
      <c r="Z41">
        <f>Portefeuille_ProgPropose12[[#This Row],[AC 2025]]-Portefeuille_ProgPropose12[[#This Row],[AC 2025 Trimestre précédent]]</f>
        <v>169</v>
      </c>
      <c r="AA41">
        <f>Portefeuille_ProgPropose12[[#This Row],[TR 2025]]-Portefeuille_ProgPropose12[[#This Row],[TR 2025 Trimestre précédent]]</f>
        <v>0</v>
      </c>
      <c r="AB41">
        <f>Portefeuille_ProgPropose12[[#This Row],[Écart AC 2025]]+Portefeuille_ProgPropose12[[#This Row],[Écart TR 2025]]</f>
        <v>169</v>
      </c>
      <c r="AC41">
        <v>553</v>
      </c>
      <c r="AD41"/>
      <c r="AE41">
        <v>553</v>
      </c>
      <c r="AG41">
        <f>Portefeuille_ProgPropose12[[#This Row],[AC 2026]]-Portefeuille_ProgPropose12[[#This Row],[AC 2026 Trimestre précédent]]</f>
        <v>0</v>
      </c>
      <c r="AH41">
        <f>Portefeuille_ProgPropose12[[#This Row],[TR 2026]]-Portefeuille_ProgPropose12[[#This Row],[TR 2026 Trimestre précédent]]</f>
        <v>0</v>
      </c>
      <c r="AI41">
        <f>Portefeuille_ProgPropose12[[#This Row],[Écart AC 2026]]+Portefeuille_ProgPropose12[[#This Row],[Écart TR 2026]]</f>
        <v>0</v>
      </c>
      <c r="AJ41">
        <v>1175</v>
      </c>
      <c r="AK41">
        <v>6475</v>
      </c>
      <c r="AL41">
        <v>1602</v>
      </c>
      <c r="AM41">
        <v>6677</v>
      </c>
      <c r="AQ41"/>
      <c r="AZ41" s="14">
        <f>SUM(Portefeuille_ProgPropose12[[#This Row],[AC ANT]:[TR 2025]],Portefeuille_ProgPropose12[[#This Row],[AC 2026]:[TR 2026]],Portefeuille_ProgPropose12[[#This Row],[AC 2027]:[TR 2034]])</f>
        <v>17184</v>
      </c>
    </row>
    <row r="42" spans="1:52" hidden="1" x14ac:dyDescent="0.3">
      <c r="A42" t="s">
        <v>286</v>
      </c>
      <c r="C42" t="s">
        <v>118</v>
      </c>
      <c r="D42" t="s">
        <v>102</v>
      </c>
      <c r="E42" t="s">
        <v>119</v>
      </c>
      <c r="F42" t="s">
        <v>206</v>
      </c>
      <c r="G42" t="s">
        <v>16</v>
      </c>
      <c r="H42" t="s">
        <v>130</v>
      </c>
      <c r="I42" t="s">
        <v>131</v>
      </c>
      <c r="J42" t="s">
        <v>207</v>
      </c>
      <c r="K42" t="s">
        <v>208</v>
      </c>
      <c r="L42" t="s">
        <v>209</v>
      </c>
      <c r="M42" t="s">
        <v>173</v>
      </c>
      <c r="N42" t="s">
        <v>155</v>
      </c>
      <c r="O42" s="1">
        <v>45976</v>
      </c>
      <c r="P42" s="1">
        <v>46096</v>
      </c>
      <c r="Q42" s="1">
        <v>46310</v>
      </c>
      <c r="R42">
        <v>196</v>
      </c>
      <c r="V42">
        <v>40</v>
      </c>
      <c r="X42">
        <v>40</v>
      </c>
      <c r="Z42">
        <f>Portefeuille_ProgPropose12[[#This Row],[AC 2025]]-Portefeuille_ProgPropose12[[#This Row],[AC 2025 Trimestre précédent]]</f>
        <v>0</v>
      </c>
      <c r="AA42">
        <f>Portefeuille_ProgPropose12[[#This Row],[TR 2025]]-Portefeuille_ProgPropose12[[#This Row],[TR 2025 Trimestre précédent]]</f>
        <v>0</v>
      </c>
      <c r="AB42">
        <f>Portefeuille_ProgPropose12[[#This Row],[Écart AC 2025]]+Portefeuille_ProgPropose12[[#This Row],[Écart TR 2025]]</f>
        <v>0</v>
      </c>
      <c r="AC42">
        <v>255</v>
      </c>
      <c r="AD42"/>
      <c r="AE42">
        <v>255</v>
      </c>
      <c r="AG42">
        <f>Portefeuille_ProgPropose12[[#This Row],[AC 2026]]-Portefeuille_ProgPropose12[[#This Row],[AC 2026 Trimestre précédent]]</f>
        <v>0</v>
      </c>
      <c r="AH42">
        <f>Portefeuille_ProgPropose12[[#This Row],[TR 2026]]-Portefeuille_ProgPropose12[[#This Row],[TR 2026 Trimestre précédent]]</f>
        <v>0</v>
      </c>
      <c r="AI42">
        <f>Portefeuille_ProgPropose12[[#This Row],[Écart AC 2026]]+Portefeuille_ProgPropose12[[#This Row],[Écart TR 2026]]</f>
        <v>0</v>
      </c>
      <c r="AJ42">
        <v>396</v>
      </c>
      <c r="AK42">
        <v>1500</v>
      </c>
      <c r="AQ42"/>
      <c r="AZ42" s="14">
        <f>SUM(Portefeuille_ProgPropose12[[#This Row],[AC ANT]:[TR 2025]],Portefeuille_ProgPropose12[[#This Row],[AC 2026]:[TR 2026]],Portefeuille_ProgPropose12[[#This Row],[AC 2027]:[TR 2034]])</f>
        <v>2387</v>
      </c>
    </row>
    <row r="43" spans="1:52" hidden="1" x14ac:dyDescent="0.3">
      <c r="A43" t="s">
        <v>286</v>
      </c>
      <c r="C43" t="s">
        <v>118</v>
      </c>
      <c r="D43" t="s">
        <v>102</v>
      </c>
      <c r="E43" t="s">
        <v>103</v>
      </c>
      <c r="F43" t="s">
        <v>206</v>
      </c>
      <c r="G43" t="s">
        <v>16</v>
      </c>
      <c r="H43" t="s">
        <v>20</v>
      </c>
      <c r="I43" t="s">
        <v>131</v>
      </c>
      <c r="J43" t="s">
        <v>210</v>
      </c>
      <c r="K43" t="s">
        <v>211</v>
      </c>
      <c r="L43" t="s">
        <v>209</v>
      </c>
      <c r="M43" t="s">
        <v>197</v>
      </c>
      <c r="N43" t="s">
        <v>155</v>
      </c>
      <c r="O43" s="1">
        <v>45945</v>
      </c>
      <c r="P43" s="1">
        <v>46310</v>
      </c>
      <c r="Q43" s="1">
        <v>46675</v>
      </c>
      <c r="R43">
        <v>8</v>
      </c>
      <c r="V43">
        <v>100</v>
      </c>
      <c r="X43">
        <v>100</v>
      </c>
      <c r="Z43">
        <f>Portefeuille_ProgPropose12[[#This Row],[AC 2025]]-Portefeuille_ProgPropose12[[#This Row],[AC 2025 Trimestre précédent]]</f>
        <v>0</v>
      </c>
      <c r="AA43">
        <f>Portefeuille_ProgPropose12[[#This Row],[TR 2025]]-Portefeuille_ProgPropose12[[#This Row],[TR 2025 Trimestre précédent]]</f>
        <v>0</v>
      </c>
      <c r="AB43">
        <f>Portefeuille_ProgPropose12[[#This Row],[Écart AC 2025]]+Portefeuille_ProgPropose12[[#This Row],[Écart TR 2025]]</f>
        <v>0</v>
      </c>
      <c r="AC43">
        <v>100</v>
      </c>
      <c r="AD43"/>
      <c r="AE43">
        <v>100</v>
      </c>
      <c r="AG43">
        <f>Portefeuille_ProgPropose12[[#This Row],[AC 2026]]-Portefeuille_ProgPropose12[[#This Row],[AC 2026 Trimestre précédent]]</f>
        <v>0</v>
      </c>
      <c r="AH43">
        <f>Portefeuille_ProgPropose12[[#This Row],[TR 2026]]-Portefeuille_ProgPropose12[[#This Row],[TR 2026 Trimestre précédent]]</f>
        <v>0</v>
      </c>
      <c r="AI43">
        <f>Portefeuille_ProgPropose12[[#This Row],[Écart AC 2026]]+Portefeuille_ProgPropose12[[#This Row],[Écart TR 2026]]</f>
        <v>0</v>
      </c>
      <c r="AJ43">
        <v>100</v>
      </c>
      <c r="AL43">
        <v>250</v>
      </c>
      <c r="AM43">
        <v>7500</v>
      </c>
      <c r="AQ43"/>
      <c r="AZ43" s="14">
        <f>SUM(Portefeuille_ProgPropose12[[#This Row],[AC ANT]:[TR 2025]],Portefeuille_ProgPropose12[[#This Row],[AC 2026]:[TR 2026]],Portefeuille_ProgPropose12[[#This Row],[AC 2027]:[TR 2034]])</f>
        <v>8058</v>
      </c>
    </row>
    <row r="44" spans="1:52" hidden="1" x14ac:dyDescent="0.3">
      <c r="A44" t="s">
        <v>286</v>
      </c>
      <c r="C44" t="s">
        <v>101</v>
      </c>
      <c r="D44" t="s">
        <v>102</v>
      </c>
      <c r="E44" t="s">
        <v>136</v>
      </c>
      <c r="F44" t="s">
        <v>149</v>
      </c>
      <c r="G44" t="s">
        <v>16</v>
      </c>
      <c r="H44" t="s">
        <v>20</v>
      </c>
      <c r="I44" t="s">
        <v>131</v>
      </c>
      <c r="J44" t="s">
        <v>212</v>
      </c>
      <c r="K44" t="s">
        <v>213</v>
      </c>
      <c r="L44" t="s">
        <v>214</v>
      </c>
      <c r="M44" t="s">
        <v>184</v>
      </c>
      <c r="N44" t="s">
        <v>155</v>
      </c>
      <c r="O44" s="1">
        <v>45853</v>
      </c>
      <c r="P44" s="1">
        <v>46157</v>
      </c>
      <c r="Q44" s="1">
        <v>46522</v>
      </c>
      <c r="R44">
        <v>47</v>
      </c>
      <c r="T44">
        <v>174</v>
      </c>
      <c r="V44">
        <v>150</v>
      </c>
      <c r="X44">
        <v>150</v>
      </c>
      <c r="Z44">
        <f>Portefeuille_ProgPropose12[[#This Row],[AC 2025]]-Portefeuille_ProgPropose12[[#This Row],[AC 2025 Trimestre précédent]]</f>
        <v>0</v>
      </c>
      <c r="AA44">
        <f>Portefeuille_ProgPropose12[[#This Row],[TR 2025]]-Portefeuille_ProgPropose12[[#This Row],[TR 2025 Trimestre précédent]]</f>
        <v>0</v>
      </c>
      <c r="AB44">
        <f>Portefeuille_ProgPropose12[[#This Row],[Écart AC 2025]]+Portefeuille_ProgPropose12[[#This Row],[Écart TR 2025]]</f>
        <v>0</v>
      </c>
      <c r="AC44">
        <v>125</v>
      </c>
      <c r="AD44"/>
      <c r="AE44">
        <v>125</v>
      </c>
      <c r="AG44">
        <f>Portefeuille_ProgPropose12[[#This Row],[AC 2026]]-Portefeuille_ProgPropose12[[#This Row],[AC 2026 Trimestre précédent]]</f>
        <v>0</v>
      </c>
      <c r="AH44">
        <f>Portefeuille_ProgPropose12[[#This Row],[TR 2026]]-Portefeuille_ProgPropose12[[#This Row],[TR 2026 Trimestre précédent]]</f>
        <v>0</v>
      </c>
      <c r="AI44">
        <f>Portefeuille_ProgPropose12[[#This Row],[Écart AC 2026]]+Portefeuille_ProgPropose12[[#This Row],[Écart TR 2026]]</f>
        <v>0</v>
      </c>
      <c r="AJ44">
        <v>125</v>
      </c>
      <c r="AL44">
        <v>125</v>
      </c>
      <c r="AN44">
        <v>125</v>
      </c>
      <c r="AP44">
        <v>300</v>
      </c>
      <c r="AQ44">
        <v>5000</v>
      </c>
      <c r="AR44">
        <v>350</v>
      </c>
      <c r="AS44">
        <v>10000</v>
      </c>
      <c r="AZ44" s="14">
        <f>SUM(Portefeuille_ProgPropose12[[#This Row],[AC ANT]:[TR 2025]],Portefeuille_ProgPropose12[[#This Row],[AC 2026]:[TR 2026]],Portefeuille_ProgPropose12[[#This Row],[AC 2027]:[TR 2034]])</f>
        <v>16521</v>
      </c>
    </row>
    <row r="45" spans="1:52" hidden="1" x14ac:dyDescent="0.3">
      <c r="A45" t="s">
        <v>11</v>
      </c>
      <c r="B45">
        <v>12</v>
      </c>
      <c r="C45" t="s">
        <v>118</v>
      </c>
      <c r="D45" t="s">
        <v>102</v>
      </c>
      <c r="E45" t="s">
        <v>103</v>
      </c>
      <c r="F45" t="s">
        <v>252</v>
      </c>
      <c r="G45" t="s">
        <v>20</v>
      </c>
      <c r="H45" t="s">
        <v>20</v>
      </c>
      <c r="I45" t="s">
        <v>131</v>
      </c>
      <c r="J45" t="s">
        <v>257</v>
      </c>
      <c r="K45" t="s">
        <v>258</v>
      </c>
      <c r="L45" t="s">
        <v>180</v>
      </c>
      <c r="M45" t="s">
        <v>148</v>
      </c>
      <c r="N45" t="s">
        <v>291</v>
      </c>
      <c r="O45" s="1"/>
      <c r="P45" s="1"/>
      <c r="Q45" s="1"/>
      <c r="W45">
        <v>300</v>
      </c>
      <c r="Y45">
        <v>300</v>
      </c>
      <c r="Z45">
        <f>Portefeuille_ProgPropose12[[#This Row],[AC 2025]]-Portefeuille_ProgPropose12[[#This Row],[AC 2025 Trimestre précédent]]</f>
        <v>0</v>
      </c>
      <c r="AA45">
        <f>Portefeuille_ProgPropose12[[#This Row],[TR 2025]]-Portefeuille_ProgPropose12[[#This Row],[TR 2025 Trimestre précédent]]</f>
        <v>0</v>
      </c>
      <c r="AB45">
        <f>Portefeuille_ProgPropose12[[#This Row],[Écart AC 2025]]+Portefeuille_ProgPropose12[[#This Row],[Écart TR 2025]]</f>
        <v>0</v>
      </c>
      <c r="AD45"/>
      <c r="AG45">
        <f>Portefeuille_ProgPropose12[[#This Row],[AC 2026]]-Portefeuille_ProgPropose12[[#This Row],[AC 2026 Trimestre précédent]]</f>
        <v>0</v>
      </c>
      <c r="AH45">
        <f>Portefeuille_ProgPropose12[[#This Row],[TR 2026]]-Portefeuille_ProgPropose12[[#This Row],[TR 2026 Trimestre précédent]]</f>
        <v>0</v>
      </c>
      <c r="AI45">
        <f>Portefeuille_ProgPropose12[[#This Row],[Écart AC 2026]]+Portefeuille_ProgPropose12[[#This Row],[Écart TR 2026]]</f>
        <v>0</v>
      </c>
      <c r="AQ45"/>
      <c r="AZ45" s="14">
        <f>SUM(Portefeuille_ProgPropose12[[#This Row],[AC ANT]:[TR 2025]],Portefeuille_ProgPropose12[[#This Row],[AC 2026]:[TR 2026]],Portefeuille_ProgPropose12[[#This Row],[AC 2027]:[TR 2034]])</f>
        <v>300</v>
      </c>
    </row>
    <row r="46" spans="1:52" hidden="1" x14ac:dyDescent="0.3">
      <c r="A46" t="s">
        <v>286</v>
      </c>
      <c r="C46" t="s">
        <v>126</v>
      </c>
      <c r="D46" t="s">
        <v>127</v>
      </c>
      <c r="E46" t="s">
        <v>103</v>
      </c>
      <c r="F46" t="s">
        <v>104</v>
      </c>
      <c r="G46" t="s">
        <v>16</v>
      </c>
      <c r="H46" t="s">
        <v>130</v>
      </c>
      <c r="I46" t="s">
        <v>131</v>
      </c>
      <c r="J46" t="s">
        <v>220</v>
      </c>
      <c r="K46" t="s">
        <v>221</v>
      </c>
      <c r="L46" t="s">
        <v>159</v>
      </c>
      <c r="M46" t="s">
        <v>173</v>
      </c>
      <c r="N46" t="s">
        <v>155</v>
      </c>
      <c r="O46" s="1">
        <v>45807</v>
      </c>
      <c r="P46" s="1">
        <v>46164</v>
      </c>
      <c r="Q46" s="1">
        <v>46402</v>
      </c>
      <c r="V46">
        <v>130</v>
      </c>
      <c r="X46">
        <v>5</v>
      </c>
      <c r="Z46">
        <f>Portefeuille_ProgPropose12[[#This Row],[AC 2025]]-Portefeuille_ProgPropose12[[#This Row],[AC 2025 Trimestre précédent]]</f>
        <v>125</v>
      </c>
      <c r="AA46">
        <f>Portefeuille_ProgPropose12[[#This Row],[TR 2025]]-Portefeuille_ProgPropose12[[#This Row],[TR 2025 Trimestre précédent]]</f>
        <v>0</v>
      </c>
      <c r="AB46">
        <f>Portefeuille_ProgPropose12[[#This Row],[Écart AC 2025]]+Portefeuille_ProgPropose12[[#This Row],[Écart TR 2025]]</f>
        <v>125</v>
      </c>
      <c r="AC46">
        <v>125</v>
      </c>
      <c r="AD46"/>
      <c r="AE46">
        <v>170</v>
      </c>
      <c r="AG46">
        <f>Portefeuille_ProgPropose12[[#This Row],[AC 2026]]-Portefeuille_ProgPropose12[[#This Row],[AC 2026 Trimestre précédent]]</f>
        <v>-45</v>
      </c>
      <c r="AH46">
        <f>Portefeuille_ProgPropose12[[#This Row],[TR 2026]]-Portefeuille_ProgPropose12[[#This Row],[TR 2026 Trimestre précédent]]</f>
        <v>0</v>
      </c>
      <c r="AI46">
        <f>Portefeuille_ProgPropose12[[#This Row],[Écart AC 2026]]+Portefeuille_ProgPropose12[[#This Row],[Écart TR 2026]]</f>
        <v>-45</v>
      </c>
      <c r="AJ46">
        <v>100</v>
      </c>
      <c r="AK46">
        <v>12180</v>
      </c>
      <c r="AL46">
        <v>70</v>
      </c>
      <c r="AM46">
        <v>7570</v>
      </c>
      <c r="AN46">
        <v>55</v>
      </c>
      <c r="AO46">
        <v>10250</v>
      </c>
      <c r="AQ46"/>
      <c r="AZ46" s="14">
        <f>SUM(Portefeuille_ProgPropose12[[#This Row],[AC ANT]:[TR 2025]],Portefeuille_ProgPropose12[[#This Row],[AC 2026]:[TR 2026]],Portefeuille_ProgPropose12[[#This Row],[AC 2027]:[TR 2034]])</f>
        <v>30480</v>
      </c>
    </row>
    <row r="47" spans="1:52" hidden="1" x14ac:dyDescent="0.3">
      <c r="A47" t="s">
        <v>286</v>
      </c>
      <c r="B47">
        <v>2</v>
      </c>
      <c r="C47" t="s">
        <v>126</v>
      </c>
      <c r="D47" t="s">
        <v>127</v>
      </c>
      <c r="E47" t="s">
        <v>177</v>
      </c>
      <c r="F47" t="s">
        <v>206</v>
      </c>
      <c r="G47" t="s">
        <v>16</v>
      </c>
      <c r="H47" t="s">
        <v>130</v>
      </c>
      <c r="I47" t="s">
        <v>223</v>
      </c>
      <c r="J47" t="s">
        <v>224</v>
      </c>
      <c r="K47" t="s">
        <v>520</v>
      </c>
      <c r="L47" t="s">
        <v>180</v>
      </c>
      <c r="M47" t="s">
        <v>109</v>
      </c>
      <c r="N47" t="s">
        <v>123</v>
      </c>
      <c r="O47" s="1">
        <v>44623</v>
      </c>
      <c r="P47" s="1">
        <v>45698</v>
      </c>
      <c r="Q47" s="1">
        <v>46006</v>
      </c>
      <c r="R47">
        <v>180.00000000000003</v>
      </c>
      <c r="T47">
        <v>102</v>
      </c>
      <c r="V47">
        <v>150</v>
      </c>
      <c r="X47">
        <v>283</v>
      </c>
      <c r="Z47">
        <f>Portefeuille_ProgPropose12[[#This Row],[AC 2025]]-Portefeuille_ProgPropose12[[#This Row],[AC 2025 Trimestre précédent]]</f>
        <v>-133</v>
      </c>
      <c r="AA47">
        <f>Portefeuille_ProgPropose12[[#This Row],[TR 2025]]-Portefeuille_ProgPropose12[[#This Row],[TR 2025 Trimestre précédent]]</f>
        <v>0</v>
      </c>
      <c r="AB47">
        <f>Portefeuille_ProgPropose12[[#This Row],[Écart AC 2025]]+Portefeuille_ProgPropose12[[#This Row],[Écart TR 2025]]</f>
        <v>-133</v>
      </c>
      <c r="AC47">
        <v>133</v>
      </c>
      <c r="AD47">
        <v>354.99999999999994</v>
      </c>
      <c r="AE47">
        <v>53.000000000000014</v>
      </c>
      <c r="AG47">
        <f>Portefeuille_ProgPropose12[[#This Row],[AC 2026]]-Portefeuille_ProgPropose12[[#This Row],[AC 2026 Trimestre précédent]]</f>
        <v>79.999999999999986</v>
      </c>
      <c r="AH47">
        <f>Portefeuille_ProgPropose12[[#This Row],[TR 2026]]-Portefeuille_ProgPropose12[[#This Row],[TR 2026 Trimestre précédent]]</f>
        <v>354.99999999999994</v>
      </c>
      <c r="AI47">
        <f>Portefeuille_ProgPropose12[[#This Row],[Écart AC 2026]]+Portefeuille_ProgPropose12[[#This Row],[Écart TR 2026]]</f>
        <v>434.99999999999994</v>
      </c>
      <c r="AJ47">
        <v>53.000000000000014</v>
      </c>
      <c r="AK47">
        <v>1610</v>
      </c>
      <c r="AL47">
        <v>159</v>
      </c>
      <c r="AM47">
        <v>4929</v>
      </c>
      <c r="AN47">
        <v>212</v>
      </c>
      <c r="AO47">
        <v>6707.0000000000009</v>
      </c>
      <c r="AP47">
        <v>212.00000000000003</v>
      </c>
      <c r="AQ47">
        <v>6846.0000000000027</v>
      </c>
      <c r="AZ47" s="14">
        <f>SUM(Portefeuille_ProgPropose12[[#This Row],[AC ANT]:[TR 2025]],Portefeuille_ProgPropose12[[#This Row],[AC 2026]:[TR 2026]],Portefeuille_ProgPropose12[[#This Row],[AC 2027]:[TR 2034]])</f>
        <v>21648.000000000004</v>
      </c>
    </row>
    <row r="48" spans="1:52" hidden="1" x14ac:dyDescent="0.3">
      <c r="A48" t="s">
        <v>286</v>
      </c>
      <c r="C48" t="s">
        <v>126</v>
      </c>
      <c r="D48" t="s">
        <v>127</v>
      </c>
      <c r="E48" t="s">
        <v>136</v>
      </c>
      <c r="F48" t="s">
        <v>113</v>
      </c>
      <c r="G48" t="s">
        <v>16</v>
      </c>
      <c r="H48" t="s">
        <v>20</v>
      </c>
      <c r="I48" t="s">
        <v>131</v>
      </c>
      <c r="J48" t="s">
        <v>226</v>
      </c>
      <c r="K48" t="s">
        <v>227</v>
      </c>
      <c r="L48" t="s">
        <v>139</v>
      </c>
      <c r="M48" t="s">
        <v>184</v>
      </c>
      <c r="N48" t="s">
        <v>110</v>
      </c>
      <c r="O48" s="1">
        <v>45330</v>
      </c>
      <c r="P48" s="1">
        <v>46325</v>
      </c>
      <c r="Q48" s="1">
        <v>46625</v>
      </c>
      <c r="R48">
        <v>44</v>
      </c>
      <c r="T48">
        <v>45</v>
      </c>
      <c r="V48">
        <v>100</v>
      </c>
      <c r="X48">
        <v>100</v>
      </c>
      <c r="Z48">
        <f>Portefeuille_ProgPropose12[[#This Row],[AC 2025]]-Portefeuille_ProgPropose12[[#This Row],[AC 2025 Trimestre précédent]]</f>
        <v>0</v>
      </c>
      <c r="AA48">
        <f>Portefeuille_ProgPropose12[[#This Row],[TR 2025]]-Portefeuille_ProgPropose12[[#This Row],[TR 2025 Trimestre précédent]]</f>
        <v>0</v>
      </c>
      <c r="AB48">
        <f>Portefeuille_ProgPropose12[[#This Row],[Écart AC 2025]]+Portefeuille_ProgPropose12[[#This Row],[Écart TR 2025]]</f>
        <v>0</v>
      </c>
      <c r="AC48">
        <v>288</v>
      </c>
      <c r="AD48"/>
      <c r="AE48">
        <v>288</v>
      </c>
      <c r="AG48">
        <f>Portefeuille_ProgPropose12[[#This Row],[AC 2026]]-Portefeuille_ProgPropose12[[#This Row],[AC 2026 Trimestre précédent]]</f>
        <v>0</v>
      </c>
      <c r="AH48">
        <f>Portefeuille_ProgPropose12[[#This Row],[TR 2026]]-Portefeuille_ProgPropose12[[#This Row],[TR 2026 Trimestre précédent]]</f>
        <v>0</v>
      </c>
      <c r="AI48">
        <f>Portefeuille_ProgPropose12[[#This Row],[Écart AC 2026]]+Portefeuille_ProgPropose12[[#This Row],[Écart TR 2026]]</f>
        <v>0</v>
      </c>
      <c r="AJ48">
        <v>475</v>
      </c>
      <c r="AL48">
        <v>475</v>
      </c>
      <c r="AN48">
        <v>573</v>
      </c>
      <c r="AP48">
        <v>1000</v>
      </c>
      <c r="AQ48">
        <v>4362</v>
      </c>
      <c r="AR48">
        <v>1077</v>
      </c>
      <c r="AS48">
        <v>12800</v>
      </c>
      <c r="AZ48" s="14">
        <f>SUM(Portefeuille_ProgPropose12[[#This Row],[AC ANT]:[TR 2025]],Portefeuille_ProgPropose12[[#This Row],[AC 2026]:[TR 2026]],Portefeuille_ProgPropose12[[#This Row],[AC 2027]:[TR 2034]])</f>
        <v>21239</v>
      </c>
    </row>
    <row r="49" spans="1:52" hidden="1" x14ac:dyDescent="0.3">
      <c r="A49" t="s">
        <v>286</v>
      </c>
      <c r="B49">
        <v>6</v>
      </c>
      <c r="C49" t="s">
        <v>101</v>
      </c>
      <c r="D49" t="s">
        <v>102</v>
      </c>
      <c r="E49" t="s">
        <v>136</v>
      </c>
      <c r="F49" t="s">
        <v>149</v>
      </c>
      <c r="G49" t="s">
        <v>20</v>
      </c>
      <c r="H49" t="s">
        <v>20</v>
      </c>
      <c r="I49" t="s">
        <v>105</v>
      </c>
      <c r="J49" t="s">
        <v>203</v>
      </c>
      <c r="K49" t="s">
        <v>204</v>
      </c>
      <c r="L49" t="s">
        <v>205</v>
      </c>
      <c r="M49" t="s">
        <v>173</v>
      </c>
      <c r="N49" t="s">
        <v>155</v>
      </c>
      <c r="O49" s="1">
        <v>45828</v>
      </c>
      <c r="P49" s="1">
        <v>45976</v>
      </c>
      <c r="Q49" s="1">
        <v>46295</v>
      </c>
      <c r="V49">
        <v>85</v>
      </c>
      <c r="X49">
        <v>85</v>
      </c>
      <c r="Z49">
        <f>Portefeuille_ProgPropose12[[#This Row],[AC 2025]]-Portefeuille_ProgPropose12[[#This Row],[AC 2025 Trimestre précédent]]</f>
        <v>0</v>
      </c>
      <c r="AA49">
        <f>Portefeuille_ProgPropose12[[#This Row],[TR 2025]]-Portefeuille_ProgPropose12[[#This Row],[TR 2025 Trimestre précédent]]</f>
        <v>0</v>
      </c>
      <c r="AB49">
        <f>Portefeuille_ProgPropose12[[#This Row],[Écart AC 2025]]+Portefeuille_ProgPropose12[[#This Row],[Écart TR 2025]]</f>
        <v>0</v>
      </c>
      <c r="AC49">
        <v>85</v>
      </c>
      <c r="AD49"/>
      <c r="AE49">
        <v>85</v>
      </c>
      <c r="AG49">
        <f>Portefeuille_ProgPropose12[[#This Row],[AC 2026]]-Portefeuille_ProgPropose12[[#This Row],[AC 2026 Trimestre précédent]]</f>
        <v>0</v>
      </c>
      <c r="AH49">
        <f>Portefeuille_ProgPropose12[[#This Row],[TR 2026]]-Portefeuille_ProgPropose12[[#This Row],[TR 2026 Trimestre précédent]]</f>
        <v>0</v>
      </c>
      <c r="AI49">
        <f>Portefeuille_ProgPropose12[[#This Row],[Écart AC 2026]]+Portefeuille_ProgPropose12[[#This Row],[Écart TR 2026]]</f>
        <v>0</v>
      </c>
      <c r="AJ49">
        <v>170</v>
      </c>
      <c r="AK49">
        <v>2000</v>
      </c>
      <c r="AQ49"/>
      <c r="AZ49" s="14">
        <f>SUM(Portefeuille_ProgPropose12[[#This Row],[AC ANT]:[TR 2025]],Portefeuille_ProgPropose12[[#This Row],[AC 2026]:[TR 2026]],Portefeuille_ProgPropose12[[#This Row],[AC 2027]:[TR 2034]])</f>
        <v>2340</v>
      </c>
    </row>
    <row r="50" spans="1:52" hidden="1" x14ac:dyDescent="0.3">
      <c r="A50" t="s">
        <v>286</v>
      </c>
      <c r="B50">
        <v>9</v>
      </c>
      <c r="C50" t="s">
        <v>101</v>
      </c>
      <c r="D50" t="s">
        <v>102</v>
      </c>
      <c r="E50" t="s">
        <v>103</v>
      </c>
      <c r="F50" t="s">
        <v>149</v>
      </c>
      <c r="G50" t="s">
        <v>20</v>
      </c>
      <c r="H50" t="s">
        <v>20</v>
      </c>
      <c r="I50" t="s">
        <v>105</v>
      </c>
      <c r="J50" t="s">
        <v>235</v>
      </c>
      <c r="K50" t="s">
        <v>510</v>
      </c>
      <c r="L50" t="s">
        <v>205</v>
      </c>
      <c r="M50" t="s">
        <v>173</v>
      </c>
      <c r="N50" t="s">
        <v>110</v>
      </c>
      <c r="O50" s="1">
        <v>45706</v>
      </c>
      <c r="P50" s="1">
        <v>46055</v>
      </c>
      <c r="Q50" s="1">
        <v>46273</v>
      </c>
      <c r="V50">
        <v>90</v>
      </c>
      <c r="X50">
        <v>75</v>
      </c>
      <c r="Z50">
        <f>Portefeuille_ProgPropose12[[#This Row],[AC 2025]]-Portefeuille_ProgPropose12[[#This Row],[AC 2025 Trimestre précédent]]</f>
        <v>15</v>
      </c>
      <c r="AA50">
        <f>Portefeuille_ProgPropose12[[#This Row],[TR 2025]]-Portefeuille_ProgPropose12[[#This Row],[TR 2025 Trimestre précédent]]</f>
        <v>0</v>
      </c>
      <c r="AB50">
        <f>Portefeuille_ProgPropose12[[#This Row],[Écart AC 2025]]+Portefeuille_ProgPropose12[[#This Row],[Écart TR 2025]]</f>
        <v>15</v>
      </c>
      <c r="AC50">
        <v>200</v>
      </c>
      <c r="AD50"/>
      <c r="AE50">
        <v>300</v>
      </c>
      <c r="AG50">
        <f>Portefeuille_ProgPropose12[[#This Row],[AC 2026]]-Portefeuille_ProgPropose12[[#This Row],[AC 2026 Trimestre précédent]]</f>
        <v>-100</v>
      </c>
      <c r="AH50">
        <f>Portefeuille_ProgPropose12[[#This Row],[TR 2026]]-Portefeuille_ProgPropose12[[#This Row],[TR 2026 Trimestre précédent]]</f>
        <v>0</v>
      </c>
      <c r="AI50">
        <f>Portefeuille_ProgPropose12[[#This Row],[Écart AC 2026]]+Portefeuille_ProgPropose12[[#This Row],[Écart TR 2026]]</f>
        <v>-100</v>
      </c>
      <c r="AJ50">
        <v>970</v>
      </c>
      <c r="AK50">
        <v>13608</v>
      </c>
      <c r="AQ50"/>
      <c r="AZ50" s="14">
        <f>SUM(Portefeuille_ProgPropose12[[#This Row],[AC ANT]:[TR 2025]],Portefeuille_ProgPropose12[[#This Row],[AC 2026]:[TR 2026]],Portefeuille_ProgPropose12[[#This Row],[AC 2027]:[TR 2034]])</f>
        <v>14868</v>
      </c>
    </row>
    <row r="51" spans="1:52" hidden="1" x14ac:dyDescent="0.3">
      <c r="A51" t="s">
        <v>286</v>
      </c>
      <c r="B51">
        <v>3</v>
      </c>
      <c r="C51" t="s">
        <v>101</v>
      </c>
      <c r="D51" t="s">
        <v>102</v>
      </c>
      <c r="E51" t="s">
        <v>103</v>
      </c>
      <c r="F51" t="s">
        <v>104</v>
      </c>
      <c r="G51" t="s">
        <v>16</v>
      </c>
      <c r="H51" t="s">
        <v>20</v>
      </c>
      <c r="I51" t="s">
        <v>105</v>
      </c>
      <c r="J51" t="s">
        <v>106</v>
      </c>
      <c r="K51" t="s">
        <v>107</v>
      </c>
      <c r="L51" t="s">
        <v>108</v>
      </c>
      <c r="M51" t="s">
        <v>109</v>
      </c>
      <c r="N51" t="s">
        <v>110</v>
      </c>
      <c r="O51" s="1">
        <v>45014</v>
      </c>
      <c r="P51" s="1">
        <v>45778</v>
      </c>
      <c r="Q51" s="1">
        <v>45960</v>
      </c>
      <c r="R51">
        <v>69</v>
      </c>
      <c r="T51">
        <v>225</v>
      </c>
      <c r="V51">
        <v>180</v>
      </c>
      <c r="X51">
        <v>130</v>
      </c>
      <c r="Z51">
        <f>Portefeuille_ProgPropose12[[#This Row],[AC 2025]]-Portefeuille_ProgPropose12[[#This Row],[AC 2025 Trimestre précédent]]</f>
        <v>50</v>
      </c>
      <c r="AA51">
        <f>Portefeuille_ProgPropose12[[#This Row],[TR 2025]]-Portefeuille_ProgPropose12[[#This Row],[TR 2025 Trimestre précédent]]</f>
        <v>0</v>
      </c>
      <c r="AB51">
        <f>Portefeuille_ProgPropose12[[#This Row],[Écart AC 2025]]+Portefeuille_ProgPropose12[[#This Row],[Écart TR 2025]]</f>
        <v>50</v>
      </c>
      <c r="AC51">
        <v>881</v>
      </c>
      <c r="AD51">
        <v>16557</v>
      </c>
      <c r="AE51">
        <v>853</v>
      </c>
      <c r="AF51">
        <v>16557</v>
      </c>
      <c r="AG51">
        <f>Portefeuille_ProgPropose12[[#This Row],[AC 2026]]-Portefeuille_ProgPropose12[[#This Row],[AC 2026 Trimestre précédent]]</f>
        <v>28</v>
      </c>
      <c r="AH51">
        <f>Portefeuille_ProgPropose12[[#This Row],[TR 2026]]-Portefeuille_ProgPropose12[[#This Row],[TR 2026 Trimestre précédent]]</f>
        <v>0</v>
      </c>
      <c r="AI51">
        <f>Portefeuille_ProgPropose12[[#This Row],[Écart AC 2026]]+Portefeuille_ProgPropose12[[#This Row],[Écart TR 2026]]</f>
        <v>28</v>
      </c>
      <c r="AQ51"/>
      <c r="AZ51" s="14">
        <f>SUM(Portefeuille_ProgPropose12[[#This Row],[AC ANT]:[TR 2025]],Portefeuille_ProgPropose12[[#This Row],[AC 2026]:[TR 2026]],Portefeuille_ProgPropose12[[#This Row],[AC 2027]:[TR 2034]])</f>
        <v>17912</v>
      </c>
    </row>
    <row r="52" spans="1:52" hidden="1" x14ac:dyDescent="0.3">
      <c r="A52" t="s">
        <v>286</v>
      </c>
      <c r="C52" t="s">
        <v>101</v>
      </c>
      <c r="D52" t="s">
        <v>102</v>
      </c>
      <c r="E52" t="s">
        <v>136</v>
      </c>
      <c r="F52" t="s">
        <v>140</v>
      </c>
      <c r="G52" t="s">
        <v>16</v>
      </c>
      <c r="H52" t="s">
        <v>20</v>
      </c>
      <c r="I52" t="s">
        <v>131</v>
      </c>
      <c r="J52" t="s">
        <v>181</v>
      </c>
      <c r="K52" t="s">
        <v>296</v>
      </c>
      <c r="L52" t="s">
        <v>183</v>
      </c>
      <c r="M52" t="s">
        <v>173</v>
      </c>
      <c r="N52" t="s">
        <v>110</v>
      </c>
      <c r="O52" s="1">
        <v>45590</v>
      </c>
      <c r="P52" s="1">
        <v>46157</v>
      </c>
      <c r="Q52" s="1">
        <v>46157</v>
      </c>
      <c r="V52">
        <v>466</v>
      </c>
      <c r="X52">
        <v>50</v>
      </c>
      <c r="Z52">
        <f>Portefeuille_ProgPropose12[[#This Row],[AC 2025]]-Portefeuille_ProgPropose12[[#This Row],[AC 2025 Trimestre précédent]]</f>
        <v>416</v>
      </c>
      <c r="AA52">
        <f>Portefeuille_ProgPropose12[[#This Row],[TR 2025]]-Portefeuille_ProgPropose12[[#This Row],[TR 2025 Trimestre précédent]]</f>
        <v>0</v>
      </c>
      <c r="AB52">
        <f>Portefeuille_ProgPropose12[[#This Row],[Écart AC 2025]]+Portefeuille_ProgPropose12[[#This Row],[Écart TR 2025]]</f>
        <v>416</v>
      </c>
      <c r="AC52">
        <v>475</v>
      </c>
      <c r="AD52"/>
      <c r="AE52">
        <v>50</v>
      </c>
      <c r="AG52">
        <f>Portefeuille_ProgPropose12[[#This Row],[AC 2026]]-Portefeuille_ProgPropose12[[#This Row],[AC 2026 Trimestre précédent]]</f>
        <v>425</v>
      </c>
      <c r="AH52">
        <f>Portefeuille_ProgPropose12[[#This Row],[TR 2026]]-Portefeuille_ProgPropose12[[#This Row],[TR 2026 Trimestre précédent]]</f>
        <v>0</v>
      </c>
      <c r="AI52">
        <f>Portefeuille_ProgPropose12[[#This Row],[Écart AC 2026]]+Portefeuille_ProgPropose12[[#This Row],[Écart TR 2026]]</f>
        <v>425</v>
      </c>
      <c r="AJ52">
        <v>468</v>
      </c>
      <c r="AK52">
        <v>1461</v>
      </c>
      <c r="AQ52"/>
      <c r="AZ52" s="14">
        <f>SUM(Portefeuille_ProgPropose12[[#This Row],[AC ANT]:[TR 2025]],Portefeuille_ProgPropose12[[#This Row],[AC 2026]:[TR 2026]],Portefeuille_ProgPropose12[[#This Row],[AC 2027]:[TR 2034]])</f>
        <v>2870</v>
      </c>
    </row>
    <row r="53" spans="1:52" hidden="1" x14ac:dyDescent="0.3">
      <c r="A53" t="s">
        <v>286</v>
      </c>
      <c r="B53">
        <v>2</v>
      </c>
      <c r="C53" t="s">
        <v>101</v>
      </c>
      <c r="D53" t="s">
        <v>102</v>
      </c>
      <c r="E53" t="s">
        <v>103</v>
      </c>
      <c r="F53" t="s">
        <v>129</v>
      </c>
      <c r="G53" t="s">
        <v>16</v>
      </c>
      <c r="H53" t="s">
        <v>130</v>
      </c>
      <c r="I53" t="s">
        <v>131</v>
      </c>
      <c r="J53" t="s">
        <v>132</v>
      </c>
      <c r="K53" t="s">
        <v>288</v>
      </c>
      <c r="L53" t="s">
        <v>134</v>
      </c>
      <c r="M53" t="s">
        <v>109</v>
      </c>
      <c r="N53" t="s">
        <v>123</v>
      </c>
      <c r="O53" s="1">
        <v>45218</v>
      </c>
      <c r="P53" s="1">
        <v>45722</v>
      </c>
      <c r="Q53" s="1">
        <v>45945</v>
      </c>
      <c r="T53">
        <v>12</v>
      </c>
      <c r="V53">
        <v>10</v>
      </c>
      <c r="X53">
        <v>10</v>
      </c>
      <c r="Z53">
        <f>Portefeuille_ProgPropose12[[#This Row],[AC 2025]]-Portefeuille_ProgPropose12[[#This Row],[AC 2025 Trimestre précédent]]</f>
        <v>0</v>
      </c>
      <c r="AA53">
        <f>Portefeuille_ProgPropose12[[#This Row],[TR 2025]]-Portefeuille_ProgPropose12[[#This Row],[TR 2025 Trimestre précédent]]</f>
        <v>0</v>
      </c>
      <c r="AB53">
        <f>Portefeuille_ProgPropose12[[#This Row],[Écart AC 2025]]+Portefeuille_ProgPropose12[[#This Row],[Écart TR 2025]]</f>
        <v>0</v>
      </c>
      <c r="AC53">
        <v>350</v>
      </c>
      <c r="AD53">
        <v>4669</v>
      </c>
      <c r="AE53">
        <v>100</v>
      </c>
      <c r="AF53">
        <v>6584</v>
      </c>
      <c r="AG53">
        <f>Portefeuille_ProgPropose12[[#This Row],[AC 2026]]-Portefeuille_ProgPropose12[[#This Row],[AC 2026 Trimestre précédent]]</f>
        <v>250</v>
      </c>
      <c r="AH53">
        <f>Portefeuille_ProgPropose12[[#This Row],[TR 2026]]-Portefeuille_ProgPropose12[[#This Row],[TR 2026 Trimestre précédent]]</f>
        <v>-1915</v>
      </c>
      <c r="AI53">
        <f>Portefeuille_ProgPropose12[[#This Row],[Écart AC 2026]]+Portefeuille_ProgPropose12[[#This Row],[Écart TR 2026]]</f>
        <v>-1665</v>
      </c>
      <c r="AQ53"/>
      <c r="AZ53" s="14">
        <f>SUM(Portefeuille_ProgPropose12[[#This Row],[AC ANT]:[TR 2025]],Portefeuille_ProgPropose12[[#This Row],[AC 2026]:[TR 2026]],Portefeuille_ProgPropose12[[#This Row],[AC 2027]:[TR 2034]])</f>
        <v>5041</v>
      </c>
    </row>
    <row r="54" spans="1:52" x14ac:dyDescent="0.3">
      <c r="A54" t="s">
        <v>286</v>
      </c>
      <c r="C54" t="s">
        <v>118</v>
      </c>
      <c r="D54" t="s">
        <v>102</v>
      </c>
      <c r="E54" t="s">
        <v>188</v>
      </c>
      <c r="F54" t="s">
        <v>113</v>
      </c>
      <c r="G54" t="s">
        <v>16</v>
      </c>
      <c r="H54" t="s">
        <v>130</v>
      </c>
      <c r="I54" t="s">
        <v>131</v>
      </c>
      <c r="J54" t="s">
        <v>189</v>
      </c>
      <c r="K54" t="s">
        <v>190</v>
      </c>
      <c r="L54" t="s">
        <v>191</v>
      </c>
      <c r="M54" t="s">
        <v>173</v>
      </c>
      <c r="N54" t="s">
        <v>110</v>
      </c>
      <c r="O54" s="1">
        <v>45684</v>
      </c>
      <c r="P54" s="1">
        <v>46157</v>
      </c>
      <c r="Q54" s="1">
        <v>46157</v>
      </c>
      <c r="V54">
        <v>80</v>
      </c>
      <c r="X54">
        <v>141</v>
      </c>
      <c r="Z54">
        <f>Portefeuille_ProgPropose12[[#This Row],[AC 2025]]-Portefeuille_ProgPropose12[[#This Row],[AC 2025 Trimestre précédent]]</f>
        <v>-61</v>
      </c>
      <c r="AA54">
        <f>Portefeuille_ProgPropose12[[#This Row],[TR 2025]]-Portefeuille_ProgPropose12[[#This Row],[TR 2025 Trimestre précédent]]</f>
        <v>0</v>
      </c>
      <c r="AB54">
        <f>Portefeuille_ProgPropose12[[#This Row],[Écart AC 2025]]+Portefeuille_ProgPropose12[[#This Row],[Écart TR 2025]]</f>
        <v>-61</v>
      </c>
      <c r="AC54">
        <v>87</v>
      </c>
      <c r="AD54"/>
      <c r="AE54">
        <v>50</v>
      </c>
      <c r="AG54">
        <f>Portefeuille_ProgPropose12[[#This Row],[AC 2026]]-Portefeuille_ProgPropose12[[#This Row],[AC 2026 Trimestre précédent]]</f>
        <v>37</v>
      </c>
      <c r="AH54">
        <f>Portefeuille_ProgPropose12[[#This Row],[TR 2026]]-Portefeuille_ProgPropose12[[#This Row],[TR 2026 Trimestre précédent]]</f>
        <v>0</v>
      </c>
      <c r="AI54">
        <f>Portefeuille_ProgPropose12[[#This Row],[Écart AC 2026]]+Portefeuille_ProgPropose12[[#This Row],[Écart TR 2026]]</f>
        <v>37</v>
      </c>
      <c r="AJ54">
        <v>227</v>
      </c>
      <c r="AK54">
        <v>899</v>
      </c>
      <c r="AQ54"/>
      <c r="AZ54" s="14">
        <f>SUM(Portefeuille_ProgPropose12[[#This Row],[AC ANT]:[TR 2025]],Portefeuille_ProgPropose12[[#This Row],[AC 2026]:[TR 2026]],Portefeuille_ProgPropose12[[#This Row],[AC 2027]:[TR 2034]])</f>
        <v>1293</v>
      </c>
    </row>
    <row r="55" spans="1:52" hidden="1" x14ac:dyDescent="0.3">
      <c r="A55" t="s">
        <v>286</v>
      </c>
      <c r="B55">
        <v>2</v>
      </c>
      <c r="C55" t="s">
        <v>118</v>
      </c>
      <c r="D55" t="s">
        <v>102</v>
      </c>
      <c r="E55" t="s">
        <v>242</v>
      </c>
      <c r="F55" t="s">
        <v>129</v>
      </c>
      <c r="G55" t="s">
        <v>20</v>
      </c>
      <c r="H55" t="s">
        <v>20</v>
      </c>
      <c r="I55" t="s">
        <v>131</v>
      </c>
      <c r="J55" t="s">
        <v>385</v>
      </c>
      <c r="K55" t="s">
        <v>386</v>
      </c>
      <c r="L55" t="s">
        <v>134</v>
      </c>
      <c r="M55" t="s">
        <v>197</v>
      </c>
      <c r="N55" t="s">
        <v>155</v>
      </c>
      <c r="O55" s="1">
        <v>45809</v>
      </c>
      <c r="P55" s="1">
        <v>46174</v>
      </c>
      <c r="Q55" s="1">
        <v>46569</v>
      </c>
      <c r="V55">
        <v>20</v>
      </c>
      <c r="Z55">
        <f>Portefeuille_ProgPropose12[[#This Row],[AC 2025]]-Portefeuille_ProgPropose12[[#This Row],[AC 2025 Trimestre précédent]]</f>
        <v>20</v>
      </c>
      <c r="AA55">
        <f>Portefeuille_ProgPropose12[[#This Row],[TR 2025]]-Portefeuille_ProgPropose12[[#This Row],[TR 2025 Trimestre précédent]]</f>
        <v>0</v>
      </c>
      <c r="AB55">
        <f>Portefeuille_ProgPropose12[[#This Row],[Écart AC 2025]]+Portefeuille_ProgPropose12[[#This Row],[Écart TR 2025]]</f>
        <v>20</v>
      </c>
      <c r="AC55">
        <v>50</v>
      </c>
      <c r="AD55"/>
      <c r="AG55">
        <f>Portefeuille_ProgPropose12[[#This Row],[AC 2026]]-Portefeuille_ProgPropose12[[#This Row],[AC 2026 Trimestre précédent]]</f>
        <v>50</v>
      </c>
      <c r="AH55">
        <f>Portefeuille_ProgPropose12[[#This Row],[TR 2026]]-Portefeuille_ProgPropose12[[#This Row],[TR 2026 Trimestre précédent]]</f>
        <v>0</v>
      </c>
      <c r="AI55">
        <f>Portefeuille_ProgPropose12[[#This Row],[Écart AC 2026]]+Portefeuille_ProgPropose12[[#This Row],[Écart TR 2026]]</f>
        <v>50</v>
      </c>
      <c r="AJ55">
        <v>50</v>
      </c>
      <c r="AL55">
        <v>200</v>
      </c>
      <c r="AM55">
        <v>2000</v>
      </c>
      <c r="AQ55"/>
      <c r="AZ55" s="14">
        <f>SUM(Portefeuille_ProgPropose12[[#This Row],[AC ANT]:[TR 2025]],Portefeuille_ProgPropose12[[#This Row],[AC 2026]:[TR 2026]],Portefeuille_ProgPropose12[[#This Row],[AC 2027]:[TR 2034]])</f>
        <v>2320</v>
      </c>
    </row>
    <row r="56" spans="1:52" hidden="1" x14ac:dyDescent="0.3">
      <c r="A56" t="s">
        <v>286</v>
      </c>
      <c r="B56">
        <v>3</v>
      </c>
      <c r="C56" t="s">
        <v>126</v>
      </c>
      <c r="D56" t="s">
        <v>127</v>
      </c>
      <c r="E56" t="s">
        <v>103</v>
      </c>
      <c r="F56" t="s">
        <v>149</v>
      </c>
      <c r="G56" t="s">
        <v>20</v>
      </c>
      <c r="H56" t="s">
        <v>20</v>
      </c>
      <c r="I56" t="s">
        <v>131</v>
      </c>
      <c r="J56" t="s">
        <v>233</v>
      </c>
      <c r="K56" t="s">
        <v>234</v>
      </c>
      <c r="L56" t="s">
        <v>152</v>
      </c>
      <c r="M56" t="s">
        <v>173</v>
      </c>
      <c r="N56" t="s">
        <v>155</v>
      </c>
      <c r="O56" s="1">
        <v>45823</v>
      </c>
      <c r="P56" s="1">
        <v>46310</v>
      </c>
      <c r="Q56" s="1">
        <v>46675</v>
      </c>
      <c r="V56">
        <v>100</v>
      </c>
      <c r="X56">
        <v>100</v>
      </c>
      <c r="Z56">
        <f>Portefeuille_ProgPropose12[[#This Row],[AC 2025]]-Portefeuille_ProgPropose12[[#This Row],[AC 2025 Trimestre précédent]]</f>
        <v>0</v>
      </c>
      <c r="AA56">
        <f>Portefeuille_ProgPropose12[[#This Row],[TR 2025]]-Portefeuille_ProgPropose12[[#This Row],[TR 2025 Trimestre précédent]]</f>
        <v>0</v>
      </c>
      <c r="AB56">
        <f>Portefeuille_ProgPropose12[[#This Row],[Écart AC 2025]]+Portefeuille_ProgPropose12[[#This Row],[Écart TR 2025]]</f>
        <v>0</v>
      </c>
      <c r="AC56">
        <v>267</v>
      </c>
      <c r="AD56"/>
      <c r="AE56">
        <v>150</v>
      </c>
      <c r="AG56">
        <f>Portefeuille_ProgPropose12[[#This Row],[AC 2026]]-Portefeuille_ProgPropose12[[#This Row],[AC 2026 Trimestre précédent]]</f>
        <v>117</v>
      </c>
      <c r="AH56">
        <f>Portefeuille_ProgPropose12[[#This Row],[TR 2026]]-Portefeuille_ProgPropose12[[#This Row],[TR 2026 Trimestre précédent]]</f>
        <v>0</v>
      </c>
      <c r="AI56">
        <f>Portefeuille_ProgPropose12[[#This Row],[Écart AC 2026]]+Portefeuille_ProgPropose12[[#This Row],[Écart TR 2026]]</f>
        <v>117</v>
      </c>
      <c r="AJ56">
        <v>588</v>
      </c>
      <c r="AK56">
        <v>7500</v>
      </c>
      <c r="AQ56"/>
      <c r="AZ56" s="14">
        <f>SUM(Portefeuille_ProgPropose12[[#This Row],[AC ANT]:[TR 2025]],Portefeuille_ProgPropose12[[#This Row],[AC 2026]:[TR 2026]],Portefeuille_ProgPropose12[[#This Row],[AC 2027]:[TR 2034]])</f>
        <v>8455</v>
      </c>
    </row>
    <row r="57" spans="1:52" hidden="1" x14ac:dyDescent="0.3">
      <c r="A57" t="s">
        <v>286</v>
      </c>
      <c r="B57">
        <v>6</v>
      </c>
      <c r="C57" t="s">
        <v>118</v>
      </c>
      <c r="D57" t="s">
        <v>102</v>
      </c>
      <c r="E57" t="s">
        <v>177</v>
      </c>
      <c r="F57" t="s">
        <v>113</v>
      </c>
      <c r="G57" t="s">
        <v>130</v>
      </c>
      <c r="H57" t="s">
        <v>20</v>
      </c>
      <c r="I57" t="s">
        <v>131</v>
      </c>
      <c r="J57" t="s">
        <v>240</v>
      </c>
      <c r="K57" t="s">
        <v>241</v>
      </c>
      <c r="L57" t="s">
        <v>187</v>
      </c>
      <c r="M57" s="2" t="s">
        <v>173</v>
      </c>
      <c r="N57" t="s">
        <v>110</v>
      </c>
      <c r="O57" s="1">
        <v>45708</v>
      </c>
      <c r="P57" s="1">
        <v>46127</v>
      </c>
      <c r="Q57" s="1">
        <v>46492</v>
      </c>
      <c r="T57">
        <v>10</v>
      </c>
      <c r="V57">
        <v>178</v>
      </c>
      <c r="X57">
        <v>100</v>
      </c>
      <c r="Z57">
        <f>Portefeuille_ProgPropose12[[#This Row],[AC 2025]]-Portefeuille_ProgPropose12[[#This Row],[AC 2025 Trimestre précédent]]</f>
        <v>78</v>
      </c>
      <c r="AA57">
        <f>Portefeuille_ProgPropose12[[#This Row],[TR 2025]]-Portefeuille_ProgPropose12[[#This Row],[TR 2025 Trimestre précédent]]</f>
        <v>0</v>
      </c>
      <c r="AB57">
        <f>Portefeuille_ProgPropose12[[#This Row],[Écart AC 2025]]+Portefeuille_ProgPropose12[[#This Row],[Écart TR 2025]]</f>
        <v>78</v>
      </c>
      <c r="AC57">
        <v>176</v>
      </c>
      <c r="AD57"/>
      <c r="AE57">
        <v>100</v>
      </c>
      <c r="AG57">
        <f>Portefeuille_ProgPropose12[[#This Row],[AC 2026]]-Portefeuille_ProgPropose12[[#This Row],[AC 2026 Trimestre précédent]]</f>
        <v>76</v>
      </c>
      <c r="AH57">
        <f>Portefeuille_ProgPropose12[[#This Row],[TR 2026]]-Portefeuille_ProgPropose12[[#This Row],[TR 2026 Trimestre précédent]]</f>
        <v>0</v>
      </c>
      <c r="AI57">
        <f>Portefeuille_ProgPropose12[[#This Row],[Écart AC 2026]]+Portefeuille_ProgPropose12[[#This Row],[Écart TR 2026]]</f>
        <v>76</v>
      </c>
      <c r="AJ57">
        <v>212</v>
      </c>
      <c r="AK57">
        <v>4831</v>
      </c>
      <c r="AL57">
        <v>141</v>
      </c>
      <c r="AM57">
        <v>3298</v>
      </c>
      <c r="AQ57"/>
      <c r="AZ57" s="14">
        <f>SUM(Portefeuille_ProgPropose12[[#This Row],[AC ANT]:[TR 2025]],Portefeuille_ProgPropose12[[#This Row],[AC 2026]:[TR 2026]],Portefeuille_ProgPropose12[[#This Row],[AC 2027]:[TR 2034]])</f>
        <v>8846</v>
      </c>
    </row>
    <row r="58" spans="1:52" hidden="1" x14ac:dyDescent="0.3">
      <c r="A58" t="s">
        <v>286</v>
      </c>
      <c r="B58">
        <v>10</v>
      </c>
      <c r="C58" t="s">
        <v>101</v>
      </c>
      <c r="D58" t="s">
        <v>102</v>
      </c>
      <c r="E58" t="s">
        <v>103</v>
      </c>
      <c r="F58" t="s">
        <v>149</v>
      </c>
      <c r="G58" t="s">
        <v>20</v>
      </c>
      <c r="H58" t="s">
        <v>20</v>
      </c>
      <c r="I58" t="s">
        <v>105</v>
      </c>
      <c r="J58" t="s">
        <v>237</v>
      </c>
      <c r="K58" s="82" t="s">
        <v>238</v>
      </c>
      <c r="L58" t="s">
        <v>239</v>
      </c>
      <c r="M58" t="s">
        <v>173</v>
      </c>
      <c r="N58" t="s">
        <v>155</v>
      </c>
      <c r="O58" s="1">
        <v>45797</v>
      </c>
      <c r="P58" s="1">
        <v>46162</v>
      </c>
      <c r="Q58" s="1">
        <v>46527</v>
      </c>
      <c r="V58">
        <v>100</v>
      </c>
      <c r="X58">
        <v>100</v>
      </c>
      <c r="Z58">
        <f>Portefeuille_ProgPropose12[[#This Row],[AC 2025]]-Portefeuille_ProgPropose12[[#This Row],[AC 2025 Trimestre précédent]]</f>
        <v>0</v>
      </c>
      <c r="AA58">
        <f>Portefeuille_ProgPropose12[[#This Row],[TR 2025]]-Portefeuille_ProgPropose12[[#This Row],[TR 2025 Trimestre précédent]]</f>
        <v>0</v>
      </c>
      <c r="AB58">
        <f>Portefeuille_ProgPropose12[[#This Row],[Écart AC 2025]]+Portefeuille_ProgPropose12[[#This Row],[Écart TR 2025]]</f>
        <v>0</v>
      </c>
      <c r="AC58">
        <v>200</v>
      </c>
      <c r="AD58"/>
      <c r="AE58">
        <v>200</v>
      </c>
      <c r="AG58">
        <f>Portefeuille_ProgPropose12[[#This Row],[AC 2026]]-Portefeuille_ProgPropose12[[#This Row],[AC 2026 Trimestre précédent]]</f>
        <v>0</v>
      </c>
      <c r="AH58">
        <f>Portefeuille_ProgPropose12[[#This Row],[TR 2026]]-Portefeuille_ProgPropose12[[#This Row],[TR 2026 Trimestre précédent]]</f>
        <v>0</v>
      </c>
      <c r="AI58">
        <f>Portefeuille_ProgPropose12[[#This Row],[Écart AC 2026]]+Portefeuille_ProgPropose12[[#This Row],[Écart TR 2026]]</f>
        <v>0</v>
      </c>
      <c r="AJ58">
        <v>475</v>
      </c>
      <c r="AK58">
        <v>11000</v>
      </c>
      <c r="AQ58"/>
      <c r="AZ58" s="14">
        <f>SUM(Portefeuille_ProgPropose12[[#This Row],[AC ANT]:[TR 2025]],Portefeuille_ProgPropose12[[#This Row],[AC 2026]:[TR 2026]],Portefeuille_ProgPropose12[[#This Row],[AC 2027]:[TR 2034]])</f>
        <v>11775</v>
      </c>
    </row>
    <row r="59" spans="1:52" hidden="1" x14ac:dyDescent="0.3">
      <c r="A59" t="s">
        <v>286</v>
      </c>
      <c r="B59">
        <v>7</v>
      </c>
      <c r="C59" t="s">
        <v>118</v>
      </c>
      <c r="D59" t="s">
        <v>102</v>
      </c>
      <c r="E59" t="s">
        <v>242</v>
      </c>
      <c r="F59" t="s">
        <v>113</v>
      </c>
      <c r="G59" t="s">
        <v>20</v>
      </c>
      <c r="H59" t="s">
        <v>20</v>
      </c>
      <c r="I59" t="s">
        <v>131</v>
      </c>
      <c r="J59" t="s">
        <v>243</v>
      </c>
      <c r="K59" t="s">
        <v>244</v>
      </c>
      <c r="L59" t="s">
        <v>245</v>
      </c>
      <c r="M59" t="s">
        <v>173</v>
      </c>
      <c r="N59" t="s">
        <v>155</v>
      </c>
      <c r="O59" s="1">
        <v>45823</v>
      </c>
      <c r="P59" s="1">
        <v>45976</v>
      </c>
      <c r="Q59" s="1">
        <v>46341</v>
      </c>
      <c r="V59">
        <v>50</v>
      </c>
      <c r="X59">
        <v>50</v>
      </c>
      <c r="Z59">
        <f>Portefeuille_ProgPropose12[[#This Row],[AC 2025]]-Portefeuille_ProgPropose12[[#This Row],[AC 2025 Trimestre précédent]]</f>
        <v>0</v>
      </c>
      <c r="AA59">
        <f>Portefeuille_ProgPropose12[[#This Row],[TR 2025]]-Portefeuille_ProgPropose12[[#This Row],[TR 2025 Trimestre précédent]]</f>
        <v>0</v>
      </c>
      <c r="AB59">
        <f>Portefeuille_ProgPropose12[[#This Row],[Écart AC 2025]]+Portefeuille_ProgPropose12[[#This Row],[Écart TR 2025]]</f>
        <v>0</v>
      </c>
      <c r="AC59">
        <v>150</v>
      </c>
      <c r="AD59"/>
      <c r="AE59">
        <v>150</v>
      </c>
      <c r="AG59">
        <f>Portefeuille_ProgPropose12[[#This Row],[AC 2026]]-Portefeuille_ProgPropose12[[#This Row],[AC 2026 Trimestre précédent]]</f>
        <v>0</v>
      </c>
      <c r="AH59">
        <f>Portefeuille_ProgPropose12[[#This Row],[TR 2026]]-Portefeuille_ProgPropose12[[#This Row],[TR 2026 Trimestre précédent]]</f>
        <v>0</v>
      </c>
      <c r="AI59">
        <f>Portefeuille_ProgPropose12[[#This Row],[Écart AC 2026]]+Portefeuille_ProgPropose12[[#This Row],[Écart TR 2026]]</f>
        <v>0</v>
      </c>
      <c r="AJ59">
        <v>150</v>
      </c>
      <c r="AK59">
        <v>2000</v>
      </c>
      <c r="AQ59"/>
      <c r="AZ59" s="14">
        <f>SUM(Portefeuille_ProgPropose12[[#This Row],[AC ANT]:[TR 2025]],Portefeuille_ProgPropose12[[#This Row],[AC 2026]:[TR 2026]],Portefeuille_ProgPropose12[[#This Row],[AC 2027]:[TR 2034]])</f>
        <v>2350</v>
      </c>
    </row>
    <row r="60" spans="1:52" hidden="1" x14ac:dyDescent="0.3">
      <c r="A60" t="s">
        <v>286</v>
      </c>
      <c r="B60">
        <v>9</v>
      </c>
      <c r="C60" t="s">
        <v>118</v>
      </c>
      <c r="D60" t="s">
        <v>102</v>
      </c>
      <c r="E60" t="s">
        <v>136</v>
      </c>
      <c r="F60" t="s">
        <v>104</v>
      </c>
      <c r="G60" t="s">
        <v>20</v>
      </c>
      <c r="H60" t="s">
        <v>20</v>
      </c>
      <c r="I60" t="s">
        <v>131</v>
      </c>
      <c r="J60" t="s">
        <v>157</v>
      </c>
      <c r="K60" t="s">
        <v>158</v>
      </c>
      <c r="L60" t="s">
        <v>159</v>
      </c>
      <c r="M60" t="s">
        <v>173</v>
      </c>
      <c r="N60" t="s">
        <v>155</v>
      </c>
      <c r="O60" s="1">
        <v>46068</v>
      </c>
      <c r="P60" s="1"/>
      <c r="Q60" s="1">
        <v>46006</v>
      </c>
      <c r="V60">
        <v>75</v>
      </c>
      <c r="X60">
        <v>150</v>
      </c>
      <c r="Z60">
        <f>Portefeuille_ProgPropose12[[#This Row],[AC 2025]]-Portefeuille_ProgPropose12[[#This Row],[AC 2025 Trimestre précédent]]</f>
        <v>-75</v>
      </c>
      <c r="AA60">
        <f>Portefeuille_ProgPropose12[[#This Row],[TR 2025]]-Portefeuille_ProgPropose12[[#This Row],[TR 2025 Trimestre précédent]]</f>
        <v>0</v>
      </c>
      <c r="AB60">
        <f>Portefeuille_ProgPropose12[[#This Row],[Écart AC 2025]]+Portefeuille_ProgPropose12[[#This Row],[Écart TR 2025]]</f>
        <v>-75</v>
      </c>
      <c r="AC60">
        <v>75</v>
      </c>
      <c r="AD60"/>
      <c r="AE60">
        <v>150</v>
      </c>
      <c r="AF60">
        <v>650</v>
      </c>
      <c r="AG60">
        <f>Portefeuille_ProgPropose12[[#This Row],[AC 2026]]-Portefeuille_ProgPropose12[[#This Row],[AC 2026 Trimestre précédent]]</f>
        <v>-75</v>
      </c>
      <c r="AH60">
        <f>Portefeuille_ProgPropose12[[#This Row],[TR 2026]]-Portefeuille_ProgPropose12[[#This Row],[TR 2026 Trimestre précédent]]</f>
        <v>-650</v>
      </c>
      <c r="AI60">
        <f>Portefeuille_ProgPropose12[[#This Row],[Écart AC 2026]]+Portefeuille_ProgPropose12[[#This Row],[Écart TR 2026]]</f>
        <v>-725</v>
      </c>
      <c r="AJ60">
        <v>150</v>
      </c>
      <c r="AK60">
        <v>650</v>
      </c>
      <c r="AQ60"/>
      <c r="AZ60" s="14">
        <f>SUM(Portefeuille_ProgPropose12[[#This Row],[AC ANT]:[TR 2025]],Portefeuille_ProgPropose12[[#This Row],[AC 2026]:[TR 2026]],Portefeuille_ProgPropose12[[#This Row],[AC 2027]:[TR 2034]])</f>
        <v>950</v>
      </c>
    </row>
    <row r="61" spans="1:52" hidden="1" x14ac:dyDescent="0.3">
      <c r="A61" t="s">
        <v>286</v>
      </c>
      <c r="B61">
        <v>12</v>
      </c>
      <c r="C61" t="s">
        <v>101</v>
      </c>
      <c r="D61" t="s">
        <v>102</v>
      </c>
      <c r="E61" t="s">
        <v>103</v>
      </c>
      <c r="F61" t="s">
        <v>140</v>
      </c>
      <c r="G61" t="s">
        <v>20</v>
      </c>
      <c r="H61" t="s">
        <v>20</v>
      </c>
      <c r="I61" t="s">
        <v>131</v>
      </c>
      <c r="J61" t="s">
        <v>246</v>
      </c>
      <c r="K61" t="s">
        <v>515</v>
      </c>
      <c r="L61" t="s">
        <v>180</v>
      </c>
      <c r="M61" t="s">
        <v>173</v>
      </c>
      <c r="N61" t="s">
        <v>110</v>
      </c>
      <c r="O61" s="1">
        <v>45679</v>
      </c>
      <c r="P61" s="1">
        <v>46006</v>
      </c>
      <c r="Q61" s="1">
        <v>46371</v>
      </c>
      <c r="V61">
        <v>130</v>
      </c>
      <c r="X61">
        <v>50</v>
      </c>
      <c r="Z61">
        <f>Portefeuille_ProgPropose12[[#This Row],[AC 2025]]-Portefeuille_ProgPropose12[[#This Row],[AC 2025 Trimestre précédent]]</f>
        <v>80</v>
      </c>
      <c r="AA61">
        <f>Portefeuille_ProgPropose12[[#This Row],[TR 2025]]-Portefeuille_ProgPropose12[[#This Row],[TR 2025 Trimestre précédent]]</f>
        <v>0</v>
      </c>
      <c r="AB61">
        <f>Portefeuille_ProgPropose12[[#This Row],[Écart AC 2025]]+Portefeuille_ProgPropose12[[#This Row],[Écart TR 2025]]</f>
        <v>80</v>
      </c>
      <c r="AC61">
        <v>60</v>
      </c>
      <c r="AD61"/>
      <c r="AE61">
        <v>100</v>
      </c>
      <c r="AG61">
        <f>Portefeuille_ProgPropose12[[#This Row],[AC 2026]]-Portefeuille_ProgPropose12[[#This Row],[AC 2026 Trimestre précédent]]</f>
        <v>-40</v>
      </c>
      <c r="AH61">
        <f>Portefeuille_ProgPropose12[[#This Row],[TR 2026]]-Portefeuille_ProgPropose12[[#This Row],[TR 2026 Trimestre précédent]]</f>
        <v>0</v>
      </c>
      <c r="AI61">
        <f>Portefeuille_ProgPropose12[[#This Row],[Écart AC 2026]]+Portefeuille_ProgPropose12[[#This Row],[Écart TR 2026]]</f>
        <v>-40</v>
      </c>
      <c r="AJ61">
        <v>283</v>
      </c>
      <c r="AK61">
        <v>3902</v>
      </c>
      <c r="AQ61"/>
      <c r="AZ61" s="14">
        <f>SUM(Portefeuille_ProgPropose12[[#This Row],[AC ANT]:[TR 2025]],Portefeuille_ProgPropose12[[#This Row],[AC 2026]:[TR 2026]],Portefeuille_ProgPropose12[[#This Row],[AC 2027]:[TR 2034]])</f>
        <v>4375</v>
      </c>
    </row>
    <row r="62" spans="1:52" hidden="1" x14ac:dyDescent="0.3">
      <c r="A62" t="s">
        <v>286</v>
      </c>
      <c r="B62">
        <v>13</v>
      </c>
      <c r="C62" t="s">
        <v>101</v>
      </c>
      <c r="D62" t="s">
        <v>102</v>
      </c>
      <c r="E62" t="s">
        <v>128</v>
      </c>
      <c r="F62" t="s">
        <v>129</v>
      </c>
      <c r="G62" t="s">
        <v>20</v>
      </c>
      <c r="H62" t="s">
        <v>20</v>
      </c>
      <c r="I62" t="s">
        <v>131</v>
      </c>
      <c r="J62" t="s">
        <v>250</v>
      </c>
      <c r="K62" t="s">
        <v>251</v>
      </c>
      <c r="L62" t="s">
        <v>214</v>
      </c>
      <c r="M62" t="s">
        <v>197</v>
      </c>
      <c r="N62" t="s">
        <v>110</v>
      </c>
      <c r="O62" s="1">
        <v>45490</v>
      </c>
      <c r="P62" s="1"/>
      <c r="Q62" s="1">
        <v>46447</v>
      </c>
      <c r="V62">
        <v>37</v>
      </c>
      <c r="X62">
        <v>37</v>
      </c>
      <c r="Z62">
        <f>Portefeuille_ProgPropose12[[#This Row],[AC 2025]]-Portefeuille_ProgPropose12[[#This Row],[AC 2025 Trimestre précédent]]</f>
        <v>0</v>
      </c>
      <c r="AA62">
        <f>Portefeuille_ProgPropose12[[#This Row],[TR 2025]]-Portefeuille_ProgPropose12[[#This Row],[TR 2025 Trimestre précédent]]</f>
        <v>0</v>
      </c>
      <c r="AB62">
        <f>Portefeuille_ProgPropose12[[#This Row],[Écart AC 2025]]+Portefeuille_ProgPropose12[[#This Row],[Écart TR 2025]]</f>
        <v>0</v>
      </c>
      <c r="AC62">
        <v>10</v>
      </c>
      <c r="AD62"/>
      <c r="AE62">
        <v>10</v>
      </c>
      <c r="AG62">
        <f>Portefeuille_ProgPropose12[[#This Row],[AC 2026]]-Portefeuille_ProgPropose12[[#This Row],[AC 2026 Trimestre précédent]]</f>
        <v>0</v>
      </c>
      <c r="AH62">
        <f>Portefeuille_ProgPropose12[[#This Row],[TR 2026]]-Portefeuille_ProgPropose12[[#This Row],[TR 2026 Trimestre précédent]]</f>
        <v>0</v>
      </c>
      <c r="AI62">
        <f>Portefeuille_ProgPropose12[[#This Row],[Écart AC 2026]]+Portefeuille_ProgPropose12[[#This Row],[Écart TR 2026]]</f>
        <v>0</v>
      </c>
      <c r="AJ62">
        <v>12</v>
      </c>
      <c r="AL62">
        <v>30</v>
      </c>
      <c r="AM62">
        <v>194</v>
      </c>
      <c r="AQ62"/>
      <c r="AZ62" s="14">
        <f>SUM(Portefeuille_ProgPropose12[[#This Row],[AC ANT]:[TR 2025]],Portefeuille_ProgPropose12[[#This Row],[AC 2026]:[TR 2026]],Portefeuille_ProgPropose12[[#This Row],[AC 2027]:[TR 2034]])</f>
        <v>283</v>
      </c>
    </row>
    <row r="63" spans="1:52" hidden="1" x14ac:dyDescent="0.3">
      <c r="A63" t="s">
        <v>286</v>
      </c>
      <c r="B63">
        <v>8</v>
      </c>
      <c r="C63" t="s">
        <v>118</v>
      </c>
      <c r="D63" t="s">
        <v>102</v>
      </c>
      <c r="E63" t="s">
        <v>136</v>
      </c>
      <c r="F63" t="s">
        <v>113</v>
      </c>
      <c r="G63" t="s">
        <v>20</v>
      </c>
      <c r="H63" t="s">
        <v>20</v>
      </c>
      <c r="I63" t="s">
        <v>105</v>
      </c>
      <c r="J63" t="s">
        <v>248</v>
      </c>
      <c r="K63" t="s">
        <v>249</v>
      </c>
      <c r="L63" t="s">
        <v>180</v>
      </c>
      <c r="M63" t="s">
        <v>173</v>
      </c>
      <c r="N63" t="s">
        <v>110</v>
      </c>
      <c r="O63" s="1">
        <v>45476</v>
      </c>
      <c r="P63" s="1">
        <v>45945</v>
      </c>
      <c r="Q63" s="1">
        <v>46096</v>
      </c>
      <c r="V63">
        <v>100</v>
      </c>
      <c r="X63">
        <v>100</v>
      </c>
      <c r="Z63">
        <f>Portefeuille_ProgPropose12[[#This Row],[AC 2025]]-Portefeuille_ProgPropose12[[#This Row],[AC 2025 Trimestre précédent]]</f>
        <v>0</v>
      </c>
      <c r="AA63">
        <f>Portefeuille_ProgPropose12[[#This Row],[TR 2025]]-Portefeuille_ProgPropose12[[#This Row],[TR 2025 Trimestre précédent]]</f>
        <v>0</v>
      </c>
      <c r="AB63">
        <f>Portefeuille_ProgPropose12[[#This Row],[Écart AC 2025]]+Portefeuille_ProgPropose12[[#This Row],[Écart TR 2025]]</f>
        <v>0</v>
      </c>
      <c r="AC63">
        <v>110</v>
      </c>
      <c r="AD63"/>
      <c r="AE63">
        <v>110</v>
      </c>
      <c r="AG63">
        <f>Portefeuille_ProgPropose12[[#This Row],[AC 2026]]-Portefeuille_ProgPropose12[[#This Row],[AC 2026 Trimestre précédent]]</f>
        <v>0</v>
      </c>
      <c r="AH63">
        <f>Portefeuille_ProgPropose12[[#This Row],[TR 2026]]-Portefeuille_ProgPropose12[[#This Row],[TR 2026 Trimestre précédent]]</f>
        <v>0</v>
      </c>
      <c r="AI63">
        <f>Portefeuille_ProgPropose12[[#This Row],[Écart AC 2026]]+Portefeuille_ProgPropose12[[#This Row],[Écart TR 2026]]</f>
        <v>0</v>
      </c>
      <c r="AJ63">
        <v>110</v>
      </c>
      <c r="AK63">
        <v>1415</v>
      </c>
      <c r="AM63">
        <v>2030</v>
      </c>
      <c r="AQ63"/>
      <c r="AZ63" s="14">
        <f>SUM(Portefeuille_ProgPropose12[[#This Row],[AC ANT]:[TR 2025]],Portefeuille_ProgPropose12[[#This Row],[AC 2026]:[TR 2026]],Portefeuille_ProgPropose12[[#This Row],[AC 2027]:[TR 2034]])</f>
        <v>3765</v>
      </c>
    </row>
    <row r="64" spans="1:52" hidden="1" x14ac:dyDescent="0.3">
      <c r="A64" t="s">
        <v>286</v>
      </c>
      <c r="B64">
        <v>4</v>
      </c>
      <c r="C64" t="s">
        <v>101</v>
      </c>
      <c r="D64" t="s">
        <v>102</v>
      </c>
      <c r="E64" t="s">
        <v>119</v>
      </c>
      <c r="F64" t="s">
        <v>129</v>
      </c>
      <c r="G64" t="s">
        <v>20</v>
      </c>
      <c r="H64" t="s">
        <v>20</v>
      </c>
      <c r="I64" t="s">
        <v>131</v>
      </c>
      <c r="J64" t="s">
        <v>153</v>
      </c>
      <c r="K64" t="s">
        <v>154</v>
      </c>
      <c r="L64" t="s">
        <v>134</v>
      </c>
      <c r="M64" t="s">
        <v>109</v>
      </c>
      <c r="N64" t="s">
        <v>123</v>
      </c>
      <c r="O64" s="1">
        <v>45601</v>
      </c>
      <c r="P64" s="1">
        <v>45731</v>
      </c>
      <c r="Q64" s="1">
        <v>45976</v>
      </c>
      <c r="V64">
        <v>20</v>
      </c>
      <c r="X64">
        <v>75</v>
      </c>
      <c r="Z64">
        <f>Portefeuille_ProgPropose12[[#This Row],[AC 2025]]-Portefeuille_ProgPropose12[[#This Row],[AC 2025 Trimestre précédent]]</f>
        <v>-55</v>
      </c>
      <c r="AA64">
        <f>Portefeuille_ProgPropose12[[#This Row],[TR 2025]]-Portefeuille_ProgPropose12[[#This Row],[TR 2025 Trimestre précédent]]</f>
        <v>0</v>
      </c>
      <c r="AB64">
        <f>Portefeuille_ProgPropose12[[#This Row],[Écart AC 2025]]+Portefeuille_ProgPropose12[[#This Row],[Écart TR 2025]]</f>
        <v>-55</v>
      </c>
      <c r="AC64">
        <v>55</v>
      </c>
      <c r="AD64">
        <v>543</v>
      </c>
      <c r="AE64">
        <v>150</v>
      </c>
      <c r="AF64">
        <v>1000</v>
      </c>
      <c r="AG64">
        <f>Portefeuille_ProgPropose12[[#This Row],[AC 2026]]-Portefeuille_ProgPropose12[[#This Row],[AC 2026 Trimestre précédent]]</f>
        <v>-95</v>
      </c>
      <c r="AH64">
        <f>Portefeuille_ProgPropose12[[#This Row],[TR 2026]]-Portefeuille_ProgPropose12[[#This Row],[TR 2026 Trimestre précédent]]</f>
        <v>-457</v>
      </c>
      <c r="AI64">
        <f>Portefeuille_ProgPropose12[[#This Row],[Écart AC 2026]]+Portefeuille_ProgPropose12[[#This Row],[Écart TR 2026]]</f>
        <v>-552</v>
      </c>
      <c r="AQ64"/>
      <c r="AZ64" s="14">
        <f>SUM(Portefeuille_ProgPropose12[[#This Row],[AC ANT]:[TR 2025]],Portefeuille_ProgPropose12[[#This Row],[AC 2026]:[TR 2026]],Portefeuille_ProgPropose12[[#This Row],[AC 2027]:[TR 2034]])</f>
        <v>618</v>
      </c>
    </row>
    <row r="65" spans="1:57" hidden="1" x14ac:dyDescent="0.3">
      <c r="A65" t="s">
        <v>286</v>
      </c>
      <c r="B65">
        <v>5</v>
      </c>
      <c r="C65" t="s">
        <v>126</v>
      </c>
      <c r="D65" t="s">
        <v>127</v>
      </c>
      <c r="E65" t="s">
        <v>128</v>
      </c>
      <c r="F65" t="s">
        <v>252</v>
      </c>
      <c r="G65" t="s">
        <v>20</v>
      </c>
      <c r="H65" t="s">
        <v>20</v>
      </c>
      <c r="I65" t="s">
        <v>131</v>
      </c>
      <c r="J65" t="s">
        <v>259</v>
      </c>
      <c r="K65" t="s">
        <v>260</v>
      </c>
      <c r="L65" t="s">
        <v>159</v>
      </c>
      <c r="M65" t="s">
        <v>148</v>
      </c>
      <c r="N65" t="s">
        <v>291</v>
      </c>
      <c r="O65" s="1"/>
      <c r="P65" s="1"/>
      <c r="Q65" s="1"/>
      <c r="V65">
        <v>15</v>
      </c>
      <c r="W65">
        <v>85</v>
      </c>
      <c r="Y65">
        <v>100</v>
      </c>
      <c r="Z65">
        <f>Portefeuille_ProgPropose12[[#This Row],[AC 2025]]-Portefeuille_ProgPropose12[[#This Row],[AC 2025 Trimestre précédent]]</f>
        <v>15</v>
      </c>
      <c r="AA65">
        <f>Portefeuille_ProgPropose12[[#This Row],[TR 2025]]-Portefeuille_ProgPropose12[[#This Row],[TR 2025 Trimestre précédent]]</f>
        <v>-15</v>
      </c>
      <c r="AB65">
        <f>Portefeuille_ProgPropose12[[#This Row],[Écart AC 2025]]+Portefeuille_ProgPropose12[[#This Row],[Écart TR 2025]]</f>
        <v>0</v>
      </c>
      <c r="AD65"/>
      <c r="AG65">
        <f>Portefeuille_ProgPropose12[[#This Row],[AC 2026]]-Portefeuille_ProgPropose12[[#This Row],[AC 2026 Trimestre précédent]]</f>
        <v>0</v>
      </c>
      <c r="AH65">
        <f>Portefeuille_ProgPropose12[[#This Row],[TR 2026]]-Portefeuille_ProgPropose12[[#This Row],[TR 2026 Trimestre précédent]]</f>
        <v>0</v>
      </c>
      <c r="AI65">
        <f>Portefeuille_ProgPropose12[[#This Row],[Écart AC 2026]]+Portefeuille_ProgPropose12[[#This Row],[Écart TR 2026]]</f>
        <v>0</v>
      </c>
      <c r="AQ65"/>
      <c r="AZ65" s="14">
        <f>SUM(Portefeuille_ProgPropose12[[#This Row],[AC ANT]:[TR 2025]],Portefeuille_ProgPropose12[[#This Row],[AC 2026]:[TR 2026]],Portefeuille_ProgPropose12[[#This Row],[AC 2027]:[TR 2034]])</f>
        <v>100</v>
      </c>
    </row>
    <row r="66" spans="1:57" hidden="1" x14ac:dyDescent="0.3">
      <c r="A66" t="s">
        <v>286</v>
      </c>
      <c r="B66">
        <v>5</v>
      </c>
      <c r="C66" t="s">
        <v>118</v>
      </c>
      <c r="D66" t="s">
        <v>102</v>
      </c>
      <c r="E66" t="s">
        <v>177</v>
      </c>
      <c r="F66" t="s">
        <v>129</v>
      </c>
      <c r="G66" t="s">
        <v>20</v>
      </c>
      <c r="H66" t="s">
        <v>20</v>
      </c>
      <c r="I66" t="s">
        <v>131</v>
      </c>
      <c r="J66" t="s">
        <v>293</v>
      </c>
      <c r="K66" t="s">
        <v>294</v>
      </c>
      <c r="L66" t="s">
        <v>134</v>
      </c>
      <c r="M66" s="2" t="s">
        <v>148</v>
      </c>
      <c r="N66" t="s">
        <v>123</v>
      </c>
      <c r="O66" s="1">
        <v>45702</v>
      </c>
      <c r="P66" s="1">
        <v>45702</v>
      </c>
      <c r="Q66" s="1">
        <v>45702</v>
      </c>
      <c r="V66">
        <v>50</v>
      </c>
      <c r="W66">
        <v>2894</v>
      </c>
      <c r="Z66">
        <f>Portefeuille_ProgPropose12[[#This Row],[AC 2025]]-Portefeuille_ProgPropose12[[#This Row],[AC 2025 Trimestre précédent]]</f>
        <v>50</v>
      </c>
      <c r="AA66">
        <f>Portefeuille_ProgPropose12[[#This Row],[TR 2025]]-Portefeuille_ProgPropose12[[#This Row],[TR 2025 Trimestre précédent]]</f>
        <v>2894</v>
      </c>
      <c r="AB66">
        <f>Portefeuille_ProgPropose12[[#This Row],[Écart AC 2025]]+Portefeuille_ProgPropose12[[#This Row],[Écart TR 2025]]</f>
        <v>2944</v>
      </c>
      <c r="AD66"/>
      <c r="AG66">
        <f>Portefeuille_ProgPropose12[[#This Row],[AC 2026]]-Portefeuille_ProgPropose12[[#This Row],[AC 2026 Trimestre précédent]]</f>
        <v>0</v>
      </c>
      <c r="AH66">
        <f>Portefeuille_ProgPropose12[[#This Row],[TR 2026]]-Portefeuille_ProgPropose12[[#This Row],[TR 2026 Trimestre précédent]]</f>
        <v>0</v>
      </c>
      <c r="AI66">
        <f>Portefeuille_ProgPropose12[[#This Row],[Écart AC 2026]]+Portefeuille_ProgPropose12[[#This Row],[Écart TR 2026]]</f>
        <v>0</v>
      </c>
      <c r="AQ66"/>
      <c r="AZ66" s="14">
        <f>SUM(Portefeuille_ProgPropose12[[#This Row],[AC ANT]:[TR 2025]],Portefeuille_ProgPropose12[[#This Row],[AC 2026]:[TR 2026]],Portefeuille_ProgPropose12[[#This Row],[AC 2027]:[TR 2034]])</f>
        <v>2944</v>
      </c>
    </row>
    <row r="67" spans="1:57" hidden="1" x14ac:dyDescent="0.3">
      <c r="A67" t="s">
        <v>286</v>
      </c>
      <c r="B67">
        <v>3</v>
      </c>
      <c r="C67" t="s">
        <v>118</v>
      </c>
      <c r="D67" t="s">
        <v>102</v>
      </c>
      <c r="E67" t="s">
        <v>136</v>
      </c>
      <c r="G67" t="s">
        <v>20</v>
      </c>
      <c r="H67" t="s">
        <v>20</v>
      </c>
      <c r="I67" t="s">
        <v>105</v>
      </c>
      <c r="J67" t="s">
        <v>516</v>
      </c>
      <c r="K67" t="s">
        <v>517</v>
      </c>
      <c r="L67" t="s">
        <v>302</v>
      </c>
      <c r="M67" t="s">
        <v>173</v>
      </c>
      <c r="N67" t="s">
        <v>291</v>
      </c>
      <c r="O67" s="1"/>
      <c r="P67" s="1"/>
      <c r="Q67" s="1"/>
      <c r="V67">
        <v>25</v>
      </c>
      <c r="Z67">
        <f>Portefeuille_ProgPropose12[[#This Row],[AC 2025]]-Portefeuille_ProgPropose12[[#This Row],[AC 2025 Trimestre précédent]]</f>
        <v>25</v>
      </c>
      <c r="AA67">
        <f>Portefeuille_ProgPropose12[[#This Row],[TR 2025]]-Portefeuille_ProgPropose12[[#This Row],[TR 2025 Trimestre précédent]]</f>
        <v>0</v>
      </c>
      <c r="AB67">
        <f>Portefeuille_ProgPropose12[[#This Row],[Écart AC 2025]]+Portefeuille_ProgPropose12[[#This Row],[Écart TR 2025]]</f>
        <v>25</v>
      </c>
      <c r="AC67">
        <v>25</v>
      </c>
      <c r="AD67"/>
      <c r="AG67">
        <f>Portefeuille_ProgPropose12[[#This Row],[AC 2026]]-Portefeuille_ProgPropose12[[#This Row],[AC 2026 Trimestre précédent]]</f>
        <v>25</v>
      </c>
      <c r="AH67">
        <f>Portefeuille_ProgPropose12[[#This Row],[TR 2026]]-Portefeuille_ProgPropose12[[#This Row],[TR 2026 Trimestre précédent]]</f>
        <v>0</v>
      </c>
      <c r="AI67">
        <f>Portefeuille_ProgPropose12[[#This Row],[Écart AC 2026]]+Portefeuille_ProgPropose12[[#This Row],[Écart TR 2026]]</f>
        <v>25</v>
      </c>
      <c r="AK67">
        <v>250</v>
      </c>
      <c r="AQ67"/>
      <c r="AZ67" s="14">
        <f>SUM(Portefeuille_ProgPropose12[[#This Row],[AC ANT]:[TR 2025]],Portefeuille_ProgPropose12[[#This Row],[AC 2026]:[TR 2026]],Portefeuille_ProgPropose12[[#This Row],[AC 2027]:[TR 2034]])</f>
        <v>300</v>
      </c>
      <c r="BA67" s="57"/>
      <c r="BB67" s="57"/>
      <c r="BC67" s="57"/>
      <c r="BD67" s="57"/>
      <c r="BE67" s="57"/>
    </row>
    <row r="68" spans="1:57" hidden="1" x14ac:dyDescent="0.3">
      <c r="A68" t="s">
        <v>286</v>
      </c>
      <c r="B68">
        <v>4</v>
      </c>
      <c r="C68" t="s">
        <v>118</v>
      </c>
      <c r="D68" t="s">
        <v>102</v>
      </c>
      <c r="E68" t="s">
        <v>136</v>
      </c>
      <c r="G68" t="s">
        <v>20</v>
      </c>
      <c r="H68" t="s">
        <v>20</v>
      </c>
      <c r="I68" t="s">
        <v>105</v>
      </c>
      <c r="J68" t="s">
        <v>518</v>
      </c>
      <c r="K68" t="s">
        <v>519</v>
      </c>
      <c r="L68" t="s">
        <v>143</v>
      </c>
      <c r="M68" t="s">
        <v>173</v>
      </c>
      <c r="N68" t="s">
        <v>291</v>
      </c>
      <c r="O68" s="1"/>
      <c r="P68" s="1"/>
      <c r="Q68" s="1"/>
      <c r="V68">
        <v>25</v>
      </c>
      <c r="Z68">
        <f>Portefeuille_ProgPropose12[[#This Row],[AC 2025]]-Portefeuille_ProgPropose12[[#This Row],[AC 2025 Trimestre précédent]]</f>
        <v>25</v>
      </c>
      <c r="AA68">
        <f>Portefeuille_ProgPropose12[[#This Row],[TR 2025]]-Portefeuille_ProgPropose12[[#This Row],[TR 2025 Trimestre précédent]]</f>
        <v>0</v>
      </c>
      <c r="AB68">
        <f>Portefeuille_ProgPropose12[[#This Row],[Écart AC 2025]]+Portefeuille_ProgPropose12[[#This Row],[Écart TR 2025]]</f>
        <v>25</v>
      </c>
      <c r="AC68">
        <v>25</v>
      </c>
      <c r="AD68"/>
      <c r="AG68">
        <f>Portefeuille_ProgPropose12[[#This Row],[AC 2026]]-Portefeuille_ProgPropose12[[#This Row],[AC 2026 Trimestre précédent]]</f>
        <v>25</v>
      </c>
      <c r="AH68">
        <f>Portefeuille_ProgPropose12[[#This Row],[TR 2026]]-Portefeuille_ProgPropose12[[#This Row],[TR 2026 Trimestre précédent]]</f>
        <v>0</v>
      </c>
      <c r="AI68">
        <f>Portefeuille_ProgPropose12[[#This Row],[Écart AC 2026]]+Portefeuille_ProgPropose12[[#This Row],[Écart TR 2026]]</f>
        <v>25</v>
      </c>
      <c r="AK68">
        <v>150</v>
      </c>
      <c r="AQ68"/>
      <c r="AZ68" s="14">
        <f>SUM(Portefeuille_ProgPropose12[[#This Row],[AC ANT]:[TR 2025]],Portefeuille_ProgPropose12[[#This Row],[AC 2026]:[TR 2026]],Portefeuille_ProgPropose12[[#This Row],[AC 2027]:[TR 2034]])</f>
        <v>200</v>
      </c>
    </row>
    <row r="69" spans="1:57" x14ac:dyDescent="0.3">
      <c r="J69">
        <f>SUBTOTAL(103,Portefeuille_ProgPropose12[Numéro projet])</f>
        <v>1</v>
      </c>
      <c r="R69" s="14">
        <f>SUBTOTAL(109,Portefeuille_ProgPropose12[AC ANT])</f>
        <v>0</v>
      </c>
      <c r="S69" s="14">
        <f>SUBTOTAL(109,Portefeuille_ProgPropose12[TR ANT])</f>
        <v>0</v>
      </c>
      <c r="T69" s="14">
        <f>SUBTOTAL(109,Portefeuille_ProgPropose12[AC 2024])</f>
        <v>0</v>
      </c>
      <c r="U69" s="14">
        <f>SUBTOTAL(109,Portefeuille_ProgPropose12[TR 2024])</f>
        <v>0</v>
      </c>
      <c r="V69" s="14">
        <f>SUBTOTAL(109,Portefeuille_ProgPropose12[AC 2025])</f>
        <v>80</v>
      </c>
      <c r="W69" s="14">
        <f>SUBTOTAL(109,Portefeuille_ProgPropose12[TR 2025])</f>
        <v>0</v>
      </c>
      <c r="X69" s="14">
        <f>SUBTOTAL(109,Portefeuille_ProgPropose12[AC 2025 Trimestre précédent])</f>
        <v>141</v>
      </c>
      <c r="Y69" s="14">
        <f>SUBTOTAL(109,Portefeuille_ProgPropose12[TR 2025 Trimestre précédent])</f>
        <v>0</v>
      </c>
      <c r="Z69" s="14">
        <f>SUBTOTAL(109,Portefeuille_ProgPropose12[Écart AC 2025])</f>
        <v>-61</v>
      </c>
      <c r="AA69" s="14">
        <f>SUBTOTAL(109,Portefeuille_ProgPropose12[Écart TR 2025])</f>
        <v>0</v>
      </c>
      <c r="AB69" s="14">
        <f>SUBTOTAL(109,Portefeuille_ProgPropose12[Écart 2025 Total])</f>
        <v>-61</v>
      </c>
      <c r="AC69" s="14">
        <f>SUBTOTAL(109,Portefeuille_ProgPropose12[AC 2026])</f>
        <v>87</v>
      </c>
      <c r="AD69" s="14">
        <f>SUBTOTAL(109,Portefeuille_ProgPropose12[TR 2026])</f>
        <v>0</v>
      </c>
      <c r="AE69" s="14">
        <f>SUBTOTAL(109,Portefeuille_ProgPropose12[AC 2026 Trimestre précédent])</f>
        <v>50</v>
      </c>
      <c r="AF69" s="14">
        <f>SUBTOTAL(109,Portefeuille_ProgPropose12[TR 2026 Trimestre précédent])</f>
        <v>0</v>
      </c>
      <c r="AG69" s="14">
        <f>SUBTOTAL(109,Portefeuille_ProgPropose12[Écart AC 2026])</f>
        <v>37</v>
      </c>
      <c r="AH69" s="14">
        <f>SUBTOTAL(109,Portefeuille_ProgPropose12[Écart TR 2026])</f>
        <v>0</v>
      </c>
      <c r="AI69" s="14">
        <f>SUBTOTAL(109,Portefeuille_ProgPropose12[Écart 2026 Total])</f>
        <v>37</v>
      </c>
      <c r="AJ69" s="14">
        <f>SUBTOTAL(109,Portefeuille_ProgPropose12[AC 2027])</f>
        <v>227</v>
      </c>
      <c r="AK69" s="14">
        <f>SUBTOTAL(109,Portefeuille_ProgPropose12[TR 2027])</f>
        <v>899</v>
      </c>
      <c r="AL69" s="14">
        <f>SUBTOTAL(109,Portefeuille_ProgPropose12[AC 2028])</f>
        <v>0</v>
      </c>
      <c r="AM69" s="14">
        <f>SUBTOTAL(109,Portefeuille_ProgPropose12[TR 2028])</f>
        <v>0</v>
      </c>
      <c r="AN69" s="14">
        <f>SUBTOTAL(109,Portefeuille_ProgPropose12[AC 2029])</f>
        <v>0</v>
      </c>
      <c r="AO69" s="14">
        <f>SUBTOTAL(109,Portefeuille_ProgPropose12[TR 2029])</f>
        <v>0</v>
      </c>
      <c r="AP69" s="14">
        <f>SUBTOTAL(109,Portefeuille_ProgPropose12[AC 2030])</f>
        <v>0</v>
      </c>
      <c r="AQ69" s="14">
        <f>SUBTOTAL(109,Portefeuille_ProgPropose12[TR 2030])</f>
        <v>0</v>
      </c>
      <c r="AR69" s="14">
        <f>SUBTOTAL(109,Portefeuille_ProgPropose12[AC 2031])</f>
        <v>0</v>
      </c>
      <c r="AS69" s="14">
        <f>SUBTOTAL(109,Portefeuille_ProgPropose12[TR 2031])</f>
        <v>0</v>
      </c>
      <c r="AT69" s="14">
        <f>SUBTOTAL(109,Portefeuille_ProgPropose12[AC 2032])</f>
        <v>0</v>
      </c>
      <c r="AU69" s="14">
        <f>SUBTOTAL(109,Portefeuille_ProgPropose12[TR 2032])</f>
        <v>0</v>
      </c>
      <c r="AV69" s="14">
        <f>SUBTOTAL(109,Portefeuille_ProgPropose12[AC 2033])</f>
        <v>0</v>
      </c>
      <c r="AW69" s="14">
        <f>SUBTOTAL(109,Portefeuille_ProgPropose12[TR 2033])</f>
        <v>0</v>
      </c>
      <c r="AX69" s="14">
        <f>SUBTOTAL(109,Portefeuille_ProgPropose12[AC 2034])</f>
        <v>0</v>
      </c>
      <c r="AY69" s="14">
        <f>SUBTOTAL(109,Portefeuille_ProgPropose12[TR 2034])</f>
        <v>0</v>
      </c>
      <c r="AZ69" s="14">
        <f>SUBTOTAL(109,Portefeuille_ProgPropose12[Total Projet])</f>
        <v>1293</v>
      </c>
    </row>
    <row r="71" spans="1:57" x14ac:dyDescent="0.3">
      <c r="AS71" s="57"/>
      <c r="AT71" s="57"/>
      <c r="AU71" s="57"/>
      <c r="AV71" s="57"/>
      <c r="AW71" s="57"/>
      <c r="AX71" s="57"/>
      <c r="AY71" s="57"/>
      <c r="AZ71" s="57"/>
    </row>
    <row r="147" spans="58:59" x14ac:dyDescent="0.3">
      <c r="BF147" s="57"/>
      <c r="BG147" s="57"/>
    </row>
  </sheetData>
  <mergeCells count="212">
    <mergeCell ref="P2:Q2"/>
    <mergeCell ref="R3:S3"/>
    <mergeCell ref="T3:U3"/>
    <mergeCell ref="V3:W3"/>
    <mergeCell ref="X3:Y3"/>
    <mergeCell ref="Z3:AB3"/>
    <mergeCell ref="AP3:AQ3"/>
    <mergeCell ref="AR3:AS3"/>
    <mergeCell ref="AT3:AU3"/>
    <mergeCell ref="AX3:AY3"/>
    <mergeCell ref="R4:S4"/>
    <mergeCell ref="T4:U4"/>
    <mergeCell ref="V4:W4"/>
    <mergeCell ref="X4:Y4"/>
    <mergeCell ref="AC4:AD4"/>
    <mergeCell ref="AC3:AD3"/>
    <mergeCell ref="AE3:AF3"/>
    <mergeCell ref="AG3:AI3"/>
    <mergeCell ref="AJ3:AK3"/>
    <mergeCell ref="AL3:AM3"/>
    <mergeCell ref="AN3:AO3"/>
    <mergeCell ref="AT4:AU4"/>
    <mergeCell ref="AV4:AW4"/>
    <mergeCell ref="AX4:AY4"/>
    <mergeCell ref="AL4:AM4"/>
    <mergeCell ref="AN4:AO4"/>
    <mergeCell ref="AP4:AQ4"/>
    <mergeCell ref="AR4:AS4"/>
    <mergeCell ref="X5:Y5"/>
    <mergeCell ref="Z5:AB5"/>
    <mergeCell ref="AC5:AD5"/>
    <mergeCell ref="AE5:AF5"/>
    <mergeCell ref="AE4:AF4"/>
    <mergeCell ref="AJ4:AK4"/>
    <mergeCell ref="AV3:AW3"/>
    <mergeCell ref="AT5:AU5"/>
    <mergeCell ref="AV5:AW5"/>
    <mergeCell ref="AX5:AY5"/>
    <mergeCell ref="R6:S6"/>
    <mergeCell ref="T6:U6"/>
    <mergeCell ref="V6:W6"/>
    <mergeCell ref="X6:Y6"/>
    <mergeCell ref="Z6:AB6"/>
    <mergeCell ref="AC6:AD6"/>
    <mergeCell ref="AE6:AF6"/>
    <mergeCell ref="AG5:AI5"/>
    <mergeCell ref="AJ5:AK5"/>
    <mergeCell ref="AL5:AM5"/>
    <mergeCell ref="AN5:AO5"/>
    <mergeCell ref="AP5:AQ5"/>
    <mergeCell ref="AR5:AS5"/>
    <mergeCell ref="AT6:AU6"/>
    <mergeCell ref="AV6:AW6"/>
    <mergeCell ref="AX6:AY6"/>
    <mergeCell ref="AL6:AM6"/>
    <mergeCell ref="AN6:AO6"/>
    <mergeCell ref="AP6:AQ6"/>
    <mergeCell ref="AR6:AS6"/>
    <mergeCell ref="R5:S5"/>
    <mergeCell ref="T5:U5"/>
    <mergeCell ref="V5:W5"/>
    <mergeCell ref="T7:U7"/>
    <mergeCell ref="V7:W7"/>
    <mergeCell ref="X7:Y7"/>
    <mergeCell ref="Z7:AB7"/>
    <mergeCell ref="AC7:AD7"/>
    <mergeCell ref="AE7:AF7"/>
    <mergeCell ref="AG6:AI6"/>
    <mergeCell ref="AJ6:AK6"/>
    <mergeCell ref="AG8:AI8"/>
    <mergeCell ref="AJ8:AK8"/>
    <mergeCell ref="AT7:AU7"/>
    <mergeCell ref="AV7:AW7"/>
    <mergeCell ref="AX7:AY7"/>
    <mergeCell ref="R8:S8"/>
    <mergeCell ref="T8:U8"/>
    <mergeCell ref="V8:W8"/>
    <mergeCell ref="X8:Y8"/>
    <mergeCell ref="Z8:AB8"/>
    <mergeCell ref="AC8:AD8"/>
    <mergeCell ref="AE8:AF8"/>
    <mergeCell ref="AG7:AI7"/>
    <mergeCell ref="AJ7:AK7"/>
    <mergeCell ref="AL7:AM7"/>
    <mergeCell ref="AN7:AO7"/>
    <mergeCell ref="AP7:AQ7"/>
    <mergeCell ref="AR7:AS7"/>
    <mergeCell ref="AT8:AU8"/>
    <mergeCell ref="AV8:AW8"/>
    <mergeCell ref="AX8:AY8"/>
    <mergeCell ref="AL8:AM8"/>
    <mergeCell ref="AN8:AO8"/>
    <mergeCell ref="AP8:AQ8"/>
    <mergeCell ref="AR8:AS8"/>
    <mergeCell ref="R7:S7"/>
    <mergeCell ref="AV9:AW9"/>
    <mergeCell ref="AX9:AY9"/>
    <mergeCell ref="R10:S10"/>
    <mergeCell ref="T10:U10"/>
    <mergeCell ref="V10:W10"/>
    <mergeCell ref="X10:Y10"/>
    <mergeCell ref="Z10:AB10"/>
    <mergeCell ref="AC10:AD10"/>
    <mergeCell ref="AE10:AF10"/>
    <mergeCell ref="AG9:AI9"/>
    <mergeCell ref="AJ9:AK9"/>
    <mergeCell ref="AL9:AM9"/>
    <mergeCell ref="AN9:AO9"/>
    <mergeCell ref="AP9:AQ9"/>
    <mergeCell ref="AR9:AS9"/>
    <mergeCell ref="AT10:AU10"/>
    <mergeCell ref="AV10:AW10"/>
    <mergeCell ref="AX10:AY10"/>
    <mergeCell ref="AL10:AM10"/>
    <mergeCell ref="AN10:AO10"/>
    <mergeCell ref="AP10:AQ10"/>
    <mergeCell ref="AR10:AS10"/>
    <mergeCell ref="R9:S9"/>
    <mergeCell ref="T9:U9"/>
    <mergeCell ref="V11:W11"/>
    <mergeCell ref="X11:Y11"/>
    <mergeCell ref="Z11:AB11"/>
    <mergeCell ref="AC11:AD11"/>
    <mergeCell ref="AE11:AF11"/>
    <mergeCell ref="AG10:AI10"/>
    <mergeCell ref="AJ10:AK10"/>
    <mergeCell ref="AT9:AU9"/>
    <mergeCell ref="V9:W9"/>
    <mergeCell ref="X9:Y9"/>
    <mergeCell ref="Z9:AB9"/>
    <mergeCell ref="AC9:AD9"/>
    <mergeCell ref="AE9:AF9"/>
    <mergeCell ref="AT11:AU11"/>
    <mergeCell ref="AV11:AW11"/>
    <mergeCell ref="AX11:AY11"/>
    <mergeCell ref="R12:S12"/>
    <mergeCell ref="T12:U12"/>
    <mergeCell ref="V12:W12"/>
    <mergeCell ref="X12:Y12"/>
    <mergeCell ref="AC12:AD12"/>
    <mergeCell ref="AE12:AF12"/>
    <mergeCell ref="AJ12:AK12"/>
    <mergeCell ref="AG11:AI11"/>
    <mergeCell ref="AJ11:AK11"/>
    <mergeCell ref="AL11:AM11"/>
    <mergeCell ref="AN11:AO11"/>
    <mergeCell ref="AP11:AQ11"/>
    <mergeCell ref="AR11:AS11"/>
    <mergeCell ref="AX12:AY12"/>
    <mergeCell ref="AL12:AM12"/>
    <mergeCell ref="AN12:AO12"/>
    <mergeCell ref="AP12:AQ12"/>
    <mergeCell ref="AR12:AS12"/>
    <mergeCell ref="AT12:AU12"/>
    <mergeCell ref="AV12:AW12"/>
    <mergeCell ref="R11:S11"/>
    <mergeCell ref="T11:U11"/>
    <mergeCell ref="AR13:AS13"/>
    <mergeCell ref="AT13:AU13"/>
    <mergeCell ref="AV13:AW13"/>
    <mergeCell ref="AX13:AY13"/>
    <mergeCell ref="R14:S14"/>
    <mergeCell ref="T14:U14"/>
    <mergeCell ref="V14:W14"/>
    <mergeCell ref="X14:Y14"/>
    <mergeCell ref="AC14:AD14"/>
    <mergeCell ref="AE14:AF14"/>
    <mergeCell ref="T13:U13"/>
    <mergeCell ref="V13:W13"/>
    <mergeCell ref="X13:Y13"/>
    <mergeCell ref="AC13:AD13"/>
    <mergeCell ref="AE13:AF13"/>
    <mergeCell ref="AJ13:AK13"/>
    <mergeCell ref="AL13:AM13"/>
    <mergeCell ref="AN13:AO13"/>
    <mergeCell ref="AP13:AQ13"/>
    <mergeCell ref="AN15:AO15"/>
    <mergeCell ref="AP15:AQ15"/>
    <mergeCell ref="AR15:AS15"/>
    <mergeCell ref="AT15:AU15"/>
    <mergeCell ref="AV15:AW15"/>
    <mergeCell ref="AX15:AY15"/>
    <mergeCell ref="AV14:AW14"/>
    <mergeCell ref="AX14:AY14"/>
    <mergeCell ref="R15:S15"/>
    <mergeCell ref="T15:U15"/>
    <mergeCell ref="V15:W15"/>
    <mergeCell ref="X15:Y15"/>
    <mergeCell ref="AC15:AD15"/>
    <mergeCell ref="AE15:AF15"/>
    <mergeCell ref="AJ15:AK15"/>
    <mergeCell ref="AL15:AM15"/>
    <mergeCell ref="AJ14:AK14"/>
    <mergeCell ref="AL14:AM14"/>
    <mergeCell ref="AN14:AO14"/>
    <mergeCell ref="AP14:AQ14"/>
    <mergeCell ref="AR14:AS14"/>
    <mergeCell ref="AT14:AU14"/>
    <mergeCell ref="AV16:AW16"/>
    <mergeCell ref="AX16:AY16"/>
    <mergeCell ref="AJ16:AK16"/>
    <mergeCell ref="AL16:AM16"/>
    <mergeCell ref="AN16:AO16"/>
    <mergeCell ref="AP16:AQ16"/>
    <mergeCell ref="AR16:AS16"/>
    <mergeCell ref="AT16:AU16"/>
    <mergeCell ref="R16:S16"/>
    <mergeCell ref="T16:U16"/>
    <mergeCell ref="V16:W16"/>
    <mergeCell ref="X16:Y16"/>
    <mergeCell ref="AC16:AD16"/>
    <mergeCell ref="AE16:AF1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E6F1-CFEE-42B6-A100-A78E95C60887}">
  <dimension ref="A1:BL152"/>
  <sheetViews>
    <sheetView topLeftCell="G1" workbookViewId="0"/>
  </sheetViews>
  <sheetFormatPr baseColWidth="10" defaultColWidth="11.44140625" defaultRowHeight="14.4" outlineLevelCol="1" x14ac:dyDescent="0.3"/>
  <cols>
    <col min="1" max="1" width="14.6640625" hidden="1" customWidth="1" outlineLevel="1"/>
    <col min="2" max="2" width="11.44140625" hidden="1" customWidth="1" outlineLevel="1"/>
    <col min="3" max="3" width="18.109375" hidden="1" customWidth="1" outlineLevel="1"/>
    <col min="4" max="4" width="18.6640625" hidden="1" customWidth="1" outlineLevel="1"/>
    <col min="5" max="5" width="15.88671875" hidden="1" customWidth="1" outlineLevel="1"/>
    <col min="6" max="6" width="16" hidden="1" customWidth="1" outlineLevel="1"/>
    <col min="7" max="7" width="15.88671875" customWidth="1" collapsed="1"/>
    <col min="8" max="8" width="17.88671875" customWidth="1"/>
    <col min="9" max="9" width="18.44140625" customWidth="1"/>
    <col min="10" max="10" width="89.88671875" customWidth="1"/>
    <col min="11" max="11" width="25.33203125" customWidth="1"/>
    <col min="12" max="12" width="13.6640625" customWidth="1" collapsed="1"/>
    <col min="13" max="13" width="21.5546875" customWidth="1"/>
    <col min="14" max="14" width="13.6640625" customWidth="1"/>
    <col min="15" max="15" width="14.5546875" customWidth="1"/>
    <col min="16" max="17" width="13.6640625" customWidth="1"/>
    <col min="18" max="18" width="17.88671875" customWidth="1"/>
    <col min="19" max="19" width="14.33203125" customWidth="1"/>
    <col min="20" max="20" width="14.88671875" customWidth="1"/>
    <col min="21" max="21" width="10.88671875" customWidth="1"/>
    <col min="22" max="22" width="17.33203125" hidden="1" customWidth="1" outlineLevel="1"/>
    <col min="23" max="23" width="17.44140625" hidden="1" customWidth="1" outlineLevel="1"/>
    <col min="24" max="24" width="17.33203125" hidden="1" customWidth="1" outlineLevel="1"/>
    <col min="25" max="25" width="17.44140625" hidden="1" customWidth="1" outlineLevel="1"/>
    <col min="26" max="26" width="17.33203125" hidden="1" customWidth="1" outlineLevel="1"/>
    <col min="27" max="27" width="14.6640625" customWidth="1" collapsed="1"/>
    <col min="28" max="28" width="12.88671875" customWidth="1"/>
    <col min="29" max="29" width="16.109375" customWidth="1"/>
    <col min="30" max="30" width="18.109375" customWidth="1"/>
    <col min="31" max="31" width="15.109375" customWidth="1"/>
    <col min="32" max="32" width="21" customWidth="1"/>
    <col min="33" max="36" width="9.88671875" hidden="1" customWidth="1" outlineLevel="1"/>
    <col min="37" max="37" width="9.88671875" style="25" customWidth="1" collapsed="1"/>
    <col min="38" max="38" width="9.88671875" customWidth="1"/>
    <col min="39" max="39" width="9.88671875" customWidth="1" collapsed="1"/>
    <col min="40" max="40" width="11.109375" customWidth="1"/>
    <col min="41" max="41" width="12.33203125" customWidth="1"/>
    <col min="42" max="42" width="11" customWidth="1"/>
    <col min="43" max="46" width="9.88671875" customWidth="1"/>
    <col min="47" max="47" width="9.88671875" style="8" customWidth="1"/>
    <col min="48" max="56" width="9.88671875" customWidth="1"/>
    <col min="57" max="57" width="18" customWidth="1"/>
    <col min="58" max="58" width="17" customWidth="1"/>
    <col min="59" max="59" width="16.6640625" bestFit="1" customWidth="1"/>
    <col min="60" max="69" width="11.33203125" customWidth="1"/>
    <col min="70" max="70" width="12.5546875" customWidth="1"/>
    <col min="71" max="71" width="13.44140625" customWidth="1"/>
    <col min="72" max="72" width="13.109375" customWidth="1"/>
    <col min="73" max="73" width="14" customWidth="1"/>
    <col min="74" max="79" width="17.33203125" customWidth="1"/>
    <col min="80" max="80" width="18.109375" customWidth="1"/>
    <col min="81" max="81" width="17.5546875" customWidth="1"/>
  </cols>
  <sheetData>
    <row r="1" spans="1:64" ht="21" x14ac:dyDescent="0.4">
      <c r="A1" s="32"/>
      <c r="B1" s="32"/>
      <c r="C1" s="32"/>
      <c r="D1" s="32"/>
      <c r="E1" s="32"/>
      <c r="F1" s="32"/>
      <c r="G1" s="32" t="s">
        <v>298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7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85"/>
      <c r="BI1" s="85"/>
      <c r="BJ1" s="85"/>
      <c r="BK1" s="85"/>
      <c r="BL1" s="85"/>
    </row>
    <row r="2" spans="1:64" x14ac:dyDescent="0.3">
      <c r="AC2" s="25"/>
      <c r="AD2" s="25"/>
      <c r="AE2" s="25"/>
      <c r="AF2" s="25"/>
      <c r="AG2" s="25"/>
      <c r="AH2" s="25"/>
      <c r="AI2" s="25"/>
      <c r="AJ2" s="8"/>
      <c r="AK2"/>
      <c r="AU2"/>
    </row>
    <row r="3" spans="1:64" ht="26.4" customHeight="1" x14ac:dyDescent="0.3">
      <c r="G3" s="306" t="s">
        <v>2</v>
      </c>
      <c r="H3" s="307"/>
      <c r="N3" s="65"/>
      <c r="P3" s="65"/>
      <c r="Q3" s="65"/>
      <c r="R3" s="65"/>
      <c r="S3" s="65"/>
      <c r="T3" s="65"/>
      <c r="U3" s="65"/>
      <c r="V3" s="33"/>
      <c r="W3" s="33"/>
      <c r="X3" s="33"/>
      <c r="Y3" s="33"/>
      <c r="Z3" s="33"/>
      <c r="AA3" s="33"/>
      <c r="AB3" s="33"/>
      <c r="AC3" s="4" t="s">
        <v>3</v>
      </c>
      <c r="AD3" s="80" t="s">
        <v>4</v>
      </c>
      <c r="AE3" s="160"/>
      <c r="AF3" s="128" t="s">
        <v>5</v>
      </c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26" t="s">
        <v>7</v>
      </c>
      <c r="BF3" s="26" t="s">
        <v>8</v>
      </c>
    </row>
    <row r="4" spans="1:64" x14ac:dyDescent="0.3">
      <c r="G4" s="27" t="s">
        <v>9</v>
      </c>
      <c r="H4" s="28" t="s">
        <v>10</v>
      </c>
      <c r="N4" s="65"/>
      <c r="P4" s="65"/>
      <c r="Q4" s="65"/>
      <c r="R4" s="65"/>
      <c r="S4" s="65"/>
      <c r="T4" s="65"/>
      <c r="U4" s="65"/>
      <c r="V4" s="34"/>
      <c r="W4" s="34"/>
      <c r="X4" s="34"/>
      <c r="Y4" s="34"/>
      <c r="Z4" s="34"/>
      <c r="AA4" s="34"/>
      <c r="AB4" s="34"/>
      <c r="AC4" s="66"/>
      <c r="AD4" s="138"/>
      <c r="AE4" s="161"/>
      <c r="AF4" s="104" t="s">
        <v>11</v>
      </c>
      <c r="AG4" s="260"/>
      <c r="AH4" s="260"/>
      <c r="AI4" s="260">
        <f>SUMIFS(Portefeuille_MNT_PPS_Access13[AC 2024],Portefeuille_MNT_PPS_Access13[Numéro projet],"=154951716")+SUMIFS(Portefeuille_MNT_PPS_Access13[TR 2024],Portefeuille_MNT_PPS_Access13[Numéro projet],"=154951716")</f>
        <v>22</v>
      </c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16">
        <f t="shared" ref="BE4:BE10" si="0">SUM(AK4:AT4)</f>
        <v>0</v>
      </c>
      <c r="BF4" s="18">
        <f xml:space="preserve"> SUM(AK4:BD4)</f>
        <v>0</v>
      </c>
    </row>
    <row r="5" spans="1:64" x14ac:dyDescent="0.3">
      <c r="G5" s="27" t="s">
        <v>12</v>
      </c>
      <c r="H5" s="28" t="s">
        <v>13</v>
      </c>
      <c r="AC5" s="67"/>
      <c r="AD5" s="139" t="s">
        <v>299</v>
      </c>
      <c r="AE5" s="162"/>
      <c r="AF5" s="104" t="s">
        <v>15</v>
      </c>
      <c r="AG5" s="260">
        <f>SUMIFS(Portefeuille_MNT_PPS_Access13[AC ANT],Portefeuille_MNT_PPS_Access13[État Composante AC],"=PR")</f>
        <v>23914</v>
      </c>
      <c r="AH5" s="260"/>
      <c r="AI5" s="260">
        <f>SUMIFS(Portefeuille_MNT_PPS_Access13[AC 2024],Portefeuille_MNT_PPS_Access13[État Composante AC],"=PR")</f>
        <v>6610</v>
      </c>
      <c r="AJ5" s="260"/>
      <c r="AK5" s="260">
        <f>SUMIFS(Portefeuille_MNT_PPS_Access13[AC 2025],Portefeuille_MNT_PPS_Access13[État Composante AC],"=PR")</f>
        <v>9040</v>
      </c>
      <c r="AL5" s="260"/>
      <c r="AM5" s="260">
        <f>SUMIFS(Portefeuille_MNT_PPS_Access13[AC 2026],Portefeuille_MNT_PPS_Access13[État Composante AC],"=PR")</f>
        <v>9474</v>
      </c>
      <c r="AN5" s="260"/>
      <c r="AO5" s="260">
        <f>SUMIFS(Portefeuille_MNT_PPS_Access13[AC 2027],Portefeuille_MNT_PPS_Access13[État Composante AC],"=PR")</f>
        <v>7237</v>
      </c>
      <c r="AP5" s="260"/>
      <c r="AQ5" s="260">
        <f>SUMIFS(Portefeuille_MNT_PPS_Access13[AC 2028],Portefeuille_MNT_PPS_Access13[État Composante AC],"=PR")</f>
        <v>5716</v>
      </c>
      <c r="AR5" s="260"/>
      <c r="AS5" s="260">
        <f>SUMIFS(Portefeuille_MNT_PPS_Access13[AC 2029],Portefeuille_MNT_PPS_Access13[État Composante AC],"=PR")</f>
        <v>2785</v>
      </c>
      <c r="AT5" s="260"/>
      <c r="AU5" s="260">
        <f>SUMIFS(Portefeuille_MNT_PPS_Access13[AC 2030],Portefeuille_MNT_PPS_Access13[État Composante AC],"=PR")</f>
        <v>2362</v>
      </c>
      <c r="AV5" s="260"/>
      <c r="AW5" s="260">
        <f>SUMIFS(Portefeuille_MNT_PPS_Access13[AC 2031],Portefeuille_MNT_PPS_Access13[État Composante AC],"=PR")</f>
        <v>1822</v>
      </c>
      <c r="AX5" s="260"/>
      <c r="AY5" s="260">
        <f>SUMIFS(Portefeuille_MNT_PPS_Access13[AC 2032],Portefeuille_MNT_PPS_Access13[État Composante AC],"=PR")</f>
        <v>0</v>
      </c>
      <c r="AZ5" s="260"/>
      <c r="BA5" s="260">
        <f>SUMIFS(Portefeuille_MNT_PPS_Access13[AC 2033],Portefeuille_MNT_PPS_Access13[État Composante AC],"=PR")</f>
        <v>0</v>
      </c>
      <c r="BB5" s="260"/>
      <c r="BC5" s="260">
        <f>SUMIFS(Portefeuille_MNT_PPS_Access13[AC 2034],Portefeuille_MNT_PPS_Access13[État Composante AC],"=PR")</f>
        <v>0</v>
      </c>
      <c r="BD5" s="260"/>
      <c r="BE5" s="16">
        <f t="shared" si="0"/>
        <v>34252</v>
      </c>
      <c r="BF5" s="18">
        <f t="shared" ref="BF5:BF10" si="1" xml:space="preserve"> SUM(AK5:BD5)</f>
        <v>38436</v>
      </c>
    </row>
    <row r="6" spans="1:64" x14ac:dyDescent="0.3">
      <c r="G6" s="29" t="s">
        <v>16</v>
      </c>
      <c r="H6" s="28" t="s">
        <v>17</v>
      </c>
      <c r="AC6" s="35" t="s">
        <v>18</v>
      </c>
      <c r="AD6" s="140">
        <v>1</v>
      </c>
      <c r="AE6" s="163"/>
      <c r="AF6" s="83" t="s">
        <v>19</v>
      </c>
      <c r="AG6" s="260">
        <f>SUMIFS(Portefeuille_MNT_PPS_Access13[TR ANT],Portefeuille_MNT_PPS_Access13[État Composante TR],"=PR")</f>
        <v>149199</v>
      </c>
      <c r="AH6" s="260"/>
      <c r="AI6" s="260">
        <f>SUMIFS(Portefeuille_MNT_PPS_Access13[TR 2024],Portefeuille_MNT_PPS_Access13[État Composante TR],"=PR")</f>
        <v>75022</v>
      </c>
      <c r="AJ6" s="260"/>
      <c r="AK6" s="260">
        <f>SUMIFS(Portefeuille_MNT_PPS_Access13[TR 2025],Portefeuille_MNT_PPS_Access13[État Composante TR],"=PR")</f>
        <v>16813</v>
      </c>
      <c r="AL6" s="260"/>
      <c r="AM6" s="260">
        <f>SUMIFS(Portefeuille_MNT_PPS_Access13[TR 2026],Portefeuille_MNT_PPS_Access13[État Composante TR],"=PR")</f>
        <v>20502</v>
      </c>
      <c r="AN6" s="260"/>
      <c r="AO6" s="260">
        <f>SUMIFS(Portefeuille_MNT_PPS_Access13[TR 2027],Portefeuille_MNT_PPS_Access13[État Composante TR],"=PR")</f>
        <v>0</v>
      </c>
      <c r="AP6" s="260"/>
      <c r="AQ6" s="260">
        <f>SUMIFS(Portefeuille_MNT_PPS_Access13[TR 2028],Portefeuille_MNT_PPS_Access13[État Composante TR],"=PR")</f>
        <v>0</v>
      </c>
      <c r="AR6" s="260"/>
      <c r="AS6" s="260">
        <f>SUMIFS(Portefeuille_MNT_PPS_Access13[TR 2029],Portefeuille_MNT_PPS_Access13[État Composante TR],"=PR")</f>
        <v>0</v>
      </c>
      <c r="AT6" s="260"/>
      <c r="AU6" s="260">
        <f>SUMIFS(Portefeuille_MNT_PPS_Access13[TR 2030],Portefeuille_MNT_PPS_Access13[État Composante TR],"=PR")</f>
        <v>0</v>
      </c>
      <c r="AV6" s="260"/>
      <c r="AW6" s="260">
        <f>SUMIFS(Portefeuille_MNT_PPS_Access13[TR 2031],Portefeuille_MNT_PPS_Access13[État Composante TR],"=PR")</f>
        <v>0</v>
      </c>
      <c r="AX6" s="260"/>
      <c r="AY6" s="260">
        <f>SUMIFS(Portefeuille_MNT_PPS_Access13[TR 2032],Portefeuille_MNT_PPS_Access13[État Composante TR],"=PR")</f>
        <v>0</v>
      </c>
      <c r="AZ6" s="260"/>
      <c r="BA6" s="260">
        <f>SUMIFS(Portefeuille_MNT_PPS_Access13[TR 2033],Portefeuille_MNT_PPS_Access13[État Composante TR],"=PR")</f>
        <v>0</v>
      </c>
      <c r="BB6" s="260"/>
      <c r="BC6" s="260">
        <f>SUMIFS(Portefeuille_MNT_PPS_Access13[TR 2034],Portefeuille_MNT_PPS_Access13[État Composante TR],"=PR")</f>
        <v>0</v>
      </c>
      <c r="BD6" s="260"/>
      <c r="BE6" s="16">
        <f t="shared" si="0"/>
        <v>37315</v>
      </c>
      <c r="BF6" s="18">
        <f t="shared" si="1"/>
        <v>37315</v>
      </c>
    </row>
    <row r="7" spans="1:64" x14ac:dyDescent="0.3">
      <c r="G7" s="30" t="s">
        <v>20</v>
      </c>
      <c r="H7" s="31" t="s">
        <v>21</v>
      </c>
      <c r="AC7" s="35" t="s">
        <v>22</v>
      </c>
      <c r="AD7" s="140">
        <v>0.25</v>
      </c>
      <c r="AE7" s="163"/>
      <c r="AF7" s="116" t="s">
        <v>23</v>
      </c>
      <c r="AG7" s="262">
        <f>AG5+AG6</f>
        <v>173113</v>
      </c>
      <c r="AH7" s="262"/>
      <c r="AI7" s="262">
        <f>AI5+AI6</f>
        <v>81632</v>
      </c>
      <c r="AJ7" s="262"/>
      <c r="AK7" s="262">
        <f>AK5+AK6</f>
        <v>25853</v>
      </c>
      <c r="AL7" s="262"/>
      <c r="AM7" s="262">
        <f>AM5+AM6</f>
        <v>29976</v>
      </c>
      <c r="AN7" s="262"/>
      <c r="AO7" s="262">
        <f>AO5+AO6</f>
        <v>7237</v>
      </c>
      <c r="AP7" s="262"/>
      <c r="AQ7" s="262">
        <f>AQ5+AQ6</f>
        <v>5716</v>
      </c>
      <c r="AR7" s="262"/>
      <c r="AS7" s="262">
        <f>AS5+AS6</f>
        <v>2785</v>
      </c>
      <c r="AT7" s="262"/>
      <c r="AU7" s="262">
        <f>AU5+AU6</f>
        <v>2362</v>
      </c>
      <c r="AV7" s="262"/>
      <c r="AW7" s="262">
        <f>AW5+AW6</f>
        <v>1822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0">
        <f t="shared" si="0"/>
        <v>71567</v>
      </c>
      <c r="BF7" s="169">
        <f t="shared" si="1"/>
        <v>75751</v>
      </c>
    </row>
    <row r="8" spans="1:64" x14ac:dyDescent="0.3">
      <c r="AC8" s="35" t="s">
        <v>24</v>
      </c>
      <c r="AD8" s="140">
        <v>0.25</v>
      </c>
      <c r="AE8" s="163"/>
      <c r="AF8" s="83" t="s">
        <v>25</v>
      </c>
      <c r="AG8" s="260">
        <f>SUMIFS(Portefeuille_MNT_PPS_Access13[AC ANT],Portefeuille_MNT_PPS_Access13[État Composante AC],"&lt;&gt;PR")</f>
        <v>0</v>
      </c>
      <c r="AH8" s="260"/>
      <c r="AI8" s="260">
        <f>SUMIFS(Portefeuille_MNT_PPS_Access13[AC 2024],Portefeuille_MNT_PPS_Access13[État Composante AC],"&lt;&gt;PR")</f>
        <v>10</v>
      </c>
      <c r="AJ8" s="260"/>
      <c r="AK8" s="260">
        <f>SUMIFS(Portefeuille_MNT_PPS_Access13[AC 2025],Portefeuille_MNT_PPS_Access13[État Composante AC],"&lt;&gt;PR")</f>
        <v>1190</v>
      </c>
      <c r="AL8" s="260"/>
      <c r="AM8" s="260">
        <f>SUMIFS(Portefeuille_MNT_PPS_Access13[AC 2026],Portefeuille_MNT_PPS_Access13[État Composante AC],"&lt;&gt;PR")</f>
        <v>3058</v>
      </c>
      <c r="AN8" s="260"/>
      <c r="AO8" s="260">
        <f>SUMIFS(Portefeuille_MNT_PPS_Access13[AC 2027],Portefeuille_MNT_PPS_Access13[État Composante AC],"&lt;&gt;PR")</f>
        <v>5925</v>
      </c>
      <c r="AP8" s="260"/>
      <c r="AQ8" s="260">
        <f>SUMIFS(Portefeuille_MNT_PPS_Access13[AC 2028],Portefeuille_MNT_PPS_Access13[État Composante AC],"&lt;&gt;PR")</f>
        <v>7311</v>
      </c>
      <c r="AR8" s="260"/>
      <c r="AS8" s="260">
        <f>SUMIFS(Portefeuille_MNT_PPS_Access13[AC 2029],Portefeuille_MNT_PPS_Access13[État Composante AC],"&lt;&gt;PR")</f>
        <v>6370</v>
      </c>
      <c r="AT8" s="260"/>
      <c r="AU8" s="260">
        <f>SUMIFS(Portefeuille_MNT_PPS_Access13[AC 2030],Portefeuille_MNT_PPS_Access13[État Composante AC],"&lt;&gt;PR")</f>
        <v>6250</v>
      </c>
      <c r="AV8" s="260"/>
      <c r="AW8" s="260">
        <f>SUMIFS(Portefeuille_MNT_PPS_Access13[AC 2031],Portefeuille_MNT_PPS_Access13[État Composante AC],"&lt;&gt;PR")</f>
        <v>5275</v>
      </c>
      <c r="AX8" s="260"/>
      <c r="AY8" s="260">
        <f>SUMIFS(Portefeuille_MNT_PPS_Access13[AC 2032],Portefeuille_MNT_PPS_Access13[État Composante AC],"&lt;&gt;PR")</f>
        <v>7625</v>
      </c>
      <c r="AZ8" s="260"/>
      <c r="BA8" s="260">
        <f>SUMIFS(Portefeuille_MNT_PPS_Access13[AC 2033],Portefeuille_MNT_PPS_Access13[État Composante AC],"&lt;&gt;PR")</f>
        <v>3750</v>
      </c>
      <c r="BB8" s="260"/>
      <c r="BC8" s="260">
        <f>SUMIFS(Portefeuille_MNT_PPS_Access13[AC 2034],Portefeuille_MNT_PPS_Access13[État Composante AC],"&lt;&gt;PR")</f>
        <v>3300</v>
      </c>
      <c r="BD8" s="260"/>
      <c r="BE8" s="16">
        <f t="shared" si="0"/>
        <v>23854</v>
      </c>
      <c r="BF8" s="18">
        <f t="shared" si="1"/>
        <v>50054</v>
      </c>
    </row>
    <row r="9" spans="1:64" x14ac:dyDescent="0.3">
      <c r="AC9" s="35" t="s">
        <v>26</v>
      </c>
      <c r="AD9" s="140">
        <v>0.25</v>
      </c>
      <c r="AE9" s="163"/>
      <c r="AF9" s="83" t="s">
        <v>27</v>
      </c>
      <c r="AG9" s="260">
        <f>SUMIFS(Portefeuille_MNT_PPS_Access13[TR ANT],Portefeuille_MNT_PPS_Access13[État Composante TR],"&lt;&gt;PR")</f>
        <v>3593</v>
      </c>
      <c r="AH9" s="260"/>
      <c r="AI9" s="260">
        <f>SUMIFS(Portefeuille_MNT_PPS_Access13[TR 2024],Portefeuille_MNT_PPS_Access13[État Composante TR],"&lt;&gt;PR")</f>
        <v>0</v>
      </c>
      <c r="AJ9" s="260"/>
      <c r="AK9" s="260">
        <f>SUMIFS(Portefeuille_MNT_PPS_Access13[TR 2025],Portefeuille_MNT_PPS_Access13[État Composante TR],"&lt;&gt;PR")</f>
        <v>33465</v>
      </c>
      <c r="AL9" s="260"/>
      <c r="AM9" s="260">
        <f>SUMIFS(Portefeuille_MNT_PPS_Access13[TR 2026],Portefeuille_MNT_PPS_Access13[État Composante TR],"&lt;&gt;PR")</f>
        <v>46150</v>
      </c>
      <c r="AN9" s="260"/>
      <c r="AO9" s="260">
        <f>SUMIFS(Portefeuille_MNT_PPS_Access13[TR 2027],Portefeuille_MNT_PPS_Access13[État Composante TR],"&lt;&gt;PR")</f>
        <v>93363</v>
      </c>
      <c r="AP9" s="260"/>
      <c r="AQ9" s="260">
        <f>SUMIFS(Portefeuille_MNT_PPS_Access13[TR 2028],Portefeuille_MNT_PPS_Access13[État Composante TR],"&lt;&gt;PR")</f>
        <v>98067</v>
      </c>
      <c r="AR9" s="260"/>
      <c r="AS9" s="260">
        <f>SUMIFS(Portefeuille_MNT_PPS_Access13[TR 2029],Portefeuille_MNT_PPS_Access13[État Composante TR],"&lt;&gt;PR")</f>
        <v>97457</v>
      </c>
      <c r="AT9" s="260"/>
      <c r="AU9" s="260">
        <f>SUMIFS(Portefeuille_MNT_PPS_Access13[TR 2030],Portefeuille_MNT_PPS_Access13[État Composante TR],"&lt;&gt;PR")</f>
        <v>85708</v>
      </c>
      <c r="AV9" s="260"/>
      <c r="AW9" s="260">
        <f>SUMIFS(Portefeuille_MNT_PPS_Access13[TR 2031],Portefeuille_MNT_PPS_Access13[État Composante TR],"&lt;&gt;PR")</f>
        <v>100119</v>
      </c>
      <c r="AX9" s="260"/>
      <c r="AY9" s="260">
        <f>SUMIFS(Portefeuille_MNT_PPS_Access13[TR 2032],Portefeuille_MNT_PPS_Access13[État Composante TR],"&lt;&gt;PR")</f>
        <v>93600</v>
      </c>
      <c r="AZ9" s="260"/>
      <c r="BA9" s="260">
        <f>SUMIFS(Portefeuille_MNT_PPS_Access13[TR 2033],Portefeuille_MNT_PPS_Access13[État Composante TR],"&lt;&gt;PR")</f>
        <v>101700</v>
      </c>
      <c r="BB9" s="260"/>
      <c r="BC9" s="260">
        <f>SUMIFS(Portefeuille_MNT_PPS_Access13[TR 2034],Portefeuille_MNT_PPS_Access13[État Composante TR],"&lt;&gt;PR")</f>
        <v>97400</v>
      </c>
      <c r="BD9" s="260"/>
      <c r="BE9" s="16">
        <f t="shared" si="0"/>
        <v>368502</v>
      </c>
      <c r="BF9" s="18">
        <f t="shared" si="1"/>
        <v>847029</v>
      </c>
    </row>
    <row r="10" spans="1:64" x14ac:dyDescent="0.3">
      <c r="V10" s="36"/>
      <c r="W10" s="36"/>
      <c r="X10" s="36"/>
      <c r="Y10" s="36"/>
      <c r="Z10" s="36"/>
      <c r="AC10" s="35" t="s">
        <v>28</v>
      </c>
      <c r="AD10" s="140">
        <v>0.25</v>
      </c>
      <c r="AE10" s="164"/>
      <c r="AF10" s="117" t="s">
        <v>29</v>
      </c>
      <c r="AG10" s="262">
        <f>AG8+AG9</f>
        <v>3593</v>
      </c>
      <c r="AH10" s="262"/>
      <c r="AI10" s="262">
        <f>AI8+AI9</f>
        <v>10</v>
      </c>
      <c r="AJ10" s="262"/>
      <c r="AK10" s="262">
        <f>AK8+AK9</f>
        <v>34655</v>
      </c>
      <c r="AL10" s="262"/>
      <c r="AM10" s="262">
        <f>AM8+AM9</f>
        <v>49208</v>
      </c>
      <c r="AN10" s="262"/>
      <c r="AO10" s="262">
        <f>AO8+AO9</f>
        <v>99288</v>
      </c>
      <c r="AP10" s="262"/>
      <c r="AQ10" s="262">
        <f>AQ8+AQ9</f>
        <v>105378</v>
      </c>
      <c r="AR10" s="262"/>
      <c r="AS10" s="262">
        <f>AS8+AS9</f>
        <v>103827</v>
      </c>
      <c r="AT10" s="262"/>
      <c r="AU10" s="262">
        <f>AU8+AU9</f>
        <v>91958</v>
      </c>
      <c r="AV10" s="262"/>
      <c r="AW10" s="262">
        <f>AW8+AW9</f>
        <v>105394</v>
      </c>
      <c r="AX10" s="262"/>
      <c r="AY10" s="262">
        <f>AY8+AY9</f>
        <v>101225</v>
      </c>
      <c r="AZ10" s="262"/>
      <c r="BA10" s="262">
        <f>BA8+BA9</f>
        <v>105450</v>
      </c>
      <c r="BB10" s="262"/>
      <c r="BC10" s="262">
        <f>BC8+BC9</f>
        <v>100700</v>
      </c>
      <c r="BD10" s="262"/>
      <c r="BE10" s="20">
        <f t="shared" si="0"/>
        <v>392356</v>
      </c>
      <c r="BF10" s="169">
        <f t="shared" si="1"/>
        <v>897083</v>
      </c>
    </row>
    <row r="11" spans="1:64" ht="15.6" x14ac:dyDescent="0.3">
      <c r="AC11" s="70" t="s">
        <v>30</v>
      </c>
      <c r="AD11" s="141">
        <f>SUM(AD7:AD10)</f>
        <v>1</v>
      </c>
      <c r="AE11" s="164"/>
      <c r="AF11" s="143" t="s">
        <v>31</v>
      </c>
      <c r="AG11" s="261">
        <f>AG10+AG7</f>
        <v>176706</v>
      </c>
      <c r="AH11" s="259"/>
      <c r="AI11" s="258">
        <f>AI10+AI7</f>
        <v>81642</v>
      </c>
      <c r="AJ11" s="259"/>
      <c r="AK11" s="258">
        <f>AK10+AK7-AK4</f>
        <v>60508</v>
      </c>
      <c r="AL11" s="259"/>
      <c r="AM11" s="258">
        <f t="shared" ref="AM11" si="2">AM10+AM7-AM4</f>
        <v>79184</v>
      </c>
      <c r="AN11" s="259"/>
      <c r="AO11" s="258">
        <f t="shared" ref="AO11" si="3">AO10+AO7-AO4</f>
        <v>106525</v>
      </c>
      <c r="AP11" s="259"/>
      <c r="AQ11" s="258">
        <f t="shared" ref="AQ11" si="4">AQ10+AQ7-AQ4</f>
        <v>111094</v>
      </c>
      <c r="AR11" s="259"/>
      <c r="AS11" s="258">
        <f t="shared" ref="AS11" si="5">AS10+AS7-AS4</f>
        <v>106612</v>
      </c>
      <c r="AT11" s="259"/>
      <c r="AU11" s="258">
        <f t="shared" ref="AU11" si="6">AU10+AU7-AU4</f>
        <v>94320</v>
      </c>
      <c r="AV11" s="259"/>
      <c r="AW11" s="258">
        <f t="shared" ref="AW11" si="7">AW10+AW7-AW4</f>
        <v>107216</v>
      </c>
      <c r="AX11" s="259"/>
      <c r="AY11" s="258">
        <f t="shared" ref="AY11" si="8">AY10+AY7-AY4</f>
        <v>101225</v>
      </c>
      <c r="AZ11" s="259"/>
      <c r="BA11" s="258">
        <f t="shared" ref="BA11" si="9">BA10+BA7-BA4</f>
        <v>105450</v>
      </c>
      <c r="BB11" s="259"/>
      <c r="BC11" s="258">
        <f t="shared" ref="BC11" si="10">BC10+BC7-BC4</f>
        <v>100700</v>
      </c>
      <c r="BD11" s="259"/>
      <c r="BE11" s="21">
        <f>SUM(AK11:AT11)</f>
        <v>463923</v>
      </c>
      <c r="BF11" s="170">
        <f xml:space="preserve"> SUM(AK11:BD11)</f>
        <v>972834</v>
      </c>
    </row>
    <row r="12" spans="1:64" ht="15.6" x14ac:dyDescent="0.3">
      <c r="AC12" s="24"/>
      <c r="AD12" s="7"/>
      <c r="AE12" s="163"/>
      <c r="AF12" s="83" t="s">
        <v>32</v>
      </c>
      <c r="AG12" s="260"/>
      <c r="AH12" s="260"/>
      <c r="AI12" s="260"/>
      <c r="AJ12" s="260"/>
      <c r="AK12" s="260"/>
      <c r="AL12" s="28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76">
        <v>0</v>
      </c>
      <c r="BF12" s="77">
        <v>0</v>
      </c>
    </row>
    <row r="13" spans="1:64" ht="15.6" x14ac:dyDescent="0.3">
      <c r="AC13" s="24"/>
      <c r="AD13" s="158"/>
      <c r="AE13" s="142"/>
      <c r="AF13" s="159" t="s">
        <v>33</v>
      </c>
      <c r="AG13" s="21"/>
      <c r="AH13" s="64"/>
      <c r="AI13" s="258">
        <f>AI12+AI11</f>
        <v>81642</v>
      </c>
      <c r="AJ13" s="259"/>
      <c r="AK13" s="258">
        <f t="shared" ref="AK13" si="11">AK12+AK11</f>
        <v>60508</v>
      </c>
      <c r="AL13" s="259"/>
      <c r="AM13" s="258">
        <f t="shared" ref="AM13" si="12">AM12+AM11</f>
        <v>79184</v>
      </c>
      <c r="AN13" s="259"/>
      <c r="AO13" s="258">
        <f t="shared" ref="AO13" si="13">AO12+AO11</f>
        <v>106525</v>
      </c>
      <c r="AP13" s="259"/>
      <c r="AQ13" s="258">
        <f t="shared" ref="AQ13" si="14">AQ12+AQ11</f>
        <v>111094</v>
      </c>
      <c r="AR13" s="259"/>
      <c r="AS13" s="258">
        <f t="shared" ref="AS13" si="15">AS12+AS11</f>
        <v>106612</v>
      </c>
      <c r="AT13" s="259"/>
      <c r="AU13" s="258">
        <f t="shared" ref="AU13" si="16">AU12+AU11</f>
        <v>94320</v>
      </c>
      <c r="AV13" s="259"/>
      <c r="AW13" s="258">
        <f t="shared" ref="AW13" si="17">AW12+AW11</f>
        <v>107216</v>
      </c>
      <c r="AX13" s="259"/>
      <c r="AY13" s="258">
        <f t="shared" ref="AY13" si="18">AY12+AY11</f>
        <v>101225</v>
      </c>
      <c r="AZ13" s="259"/>
      <c r="BA13" s="258">
        <f t="shared" ref="BA13" si="19">BA12+BA11</f>
        <v>105450</v>
      </c>
      <c r="BB13" s="259"/>
      <c r="BC13" s="258">
        <f t="shared" ref="BC13" si="20">BC12+BC11</f>
        <v>100700</v>
      </c>
      <c r="BD13" s="259"/>
      <c r="BE13" s="21">
        <f>BE12+BE11</f>
        <v>463923</v>
      </c>
      <c r="BF13" s="170">
        <f>BF12+BF11</f>
        <v>972834</v>
      </c>
    </row>
    <row r="14" spans="1:64" ht="15.6" x14ac:dyDescent="0.3">
      <c r="AE14" s="165"/>
      <c r="AF14" s="144" t="s">
        <v>34</v>
      </c>
      <c r="AG14" s="256"/>
      <c r="AH14" s="257"/>
      <c r="AI14" s="256">
        <v>61550</v>
      </c>
      <c r="AJ14" s="257"/>
      <c r="AK14" s="256">
        <f>75500-8285</f>
        <v>67215</v>
      </c>
      <c r="AL14" s="257"/>
      <c r="AM14" s="256">
        <v>75500</v>
      </c>
      <c r="AN14" s="257"/>
      <c r="AO14" s="256">
        <v>75500</v>
      </c>
      <c r="AP14" s="257"/>
      <c r="AQ14" s="256">
        <v>75500</v>
      </c>
      <c r="AR14" s="257"/>
      <c r="AS14" s="256">
        <v>75500</v>
      </c>
      <c r="AT14" s="257"/>
      <c r="AU14" s="256">
        <v>75500</v>
      </c>
      <c r="AV14" s="257"/>
      <c r="AW14" s="256">
        <v>75500</v>
      </c>
      <c r="AX14" s="257"/>
      <c r="AY14" s="256">
        <v>75500</v>
      </c>
      <c r="AZ14" s="257"/>
      <c r="BA14" s="256">
        <v>75500</v>
      </c>
      <c r="BB14" s="257"/>
      <c r="BC14" s="256">
        <v>75500</v>
      </c>
      <c r="BD14" s="257"/>
      <c r="BE14" s="17">
        <f>SUM(AK14:AT14)</f>
        <v>369215</v>
      </c>
      <c r="BF14" s="19">
        <f xml:space="preserve"> SUM(AK14:BD14)</f>
        <v>746715</v>
      </c>
    </row>
    <row r="15" spans="1:64" ht="15.6" x14ac:dyDescent="0.3">
      <c r="AE15" s="165"/>
      <c r="AF15" s="84" t="s">
        <v>35</v>
      </c>
      <c r="AG15" s="252"/>
      <c r="AH15" s="253"/>
      <c r="AI15" s="252">
        <f>AI14-AI13</f>
        <v>-20092</v>
      </c>
      <c r="AJ15" s="253"/>
      <c r="AK15" s="252">
        <f>AK14-AK13</f>
        <v>6707</v>
      </c>
      <c r="AL15" s="253"/>
      <c r="AM15" s="252">
        <f>AM14-AM13</f>
        <v>-3684</v>
      </c>
      <c r="AN15" s="253"/>
      <c r="AO15" s="252">
        <f t="shared" ref="AO15" si="21">AO14-AO13</f>
        <v>-31025</v>
      </c>
      <c r="AP15" s="253"/>
      <c r="AQ15" s="252">
        <f t="shared" ref="AQ15" si="22">AQ14-AQ13</f>
        <v>-35594</v>
      </c>
      <c r="AR15" s="253"/>
      <c r="AS15" s="252">
        <f t="shared" ref="AS15" si="23">AS14-AS13</f>
        <v>-31112</v>
      </c>
      <c r="AT15" s="253"/>
      <c r="AU15" s="252">
        <f t="shared" ref="AU15" si="24">AU14-AU13</f>
        <v>-18820</v>
      </c>
      <c r="AV15" s="253"/>
      <c r="AW15" s="252">
        <f t="shared" ref="AW15" si="25">AW14-AW13</f>
        <v>-31716</v>
      </c>
      <c r="AX15" s="253"/>
      <c r="AY15" s="252">
        <f t="shared" ref="AY15" si="26">AY14-AY13</f>
        <v>-25725</v>
      </c>
      <c r="AZ15" s="253"/>
      <c r="BA15" s="252">
        <f t="shared" ref="BA15" si="27">BA14-BA13</f>
        <v>-29950</v>
      </c>
      <c r="BB15" s="253"/>
      <c r="BC15" s="252">
        <f t="shared" ref="BC15" si="28">BC14-BC13</f>
        <v>-25200</v>
      </c>
      <c r="BD15" s="253"/>
      <c r="BE15" s="23">
        <f>BE14-BE13</f>
        <v>-94708</v>
      </c>
      <c r="BF15" s="171">
        <f>BF14-BF13</f>
        <v>-226119</v>
      </c>
    </row>
    <row r="16" spans="1:64" ht="15.6" x14ac:dyDescent="0.3">
      <c r="AE16" s="166"/>
      <c r="AF16" s="145" t="s">
        <v>36</v>
      </c>
      <c r="AG16" s="254"/>
      <c r="AH16" s="255"/>
      <c r="AI16" s="254">
        <f>(AI13-AI14)/AI14</f>
        <v>0.32643379366368808</v>
      </c>
      <c r="AJ16" s="255"/>
      <c r="AK16" s="254">
        <f t="shared" ref="AK16" si="29">(AK13-AK14)/AK14</f>
        <v>-9.9784274343524507E-2</v>
      </c>
      <c r="AL16" s="255"/>
      <c r="AM16" s="254">
        <f>(AM14-AM13)/AM14</f>
        <v>-4.8794701986754965E-2</v>
      </c>
      <c r="AN16" s="255"/>
      <c r="AO16" s="254">
        <f t="shared" ref="AO16" si="30">(AO14-AO13)/AO14</f>
        <v>-0.41092715231788079</v>
      </c>
      <c r="AP16" s="255"/>
      <c r="AQ16" s="254">
        <f t="shared" ref="AQ16" si="31">(AQ14-AQ13)/AQ14</f>
        <v>-0.47144370860927154</v>
      </c>
      <c r="AR16" s="255"/>
      <c r="AS16" s="254">
        <f t="shared" ref="AS16" si="32">(AS14-AS13)/AS14</f>
        <v>-0.41207947019867552</v>
      </c>
      <c r="AT16" s="255"/>
      <c r="AU16" s="254">
        <f t="shared" ref="AU16" si="33">(AU14-AU13)/AU14</f>
        <v>-0.24927152317880794</v>
      </c>
      <c r="AV16" s="255"/>
      <c r="AW16" s="254">
        <f t="shared" ref="AW16" si="34">(AW14-AW13)/AW14</f>
        <v>-0.42007947019867548</v>
      </c>
      <c r="AX16" s="255"/>
      <c r="AY16" s="254">
        <f t="shared" ref="AY16" si="35">(AY14-AY13)/AY14</f>
        <v>-0.34072847682119206</v>
      </c>
      <c r="AZ16" s="255"/>
      <c r="BA16" s="254">
        <f t="shared" ref="BA16" si="36">(BA14-BA13)/BA14</f>
        <v>-0.39668874172185431</v>
      </c>
      <c r="BB16" s="255"/>
      <c r="BC16" s="254">
        <f t="shared" ref="BC16" si="37">(BC14-BC13)/BC14</f>
        <v>-0.33377483443708611</v>
      </c>
      <c r="BD16" s="255"/>
      <c r="BE16" s="22">
        <f>(BE13-BE14)/BE14</f>
        <v>0.25651178852430156</v>
      </c>
      <c r="BF16" s="172">
        <f>(BF13-BF14)/BF14</f>
        <v>0.30281834434824534</v>
      </c>
    </row>
    <row r="17" spans="1:57" ht="13.95" customHeight="1" thickBot="1" x14ac:dyDescent="0.35">
      <c r="AJ17" s="8"/>
      <c r="AK17"/>
      <c r="AU17"/>
    </row>
    <row r="18" spans="1:57" s="11" customFormat="1" ht="75.599999999999994" customHeight="1" x14ac:dyDescent="0.3">
      <c r="A18" t="s">
        <v>274</v>
      </c>
      <c r="B18" s="11" t="s">
        <v>37</v>
      </c>
      <c r="C18" s="11" t="s">
        <v>38</v>
      </c>
      <c r="D18" s="11" t="s">
        <v>39</v>
      </c>
      <c r="E18" s="11" t="s">
        <v>40</v>
      </c>
      <c r="F18" s="11" t="s">
        <v>41</v>
      </c>
      <c r="G18" s="11" t="s">
        <v>42</v>
      </c>
      <c r="H18" s="11" t="s">
        <v>44</v>
      </c>
      <c r="I18" s="11" t="s">
        <v>45</v>
      </c>
      <c r="J18" s="11" t="s">
        <v>46</v>
      </c>
      <c r="K18" s="11" t="s">
        <v>47</v>
      </c>
      <c r="L18" s="11" t="s">
        <v>48</v>
      </c>
      <c r="M18" s="11" t="s">
        <v>49</v>
      </c>
      <c r="N18" s="11" t="s">
        <v>50</v>
      </c>
      <c r="O18" s="11" t="s">
        <v>51</v>
      </c>
      <c r="P18" s="11" t="s">
        <v>52</v>
      </c>
      <c r="Q18" s="11" t="s">
        <v>538</v>
      </c>
      <c r="R18" s="11" t="s">
        <v>537</v>
      </c>
      <c r="S18" s="11" t="s">
        <v>535</v>
      </c>
      <c r="T18" s="11" t="s">
        <v>534</v>
      </c>
      <c r="U18" s="11" t="s">
        <v>536</v>
      </c>
      <c r="V18" s="9" t="s">
        <v>53</v>
      </c>
      <c r="W18" s="9" t="s">
        <v>54</v>
      </c>
      <c r="X18" s="9" t="s">
        <v>55</v>
      </c>
      <c r="Y18" s="9" t="s">
        <v>56</v>
      </c>
      <c r="Z18" s="9" t="s">
        <v>69</v>
      </c>
      <c r="AA18" s="9" t="s">
        <v>72</v>
      </c>
      <c r="AB18" s="9" t="s">
        <v>26</v>
      </c>
      <c r="AC18" s="9" t="s">
        <v>73</v>
      </c>
      <c r="AD18" s="9" t="s">
        <v>74</v>
      </c>
      <c r="AE18" s="9" t="s">
        <v>71</v>
      </c>
      <c r="AF18" s="10" t="s">
        <v>75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100</v>
      </c>
    </row>
    <row r="19" spans="1:57" hidden="1" x14ac:dyDescent="0.3">
      <c r="B19" t="s">
        <v>126</v>
      </c>
      <c r="C19" t="s">
        <v>127</v>
      </c>
      <c r="D19" t="s">
        <v>136</v>
      </c>
      <c r="E19" t="s">
        <v>104</v>
      </c>
      <c r="F19" t="s">
        <v>16</v>
      </c>
      <c r="G19" t="s">
        <v>16</v>
      </c>
      <c r="H19" t="s">
        <v>105</v>
      </c>
      <c r="I19" t="s">
        <v>300</v>
      </c>
      <c r="J19" t="s">
        <v>301</v>
      </c>
      <c r="K19" t="s">
        <v>302</v>
      </c>
      <c r="L19" t="s">
        <v>176</v>
      </c>
      <c r="M19" t="s">
        <v>164</v>
      </c>
      <c r="N19" s="1">
        <v>41907</v>
      </c>
      <c r="O19" s="1">
        <v>41968</v>
      </c>
      <c r="P19" s="1">
        <v>42045</v>
      </c>
      <c r="Q1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1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2</v>
      </c>
      <c r="T1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</v>
      </c>
      <c r="U19">
        <f>Portefeuille_MNT_PPS_Access13[[#This Row],[Délais PC1 et PC3]]+Portefeuille_MNT_PPS_Access13[[#This Row],[Délais PC3 et PC5]]</f>
        <v>5</v>
      </c>
      <c r="V19">
        <v>1</v>
      </c>
      <c r="W19">
        <v>5</v>
      </c>
      <c r="X19">
        <v>5</v>
      </c>
      <c r="Y19">
        <v>5</v>
      </c>
      <c r="Z19" t="s">
        <v>165</v>
      </c>
      <c r="AA19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19" s="12" t="e">
        <f>_xlfn.XLOOKUP(Portefeuille_MNT_PPS_Access13[[#This Row],[Numéro projet]],Tableau5[Numéro projet],Tableau5[IND_Site_Prioritaire])</f>
        <v>#N/A</v>
      </c>
      <c r="AC19" s="2" t="e">
        <f>_xlfn.XLOOKUP(Portefeuille_MNT_PPS_Access13[[#This Row],[Numéro projet]],Tableau5[Numéro projet],Tableau5[Critère Etat Infrastructure])</f>
        <v>#N/A</v>
      </c>
      <c r="AD1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9" s="2"/>
      <c r="AF19" s="63"/>
      <c r="AG19">
        <v>2582</v>
      </c>
      <c r="AH19">
        <v>17091</v>
      </c>
      <c r="AI19">
        <v>35</v>
      </c>
      <c r="AJ19">
        <v>96</v>
      </c>
      <c r="AK19"/>
      <c r="AU19"/>
      <c r="BE19" s="14">
        <f>SUM(Portefeuille_MNT_PPS_Access13[[#This Row],[AC ANT]:[TR 2034]])</f>
        <v>19804</v>
      </c>
    </row>
    <row r="20" spans="1:57" hidden="1" x14ac:dyDescent="0.3">
      <c r="B20" t="s">
        <v>126</v>
      </c>
      <c r="C20" t="s">
        <v>127</v>
      </c>
      <c r="D20" t="s">
        <v>136</v>
      </c>
      <c r="E20" t="s">
        <v>104</v>
      </c>
      <c r="F20" t="s">
        <v>16</v>
      </c>
      <c r="G20" t="s">
        <v>16</v>
      </c>
      <c r="H20" t="s">
        <v>105</v>
      </c>
      <c r="I20" t="s">
        <v>162</v>
      </c>
      <c r="J20" t="s">
        <v>163</v>
      </c>
      <c r="K20" t="s">
        <v>122</v>
      </c>
      <c r="L20" t="s">
        <v>176</v>
      </c>
      <c r="M20" t="s">
        <v>164</v>
      </c>
      <c r="N20" s="1"/>
      <c r="O20" s="1"/>
      <c r="P20" s="1"/>
      <c r="Q2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2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2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2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20">
        <f>Portefeuille_MNT_PPS_Access13[[#This Row],[Délais PC1 et PC3]]+Portefeuille_MNT_PPS_Access13[[#This Row],[Délais PC3 et PC5]]</f>
        <v>0</v>
      </c>
      <c r="V20">
        <v>1</v>
      </c>
      <c r="Z20" t="s">
        <v>165</v>
      </c>
      <c r="AA2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20" s="12" t="e">
        <f>_xlfn.XLOOKUP(Portefeuille_MNT_PPS_Access13[[#This Row],[Numéro projet]],Tableau5[Numéro projet],Tableau5[IND_Site_Prioritaire])</f>
        <v>#N/A</v>
      </c>
      <c r="AC20" s="2" t="e">
        <f>_xlfn.XLOOKUP(Portefeuille_MNT_PPS_Access13[[#This Row],[Numéro projet]],Tableau5[Numéro projet],Tableau5[Critère Etat Infrastructure])</f>
        <v>#N/A</v>
      </c>
      <c r="AD20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20" s="2">
        <v>5</v>
      </c>
      <c r="AF20" s="63"/>
      <c r="AG20">
        <v>5398</v>
      </c>
      <c r="AH20">
        <v>28152</v>
      </c>
      <c r="AI20">
        <v>79</v>
      </c>
      <c r="AJ20">
        <v>891</v>
      </c>
      <c r="AK20">
        <v>399</v>
      </c>
      <c r="AL20">
        <v>67</v>
      </c>
      <c r="AM20">
        <v>60</v>
      </c>
      <c r="AU20"/>
      <c r="BE20" s="14">
        <f>SUM(Portefeuille_MNT_PPS_Access13[[#This Row],[AC ANT]:[TR 2034]])</f>
        <v>35046</v>
      </c>
    </row>
    <row r="21" spans="1:57" hidden="1" x14ac:dyDescent="0.3">
      <c r="B21" t="s">
        <v>101</v>
      </c>
      <c r="C21" t="s">
        <v>102</v>
      </c>
      <c r="D21" t="s">
        <v>136</v>
      </c>
      <c r="E21" t="s">
        <v>104</v>
      </c>
      <c r="F21" t="s">
        <v>16</v>
      </c>
      <c r="G21" t="s">
        <v>130</v>
      </c>
      <c r="H21" t="s">
        <v>105</v>
      </c>
      <c r="I21" t="s">
        <v>170</v>
      </c>
      <c r="J21" t="s">
        <v>171</v>
      </c>
      <c r="K21" t="s">
        <v>172</v>
      </c>
      <c r="L21" t="s">
        <v>173</v>
      </c>
      <c r="M21" t="s">
        <v>110</v>
      </c>
      <c r="N21" s="1">
        <v>44833</v>
      </c>
      <c r="O21" s="1">
        <v>46006</v>
      </c>
      <c r="P21" s="1">
        <v>46310</v>
      </c>
      <c r="Q2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2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39</v>
      </c>
      <c r="T2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10</v>
      </c>
      <c r="U21">
        <f>Portefeuille_MNT_PPS_Access13[[#This Row],[Délais PC1 et PC3]]+Portefeuille_MNT_PPS_Access13[[#This Row],[Délais PC3 et PC5]]</f>
        <v>49</v>
      </c>
      <c r="V21">
        <v>1</v>
      </c>
      <c r="W21">
        <v>1</v>
      </c>
      <c r="X21">
        <v>1</v>
      </c>
      <c r="Y21">
        <v>5</v>
      </c>
      <c r="Z21" t="s">
        <v>112</v>
      </c>
      <c r="AA2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21" s="12" t="e">
        <f>_xlfn.XLOOKUP(Portefeuille_MNT_PPS_Access13[[#This Row],[Numéro projet]],Tableau5[Numéro projet],Tableau5[IND_Site_Prioritaire])</f>
        <v>#N/A</v>
      </c>
      <c r="AC21" s="2" t="e">
        <f>_xlfn.XLOOKUP(Portefeuille_MNT_PPS_Access13[[#This Row],[Numéro projet]],Tableau5[Numéro projet],Tableau5[Critère Etat Infrastructure])</f>
        <v>#N/A</v>
      </c>
      <c r="AD2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1" s="2"/>
      <c r="AF21" s="63"/>
      <c r="AG21">
        <v>497</v>
      </c>
      <c r="AH21">
        <v>8</v>
      </c>
      <c r="AI21">
        <v>217</v>
      </c>
      <c r="AK21">
        <v>1064</v>
      </c>
      <c r="AM21">
        <v>1008</v>
      </c>
      <c r="AO21">
        <v>1886</v>
      </c>
      <c r="AP21">
        <v>15737</v>
      </c>
      <c r="AQ21">
        <v>704</v>
      </c>
      <c r="AR21">
        <v>4000</v>
      </c>
      <c r="AU21"/>
      <c r="BE21" s="14">
        <f>SUM(Portefeuille_MNT_PPS_Access13[[#This Row],[AC ANT]:[TR 2034]])</f>
        <v>25121</v>
      </c>
    </row>
    <row r="22" spans="1:57" hidden="1" x14ac:dyDescent="0.3">
      <c r="B22" t="s">
        <v>101</v>
      </c>
      <c r="C22" t="s">
        <v>102</v>
      </c>
      <c r="D22" t="s">
        <v>136</v>
      </c>
      <c r="E22" t="s">
        <v>113</v>
      </c>
      <c r="F22" t="s">
        <v>16</v>
      </c>
      <c r="G22" t="s">
        <v>16</v>
      </c>
      <c r="H22" t="s">
        <v>131</v>
      </c>
      <c r="I22" t="s">
        <v>137</v>
      </c>
      <c r="J22" t="s">
        <v>138</v>
      </c>
      <c r="K22" t="s">
        <v>139</v>
      </c>
      <c r="L22" t="s">
        <v>109</v>
      </c>
      <c r="M22" t="s">
        <v>123</v>
      </c>
      <c r="N22" s="1">
        <v>45062</v>
      </c>
      <c r="O22" s="1">
        <v>45698</v>
      </c>
      <c r="P22" s="1">
        <v>45962</v>
      </c>
      <c r="Q2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2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21</v>
      </c>
      <c r="T2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9</v>
      </c>
      <c r="U22">
        <f>Portefeuille_MNT_PPS_Access13[[#This Row],[Délais PC1 et PC3]]+Portefeuille_MNT_PPS_Access13[[#This Row],[Délais PC3 et PC5]]</f>
        <v>30</v>
      </c>
      <c r="V22">
        <v>1</v>
      </c>
      <c r="W22">
        <v>1</v>
      </c>
      <c r="X22">
        <v>1</v>
      </c>
      <c r="Y22">
        <v>5</v>
      </c>
      <c r="Z22" t="s">
        <v>125</v>
      </c>
      <c r="AA2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22" s="12" t="e">
        <f>_xlfn.XLOOKUP(Portefeuille_MNT_PPS_Access13[[#This Row],[Numéro projet]],Tableau5[Numéro projet],Tableau5[IND_Site_Prioritaire])</f>
        <v>#N/A</v>
      </c>
      <c r="AC22" s="2" t="e">
        <f>_xlfn.XLOOKUP(Portefeuille_MNT_PPS_Access13[[#This Row],[Numéro projet]],Tableau5[Numéro projet],Tableau5[Critère Etat Infrastructure])</f>
        <v>#N/A</v>
      </c>
      <c r="AD2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2" s="2"/>
      <c r="AF22" s="63"/>
      <c r="AG22">
        <v>337</v>
      </c>
      <c r="AH22">
        <v>41</v>
      </c>
      <c r="AI22">
        <v>336</v>
      </c>
      <c r="AK22">
        <v>355</v>
      </c>
      <c r="AM22">
        <v>1006</v>
      </c>
      <c r="AN22">
        <v>5870</v>
      </c>
      <c r="AU22"/>
      <c r="BE22" s="14">
        <f>SUM(Portefeuille_MNT_PPS_Access13[[#This Row],[AC ANT]:[TR 2034]])</f>
        <v>7945</v>
      </c>
    </row>
    <row r="23" spans="1:57" hidden="1" x14ac:dyDescent="0.3">
      <c r="B23" t="s">
        <v>126</v>
      </c>
      <c r="C23" t="s">
        <v>127</v>
      </c>
      <c r="D23" t="s">
        <v>136</v>
      </c>
      <c r="E23" t="s">
        <v>104</v>
      </c>
      <c r="F23" t="s">
        <v>16</v>
      </c>
      <c r="G23" t="s">
        <v>16</v>
      </c>
      <c r="H23" t="s">
        <v>131</v>
      </c>
      <c r="I23" t="s">
        <v>303</v>
      </c>
      <c r="J23" t="s">
        <v>304</v>
      </c>
      <c r="K23" t="s">
        <v>194</v>
      </c>
      <c r="L23" t="s">
        <v>176</v>
      </c>
      <c r="M23" t="s">
        <v>164</v>
      </c>
      <c r="N23" s="1">
        <v>43270</v>
      </c>
      <c r="O23" s="1">
        <v>44222</v>
      </c>
      <c r="P23" s="1">
        <v>44356</v>
      </c>
      <c r="Q2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2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31</v>
      </c>
      <c r="T2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5</v>
      </c>
      <c r="U23">
        <f>Portefeuille_MNT_PPS_Access13[[#This Row],[Délais PC1 et PC3]]+Portefeuille_MNT_PPS_Access13[[#This Row],[Délais PC3 et PC5]]</f>
        <v>36</v>
      </c>
      <c r="V23">
        <v>1</v>
      </c>
      <c r="W23">
        <v>5</v>
      </c>
      <c r="X23">
        <v>5</v>
      </c>
      <c r="Y23">
        <v>5</v>
      </c>
      <c r="Z23" t="s">
        <v>165</v>
      </c>
      <c r="AA23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23" s="12" t="e">
        <f>_xlfn.XLOOKUP(Portefeuille_MNT_PPS_Access13[[#This Row],[Numéro projet]],Tableau5[Numéro projet],Tableau5[IND_Site_Prioritaire])</f>
        <v>#N/A</v>
      </c>
      <c r="AC23" s="2" t="e">
        <f>_xlfn.XLOOKUP(Portefeuille_MNT_PPS_Access13[[#This Row],[Numéro projet]],Tableau5[Numéro projet],Tableau5[Critère Etat Infrastructure])</f>
        <v>#N/A</v>
      </c>
      <c r="AD23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23" s="2">
        <v>5</v>
      </c>
      <c r="AF23" s="62"/>
      <c r="AG23">
        <v>569</v>
      </c>
      <c r="AH23">
        <v>2223</v>
      </c>
      <c r="AI23">
        <v>48</v>
      </c>
      <c r="AJ23">
        <v>50</v>
      </c>
      <c r="AK23"/>
      <c r="AU23"/>
      <c r="BE23" s="14">
        <f>SUM(Portefeuille_MNT_PPS_Access13[[#This Row],[AC ANT]:[TR 2034]])</f>
        <v>2890</v>
      </c>
    </row>
    <row r="24" spans="1:57" hidden="1" x14ac:dyDescent="0.3">
      <c r="A24">
        <v>1</v>
      </c>
      <c r="B24" t="s">
        <v>101</v>
      </c>
      <c r="C24" t="s">
        <v>102</v>
      </c>
      <c r="D24" t="s">
        <v>103</v>
      </c>
      <c r="E24" t="s">
        <v>104</v>
      </c>
      <c r="F24" t="s">
        <v>16</v>
      </c>
      <c r="G24" t="s">
        <v>130</v>
      </c>
      <c r="H24" t="s">
        <v>105</v>
      </c>
      <c r="I24" t="s">
        <v>215</v>
      </c>
      <c r="J24" t="s">
        <v>216</v>
      </c>
      <c r="K24" t="s">
        <v>217</v>
      </c>
      <c r="L24" t="s">
        <v>148</v>
      </c>
      <c r="M24" t="s">
        <v>164</v>
      </c>
      <c r="N24" s="1">
        <v>44838</v>
      </c>
      <c r="O24" s="1">
        <v>45441</v>
      </c>
      <c r="P24" s="1">
        <v>45623</v>
      </c>
      <c r="Q2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2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19</v>
      </c>
      <c r="T2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6</v>
      </c>
      <c r="U24">
        <f>Portefeuille_MNT_PPS_Access13[[#This Row],[Délais PC1 et PC3]]+Portefeuille_MNT_PPS_Access13[[#This Row],[Délais PC3 et PC5]]</f>
        <v>25</v>
      </c>
      <c r="V24">
        <v>1</v>
      </c>
      <c r="W24">
        <v>5</v>
      </c>
      <c r="X24">
        <v>5</v>
      </c>
      <c r="Y24">
        <v>5</v>
      </c>
      <c r="Z24" t="s">
        <v>165</v>
      </c>
      <c r="AA24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24" s="12" t="e">
        <f>_xlfn.XLOOKUP(Portefeuille_MNT_PPS_Access13[[#This Row],[Numéro projet]],Tableau5[Numéro projet],Tableau5[IND_Site_Prioritaire])</f>
        <v>#N/A</v>
      </c>
      <c r="AC24" s="2" t="e">
        <f>_xlfn.XLOOKUP(Portefeuille_MNT_PPS_Access13[[#This Row],[Numéro projet]],Tableau5[Numéro projet],Tableau5[Critère Etat Infrastructure])</f>
        <v>#N/A</v>
      </c>
      <c r="AD2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4" s="2"/>
      <c r="AF24" s="63"/>
      <c r="AG24">
        <v>218</v>
      </c>
      <c r="AH24">
        <v>3</v>
      </c>
      <c r="AI24">
        <v>98</v>
      </c>
      <c r="AK24">
        <v>641</v>
      </c>
      <c r="AL24">
        <v>12563</v>
      </c>
      <c r="AU24"/>
      <c r="BE24" s="14">
        <f>SUM(Portefeuille_MNT_PPS_Access13[[#This Row],[AC ANT]:[TR 2034]])</f>
        <v>13523</v>
      </c>
    </row>
    <row r="25" spans="1:57" hidden="1" x14ac:dyDescent="0.3">
      <c r="B25" t="s">
        <v>101</v>
      </c>
      <c r="C25" t="s">
        <v>102</v>
      </c>
      <c r="D25" t="s">
        <v>103</v>
      </c>
      <c r="E25" t="s">
        <v>104</v>
      </c>
      <c r="F25" t="s">
        <v>16</v>
      </c>
      <c r="G25" t="s">
        <v>16</v>
      </c>
      <c r="H25" t="s">
        <v>105</v>
      </c>
      <c r="I25" t="s">
        <v>305</v>
      </c>
      <c r="J25" t="s">
        <v>306</v>
      </c>
      <c r="K25" t="s">
        <v>302</v>
      </c>
      <c r="M25" t="s">
        <v>164</v>
      </c>
      <c r="N25" s="1">
        <v>43612</v>
      </c>
      <c r="O25" s="1">
        <v>44098</v>
      </c>
      <c r="P25" s="1">
        <v>44188</v>
      </c>
      <c r="Q25" s="1" t="e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#NUM!</v>
      </c>
      <c r="R25" s="1" t="e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#NUM!</v>
      </c>
      <c r="S2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16</v>
      </c>
      <c r="T2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</v>
      </c>
      <c r="U25">
        <f>Portefeuille_MNT_PPS_Access13[[#This Row],[Délais PC1 et PC3]]+Portefeuille_MNT_PPS_Access13[[#This Row],[Délais PC3 et PC5]]</f>
        <v>19</v>
      </c>
      <c r="V25">
        <v>1</v>
      </c>
      <c r="W25">
        <v>5</v>
      </c>
      <c r="X25">
        <v>5</v>
      </c>
      <c r="Y25">
        <v>5</v>
      </c>
      <c r="Z25" t="s">
        <v>165</v>
      </c>
      <c r="AA2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25" s="12" t="e">
        <f>_xlfn.XLOOKUP(Portefeuille_MNT_PPS_Access13[[#This Row],[Numéro projet]],Tableau5[Numéro projet],Tableau5[IND_Site_Prioritaire])</f>
        <v>#N/A</v>
      </c>
      <c r="AC25" s="2" t="e">
        <f>_xlfn.XLOOKUP(Portefeuille_MNT_PPS_Access13[[#This Row],[Numéro projet]],Tableau5[Numéro projet],Tableau5[Critère Etat Infrastructure])</f>
        <v>#N/A</v>
      </c>
      <c r="AD2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5" s="2"/>
      <c r="AF25" s="63"/>
      <c r="AG25">
        <v>640</v>
      </c>
      <c r="AH25">
        <v>6783</v>
      </c>
      <c r="AI25">
        <v>20</v>
      </c>
      <c r="AK25"/>
      <c r="AU25"/>
      <c r="BE25" s="14">
        <f>SUM(Portefeuille_MNT_PPS_Access13[[#This Row],[AC ANT]:[TR 2034]])</f>
        <v>7443</v>
      </c>
    </row>
    <row r="26" spans="1:57" hidden="1" x14ac:dyDescent="0.3">
      <c r="B26" t="s">
        <v>126</v>
      </c>
      <c r="C26" t="s">
        <v>127</v>
      </c>
      <c r="D26" t="s">
        <v>136</v>
      </c>
      <c r="E26" t="s">
        <v>104</v>
      </c>
      <c r="F26" t="s">
        <v>16</v>
      </c>
      <c r="G26" t="s">
        <v>16</v>
      </c>
      <c r="H26" t="s">
        <v>131</v>
      </c>
      <c r="I26" t="s">
        <v>307</v>
      </c>
      <c r="J26" t="s">
        <v>308</v>
      </c>
      <c r="K26" t="s">
        <v>159</v>
      </c>
      <c r="M26" t="s">
        <v>164</v>
      </c>
      <c r="N26" s="1"/>
      <c r="O26" s="1">
        <v>42992</v>
      </c>
      <c r="P26" s="1">
        <v>43783</v>
      </c>
      <c r="Q26" s="1" t="e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#NUM!</v>
      </c>
      <c r="R26" s="1" t="e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#NUM!</v>
      </c>
      <c r="S2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1412</v>
      </c>
      <c r="T2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26</v>
      </c>
      <c r="U26">
        <f>Portefeuille_MNT_PPS_Access13[[#This Row],[Délais PC1 et PC3]]+Portefeuille_MNT_PPS_Access13[[#This Row],[Délais PC3 et PC5]]</f>
        <v>1438</v>
      </c>
      <c r="V26">
        <v>1</v>
      </c>
      <c r="W26">
        <v>5</v>
      </c>
      <c r="X26">
        <v>5</v>
      </c>
      <c r="Z26" t="s">
        <v>165</v>
      </c>
      <c r="AA2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26" s="12" t="e">
        <f>_xlfn.XLOOKUP(Portefeuille_MNT_PPS_Access13[[#This Row],[Numéro projet]],Tableau5[Numéro projet],Tableau5[IND_Site_Prioritaire])</f>
        <v>#N/A</v>
      </c>
      <c r="AC26" s="2" t="e">
        <f>_xlfn.XLOOKUP(Portefeuille_MNT_PPS_Access13[[#This Row],[Numéro projet]],Tableau5[Numéro projet],Tableau5[Critère Etat Infrastructure])</f>
        <v>#N/A</v>
      </c>
      <c r="AD2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6" s="2"/>
      <c r="AF26" s="63"/>
      <c r="AG26">
        <v>2779</v>
      </c>
      <c r="AH26">
        <v>15336</v>
      </c>
      <c r="AI26">
        <v>119</v>
      </c>
      <c r="AK26"/>
      <c r="AU26"/>
      <c r="BE26" s="14">
        <f>SUM(Portefeuille_MNT_PPS_Access13[[#This Row],[AC ANT]:[TR 2034]])</f>
        <v>18234</v>
      </c>
    </row>
    <row r="27" spans="1:57" hidden="1" x14ac:dyDescent="0.3">
      <c r="B27" t="s">
        <v>101</v>
      </c>
      <c r="C27" t="s">
        <v>102</v>
      </c>
      <c r="D27" t="s">
        <v>103</v>
      </c>
      <c r="F27" t="s">
        <v>16</v>
      </c>
      <c r="G27" t="s">
        <v>16</v>
      </c>
      <c r="H27" t="s">
        <v>105</v>
      </c>
      <c r="I27" t="s">
        <v>309</v>
      </c>
      <c r="J27" t="s">
        <v>310</v>
      </c>
      <c r="K27" t="s">
        <v>108</v>
      </c>
      <c r="M27" t="s">
        <v>291</v>
      </c>
      <c r="N27" s="1"/>
      <c r="O27" s="1"/>
      <c r="P27" s="1"/>
      <c r="Q2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2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2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2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27">
        <f>Portefeuille_MNT_PPS_Access13[[#This Row],[Délais PC1 et PC3]]+Portefeuille_MNT_PPS_Access13[[#This Row],[Délais PC3 et PC5]]</f>
        <v>0</v>
      </c>
      <c r="V27">
        <v>1</v>
      </c>
      <c r="Z27" t="s">
        <v>311</v>
      </c>
      <c r="AA2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27" s="12" t="e">
        <f>_xlfn.XLOOKUP(Portefeuille_MNT_PPS_Access13[[#This Row],[Numéro projet]],Tableau5[Numéro projet],Tableau5[IND_Site_Prioritaire])</f>
        <v>#N/A</v>
      </c>
      <c r="AC27" s="2" t="e">
        <f>_xlfn.XLOOKUP(Portefeuille_MNT_PPS_Access13[[#This Row],[Numéro projet]],Tableau5[Numéro projet],Tableau5[Critère Etat Infrastructure])</f>
        <v>#N/A</v>
      </c>
      <c r="AD2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27" s="2"/>
      <c r="AF27" s="63"/>
      <c r="AG27">
        <v>467</v>
      </c>
      <c r="AH27">
        <v>5053</v>
      </c>
      <c r="AI27">
        <v>27</v>
      </c>
      <c r="AK27"/>
      <c r="AU27"/>
      <c r="BE27" s="14">
        <f>SUM(Portefeuille_MNT_PPS_Access13[[#This Row],[AC ANT]:[TR 2034]])</f>
        <v>5547</v>
      </c>
    </row>
    <row r="28" spans="1:57" hidden="1" x14ac:dyDescent="0.3">
      <c r="B28" t="s">
        <v>101</v>
      </c>
      <c r="C28" t="s">
        <v>102</v>
      </c>
      <c r="D28" t="s">
        <v>103</v>
      </c>
      <c r="E28" t="s">
        <v>113</v>
      </c>
      <c r="F28" t="s">
        <v>16</v>
      </c>
      <c r="G28" t="s">
        <v>16</v>
      </c>
      <c r="H28" t="s">
        <v>105</v>
      </c>
      <c r="I28" t="s">
        <v>312</v>
      </c>
      <c r="J28" t="s">
        <v>313</v>
      </c>
      <c r="K28" t="s">
        <v>168</v>
      </c>
      <c r="L28" t="s">
        <v>176</v>
      </c>
      <c r="M28" t="s">
        <v>164</v>
      </c>
      <c r="N28" s="1">
        <v>44055</v>
      </c>
      <c r="O28" s="1">
        <v>44315</v>
      </c>
      <c r="P28" s="1">
        <v>44589</v>
      </c>
      <c r="Q2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2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8</v>
      </c>
      <c r="T2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9</v>
      </c>
      <c r="U28">
        <f>Portefeuille_MNT_PPS_Access13[[#This Row],[Délais PC1 et PC3]]+Portefeuille_MNT_PPS_Access13[[#This Row],[Délais PC3 et PC5]]</f>
        <v>17</v>
      </c>
      <c r="V28">
        <v>5</v>
      </c>
      <c r="W28">
        <v>5</v>
      </c>
      <c r="X28">
        <v>5</v>
      </c>
      <c r="Y28">
        <v>5</v>
      </c>
      <c r="Z28" t="s">
        <v>165</v>
      </c>
      <c r="AA28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28" s="12" t="e">
        <f>_xlfn.XLOOKUP(Portefeuille_MNT_PPS_Access13[[#This Row],[Numéro projet]],Tableau5[Numéro projet],Tableau5[IND_Site_Prioritaire])</f>
        <v>#N/A</v>
      </c>
      <c r="AC28" s="2" t="e">
        <f>_xlfn.XLOOKUP(Portefeuille_MNT_PPS_Access13[[#This Row],[Numéro projet]],Tableau5[Numéro projet],Tableau5[Critère Etat Infrastructure])</f>
        <v>#N/A</v>
      </c>
      <c r="AD28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28" s="2">
        <v>5</v>
      </c>
      <c r="AF28" s="63"/>
      <c r="AG28">
        <v>448</v>
      </c>
      <c r="AH28">
        <v>5849</v>
      </c>
      <c r="AI28">
        <v>371</v>
      </c>
      <c r="AJ28">
        <v>3585</v>
      </c>
      <c r="AK28"/>
      <c r="AU28"/>
      <c r="BE28" s="14">
        <f>SUM(Portefeuille_MNT_PPS_Access13[[#This Row],[AC ANT]:[TR 2034]])</f>
        <v>10253</v>
      </c>
    </row>
    <row r="29" spans="1:57" hidden="1" x14ac:dyDescent="0.3">
      <c r="B29" t="s">
        <v>101</v>
      </c>
      <c r="C29" t="s">
        <v>102</v>
      </c>
      <c r="D29" t="s">
        <v>103</v>
      </c>
      <c r="E29" t="s">
        <v>206</v>
      </c>
      <c r="F29" t="s">
        <v>16</v>
      </c>
      <c r="G29" t="s">
        <v>16</v>
      </c>
      <c r="H29" t="s">
        <v>105</v>
      </c>
      <c r="I29" t="s">
        <v>314</v>
      </c>
      <c r="J29" t="s">
        <v>315</v>
      </c>
      <c r="K29" t="s">
        <v>316</v>
      </c>
      <c r="L29" t="s">
        <v>176</v>
      </c>
      <c r="M29" t="s">
        <v>164</v>
      </c>
      <c r="N29" s="1">
        <v>43882</v>
      </c>
      <c r="O29" s="1">
        <v>44033</v>
      </c>
      <c r="P29" s="1">
        <v>45225</v>
      </c>
      <c r="Q2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2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2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5</v>
      </c>
      <c r="T2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39</v>
      </c>
      <c r="U29">
        <f>Portefeuille_MNT_PPS_Access13[[#This Row],[Délais PC1 et PC3]]+Portefeuille_MNT_PPS_Access13[[#This Row],[Délais PC3 et PC5]]</f>
        <v>44</v>
      </c>
      <c r="V29">
        <v>5</v>
      </c>
      <c r="W29">
        <v>5</v>
      </c>
      <c r="X29">
        <v>5</v>
      </c>
      <c r="Y29">
        <v>5</v>
      </c>
      <c r="Z29" t="s">
        <v>165</v>
      </c>
      <c r="AA29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29" s="12" t="e">
        <f>_xlfn.XLOOKUP(Portefeuille_MNT_PPS_Access13[[#This Row],[Numéro projet]],Tableau5[Numéro projet],Tableau5[IND_Site_Prioritaire])</f>
        <v>#N/A</v>
      </c>
      <c r="AC29" s="2" t="e">
        <f>_xlfn.XLOOKUP(Portefeuille_MNT_PPS_Access13[[#This Row],[Numéro projet]],Tableau5[Numéro projet],Tableau5[Critère Etat Infrastructure])</f>
        <v>#N/A</v>
      </c>
      <c r="AD29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29" s="2">
        <v>5</v>
      </c>
      <c r="AF29" s="63"/>
      <c r="AG29">
        <v>257</v>
      </c>
      <c r="AH29">
        <v>2407</v>
      </c>
      <c r="AI29">
        <v>518</v>
      </c>
      <c r="AJ29">
        <v>8136</v>
      </c>
      <c r="AK29"/>
      <c r="AU29"/>
      <c r="BE29" s="14">
        <f>SUM(Portefeuille_MNT_PPS_Access13[[#This Row],[AC ANT]:[TR 2034]])</f>
        <v>11318</v>
      </c>
    </row>
    <row r="30" spans="1:57" hidden="1" x14ac:dyDescent="0.3">
      <c r="B30" t="s">
        <v>118</v>
      </c>
      <c r="C30" t="s">
        <v>102</v>
      </c>
      <c r="D30" t="s">
        <v>103</v>
      </c>
      <c r="F30" t="s">
        <v>16</v>
      </c>
      <c r="G30" t="s">
        <v>16</v>
      </c>
      <c r="H30" t="s">
        <v>131</v>
      </c>
      <c r="I30" t="s">
        <v>317</v>
      </c>
      <c r="J30" t="s">
        <v>318</v>
      </c>
      <c r="K30" t="s">
        <v>187</v>
      </c>
      <c r="M30" t="s">
        <v>291</v>
      </c>
      <c r="N30" s="1"/>
      <c r="O30" s="1"/>
      <c r="P30" s="1"/>
      <c r="Q3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3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3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3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30">
        <f>Portefeuille_MNT_PPS_Access13[[#This Row],[Délais PC1 et PC3]]+Portefeuille_MNT_PPS_Access13[[#This Row],[Délais PC3 et PC5]]</f>
        <v>0</v>
      </c>
      <c r="V30">
        <v>1</v>
      </c>
      <c r="Z30" t="s">
        <v>311</v>
      </c>
      <c r="AA3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30" s="12" t="e">
        <f>_xlfn.XLOOKUP(Portefeuille_MNT_PPS_Access13[[#This Row],[Numéro projet]],Tableau5[Numéro projet],Tableau5[IND_Site_Prioritaire])</f>
        <v>#N/A</v>
      </c>
      <c r="AC30" s="2" t="e">
        <f>_xlfn.XLOOKUP(Portefeuille_MNT_PPS_Access13[[#This Row],[Numéro projet]],Tableau5[Numéro projet],Tableau5[Critère Etat Infrastructure])</f>
        <v>#N/A</v>
      </c>
      <c r="AD3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0" s="2"/>
      <c r="AF30" s="63"/>
      <c r="AG30">
        <v>676</v>
      </c>
      <c r="AH30">
        <v>7943</v>
      </c>
      <c r="AI30">
        <v>41</v>
      </c>
      <c r="AK30"/>
      <c r="AU30"/>
      <c r="BE30" s="14">
        <f>SUM(Portefeuille_MNT_PPS_Access13[[#This Row],[AC ANT]:[TR 2034]])</f>
        <v>8660</v>
      </c>
    </row>
    <row r="31" spans="1:57" hidden="1" x14ac:dyDescent="0.3">
      <c r="B31" t="s">
        <v>118</v>
      </c>
      <c r="C31" t="s">
        <v>102</v>
      </c>
      <c r="D31" t="s">
        <v>103</v>
      </c>
      <c r="E31" t="s">
        <v>104</v>
      </c>
      <c r="F31" t="s">
        <v>16</v>
      </c>
      <c r="G31" t="s">
        <v>16</v>
      </c>
      <c r="H31" t="s">
        <v>131</v>
      </c>
      <c r="I31" t="s">
        <v>319</v>
      </c>
      <c r="J31" t="s">
        <v>320</v>
      </c>
      <c r="K31" t="s">
        <v>159</v>
      </c>
      <c r="M31" t="s">
        <v>164</v>
      </c>
      <c r="N31" s="1">
        <v>44063</v>
      </c>
      <c r="O31" s="1">
        <v>44488</v>
      </c>
      <c r="P31" s="1">
        <v>44602</v>
      </c>
      <c r="Q31" s="1" t="e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#NUM!</v>
      </c>
      <c r="R31" s="1" t="e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#NUM!</v>
      </c>
      <c r="S3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</v>
      </c>
      <c r="T3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4</v>
      </c>
      <c r="U31">
        <f>Portefeuille_MNT_PPS_Access13[[#This Row],[Délais PC1 et PC3]]+Portefeuille_MNT_PPS_Access13[[#This Row],[Délais PC3 et PC5]]</f>
        <v>18</v>
      </c>
      <c r="V31">
        <v>1</v>
      </c>
      <c r="W31">
        <v>5</v>
      </c>
      <c r="X31">
        <v>5</v>
      </c>
      <c r="Y31">
        <v>5</v>
      </c>
      <c r="Z31" t="s">
        <v>165</v>
      </c>
      <c r="AA3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31" s="12" t="e">
        <f>_xlfn.XLOOKUP(Portefeuille_MNT_PPS_Access13[[#This Row],[Numéro projet]],Tableau5[Numéro projet],Tableau5[IND_Site_Prioritaire])</f>
        <v>#N/A</v>
      </c>
      <c r="AC31" s="2" t="e">
        <f>_xlfn.XLOOKUP(Portefeuille_MNT_PPS_Access13[[#This Row],[Numéro projet]],Tableau5[Numéro projet],Tableau5[Critère Etat Infrastructure])</f>
        <v>#N/A</v>
      </c>
      <c r="AD3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1" s="2"/>
      <c r="AF31" s="63"/>
      <c r="AG31">
        <v>334</v>
      </c>
      <c r="AH31">
        <v>5521</v>
      </c>
      <c r="AI31">
        <v>52</v>
      </c>
      <c r="AK31"/>
      <c r="AU31"/>
      <c r="BE31" s="14">
        <f>SUM(Portefeuille_MNT_PPS_Access13[[#This Row],[AC ANT]:[TR 2034]])</f>
        <v>5907</v>
      </c>
    </row>
    <row r="32" spans="1:57" hidden="1" x14ac:dyDescent="0.3">
      <c r="B32" t="s">
        <v>118</v>
      </c>
      <c r="C32" t="s">
        <v>102</v>
      </c>
      <c r="D32" t="s">
        <v>103</v>
      </c>
      <c r="F32" t="s">
        <v>16</v>
      </c>
      <c r="G32" t="s">
        <v>16</v>
      </c>
      <c r="H32" t="s">
        <v>131</v>
      </c>
      <c r="I32" t="s">
        <v>321</v>
      </c>
      <c r="J32" t="s">
        <v>525</v>
      </c>
      <c r="K32" t="s">
        <v>147</v>
      </c>
      <c r="M32" t="s">
        <v>291</v>
      </c>
      <c r="N32" s="1"/>
      <c r="O32" s="1"/>
      <c r="P32" s="1"/>
      <c r="Q3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3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3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3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32">
        <f>Portefeuille_MNT_PPS_Access13[[#This Row],[Délais PC1 et PC3]]+Portefeuille_MNT_PPS_Access13[[#This Row],[Délais PC3 et PC5]]</f>
        <v>0</v>
      </c>
      <c r="V32">
        <v>1</v>
      </c>
      <c r="Z32" t="s">
        <v>311</v>
      </c>
      <c r="AA3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32" s="12" t="e">
        <f>_xlfn.XLOOKUP(Portefeuille_MNT_PPS_Access13[[#This Row],[Numéro projet]],Tableau5[Numéro projet],Tableau5[IND_Site_Prioritaire])</f>
        <v>#N/A</v>
      </c>
      <c r="AC32" s="2" t="e">
        <f>_xlfn.XLOOKUP(Portefeuille_MNT_PPS_Access13[[#This Row],[Numéro projet]],Tableau5[Numéro projet],Tableau5[Critère Etat Infrastructure])</f>
        <v>#N/A</v>
      </c>
      <c r="AD3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2" s="2"/>
      <c r="AF32" s="63"/>
      <c r="AG32">
        <v>468</v>
      </c>
      <c r="AH32">
        <v>4580</v>
      </c>
      <c r="AI32">
        <v>8</v>
      </c>
      <c r="AK32"/>
      <c r="AU32"/>
      <c r="BE32" s="14">
        <f>SUM(Portefeuille_MNT_PPS_Access13[[#This Row],[AC ANT]:[TR 2034]])</f>
        <v>5056</v>
      </c>
    </row>
    <row r="33" spans="1:57" hidden="1" x14ac:dyDescent="0.3">
      <c r="B33" t="s">
        <v>126</v>
      </c>
      <c r="C33" t="s">
        <v>127</v>
      </c>
      <c r="D33" t="s">
        <v>128</v>
      </c>
      <c r="E33" t="s">
        <v>129</v>
      </c>
      <c r="F33" t="s">
        <v>16</v>
      </c>
      <c r="G33" t="s">
        <v>16</v>
      </c>
      <c r="H33" t="s">
        <v>131</v>
      </c>
      <c r="I33" t="s">
        <v>323</v>
      </c>
      <c r="J33" t="s">
        <v>324</v>
      </c>
      <c r="K33" t="s">
        <v>214</v>
      </c>
      <c r="L33" t="s">
        <v>176</v>
      </c>
      <c r="M33" t="s">
        <v>164</v>
      </c>
      <c r="N33" s="1">
        <v>44644</v>
      </c>
      <c r="O33" s="1">
        <v>44995</v>
      </c>
      <c r="P33" s="1">
        <v>45061</v>
      </c>
      <c r="Q3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3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3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3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2</v>
      </c>
      <c r="U33">
        <f>Portefeuille_MNT_PPS_Access13[[#This Row],[Délais PC1 et PC3]]+Portefeuille_MNT_PPS_Access13[[#This Row],[Délais PC3 et PC5]]</f>
        <v>14</v>
      </c>
      <c r="V33">
        <v>5</v>
      </c>
      <c r="W33">
        <v>5</v>
      </c>
      <c r="X33">
        <v>5</v>
      </c>
      <c r="Y33">
        <v>5</v>
      </c>
      <c r="Z33" t="s">
        <v>165</v>
      </c>
      <c r="AA33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33" s="12" t="e">
        <f>_xlfn.XLOOKUP(Portefeuille_MNT_PPS_Access13[[#This Row],[Numéro projet]],Tableau5[Numéro projet],Tableau5[IND_Site_Prioritaire])</f>
        <v>#N/A</v>
      </c>
      <c r="AC33" s="2" t="e">
        <f>_xlfn.XLOOKUP(Portefeuille_MNT_PPS_Access13[[#This Row],[Numéro projet]],Tableau5[Numéro projet],Tableau5[Critère Etat Infrastructure])</f>
        <v>#N/A</v>
      </c>
      <c r="AD33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33" s="2">
        <v>5</v>
      </c>
      <c r="AF33" s="63"/>
      <c r="AG33">
        <v>80</v>
      </c>
      <c r="AH33">
        <v>347</v>
      </c>
      <c r="AI33">
        <v>36</v>
      </c>
      <c r="AJ33">
        <v>235</v>
      </c>
      <c r="AK33"/>
      <c r="AU33"/>
      <c r="BE33" s="14">
        <f>SUM(Portefeuille_MNT_PPS_Access13[[#This Row],[AC ANT]:[TR 2034]])</f>
        <v>698</v>
      </c>
    </row>
    <row r="34" spans="1:57" hidden="1" x14ac:dyDescent="0.3">
      <c r="B34" t="s">
        <v>101</v>
      </c>
      <c r="C34" t="s">
        <v>102</v>
      </c>
      <c r="D34" t="s">
        <v>103</v>
      </c>
      <c r="F34" t="s">
        <v>16</v>
      </c>
      <c r="G34" t="s">
        <v>325</v>
      </c>
      <c r="H34" t="s">
        <v>131</v>
      </c>
      <c r="I34" t="s">
        <v>326</v>
      </c>
      <c r="J34" t="s">
        <v>327</v>
      </c>
      <c r="K34" t="s">
        <v>183</v>
      </c>
      <c r="M34" t="s">
        <v>291</v>
      </c>
      <c r="N34" s="1"/>
      <c r="O34" s="1"/>
      <c r="P34" s="1"/>
      <c r="Q3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3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3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3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34">
        <f>Portefeuille_MNT_PPS_Access13[[#This Row],[Délais PC1 et PC3]]+Portefeuille_MNT_PPS_Access13[[#This Row],[Délais PC3 et PC5]]</f>
        <v>0</v>
      </c>
      <c r="V34">
        <v>1</v>
      </c>
      <c r="Z34" t="s">
        <v>311</v>
      </c>
      <c r="AA3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34" s="12" t="e">
        <f>_xlfn.XLOOKUP(Portefeuille_MNT_PPS_Access13[[#This Row],[Numéro projet]],Tableau5[Numéro projet],Tableau5[IND_Site_Prioritaire])</f>
        <v>#N/A</v>
      </c>
      <c r="AC34" s="2" t="e">
        <f>_xlfn.XLOOKUP(Portefeuille_MNT_PPS_Access13[[#This Row],[Numéro projet]],Tableau5[Numéro projet],Tableau5[Critère Etat Infrastructure])</f>
        <v>#N/A</v>
      </c>
      <c r="AD3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4" s="2"/>
      <c r="AF34" s="63"/>
      <c r="AG34">
        <v>595</v>
      </c>
      <c r="AH34">
        <v>3578</v>
      </c>
      <c r="AI34">
        <v>1</v>
      </c>
      <c r="AK34"/>
      <c r="AU34"/>
      <c r="BE34" s="14">
        <f>SUM(Portefeuille_MNT_PPS_Access13[[#This Row],[AC ANT]:[TR 2034]])</f>
        <v>4174</v>
      </c>
    </row>
    <row r="35" spans="1:57" hidden="1" x14ac:dyDescent="0.3">
      <c r="B35" t="s">
        <v>101</v>
      </c>
      <c r="C35" t="s">
        <v>102</v>
      </c>
      <c r="D35" t="s">
        <v>200</v>
      </c>
      <c r="F35" t="s">
        <v>16</v>
      </c>
      <c r="G35" t="s">
        <v>16</v>
      </c>
      <c r="H35" t="s">
        <v>131</v>
      </c>
      <c r="I35" t="s">
        <v>328</v>
      </c>
      <c r="J35" t="s">
        <v>329</v>
      </c>
      <c r="K35" t="s">
        <v>152</v>
      </c>
      <c r="M35" t="s">
        <v>291</v>
      </c>
      <c r="N35" s="1"/>
      <c r="O35" s="1"/>
      <c r="P35" s="1"/>
      <c r="Q3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3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3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3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35">
        <f>Portefeuille_MNT_PPS_Access13[[#This Row],[Délais PC1 et PC3]]+Portefeuille_MNT_PPS_Access13[[#This Row],[Délais PC3 et PC5]]</f>
        <v>0</v>
      </c>
      <c r="V35">
        <v>1</v>
      </c>
      <c r="Z35" t="s">
        <v>311</v>
      </c>
      <c r="AA3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35" s="12" t="e">
        <f>_xlfn.XLOOKUP(Portefeuille_MNT_PPS_Access13[[#This Row],[Numéro projet]],Tableau5[Numéro projet],Tableau5[IND_Site_Prioritaire])</f>
        <v>#N/A</v>
      </c>
      <c r="AC35" s="2" t="e">
        <f>_xlfn.XLOOKUP(Portefeuille_MNT_PPS_Access13[[#This Row],[Numéro projet]],Tableau5[Numéro projet],Tableau5[Critère Etat Infrastructure])</f>
        <v>#N/A</v>
      </c>
      <c r="AD3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5" s="2"/>
      <c r="AF35" s="63"/>
      <c r="AG35">
        <v>186</v>
      </c>
      <c r="AH35">
        <v>3019</v>
      </c>
      <c r="AI35">
        <v>9</v>
      </c>
      <c r="AK35"/>
      <c r="AU35"/>
      <c r="BE35" s="14">
        <f>SUM(Portefeuille_MNT_PPS_Access13[[#This Row],[AC ANT]:[TR 2034]])</f>
        <v>3214</v>
      </c>
    </row>
    <row r="36" spans="1:57" hidden="1" x14ac:dyDescent="0.3">
      <c r="B36" t="s">
        <v>101</v>
      </c>
      <c r="C36" t="s">
        <v>102</v>
      </c>
      <c r="D36" t="s">
        <v>103</v>
      </c>
      <c r="E36" t="s">
        <v>140</v>
      </c>
      <c r="F36" t="s">
        <v>16</v>
      </c>
      <c r="G36" t="s">
        <v>16</v>
      </c>
      <c r="H36" t="s">
        <v>105</v>
      </c>
      <c r="I36" t="s">
        <v>174</v>
      </c>
      <c r="J36" t="s">
        <v>175</v>
      </c>
      <c r="K36" t="s">
        <v>143</v>
      </c>
      <c r="L36" t="s">
        <v>176</v>
      </c>
      <c r="M36" t="s">
        <v>164</v>
      </c>
      <c r="N36" s="1">
        <v>44014</v>
      </c>
      <c r="O36" s="1">
        <v>44294</v>
      </c>
      <c r="P36" s="1">
        <v>45239</v>
      </c>
      <c r="Q3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3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3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9</v>
      </c>
      <c r="T3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31</v>
      </c>
      <c r="U36">
        <f>Portefeuille_MNT_PPS_Access13[[#This Row],[Délais PC1 et PC3]]+Portefeuille_MNT_PPS_Access13[[#This Row],[Délais PC3 et PC5]]</f>
        <v>40</v>
      </c>
      <c r="V36">
        <v>5</v>
      </c>
      <c r="W36">
        <v>5</v>
      </c>
      <c r="X36">
        <v>5</v>
      </c>
      <c r="Y36">
        <v>5</v>
      </c>
      <c r="Z36" t="s">
        <v>165</v>
      </c>
      <c r="AA36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36" s="12" t="e">
        <f>_xlfn.XLOOKUP(Portefeuille_MNT_PPS_Access13[[#This Row],[Numéro projet]],Tableau5[Numéro projet],Tableau5[IND_Site_Prioritaire])</f>
        <v>#N/A</v>
      </c>
      <c r="AC36" s="2" t="e">
        <f>_xlfn.XLOOKUP(Portefeuille_MNT_PPS_Access13[[#This Row],[Numéro projet]],Tableau5[Numéro projet],Tableau5[Critère Etat Infrastructure])</f>
        <v>#N/A</v>
      </c>
      <c r="AD36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36" s="2">
        <v>5</v>
      </c>
      <c r="AF36" s="63"/>
      <c r="AG36">
        <v>389</v>
      </c>
      <c r="AH36">
        <v>4986</v>
      </c>
      <c r="AI36">
        <v>729</v>
      </c>
      <c r="AJ36">
        <v>28833</v>
      </c>
      <c r="AK36">
        <v>399</v>
      </c>
      <c r="AL36">
        <v>11768</v>
      </c>
      <c r="AU36"/>
      <c r="BE36" s="14">
        <f>SUM(Portefeuille_MNT_PPS_Access13[[#This Row],[AC ANT]:[TR 2034]])</f>
        <v>47104</v>
      </c>
    </row>
    <row r="37" spans="1:57" hidden="1" x14ac:dyDescent="0.3">
      <c r="B37" t="s">
        <v>101</v>
      </c>
      <c r="C37" t="s">
        <v>102</v>
      </c>
      <c r="D37" t="s">
        <v>200</v>
      </c>
      <c r="E37" t="s">
        <v>104</v>
      </c>
      <c r="F37" t="s">
        <v>16</v>
      </c>
      <c r="G37" t="s">
        <v>16</v>
      </c>
      <c r="H37" t="s">
        <v>105</v>
      </c>
      <c r="I37" t="s">
        <v>330</v>
      </c>
      <c r="J37" t="s">
        <v>331</v>
      </c>
      <c r="K37" t="s">
        <v>180</v>
      </c>
      <c r="L37" t="s">
        <v>176</v>
      </c>
      <c r="M37" t="s">
        <v>164</v>
      </c>
      <c r="N37" s="1">
        <v>43360</v>
      </c>
      <c r="O37" s="1">
        <v>43671</v>
      </c>
      <c r="P37" s="1">
        <v>44217</v>
      </c>
      <c r="Q3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3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3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10</v>
      </c>
      <c r="T3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18</v>
      </c>
      <c r="U37">
        <f>Portefeuille_MNT_PPS_Access13[[#This Row],[Délais PC1 et PC3]]+Portefeuille_MNT_PPS_Access13[[#This Row],[Délais PC3 et PC5]]</f>
        <v>28</v>
      </c>
      <c r="V37">
        <v>1</v>
      </c>
      <c r="W37">
        <v>5</v>
      </c>
      <c r="X37">
        <v>5</v>
      </c>
      <c r="Y37">
        <v>5</v>
      </c>
      <c r="Z37" t="s">
        <v>165</v>
      </c>
      <c r="AA37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37" s="12" t="e">
        <f>_xlfn.XLOOKUP(Portefeuille_MNT_PPS_Access13[[#This Row],[Numéro projet]],Tableau5[Numéro projet],Tableau5[IND_Site_Prioritaire])</f>
        <v>#N/A</v>
      </c>
      <c r="AC37" s="2" t="e">
        <f>_xlfn.XLOOKUP(Portefeuille_MNT_PPS_Access13[[#This Row],[Numéro projet]],Tableau5[Numéro projet],Tableau5[Critère Etat Infrastructure])</f>
        <v>#N/A</v>
      </c>
      <c r="AD37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37" s="2">
        <v>5</v>
      </c>
      <c r="AF37" s="63"/>
      <c r="AG37">
        <v>432</v>
      </c>
      <c r="AH37">
        <v>3057</v>
      </c>
      <c r="AI37">
        <v>260</v>
      </c>
      <c r="AJ37">
        <v>73</v>
      </c>
      <c r="AK37">
        <v>13</v>
      </c>
      <c r="AU37"/>
      <c r="BE37" s="14">
        <f>SUM(Portefeuille_MNT_PPS_Access13[[#This Row],[AC ANT]:[TR 2034]])</f>
        <v>3835</v>
      </c>
    </row>
    <row r="38" spans="1:57" hidden="1" x14ac:dyDescent="0.3">
      <c r="B38" t="s">
        <v>101</v>
      </c>
      <c r="C38" t="s">
        <v>102</v>
      </c>
      <c r="D38" t="s">
        <v>200</v>
      </c>
      <c r="E38" t="s">
        <v>104</v>
      </c>
      <c r="F38" t="s">
        <v>16</v>
      </c>
      <c r="G38" t="s">
        <v>20</v>
      </c>
      <c r="H38" t="s">
        <v>105</v>
      </c>
      <c r="I38" t="s">
        <v>201</v>
      </c>
      <c r="J38" t="s">
        <v>202</v>
      </c>
      <c r="K38" t="s">
        <v>108</v>
      </c>
      <c r="M38" t="s">
        <v>155</v>
      </c>
      <c r="N38" s="1"/>
      <c r="O38" s="1"/>
      <c r="P38" s="1"/>
      <c r="Q3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3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3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3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38">
        <f>Portefeuille_MNT_PPS_Access13[[#This Row],[Délais PC1 et PC3]]+Portefeuille_MNT_PPS_Access13[[#This Row],[Délais PC3 et PC5]]</f>
        <v>0</v>
      </c>
      <c r="V38">
        <v>1</v>
      </c>
      <c r="Z38" t="s">
        <v>156</v>
      </c>
      <c r="AA3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38" s="12" t="e">
        <f>_xlfn.XLOOKUP(Portefeuille_MNT_PPS_Access13[[#This Row],[Numéro projet]],Tableau5[Numéro projet],Tableau5[IND_Site_Prioritaire])</f>
        <v>#N/A</v>
      </c>
      <c r="AC38" s="2" t="e">
        <f>_xlfn.XLOOKUP(Portefeuille_MNT_PPS_Access13[[#This Row],[Numéro projet]],Tableau5[Numéro projet],Tableau5[Critère Etat Infrastructure])</f>
        <v>#N/A</v>
      </c>
      <c r="AD3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38" s="2"/>
      <c r="AF38" s="63"/>
      <c r="AG38">
        <v>277</v>
      </c>
      <c r="AH38">
        <v>4</v>
      </c>
      <c r="AK38"/>
      <c r="AM38">
        <v>127</v>
      </c>
      <c r="AO38">
        <v>125</v>
      </c>
      <c r="AQ38">
        <v>471</v>
      </c>
      <c r="AU38"/>
      <c r="BE38" s="14">
        <f>SUM(Portefeuille_MNT_PPS_Access13[[#This Row],[AC ANT]:[TR 2034]])</f>
        <v>1004</v>
      </c>
    </row>
    <row r="39" spans="1:57" hidden="1" x14ac:dyDescent="0.3">
      <c r="B39" t="s">
        <v>101</v>
      </c>
      <c r="C39" t="s">
        <v>102</v>
      </c>
      <c r="D39" t="s">
        <v>119</v>
      </c>
      <c r="E39" t="s">
        <v>113</v>
      </c>
      <c r="F39" t="s">
        <v>16</v>
      </c>
      <c r="G39" t="s">
        <v>16</v>
      </c>
      <c r="H39" t="s">
        <v>105</v>
      </c>
      <c r="I39" t="s">
        <v>332</v>
      </c>
      <c r="J39" t="s">
        <v>333</v>
      </c>
      <c r="K39" t="s">
        <v>122</v>
      </c>
      <c r="L39" t="s">
        <v>176</v>
      </c>
      <c r="M39" t="s">
        <v>164</v>
      </c>
      <c r="N39" s="1">
        <v>44162</v>
      </c>
      <c r="O39" s="1">
        <v>44489</v>
      </c>
      <c r="P39" s="1">
        <v>44608</v>
      </c>
      <c r="Q3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3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3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11</v>
      </c>
      <c r="T3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4</v>
      </c>
      <c r="U39">
        <f>Portefeuille_MNT_PPS_Access13[[#This Row],[Délais PC1 et PC3]]+Portefeuille_MNT_PPS_Access13[[#This Row],[Délais PC3 et PC5]]</f>
        <v>15</v>
      </c>
      <c r="V39">
        <v>5</v>
      </c>
      <c r="W39">
        <v>5</v>
      </c>
      <c r="X39">
        <v>5</v>
      </c>
      <c r="Y39">
        <v>5</v>
      </c>
      <c r="Z39" t="s">
        <v>165</v>
      </c>
      <c r="AA39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39" s="12" t="e">
        <f>_xlfn.XLOOKUP(Portefeuille_MNT_PPS_Access13[[#This Row],[Numéro projet]],Tableau5[Numéro projet],Tableau5[IND_Site_Prioritaire])</f>
        <v>#N/A</v>
      </c>
      <c r="AC39" s="2" t="e">
        <f>_xlfn.XLOOKUP(Portefeuille_MNT_PPS_Access13[[#This Row],[Numéro projet]],Tableau5[Numéro projet],Tableau5[Critère Etat Infrastructure])</f>
        <v>#N/A</v>
      </c>
      <c r="AD39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39" s="2">
        <v>5</v>
      </c>
      <c r="AF39" s="63"/>
      <c r="AG39">
        <v>183</v>
      </c>
      <c r="AH39">
        <v>33</v>
      </c>
      <c r="AI39">
        <v>459</v>
      </c>
      <c r="AJ39">
        <v>6249</v>
      </c>
      <c r="AK39"/>
      <c r="AU39"/>
      <c r="BE39" s="14">
        <f>SUM(Portefeuille_MNT_PPS_Access13[[#This Row],[AC ANT]:[TR 2034]])</f>
        <v>6924</v>
      </c>
    </row>
    <row r="40" spans="1:57" hidden="1" x14ac:dyDescent="0.3">
      <c r="B40" t="s">
        <v>101</v>
      </c>
      <c r="C40" t="s">
        <v>102</v>
      </c>
      <c r="D40" t="s">
        <v>200</v>
      </c>
      <c r="E40" t="s">
        <v>149</v>
      </c>
      <c r="F40" t="s">
        <v>16</v>
      </c>
      <c r="G40" t="s">
        <v>16</v>
      </c>
      <c r="H40" t="s">
        <v>105</v>
      </c>
      <c r="I40" t="s">
        <v>334</v>
      </c>
      <c r="J40" t="s">
        <v>335</v>
      </c>
      <c r="K40" t="s">
        <v>205</v>
      </c>
      <c r="L40" t="s">
        <v>176</v>
      </c>
      <c r="M40" t="s">
        <v>164</v>
      </c>
      <c r="N40" s="1">
        <v>44228</v>
      </c>
      <c r="O40" s="1">
        <v>44579</v>
      </c>
      <c r="P40" s="1">
        <v>44865</v>
      </c>
      <c r="Q4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4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11</v>
      </c>
      <c r="T4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9</v>
      </c>
      <c r="U40">
        <f>Portefeuille_MNT_PPS_Access13[[#This Row],[Délais PC1 et PC3]]+Portefeuille_MNT_PPS_Access13[[#This Row],[Délais PC3 et PC5]]</f>
        <v>20</v>
      </c>
      <c r="V40">
        <v>5</v>
      </c>
      <c r="W40">
        <v>5</v>
      </c>
      <c r="X40">
        <v>5</v>
      </c>
      <c r="Y40">
        <v>5</v>
      </c>
      <c r="Z40" t="s">
        <v>165</v>
      </c>
      <c r="AA40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0" s="12" t="e">
        <f>_xlfn.XLOOKUP(Portefeuille_MNT_PPS_Access13[[#This Row],[Numéro projet]],Tableau5[Numéro projet],Tableau5[IND_Site_Prioritaire])</f>
        <v>#N/A</v>
      </c>
      <c r="AC40" s="2" t="e">
        <f>_xlfn.XLOOKUP(Portefeuille_MNT_PPS_Access13[[#This Row],[Numéro projet]],Tableau5[Numéro projet],Tableau5[Critère Etat Infrastructure])</f>
        <v>#N/A</v>
      </c>
      <c r="AD40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0" s="2">
        <v>5</v>
      </c>
      <c r="AF40" s="63"/>
      <c r="AG40">
        <v>262</v>
      </c>
      <c r="AH40">
        <v>16</v>
      </c>
      <c r="AI40">
        <v>448</v>
      </c>
      <c r="AJ40">
        <v>6487</v>
      </c>
      <c r="AK40"/>
      <c r="AU40"/>
      <c r="BE40" s="14">
        <f>SUM(Portefeuille_MNT_PPS_Access13[[#This Row],[AC ANT]:[TR 2034]])</f>
        <v>7213</v>
      </c>
    </row>
    <row r="41" spans="1:57" hidden="1" x14ac:dyDescent="0.3">
      <c r="B41" t="s">
        <v>101</v>
      </c>
      <c r="C41" t="s">
        <v>102</v>
      </c>
      <c r="D41" t="s">
        <v>177</v>
      </c>
      <c r="E41" t="s">
        <v>129</v>
      </c>
      <c r="F41" t="s">
        <v>16</v>
      </c>
      <c r="G41" t="s">
        <v>16</v>
      </c>
      <c r="H41" t="s">
        <v>131</v>
      </c>
      <c r="I41" t="s">
        <v>178</v>
      </c>
      <c r="J41" t="s">
        <v>179</v>
      </c>
      <c r="K41" t="s">
        <v>180</v>
      </c>
      <c r="L41" t="s">
        <v>176</v>
      </c>
      <c r="M41" t="s">
        <v>164</v>
      </c>
      <c r="N41" s="1"/>
      <c r="O41" s="1"/>
      <c r="P41" s="1">
        <v>45195</v>
      </c>
      <c r="Q4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4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4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1484</v>
      </c>
      <c r="U41">
        <f>Portefeuille_MNT_PPS_Access13[[#This Row],[Délais PC1 et PC3]]+Portefeuille_MNT_PPS_Access13[[#This Row],[Délais PC3 et PC5]]</f>
        <v>1484</v>
      </c>
      <c r="V41">
        <v>5</v>
      </c>
      <c r="W41">
        <v>5</v>
      </c>
      <c r="Z41" t="s">
        <v>165</v>
      </c>
      <c r="AA41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1" s="12" t="e">
        <f>_xlfn.XLOOKUP(Portefeuille_MNT_PPS_Access13[[#This Row],[Numéro projet]],Tableau5[Numéro projet],Tableau5[IND_Site_Prioritaire])</f>
        <v>#N/A</v>
      </c>
      <c r="AC41" s="2" t="e">
        <f>_xlfn.XLOOKUP(Portefeuille_MNT_PPS_Access13[[#This Row],[Numéro projet]],Tableau5[Numéro projet],Tableau5[Critère Etat Infrastructure])</f>
        <v>#N/A</v>
      </c>
      <c r="AD41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1" s="2">
        <v>5</v>
      </c>
      <c r="AF41" s="62"/>
      <c r="AG41">
        <v>75</v>
      </c>
      <c r="AH41">
        <v>101.00000000000001</v>
      </c>
      <c r="AI41">
        <v>25</v>
      </c>
      <c r="AJ41">
        <v>1110</v>
      </c>
      <c r="AK41">
        <v>73</v>
      </c>
      <c r="AL41">
        <v>580</v>
      </c>
      <c r="AU41"/>
      <c r="BE41" s="14">
        <f>SUM(Portefeuille_MNT_PPS_Access13[[#This Row],[AC ANT]:[TR 2034]])</f>
        <v>1964</v>
      </c>
    </row>
    <row r="42" spans="1:57" hidden="1" x14ac:dyDescent="0.3">
      <c r="B42" t="s">
        <v>101</v>
      </c>
      <c r="C42" t="s">
        <v>102</v>
      </c>
      <c r="D42" t="s">
        <v>200</v>
      </c>
      <c r="E42" t="s">
        <v>113</v>
      </c>
      <c r="F42" t="s">
        <v>16</v>
      </c>
      <c r="G42" t="s">
        <v>16</v>
      </c>
      <c r="H42" t="s">
        <v>131</v>
      </c>
      <c r="I42" t="s">
        <v>336</v>
      </c>
      <c r="J42" t="s">
        <v>337</v>
      </c>
      <c r="K42" t="s">
        <v>180</v>
      </c>
      <c r="L42" t="s">
        <v>176</v>
      </c>
      <c r="M42" t="s">
        <v>164</v>
      </c>
      <c r="N42" s="1"/>
      <c r="O42" s="1">
        <v>44518</v>
      </c>
      <c r="P42" s="1">
        <v>44657</v>
      </c>
      <c r="Q4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4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1462</v>
      </c>
      <c r="T4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5</v>
      </c>
      <c r="U42">
        <f>Portefeuille_MNT_PPS_Access13[[#This Row],[Délais PC1 et PC3]]+Portefeuille_MNT_PPS_Access13[[#This Row],[Délais PC3 et PC5]]</f>
        <v>1467</v>
      </c>
      <c r="V42">
        <v>5</v>
      </c>
      <c r="W42">
        <v>5</v>
      </c>
      <c r="X42">
        <v>5</v>
      </c>
      <c r="Z42" t="s">
        <v>165</v>
      </c>
      <c r="AA42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2" s="12" t="e">
        <f>_xlfn.XLOOKUP(Portefeuille_MNT_PPS_Access13[[#This Row],[Numéro projet]],Tableau5[Numéro projet],Tableau5[IND_Site_Prioritaire])</f>
        <v>#N/A</v>
      </c>
      <c r="AC42" s="2" t="e">
        <f>_xlfn.XLOOKUP(Portefeuille_MNT_PPS_Access13[[#This Row],[Numéro projet]],Tableau5[Numéro projet],Tableau5[Critère Etat Infrastructure])</f>
        <v>#N/A</v>
      </c>
      <c r="AD42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2" s="2">
        <v>5</v>
      </c>
      <c r="AF42" s="63"/>
      <c r="AG42">
        <v>594</v>
      </c>
      <c r="AH42">
        <v>3359</v>
      </c>
      <c r="AI42">
        <v>327</v>
      </c>
      <c r="AJ42">
        <v>3179</v>
      </c>
      <c r="AK42"/>
      <c r="AU42"/>
      <c r="BE42" s="14">
        <f>SUM(Portefeuille_MNT_PPS_Access13[[#This Row],[AC ANT]:[TR 2034]])</f>
        <v>7459</v>
      </c>
    </row>
    <row r="43" spans="1:57" hidden="1" x14ac:dyDescent="0.3">
      <c r="B43" t="s">
        <v>101</v>
      </c>
      <c r="C43" t="s">
        <v>102</v>
      </c>
      <c r="D43" t="s">
        <v>200</v>
      </c>
      <c r="E43" t="s">
        <v>104</v>
      </c>
      <c r="F43" t="s">
        <v>16</v>
      </c>
      <c r="G43" t="s">
        <v>16</v>
      </c>
      <c r="H43" t="s">
        <v>105</v>
      </c>
      <c r="I43" t="s">
        <v>338</v>
      </c>
      <c r="J43" t="s">
        <v>339</v>
      </c>
      <c r="K43" t="s">
        <v>180</v>
      </c>
      <c r="M43" t="s">
        <v>164</v>
      </c>
      <c r="N43" s="1">
        <v>43360</v>
      </c>
      <c r="O43" s="1">
        <v>43671</v>
      </c>
      <c r="P43" s="1">
        <v>44217</v>
      </c>
      <c r="Q43" s="1" t="e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#NUM!</v>
      </c>
      <c r="R43" s="1" t="e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#NUM!</v>
      </c>
      <c r="S4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10</v>
      </c>
      <c r="T4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18</v>
      </c>
      <c r="U43">
        <f>Portefeuille_MNT_PPS_Access13[[#This Row],[Délais PC1 et PC3]]+Portefeuille_MNT_PPS_Access13[[#This Row],[Délais PC3 et PC5]]</f>
        <v>28</v>
      </c>
      <c r="V43">
        <v>1</v>
      </c>
      <c r="W43">
        <v>5</v>
      </c>
      <c r="X43">
        <v>5</v>
      </c>
      <c r="Y43">
        <v>5</v>
      </c>
      <c r="Z43" t="s">
        <v>165</v>
      </c>
      <c r="AA4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43" s="12" t="e">
        <f>_xlfn.XLOOKUP(Portefeuille_MNT_PPS_Access13[[#This Row],[Numéro projet]],Tableau5[Numéro projet],Tableau5[IND_Site_Prioritaire])</f>
        <v>#N/A</v>
      </c>
      <c r="AC43" s="2" t="e">
        <f>_xlfn.XLOOKUP(Portefeuille_MNT_PPS_Access13[[#This Row],[Numéro projet]],Tableau5[Numéro projet],Tableau5[Critère Etat Infrastructure])</f>
        <v>#N/A</v>
      </c>
      <c r="AD43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3" s="2">
        <v>5</v>
      </c>
      <c r="AF43" s="63"/>
      <c r="AG43">
        <v>128</v>
      </c>
      <c r="AH43">
        <v>2061</v>
      </c>
      <c r="AI43">
        <v>164</v>
      </c>
      <c r="AK43">
        <v>43</v>
      </c>
      <c r="AU43"/>
      <c r="BE43" s="14">
        <f>SUM(Portefeuille_MNT_PPS_Access13[[#This Row],[AC ANT]:[TR 2034]])</f>
        <v>2396</v>
      </c>
    </row>
    <row r="44" spans="1:57" hidden="1" x14ac:dyDescent="0.3">
      <c r="B44" t="s">
        <v>118</v>
      </c>
      <c r="C44" t="s">
        <v>102</v>
      </c>
      <c r="D44" t="s">
        <v>103</v>
      </c>
      <c r="E44" t="s">
        <v>340</v>
      </c>
      <c r="F44" t="s">
        <v>16</v>
      </c>
      <c r="G44" t="s">
        <v>16</v>
      </c>
      <c r="H44" t="s">
        <v>131</v>
      </c>
      <c r="I44" t="s">
        <v>341</v>
      </c>
      <c r="J44" t="s">
        <v>342</v>
      </c>
      <c r="K44" t="s">
        <v>147</v>
      </c>
      <c r="L44" t="s">
        <v>176</v>
      </c>
      <c r="M44" t="s">
        <v>164</v>
      </c>
      <c r="N44" s="1">
        <v>44245</v>
      </c>
      <c r="O44" s="1">
        <v>44469</v>
      </c>
      <c r="P44" s="1">
        <v>44538</v>
      </c>
      <c r="Q4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4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7</v>
      </c>
      <c r="T4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</v>
      </c>
      <c r="U44">
        <f>Portefeuille_MNT_PPS_Access13[[#This Row],[Délais PC1 et PC3]]+Portefeuille_MNT_PPS_Access13[[#This Row],[Délais PC3 et PC5]]</f>
        <v>10</v>
      </c>
      <c r="V44">
        <v>1</v>
      </c>
      <c r="W44">
        <v>5</v>
      </c>
      <c r="X44">
        <v>5</v>
      </c>
      <c r="Y44">
        <v>5</v>
      </c>
      <c r="Z44" t="s">
        <v>165</v>
      </c>
      <c r="AA44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4" s="12" t="e">
        <f>_xlfn.XLOOKUP(Portefeuille_MNT_PPS_Access13[[#This Row],[Numéro projet]],Tableau5[Numéro projet],Tableau5[IND_Site_Prioritaire])</f>
        <v>#N/A</v>
      </c>
      <c r="AC44" s="2" t="e">
        <f>_xlfn.XLOOKUP(Portefeuille_MNT_PPS_Access13[[#This Row],[Numéro projet]],Tableau5[Numéro projet],Tableau5[Critère Etat Infrastructure])</f>
        <v>#N/A</v>
      </c>
      <c r="AD4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44" s="2"/>
      <c r="AF44" s="63"/>
      <c r="AG44">
        <v>603</v>
      </c>
      <c r="AH44">
        <v>10120</v>
      </c>
      <c r="AI44">
        <v>73</v>
      </c>
      <c r="AJ44">
        <v>150</v>
      </c>
      <c r="AK44"/>
      <c r="AU44"/>
      <c r="BE44" s="14">
        <f>SUM(Portefeuille_MNT_PPS_Access13[[#This Row],[AC ANT]:[TR 2034]])</f>
        <v>10946</v>
      </c>
    </row>
    <row r="45" spans="1:57" hidden="1" x14ac:dyDescent="0.3">
      <c r="B45" t="s">
        <v>101</v>
      </c>
      <c r="C45" t="s">
        <v>102</v>
      </c>
      <c r="D45" t="s">
        <v>136</v>
      </c>
      <c r="E45" t="s">
        <v>113</v>
      </c>
      <c r="F45" t="s">
        <v>16</v>
      </c>
      <c r="G45" t="s">
        <v>20</v>
      </c>
      <c r="H45" t="s">
        <v>105</v>
      </c>
      <c r="I45" t="s">
        <v>166</v>
      </c>
      <c r="J45" t="s">
        <v>167</v>
      </c>
      <c r="K45" t="s">
        <v>168</v>
      </c>
      <c r="L45" t="s">
        <v>169</v>
      </c>
      <c r="M45" t="s">
        <v>155</v>
      </c>
      <c r="N45" s="1">
        <v>45884</v>
      </c>
      <c r="O45" s="1">
        <v>46402</v>
      </c>
      <c r="P45" s="1">
        <v>46980</v>
      </c>
      <c r="Q4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4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17</v>
      </c>
      <c r="T4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19</v>
      </c>
      <c r="U45">
        <f>Portefeuille_MNT_PPS_Access13[[#This Row],[Délais PC1 et PC3]]+Portefeuille_MNT_PPS_Access13[[#This Row],[Délais PC3 et PC5]]</f>
        <v>36</v>
      </c>
      <c r="V45">
        <v>1</v>
      </c>
      <c r="W45">
        <v>1</v>
      </c>
      <c r="X45">
        <v>1</v>
      </c>
      <c r="Y45">
        <v>1</v>
      </c>
      <c r="Z45" t="s">
        <v>156</v>
      </c>
      <c r="AA4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45" s="12" t="e">
        <f>_xlfn.XLOOKUP(Portefeuille_MNT_PPS_Access13[[#This Row],[Numéro projet]],Tableau5[Numéro projet],Tableau5[IND_Site_Prioritaire])</f>
        <v>#N/A</v>
      </c>
      <c r="AC45" s="2" t="e">
        <f>_xlfn.XLOOKUP(Portefeuille_MNT_PPS_Access13[[#This Row],[Numéro projet]],Tableau5[Numéro projet],Tableau5[Critère Etat Infrastructure])</f>
        <v>#N/A</v>
      </c>
      <c r="AD4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45" s="2"/>
      <c r="AF45" s="63"/>
      <c r="AG45">
        <v>71</v>
      </c>
      <c r="AI45">
        <v>5</v>
      </c>
      <c r="AK45">
        <v>120</v>
      </c>
      <c r="AM45">
        <v>210</v>
      </c>
      <c r="AO45">
        <v>310</v>
      </c>
      <c r="AQ45">
        <v>310</v>
      </c>
      <c r="AS45">
        <v>395</v>
      </c>
      <c r="AT45">
        <v>2000</v>
      </c>
      <c r="AU45">
        <v>395</v>
      </c>
      <c r="AV45">
        <v>2000</v>
      </c>
      <c r="AW45">
        <v>395</v>
      </c>
      <c r="AX45">
        <v>18319</v>
      </c>
      <c r="BE45" s="14">
        <f>SUM(Portefeuille_MNT_PPS_Access13[[#This Row],[AC ANT]:[TR 2034]])</f>
        <v>24530</v>
      </c>
    </row>
    <row r="46" spans="1:57" hidden="1" x14ac:dyDescent="0.3">
      <c r="B46" t="s">
        <v>101</v>
      </c>
      <c r="C46" t="s">
        <v>102</v>
      </c>
      <c r="D46" t="s">
        <v>188</v>
      </c>
      <c r="E46" t="s">
        <v>113</v>
      </c>
      <c r="F46" t="s">
        <v>16</v>
      </c>
      <c r="G46" t="s">
        <v>16</v>
      </c>
      <c r="H46" t="s">
        <v>131</v>
      </c>
      <c r="I46" t="s">
        <v>343</v>
      </c>
      <c r="J46" t="s">
        <v>344</v>
      </c>
      <c r="K46" t="s">
        <v>139</v>
      </c>
      <c r="L46" t="s">
        <v>176</v>
      </c>
      <c r="M46" t="s">
        <v>164</v>
      </c>
      <c r="N46" s="1"/>
      <c r="O46" s="1"/>
      <c r="P46" s="1">
        <v>44672</v>
      </c>
      <c r="Q4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4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4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4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1467</v>
      </c>
      <c r="U46">
        <f>Portefeuille_MNT_PPS_Access13[[#This Row],[Délais PC1 et PC3]]+Portefeuille_MNT_PPS_Access13[[#This Row],[Délais PC3 et PC5]]</f>
        <v>1467</v>
      </c>
      <c r="V46">
        <v>1</v>
      </c>
      <c r="W46">
        <v>5</v>
      </c>
      <c r="Z46" t="s">
        <v>165</v>
      </c>
      <c r="AA46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6" s="12" t="e">
        <f>_xlfn.XLOOKUP(Portefeuille_MNT_PPS_Access13[[#This Row],[Numéro projet]],Tableau5[Numéro projet],Tableau5[IND_Site_Prioritaire])</f>
        <v>#N/A</v>
      </c>
      <c r="AC46" s="2" t="e">
        <f>_xlfn.XLOOKUP(Portefeuille_MNT_PPS_Access13[[#This Row],[Numéro projet]],Tableau5[Numéro projet],Tableau5[Critère Etat Infrastructure])</f>
        <v>#N/A</v>
      </c>
      <c r="AD46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6" s="2">
        <v>5</v>
      </c>
      <c r="AF46" s="63"/>
      <c r="AG46">
        <v>84</v>
      </c>
      <c r="AH46">
        <v>819</v>
      </c>
      <c r="AI46">
        <v>3</v>
      </c>
      <c r="AJ46">
        <v>9</v>
      </c>
      <c r="AK46"/>
      <c r="AU46"/>
      <c r="BE46" s="14">
        <f>SUM(Portefeuille_MNT_PPS_Access13[[#This Row],[AC ANT]:[TR 2034]])</f>
        <v>915</v>
      </c>
    </row>
    <row r="47" spans="1:57" hidden="1" x14ac:dyDescent="0.3">
      <c r="A47">
        <v>1</v>
      </c>
      <c r="B47" t="s">
        <v>118</v>
      </c>
      <c r="C47" t="s">
        <v>102</v>
      </c>
      <c r="D47" t="s">
        <v>136</v>
      </c>
      <c r="E47" t="s">
        <v>129</v>
      </c>
      <c r="F47" t="s">
        <v>16</v>
      </c>
      <c r="G47" t="s">
        <v>130</v>
      </c>
      <c r="H47" t="s">
        <v>131</v>
      </c>
      <c r="I47" t="s">
        <v>218</v>
      </c>
      <c r="J47" t="s">
        <v>219</v>
      </c>
      <c r="K47" t="s">
        <v>152</v>
      </c>
      <c r="L47" t="s">
        <v>148</v>
      </c>
      <c r="M47" t="s">
        <v>123</v>
      </c>
      <c r="N47" s="1">
        <v>45370</v>
      </c>
      <c r="O47" s="1"/>
      <c r="P47" s="1">
        <v>45706</v>
      </c>
      <c r="Q4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4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4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-1490</v>
      </c>
      <c r="T4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1501</v>
      </c>
      <c r="U47">
        <f>Portefeuille_MNT_PPS_Access13[[#This Row],[Délais PC1 et PC3]]+Portefeuille_MNT_PPS_Access13[[#This Row],[Délais PC3 et PC5]]</f>
        <v>11</v>
      </c>
      <c r="V47">
        <v>1</v>
      </c>
      <c r="W47">
        <v>1</v>
      </c>
      <c r="Y47">
        <v>5</v>
      </c>
      <c r="Z47" t="s">
        <v>125</v>
      </c>
      <c r="AA4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47" s="12" t="e">
        <f>_xlfn.XLOOKUP(Portefeuille_MNT_PPS_Access13[[#This Row],[Numéro projet]],Tableau5[Numéro projet],Tableau5[IND_Site_Prioritaire])</f>
        <v>#N/A</v>
      </c>
      <c r="AC47" s="2" t="e">
        <f>_xlfn.XLOOKUP(Portefeuille_MNT_PPS_Access13[[#This Row],[Numéro projet]],Tableau5[Numéro projet],Tableau5[Critère Etat Infrastructure])</f>
        <v>#N/A</v>
      </c>
      <c r="AD4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47" s="2"/>
      <c r="AF47" s="63"/>
      <c r="AG47">
        <v>6</v>
      </c>
      <c r="AI47">
        <v>59</v>
      </c>
      <c r="AK47">
        <v>24</v>
      </c>
      <c r="AL47">
        <v>605</v>
      </c>
      <c r="AU47"/>
      <c r="BE47" s="14">
        <f>SUM(Portefeuille_MNT_PPS_Access13[[#This Row],[AC ANT]:[TR 2034]])</f>
        <v>694</v>
      </c>
    </row>
    <row r="48" spans="1:57" hidden="1" x14ac:dyDescent="0.3">
      <c r="B48" t="s">
        <v>118</v>
      </c>
      <c r="C48" t="s">
        <v>102</v>
      </c>
      <c r="D48" t="s">
        <v>136</v>
      </c>
      <c r="E48" t="s">
        <v>129</v>
      </c>
      <c r="F48" t="s">
        <v>16</v>
      </c>
      <c r="G48" t="s">
        <v>16</v>
      </c>
      <c r="H48" t="s">
        <v>131</v>
      </c>
      <c r="I48" t="s">
        <v>345</v>
      </c>
      <c r="J48" t="s">
        <v>346</v>
      </c>
      <c r="K48" t="s">
        <v>147</v>
      </c>
      <c r="L48" t="s">
        <v>176</v>
      </c>
      <c r="M48" t="s">
        <v>164</v>
      </c>
      <c r="N48" s="1"/>
      <c r="O48" s="1"/>
      <c r="P48" s="1"/>
      <c r="Q4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4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4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4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48">
        <f>Portefeuille_MNT_PPS_Access13[[#This Row],[Délais PC1 et PC3]]+Portefeuille_MNT_PPS_Access13[[#This Row],[Délais PC3 et PC5]]</f>
        <v>0</v>
      </c>
      <c r="V48">
        <v>1</v>
      </c>
      <c r="Z48" t="s">
        <v>165</v>
      </c>
      <c r="AA4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48" s="12" t="e">
        <f>_xlfn.XLOOKUP(Portefeuille_MNT_PPS_Access13[[#This Row],[Numéro projet]],Tableau5[Numéro projet],Tableau5[IND_Site_Prioritaire])</f>
        <v>#N/A</v>
      </c>
      <c r="AC48" s="2" t="e">
        <f>_xlfn.XLOOKUP(Portefeuille_MNT_PPS_Access13[[#This Row],[Numéro projet]],Tableau5[Numéro projet],Tableau5[Critère Etat Infrastructure])</f>
        <v>#N/A</v>
      </c>
      <c r="AD48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48" s="2">
        <v>5</v>
      </c>
      <c r="AF48" s="63"/>
      <c r="AH48">
        <v>151</v>
      </c>
      <c r="AJ48">
        <v>41</v>
      </c>
      <c r="AK48"/>
      <c r="AU48"/>
      <c r="BE48" s="14">
        <f>SUM(Portefeuille_MNT_PPS_Access13[[#This Row],[AC ANT]:[TR 2034]])</f>
        <v>192</v>
      </c>
    </row>
    <row r="49" spans="1:57" hidden="1" x14ac:dyDescent="0.3">
      <c r="B49" t="s">
        <v>101</v>
      </c>
      <c r="C49" t="s">
        <v>102</v>
      </c>
      <c r="D49" t="s">
        <v>136</v>
      </c>
      <c r="E49" t="s">
        <v>113</v>
      </c>
      <c r="F49" t="s">
        <v>16</v>
      </c>
      <c r="G49" t="s">
        <v>20</v>
      </c>
      <c r="H49" t="s">
        <v>131</v>
      </c>
      <c r="I49" t="s">
        <v>185</v>
      </c>
      <c r="J49" t="s">
        <v>186</v>
      </c>
      <c r="K49" t="s">
        <v>187</v>
      </c>
      <c r="L49" t="s">
        <v>173</v>
      </c>
      <c r="M49" t="s">
        <v>110</v>
      </c>
      <c r="N49" s="1">
        <v>44823</v>
      </c>
      <c r="O49" s="1">
        <v>46096</v>
      </c>
      <c r="P49" s="1">
        <v>46461</v>
      </c>
      <c r="Q4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4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4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42</v>
      </c>
      <c r="T4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49">
        <f>Portefeuille_MNT_PPS_Access13[[#This Row],[Délais PC1 et PC3]]+Portefeuille_MNT_PPS_Access13[[#This Row],[Délais PC3 et PC5]]</f>
        <v>54</v>
      </c>
      <c r="V49">
        <v>1</v>
      </c>
      <c r="W49">
        <v>1</v>
      </c>
      <c r="X49">
        <v>1</v>
      </c>
      <c r="Y49">
        <v>5</v>
      </c>
      <c r="Z49" t="s">
        <v>112</v>
      </c>
      <c r="AA4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49" s="12" t="e">
        <f>_xlfn.XLOOKUP(Portefeuille_MNT_PPS_Access13[[#This Row],[Numéro projet]],Tableau5[Numéro projet],Tableau5[IND_Site_Prioritaire])</f>
        <v>#N/A</v>
      </c>
      <c r="AC49" s="2" t="e">
        <f>_xlfn.XLOOKUP(Portefeuille_MNT_PPS_Access13[[#This Row],[Numéro projet]],Tableau5[Numéro projet],Tableau5[Critère Etat Infrastructure])</f>
        <v>#N/A</v>
      </c>
      <c r="AD4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49" s="2"/>
      <c r="AF49" s="63"/>
      <c r="AG49">
        <v>282</v>
      </c>
      <c r="AI49">
        <v>452</v>
      </c>
      <c r="AK49">
        <v>835</v>
      </c>
      <c r="AM49">
        <v>630</v>
      </c>
      <c r="AO49">
        <v>225</v>
      </c>
      <c r="AP49">
        <v>1806</v>
      </c>
      <c r="AQ49">
        <v>225</v>
      </c>
      <c r="AR49">
        <v>5369</v>
      </c>
      <c r="AS49">
        <v>225</v>
      </c>
      <c r="AT49">
        <v>9000</v>
      </c>
      <c r="AU49"/>
      <c r="BE49" s="14">
        <f>SUM(Portefeuille_MNT_PPS_Access13[[#This Row],[AC ANT]:[TR 2034]])</f>
        <v>19049</v>
      </c>
    </row>
    <row r="50" spans="1:57" hidden="1" x14ac:dyDescent="0.3">
      <c r="B50" t="s">
        <v>118</v>
      </c>
      <c r="C50" t="s">
        <v>102</v>
      </c>
      <c r="D50" t="s">
        <v>136</v>
      </c>
      <c r="E50" t="s">
        <v>129</v>
      </c>
      <c r="F50" t="s">
        <v>325</v>
      </c>
      <c r="G50" t="s">
        <v>16</v>
      </c>
      <c r="H50" t="s">
        <v>131</v>
      </c>
      <c r="I50" t="s">
        <v>347</v>
      </c>
      <c r="J50" t="s">
        <v>348</v>
      </c>
      <c r="K50" t="s">
        <v>214</v>
      </c>
      <c r="L50" t="s">
        <v>176</v>
      </c>
      <c r="M50" t="s">
        <v>297</v>
      </c>
      <c r="N50" s="1"/>
      <c r="O50" s="1"/>
      <c r="P50" s="1">
        <v>45037</v>
      </c>
      <c r="Q5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5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5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1479</v>
      </c>
      <c r="U50">
        <f>Portefeuille_MNT_PPS_Access13[[#This Row],[Délais PC1 et PC3]]+Portefeuille_MNT_PPS_Access13[[#This Row],[Délais PC3 et PC5]]</f>
        <v>1479</v>
      </c>
      <c r="V50">
        <v>1</v>
      </c>
      <c r="W50">
        <v>5</v>
      </c>
      <c r="Z50" t="s">
        <v>349</v>
      </c>
      <c r="AA50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0" s="12" t="e">
        <f>_xlfn.XLOOKUP(Portefeuille_MNT_PPS_Access13[[#This Row],[Numéro projet]],Tableau5[Numéro projet],Tableau5[IND_Site_Prioritaire])</f>
        <v>#N/A</v>
      </c>
      <c r="AC50" s="2" t="e">
        <f>_xlfn.XLOOKUP(Portefeuille_MNT_PPS_Access13[[#This Row],[Numéro projet]],Tableau5[Numéro projet],Tableau5[Critère Etat Infrastructure])</f>
        <v>#N/A</v>
      </c>
      <c r="AD50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50" s="2">
        <v>5</v>
      </c>
      <c r="AF50" s="63"/>
      <c r="AH50">
        <v>36</v>
      </c>
      <c r="AJ50">
        <v>4</v>
      </c>
      <c r="AK50"/>
      <c r="AU50"/>
      <c r="BE50" s="14">
        <f>SUM(Portefeuille_MNT_PPS_Access13[[#This Row],[AC ANT]:[TR 2034]])</f>
        <v>40</v>
      </c>
    </row>
    <row r="51" spans="1:57" hidden="1" x14ac:dyDescent="0.3">
      <c r="B51" t="s">
        <v>101</v>
      </c>
      <c r="C51" t="s">
        <v>102</v>
      </c>
      <c r="D51" t="s">
        <v>128</v>
      </c>
      <c r="E51" t="s">
        <v>140</v>
      </c>
      <c r="F51" t="s">
        <v>16</v>
      </c>
      <c r="G51" t="s">
        <v>16</v>
      </c>
      <c r="H51" t="s">
        <v>105</v>
      </c>
      <c r="I51" t="s">
        <v>141</v>
      </c>
      <c r="J51" t="s">
        <v>142</v>
      </c>
      <c r="K51" t="s">
        <v>143</v>
      </c>
      <c r="L51" s="2" t="s">
        <v>109</v>
      </c>
      <c r="M51" t="s">
        <v>123</v>
      </c>
      <c r="N51" s="1">
        <v>42900</v>
      </c>
      <c r="O51" s="1">
        <v>45323</v>
      </c>
      <c r="P51" s="1">
        <v>45884</v>
      </c>
      <c r="Q5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5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80</v>
      </c>
      <c r="T5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18</v>
      </c>
      <c r="U51">
        <f>Portefeuille_MNT_PPS_Access13[[#This Row],[Délais PC1 et PC3]]+Portefeuille_MNT_PPS_Access13[[#This Row],[Délais PC3 et PC5]]</f>
        <v>98</v>
      </c>
      <c r="V51">
        <v>5</v>
      </c>
      <c r="W51">
        <v>1</v>
      </c>
      <c r="X51">
        <v>5</v>
      </c>
      <c r="Y51">
        <v>5</v>
      </c>
      <c r="Z51" t="s">
        <v>125</v>
      </c>
      <c r="AA51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1" s="12" t="e">
        <f>_xlfn.XLOOKUP(Portefeuille_MNT_PPS_Access13[[#This Row],[Numéro projet]],Tableau5[Numéro projet],Tableau5[IND_Site_Prioritaire])</f>
        <v>#N/A</v>
      </c>
      <c r="AC51" s="2" t="e">
        <f>_xlfn.XLOOKUP(Portefeuille_MNT_PPS_Access13[[#This Row],[Numéro projet]],Tableau5[Numéro projet],Tableau5[Critère Etat Infrastructure])</f>
        <v>#N/A</v>
      </c>
      <c r="AD5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1" s="2"/>
      <c r="AF51" s="63"/>
      <c r="AG51">
        <v>61</v>
      </c>
      <c r="AK51"/>
      <c r="AM51">
        <v>370</v>
      </c>
      <c r="AN51">
        <v>4948</v>
      </c>
      <c r="AU51"/>
      <c r="BE51" s="14">
        <f>SUM(Portefeuille_MNT_PPS_Access13[[#This Row],[AC ANT]:[TR 2034]])</f>
        <v>5379</v>
      </c>
    </row>
    <row r="52" spans="1:57" hidden="1" x14ac:dyDescent="0.3">
      <c r="B52" t="s">
        <v>101</v>
      </c>
      <c r="C52" t="s">
        <v>102</v>
      </c>
      <c r="D52" t="s">
        <v>177</v>
      </c>
      <c r="E52" t="s">
        <v>149</v>
      </c>
      <c r="F52" t="s">
        <v>16</v>
      </c>
      <c r="G52" t="s">
        <v>16</v>
      </c>
      <c r="H52" t="s">
        <v>131</v>
      </c>
      <c r="I52" t="s">
        <v>350</v>
      </c>
      <c r="J52" t="s">
        <v>351</v>
      </c>
      <c r="K52" t="s">
        <v>152</v>
      </c>
      <c r="L52" t="s">
        <v>176</v>
      </c>
      <c r="M52" t="s">
        <v>164</v>
      </c>
      <c r="N52" s="1"/>
      <c r="O52" s="1">
        <v>44880</v>
      </c>
      <c r="P52" s="1">
        <v>44914</v>
      </c>
      <c r="Q5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5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1474</v>
      </c>
      <c r="T5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</v>
      </c>
      <c r="U52">
        <f>Portefeuille_MNT_PPS_Access13[[#This Row],[Délais PC1 et PC3]]+Portefeuille_MNT_PPS_Access13[[#This Row],[Délais PC3 et PC5]]</f>
        <v>1475</v>
      </c>
      <c r="V52">
        <v>1</v>
      </c>
      <c r="W52">
        <v>5</v>
      </c>
      <c r="X52">
        <v>5</v>
      </c>
      <c r="Z52" t="s">
        <v>165</v>
      </c>
      <c r="AA52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2" s="12" t="e">
        <f>_xlfn.XLOOKUP(Portefeuille_MNT_PPS_Access13[[#This Row],[Numéro projet]],Tableau5[Numéro projet],Tableau5[IND_Site_Prioritaire])</f>
        <v>#N/A</v>
      </c>
      <c r="AC52" s="2" t="e">
        <f>_xlfn.XLOOKUP(Portefeuille_MNT_PPS_Access13[[#This Row],[Numéro projet]],Tableau5[Numéro projet],Tableau5[Critère Etat Infrastructure])</f>
        <v>#N/A</v>
      </c>
      <c r="AD52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52" s="2">
        <v>5</v>
      </c>
      <c r="AF52" s="63"/>
      <c r="AG52">
        <v>14</v>
      </c>
      <c r="AH52">
        <v>2970</v>
      </c>
      <c r="AJ52">
        <v>25</v>
      </c>
      <c r="AK52"/>
      <c r="AU52"/>
      <c r="BE52" s="14">
        <f>SUM(Portefeuille_MNT_PPS_Access13[[#This Row],[AC ANT]:[TR 2034]])</f>
        <v>3009</v>
      </c>
    </row>
    <row r="53" spans="1:57" hidden="1" x14ac:dyDescent="0.3">
      <c r="A53">
        <v>5</v>
      </c>
      <c r="B53" t="s">
        <v>101</v>
      </c>
      <c r="C53" t="s">
        <v>102</v>
      </c>
      <c r="D53" t="s">
        <v>128</v>
      </c>
      <c r="E53" t="s">
        <v>113</v>
      </c>
      <c r="F53" t="s">
        <v>16</v>
      </c>
      <c r="G53" t="s">
        <v>130</v>
      </c>
      <c r="H53" t="s">
        <v>105</v>
      </c>
      <c r="I53" t="s">
        <v>160</v>
      </c>
      <c r="J53" t="s">
        <v>161</v>
      </c>
      <c r="K53" t="s">
        <v>122</v>
      </c>
      <c r="L53" t="s">
        <v>148</v>
      </c>
      <c r="M53" t="s">
        <v>164</v>
      </c>
      <c r="N53" s="1">
        <v>44956</v>
      </c>
      <c r="O53" s="1">
        <v>45321</v>
      </c>
      <c r="P53" s="1">
        <v>45687</v>
      </c>
      <c r="Q5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5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5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5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53">
        <f>Portefeuille_MNT_PPS_Access13[[#This Row],[Délais PC1 et PC3]]+Portefeuille_MNT_PPS_Access13[[#This Row],[Délais PC3 et PC5]]</f>
        <v>24</v>
      </c>
      <c r="V53">
        <v>1</v>
      </c>
      <c r="W53">
        <v>1</v>
      </c>
      <c r="X53">
        <v>5</v>
      </c>
      <c r="Y53">
        <v>5</v>
      </c>
      <c r="Z53" t="s">
        <v>165</v>
      </c>
      <c r="AA53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3" s="12" t="e">
        <f>_xlfn.XLOOKUP(Portefeuille_MNT_PPS_Access13[[#This Row],[Numéro projet]],Tableau5[Numéro projet],Tableau5[IND_Site_Prioritaire])</f>
        <v>#N/A</v>
      </c>
      <c r="AC53" s="2" t="e">
        <f>_xlfn.XLOOKUP(Portefeuille_MNT_PPS_Access13[[#This Row],[Numéro projet]],Tableau5[Numéro projet],Tableau5[Critère Etat Infrastructure])</f>
        <v>#N/A</v>
      </c>
      <c r="AD5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3" s="2"/>
      <c r="AF53" s="63"/>
      <c r="AG53">
        <v>6</v>
      </c>
      <c r="AI53">
        <v>19</v>
      </c>
      <c r="AK53">
        <v>320</v>
      </c>
      <c r="AL53">
        <v>4503</v>
      </c>
      <c r="AU53"/>
      <c r="BE53" s="14">
        <f>SUM(Portefeuille_MNT_PPS_Access13[[#This Row],[AC ANT]:[TR 2034]])</f>
        <v>4848</v>
      </c>
    </row>
    <row r="54" spans="1:57" hidden="1" x14ac:dyDescent="0.3">
      <c r="B54" t="s">
        <v>118</v>
      </c>
      <c r="C54" t="s">
        <v>102</v>
      </c>
      <c r="D54" t="s">
        <v>136</v>
      </c>
      <c r="E54" t="s">
        <v>340</v>
      </c>
      <c r="F54" t="s">
        <v>16</v>
      </c>
      <c r="G54" t="s">
        <v>16</v>
      </c>
      <c r="H54" t="s">
        <v>105</v>
      </c>
      <c r="I54" t="s">
        <v>352</v>
      </c>
      <c r="J54" t="s">
        <v>353</v>
      </c>
      <c r="K54" t="s">
        <v>180</v>
      </c>
      <c r="L54" t="s">
        <v>176</v>
      </c>
      <c r="M54" t="s">
        <v>164</v>
      </c>
      <c r="N54" s="1"/>
      <c r="O54" s="1">
        <v>44965</v>
      </c>
      <c r="P54" s="1">
        <v>45113</v>
      </c>
      <c r="Q5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5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1477</v>
      </c>
      <c r="T5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5</v>
      </c>
      <c r="U54">
        <f>Portefeuille_MNT_PPS_Access13[[#This Row],[Délais PC1 et PC3]]+Portefeuille_MNT_PPS_Access13[[#This Row],[Délais PC3 et PC5]]</f>
        <v>1482</v>
      </c>
      <c r="V54">
        <v>1</v>
      </c>
      <c r="W54">
        <v>5</v>
      </c>
      <c r="X54">
        <v>5</v>
      </c>
      <c r="Z54" t="s">
        <v>165</v>
      </c>
      <c r="AA54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4" s="12" t="e">
        <f>_xlfn.XLOOKUP(Portefeuille_MNT_PPS_Access13[[#This Row],[Numéro projet]],Tableau5[Numéro projet],Tableau5[IND_Site_Prioritaire])</f>
        <v>#N/A</v>
      </c>
      <c r="AC54" s="2" t="e">
        <f>_xlfn.XLOOKUP(Portefeuille_MNT_PPS_Access13[[#This Row],[Numéro projet]],Tableau5[Numéro projet],Tableau5[Critère Etat Infrastructure])</f>
        <v>#N/A</v>
      </c>
      <c r="AD54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54" s="2">
        <v>5</v>
      </c>
      <c r="AF54" s="63"/>
      <c r="AG54">
        <v>87</v>
      </c>
      <c r="AH54">
        <v>304</v>
      </c>
      <c r="AI54">
        <v>40</v>
      </c>
      <c r="AJ54">
        <v>918</v>
      </c>
      <c r="AK54"/>
      <c r="AU54"/>
      <c r="BE54" s="14">
        <f>SUM(Portefeuille_MNT_PPS_Access13[[#This Row],[AC ANT]:[TR 2034]])</f>
        <v>1349</v>
      </c>
    </row>
    <row r="55" spans="1:57" hidden="1" x14ac:dyDescent="0.3">
      <c r="B55" t="s">
        <v>101</v>
      </c>
      <c r="C55" t="s">
        <v>102</v>
      </c>
      <c r="D55" t="s">
        <v>136</v>
      </c>
      <c r="E55" t="s">
        <v>144</v>
      </c>
      <c r="F55" t="s">
        <v>16</v>
      </c>
      <c r="G55" t="s">
        <v>20</v>
      </c>
      <c r="H55" t="s">
        <v>131</v>
      </c>
      <c r="I55" t="s">
        <v>195</v>
      </c>
      <c r="J55" t="s">
        <v>196</v>
      </c>
      <c r="K55" t="s">
        <v>180</v>
      </c>
      <c r="L55" t="s">
        <v>197</v>
      </c>
      <c r="M55" t="s">
        <v>110</v>
      </c>
      <c r="N55" s="1">
        <v>44889</v>
      </c>
      <c r="O55" s="1">
        <v>46068</v>
      </c>
      <c r="P55" s="1">
        <v>46583</v>
      </c>
      <c r="Q5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5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39</v>
      </c>
      <c r="T5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17</v>
      </c>
      <c r="U55">
        <f>Portefeuille_MNT_PPS_Access13[[#This Row],[Délais PC1 et PC3]]+Portefeuille_MNT_PPS_Access13[[#This Row],[Délais PC3 et PC5]]</f>
        <v>56</v>
      </c>
      <c r="V55">
        <v>1</v>
      </c>
      <c r="W55">
        <v>1</v>
      </c>
      <c r="X55">
        <v>1</v>
      </c>
      <c r="Y55">
        <v>5</v>
      </c>
      <c r="Z55" t="s">
        <v>112</v>
      </c>
      <c r="AA5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55" s="12" t="e">
        <f>_xlfn.XLOOKUP(Portefeuille_MNT_PPS_Access13[[#This Row],[Numéro projet]],Tableau5[Numéro projet],Tableau5[IND_Site_Prioritaire])</f>
        <v>#N/A</v>
      </c>
      <c r="AC55" s="2" t="e">
        <f>_xlfn.XLOOKUP(Portefeuille_MNT_PPS_Access13[[#This Row],[Numéro projet]],Tableau5[Numéro projet],Tableau5[Critère Etat Infrastructure])</f>
        <v>#N/A</v>
      </c>
      <c r="AD5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5" s="2"/>
      <c r="AF55" s="63"/>
      <c r="AG55">
        <v>337</v>
      </c>
      <c r="AI55">
        <v>59.999999999999993</v>
      </c>
      <c r="AK55">
        <v>1657.9999999999998</v>
      </c>
      <c r="AM55">
        <v>1529</v>
      </c>
      <c r="AO55">
        <v>1529</v>
      </c>
      <c r="AQ55">
        <v>1325</v>
      </c>
      <c r="AR55">
        <v>7500</v>
      </c>
      <c r="AS55">
        <v>1200</v>
      </c>
      <c r="AT55">
        <v>9500</v>
      </c>
      <c r="AU55">
        <v>455</v>
      </c>
      <c r="AV55">
        <v>18000</v>
      </c>
      <c r="BE55" s="14">
        <f>SUM(Portefeuille_MNT_PPS_Access13[[#This Row],[AC ANT]:[TR 2034]])</f>
        <v>43093</v>
      </c>
    </row>
    <row r="56" spans="1:57" hidden="1" x14ac:dyDescent="0.3">
      <c r="B56" t="s">
        <v>118</v>
      </c>
      <c r="C56" t="s">
        <v>102</v>
      </c>
      <c r="D56" t="s">
        <v>103</v>
      </c>
      <c r="E56" t="s">
        <v>340</v>
      </c>
      <c r="F56" t="s">
        <v>16</v>
      </c>
      <c r="G56" t="s">
        <v>16</v>
      </c>
      <c r="H56" t="s">
        <v>105</v>
      </c>
      <c r="I56" t="s">
        <v>354</v>
      </c>
      <c r="J56" t="s">
        <v>355</v>
      </c>
      <c r="K56" t="s">
        <v>143</v>
      </c>
      <c r="L56" t="s">
        <v>176</v>
      </c>
      <c r="M56" t="s">
        <v>164</v>
      </c>
      <c r="N56" s="1"/>
      <c r="O56" s="1"/>
      <c r="P56" s="1"/>
      <c r="Q5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5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5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5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56">
        <f>Portefeuille_MNT_PPS_Access13[[#This Row],[Délais PC1 et PC3]]+Portefeuille_MNT_PPS_Access13[[#This Row],[Délais PC3 et PC5]]</f>
        <v>0</v>
      </c>
      <c r="V56">
        <v>1</v>
      </c>
      <c r="Z56" t="s">
        <v>165</v>
      </c>
      <c r="AA5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56" s="12" t="e">
        <f>_xlfn.XLOOKUP(Portefeuille_MNT_PPS_Access13[[#This Row],[Numéro projet]],Tableau5[Numéro projet],Tableau5[IND_Site_Prioritaire])</f>
        <v>#N/A</v>
      </c>
      <c r="AC56" s="2" t="e">
        <f>_xlfn.XLOOKUP(Portefeuille_MNT_PPS_Access13[[#This Row],[Numéro projet]],Tableau5[Numéro projet],Tableau5[Critère Etat Infrastructure])</f>
        <v>#N/A</v>
      </c>
      <c r="AD5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6" s="2"/>
      <c r="AF56" s="63"/>
      <c r="AG56">
        <v>173</v>
      </c>
      <c r="AH56">
        <v>7850</v>
      </c>
      <c r="AI56">
        <v>22</v>
      </c>
      <c r="AJ56">
        <v>173</v>
      </c>
      <c r="AK56"/>
      <c r="AU56"/>
      <c r="BE56" s="14">
        <f>SUM(Portefeuille_MNT_PPS_Access13[[#This Row],[AC ANT]:[TR 2034]])</f>
        <v>8218</v>
      </c>
    </row>
    <row r="57" spans="1:57" hidden="1" x14ac:dyDescent="0.3">
      <c r="B57" t="s">
        <v>101</v>
      </c>
      <c r="C57" t="s">
        <v>102</v>
      </c>
      <c r="D57" t="s">
        <v>103</v>
      </c>
      <c r="E57" t="s">
        <v>129</v>
      </c>
      <c r="F57" t="s">
        <v>16</v>
      </c>
      <c r="G57" t="s">
        <v>16</v>
      </c>
      <c r="H57" t="s">
        <v>105</v>
      </c>
      <c r="I57" t="s">
        <v>356</v>
      </c>
      <c r="J57" t="s">
        <v>357</v>
      </c>
      <c r="K57" t="s">
        <v>116</v>
      </c>
      <c r="L57" t="s">
        <v>176</v>
      </c>
      <c r="M57" t="s">
        <v>164</v>
      </c>
      <c r="N57" s="1"/>
      <c r="O57" s="1">
        <v>44911</v>
      </c>
      <c r="P57" s="1">
        <v>45167</v>
      </c>
      <c r="Q5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5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1475</v>
      </c>
      <c r="T5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8</v>
      </c>
      <c r="U57">
        <f>Portefeuille_MNT_PPS_Access13[[#This Row],[Délais PC1 et PC3]]+Portefeuille_MNT_PPS_Access13[[#This Row],[Délais PC3 et PC5]]</f>
        <v>1483</v>
      </c>
      <c r="V57">
        <v>5</v>
      </c>
      <c r="W57">
        <v>5</v>
      </c>
      <c r="X57">
        <v>5</v>
      </c>
      <c r="Z57" t="s">
        <v>165</v>
      </c>
      <c r="AA57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7" s="12" t="e">
        <f>_xlfn.XLOOKUP(Portefeuille_MNT_PPS_Access13[[#This Row],[Numéro projet]],Tableau5[Numéro projet],Tableau5[IND_Site_Prioritaire])</f>
        <v>#N/A</v>
      </c>
      <c r="AC57" s="2" t="e">
        <f>_xlfn.XLOOKUP(Portefeuille_MNT_PPS_Access13[[#This Row],[Numéro projet]],Tableau5[Numéro projet],Tableau5[Critère Etat Infrastructure])</f>
        <v>#N/A</v>
      </c>
      <c r="AD57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57" s="2">
        <v>5</v>
      </c>
      <c r="AF57" s="63"/>
      <c r="AG57">
        <v>16</v>
      </c>
      <c r="AI57">
        <v>14</v>
      </c>
      <c r="AJ57">
        <v>1900</v>
      </c>
      <c r="AK57"/>
      <c r="AU57"/>
      <c r="BE57" s="14">
        <f>SUM(Portefeuille_MNT_PPS_Access13[[#This Row],[AC ANT]:[TR 2034]])</f>
        <v>1930</v>
      </c>
    </row>
    <row r="58" spans="1:57" hidden="1" x14ac:dyDescent="0.3">
      <c r="B58" t="s">
        <v>126</v>
      </c>
      <c r="C58" t="s">
        <v>127</v>
      </c>
      <c r="D58" t="s">
        <v>136</v>
      </c>
      <c r="E58" t="s">
        <v>113</v>
      </c>
      <c r="F58" t="s">
        <v>16</v>
      </c>
      <c r="G58" t="s">
        <v>16</v>
      </c>
      <c r="H58" t="s">
        <v>105</v>
      </c>
      <c r="I58" t="s">
        <v>358</v>
      </c>
      <c r="J58" t="s">
        <v>359</v>
      </c>
      <c r="K58" t="s">
        <v>108</v>
      </c>
      <c r="M58" t="s">
        <v>164</v>
      </c>
      <c r="N58" s="1"/>
      <c r="O58" s="1">
        <v>42383</v>
      </c>
      <c r="P58" s="1">
        <v>43404</v>
      </c>
      <c r="Q58" s="1" t="e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#NUM!</v>
      </c>
      <c r="R58" s="1" t="e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#NUM!</v>
      </c>
      <c r="S5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1392</v>
      </c>
      <c r="T5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33</v>
      </c>
      <c r="U58">
        <f>Portefeuille_MNT_PPS_Access13[[#This Row],[Délais PC1 et PC3]]+Portefeuille_MNT_PPS_Access13[[#This Row],[Délais PC3 et PC5]]</f>
        <v>1425</v>
      </c>
      <c r="V58">
        <v>1</v>
      </c>
      <c r="W58">
        <v>5</v>
      </c>
      <c r="X58">
        <v>5</v>
      </c>
      <c r="Z58" t="s">
        <v>165</v>
      </c>
      <c r="AA5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7</v>
      </c>
      <c r="AB58" s="12" t="e">
        <f>_xlfn.XLOOKUP(Portefeuille_MNT_PPS_Access13[[#This Row],[Numéro projet]],Tableau5[Numéro projet],Tableau5[IND_Site_Prioritaire])</f>
        <v>#N/A</v>
      </c>
      <c r="AC58" s="2" t="e">
        <f>_xlfn.XLOOKUP(Portefeuille_MNT_PPS_Access13[[#This Row],[Numéro projet]],Tableau5[Numéro projet],Tableau5[Critère Etat Infrastructure])</f>
        <v>#N/A</v>
      </c>
      <c r="AD5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8" s="2"/>
      <c r="AF58" s="63"/>
      <c r="AG58">
        <v>2099</v>
      </c>
      <c r="AH58">
        <v>8991</v>
      </c>
      <c r="AI58">
        <v>122</v>
      </c>
      <c r="AK58"/>
      <c r="AU58"/>
      <c r="BE58" s="14">
        <f>SUM(Portefeuille_MNT_PPS_Access13[[#This Row],[AC ANT]:[TR 2034]])</f>
        <v>11212</v>
      </c>
    </row>
    <row r="59" spans="1:57" hidden="1" x14ac:dyDescent="0.3">
      <c r="A59">
        <v>7</v>
      </c>
      <c r="B59" t="s">
        <v>101</v>
      </c>
      <c r="C59" t="s">
        <v>102</v>
      </c>
      <c r="D59" t="s">
        <v>103</v>
      </c>
      <c r="E59" t="s">
        <v>113</v>
      </c>
      <c r="F59" t="s">
        <v>16</v>
      </c>
      <c r="G59" t="s">
        <v>20</v>
      </c>
      <c r="H59" t="s">
        <v>105</v>
      </c>
      <c r="I59" t="s">
        <v>114</v>
      </c>
      <c r="J59" t="s">
        <v>115</v>
      </c>
      <c r="K59" t="s">
        <v>116</v>
      </c>
      <c r="L59" t="s">
        <v>109</v>
      </c>
      <c r="M59" t="s">
        <v>123</v>
      </c>
      <c r="N59" s="1">
        <v>45105</v>
      </c>
      <c r="O59" s="1">
        <v>45733</v>
      </c>
      <c r="P59" s="1">
        <v>45940</v>
      </c>
      <c r="Q5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5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5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21</v>
      </c>
      <c r="T5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7</v>
      </c>
      <c r="U59">
        <f>Portefeuille_MNT_PPS_Access13[[#This Row],[Délais PC1 et PC3]]+Portefeuille_MNT_PPS_Access13[[#This Row],[Délais PC3 et PC5]]</f>
        <v>28</v>
      </c>
      <c r="V59">
        <v>1</v>
      </c>
      <c r="W59">
        <v>1</v>
      </c>
      <c r="X59">
        <v>1</v>
      </c>
      <c r="Y59">
        <v>5</v>
      </c>
      <c r="Z59" t="s">
        <v>125</v>
      </c>
      <c r="AA5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59" s="12" t="e">
        <f>_xlfn.XLOOKUP(Portefeuille_MNT_PPS_Access13[[#This Row],[Numéro projet]],Tableau5[Numéro projet],Tableau5[IND_Site_Prioritaire])</f>
        <v>#N/A</v>
      </c>
      <c r="AC59" s="2" t="e">
        <f>_xlfn.XLOOKUP(Portefeuille_MNT_PPS_Access13[[#This Row],[Numéro projet]],Tableau5[Numéro projet],Tableau5[Critère Etat Infrastructure])</f>
        <v>#N/A</v>
      </c>
      <c r="AD5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59" s="2"/>
      <c r="AF59" s="63"/>
      <c r="AG59">
        <v>25</v>
      </c>
      <c r="AI59">
        <v>13</v>
      </c>
      <c r="AK59">
        <v>48</v>
      </c>
      <c r="AM59">
        <v>520</v>
      </c>
      <c r="AN59">
        <v>19125</v>
      </c>
      <c r="AU59"/>
      <c r="BE59" s="14">
        <f>SUM(Portefeuille_MNT_PPS_Access13[[#This Row],[AC ANT]:[TR 2034]])</f>
        <v>19731</v>
      </c>
    </row>
    <row r="60" spans="1:57" hidden="1" x14ac:dyDescent="0.3">
      <c r="B60" t="s">
        <v>118</v>
      </c>
      <c r="C60" t="s">
        <v>102</v>
      </c>
      <c r="D60" t="s">
        <v>119</v>
      </c>
      <c r="E60" t="s">
        <v>206</v>
      </c>
      <c r="F60" t="s">
        <v>16</v>
      </c>
      <c r="G60" t="s">
        <v>130</v>
      </c>
      <c r="H60" t="s">
        <v>131</v>
      </c>
      <c r="I60" t="s">
        <v>207</v>
      </c>
      <c r="J60" t="s">
        <v>208</v>
      </c>
      <c r="K60" t="s">
        <v>209</v>
      </c>
      <c r="L60" t="s">
        <v>173</v>
      </c>
      <c r="M60" t="s">
        <v>155</v>
      </c>
      <c r="N60" s="1">
        <v>45976</v>
      </c>
      <c r="O60" s="1">
        <v>46096</v>
      </c>
      <c r="P60" s="1">
        <v>46310</v>
      </c>
      <c r="Q6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6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4</v>
      </c>
      <c r="T6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7</v>
      </c>
      <c r="U60">
        <f>Portefeuille_MNT_PPS_Access13[[#This Row],[Délais PC1 et PC3]]+Portefeuille_MNT_PPS_Access13[[#This Row],[Délais PC3 et PC5]]</f>
        <v>11</v>
      </c>
      <c r="V60">
        <v>1</v>
      </c>
      <c r="W60">
        <v>1</v>
      </c>
      <c r="X60">
        <v>1</v>
      </c>
      <c r="Y60">
        <v>1</v>
      </c>
      <c r="Z60" t="s">
        <v>156</v>
      </c>
      <c r="AA6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60" s="12" t="e">
        <f>_xlfn.XLOOKUP(Portefeuille_MNT_PPS_Access13[[#This Row],[Numéro projet]],Tableau5[Numéro projet],Tableau5[IND_Site_Prioritaire])</f>
        <v>#N/A</v>
      </c>
      <c r="AC60" s="2" t="e">
        <f>_xlfn.XLOOKUP(Portefeuille_MNT_PPS_Access13[[#This Row],[Numéro projet]],Tableau5[Numéro projet],Tableau5[Critère Etat Infrastructure])</f>
        <v>#N/A</v>
      </c>
      <c r="AD6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0" s="2"/>
      <c r="AF60" s="63"/>
      <c r="AG60">
        <v>196</v>
      </c>
      <c r="AK60">
        <v>40</v>
      </c>
      <c r="AM60">
        <v>255</v>
      </c>
      <c r="AO60">
        <v>396</v>
      </c>
      <c r="AP60">
        <v>1500</v>
      </c>
      <c r="AU60"/>
      <c r="BE60" s="14">
        <f>SUM(Portefeuille_MNT_PPS_Access13[[#This Row],[AC ANT]:[TR 2034]])</f>
        <v>2387</v>
      </c>
    </row>
    <row r="61" spans="1:57" x14ac:dyDescent="0.3">
      <c r="B61" t="s">
        <v>101</v>
      </c>
      <c r="C61" t="s">
        <v>102</v>
      </c>
      <c r="D61" t="s">
        <v>136</v>
      </c>
      <c r="E61" t="s">
        <v>140</v>
      </c>
      <c r="F61" t="s">
        <v>16</v>
      </c>
      <c r="G61" t="s">
        <v>16</v>
      </c>
      <c r="H61" t="s">
        <v>131</v>
      </c>
      <c r="I61" t="s">
        <v>360</v>
      </c>
      <c r="J61" t="s">
        <v>361</v>
      </c>
      <c r="K61" t="s">
        <v>134</v>
      </c>
      <c r="L61" t="s">
        <v>176</v>
      </c>
      <c r="M61" t="s">
        <v>164</v>
      </c>
      <c r="N61" s="1">
        <v>43390</v>
      </c>
      <c r="O61" s="1"/>
      <c r="P61" s="1">
        <v>44890</v>
      </c>
      <c r="Q6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6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-1425</v>
      </c>
      <c r="T6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1474</v>
      </c>
      <c r="U61">
        <f>Portefeuille_MNT_PPS_Access13[[#This Row],[Délais PC1 et PC3]]+Portefeuille_MNT_PPS_Access13[[#This Row],[Délais PC3 et PC5]]</f>
        <v>49</v>
      </c>
      <c r="V61">
        <v>5</v>
      </c>
      <c r="W61">
        <v>5</v>
      </c>
      <c r="Y61">
        <v>5</v>
      </c>
      <c r="Z61" t="s">
        <v>165</v>
      </c>
      <c r="AA61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61" s="12" t="e">
        <f>_xlfn.XLOOKUP(Portefeuille_MNT_PPS_Access13[[#This Row],[Numéro projet]],Tableau5[Numéro projet],Tableau5[IND_Site_Prioritaire])</f>
        <v>#N/A</v>
      </c>
      <c r="AC61" s="2" t="e">
        <f>_xlfn.XLOOKUP(Portefeuille_MNT_PPS_Access13[[#This Row],[Numéro projet]],Tableau5[Numéro projet],Tableau5[Critère Etat Infrastructure])</f>
        <v>#N/A</v>
      </c>
      <c r="AD61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61" s="2">
        <v>5</v>
      </c>
      <c r="AF61" s="63"/>
      <c r="AG61">
        <v>37</v>
      </c>
      <c r="AI61">
        <v>18</v>
      </c>
      <c r="AJ61">
        <v>288</v>
      </c>
      <c r="AK61"/>
      <c r="AU61"/>
      <c r="BE61" s="14">
        <f>SUM(Portefeuille_MNT_PPS_Access13[[#This Row],[AC ANT]:[TR 2034]])</f>
        <v>343</v>
      </c>
    </row>
    <row r="62" spans="1:57" hidden="1" x14ac:dyDescent="0.3">
      <c r="B62" t="s">
        <v>118</v>
      </c>
      <c r="C62" t="s">
        <v>102</v>
      </c>
      <c r="D62" t="s">
        <v>103</v>
      </c>
      <c r="E62" t="s">
        <v>206</v>
      </c>
      <c r="F62" t="s">
        <v>16</v>
      </c>
      <c r="G62" t="s">
        <v>20</v>
      </c>
      <c r="H62" t="s">
        <v>131</v>
      </c>
      <c r="I62" t="s">
        <v>210</v>
      </c>
      <c r="J62" t="s">
        <v>211</v>
      </c>
      <c r="K62" t="s">
        <v>209</v>
      </c>
      <c r="L62" t="s">
        <v>197</v>
      </c>
      <c r="M62" t="s">
        <v>155</v>
      </c>
      <c r="N62" s="1">
        <v>45945</v>
      </c>
      <c r="O62" s="1">
        <v>46310</v>
      </c>
      <c r="P62" s="1">
        <v>46675</v>
      </c>
      <c r="Q6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6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6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62">
        <f>Portefeuille_MNT_PPS_Access13[[#This Row],[Délais PC1 et PC3]]+Portefeuille_MNT_PPS_Access13[[#This Row],[Délais PC3 et PC5]]</f>
        <v>24</v>
      </c>
      <c r="V62">
        <v>1</v>
      </c>
      <c r="W62">
        <v>1</v>
      </c>
      <c r="X62">
        <v>1</v>
      </c>
      <c r="Y62">
        <v>1</v>
      </c>
      <c r="Z62" t="s">
        <v>156</v>
      </c>
      <c r="AA6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62" s="12" t="e">
        <f>_xlfn.XLOOKUP(Portefeuille_MNT_PPS_Access13[[#This Row],[Numéro projet]],Tableau5[Numéro projet],Tableau5[IND_Site_Prioritaire])</f>
        <v>#N/A</v>
      </c>
      <c r="AC62" s="2" t="e">
        <f>_xlfn.XLOOKUP(Portefeuille_MNT_PPS_Access13[[#This Row],[Numéro projet]],Tableau5[Numéro projet],Tableau5[Critère Etat Infrastructure])</f>
        <v>#N/A</v>
      </c>
      <c r="AD6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2" s="2"/>
      <c r="AF62" s="63"/>
      <c r="AG62">
        <v>8</v>
      </c>
      <c r="AK62">
        <v>100</v>
      </c>
      <c r="AM62">
        <v>100</v>
      </c>
      <c r="AO62">
        <v>100</v>
      </c>
      <c r="AQ62">
        <v>250</v>
      </c>
      <c r="AR62">
        <v>7500</v>
      </c>
      <c r="AU62"/>
      <c r="BE62" s="14">
        <f>SUM(Portefeuille_MNT_PPS_Access13[[#This Row],[AC ANT]:[TR 2034]])</f>
        <v>8058</v>
      </c>
    </row>
    <row r="63" spans="1:57" hidden="1" x14ac:dyDescent="0.3">
      <c r="B63" t="s">
        <v>101</v>
      </c>
      <c r="C63" t="s">
        <v>102</v>
      </c>
      <c r="D63" t="s">
        <v>136</v>
      </c>
      <c r="E63" t="s">
        <v>149</v>
      </c>
      <c r="F63" t="s">
        <v>16</v>
      </c>
      <c r="G63" t="s">
        <v>20</v>
      </c>
      <c r="H63" t="s">
        <v>131</v>
      </c>
      <c r="I63" t="s">
        <v>212</v>
      </c>
      <c r="J63" t="s">
        <v>213</v>
      </c>
      <c r="K63" t="s">
        <v>214</v>
      </c>
      <c r="L63" t="s">
        <v>184</v>
      </c>
      <c r="M63" t="s">
        <v>155</v>
      </c>
      <c r="N63" s="1">
        <v>45853</v>
      </c>
      <c r="O63" s="1">
        <v>46157</v>
      </c>
      <c r="P63" s="1">
        <v>46522</v>
      </c>
      <c r="Q6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6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10</v>
      </c>
      <c r="T6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63">
        <f>Portefeuille_MNT_PPS_Access13[[#This Row],[Délais PC1 et PC3]]+Portefeuille_MNT_PPS_Access13[[#This Row],[Délais PC3 et PC5]]</f>
        <v>22</v>
      </c>
      <c r="V63">
        <v>1</v>
      </c>
      <c r="W63">
        <v>1</v>
      </c>
      <c r="X63">
        <v>1</v>
      </c>
      <c r="Y63">
        <v>1</v>
      </c>
      <c r="Z63" t="s">
        <v>156</v>
      </c>
      <c r="AA6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63" s="12" t="e">
        <f>_xlfn.XLOOKUP(Portefeuille_MNT_PPS_Access13[[#This Row],[Numéro projet]],Tableau5[Numéro projet],Tableau5[IND_Site_Prioritaire])</f>
        <v>#N/A</v>
      </c>
      <c r="AC63" s="2" t="e">
        <f>_xlfn.XLOOKUP(Portefeuille_MNT_PPS_Access13[[#This Row],[Numéro projet]],Tableau5[Numéro projet],Tableau5[Critère Etat Infrastructure])</f>
        <v>#N/A</v>
      </c>
      <c r="AD6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3" s="2"/>
      <c r="AF63" s="63"/>
      <c r="AG63">
        <v>47</v>
      </c>
      <c r="AI63">
        <v>174</v>
      </c>
      <c r="AK63">
        <v>150</v>
      </c>
      <c r="AM63">
        <v>125</v>
      </c>
      <c r="AO63">
        <v>125</v>
      </c>
      <c r="AQ63">
        <v>125</v>
      </c>
      <c r="AS63">
        <v>125</v>
      </c>
      <c r="AU63">
        <v>300</v>
      </c>
      <c r="AV63">
        <v>5000</v>
      </c>
      <c r="AW63">
        <v>350</v>
      </c>
      <c r="AX63">
        <v>10000</v>
      </c>
      <c r="BE63" s="14">
        <f>SUM(Portefeuille_MNT_PPS_Access13[[#This Row],[AC ANT]:[TR 2034]])</f>
        <v>16521</v>
      </c>
    </row>
    <row r="64" spans="1:57" hidden="1" x14ac:dyDescent="0.3">
      <c r="B64" t="s">
        <v>101</v>
      </c>
      <c r="C64" t="s">
        <v>102</v>
      </c>
      <c r="D64" t="s">
        <v>103</v>
      </c>
      <c r="E64" t="s">
        <v>113</v>
      </c>
      <c r="F64" t="s">
        <v>16</v>
      </c>
      <c r="G64" t="s">
        <v>16</v>
      </c>
      <c r="H64" t="s">
        <v>105</v>
      </c>
      <c r="I64" t="s">
        <v>362</v>
      </c>
      <c r="J64" t="s">
        <v>363</v>
      </c>
      <c r="K64" t="s">
        <v>122</v>
      </c>
      <c r="L64" t="s">
        <v>176</v>
      </c>
      <c r="M64" t="s">
        <v>164</v>
      </c>
      <c r="N64" s="1">
        <v>44316</v>
      </c>
      <c r="O64" s="1">
        <v>44636</v>
      </c>
      <c r="P64" s="1">
        <v>45084</v>
      </c>
      <c r="Q6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6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11</v>
      </c>
      <c r="T6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15</v>
      </c>
      <c r="U64">
        <f>Portefeuille_MNT_PPS_Access13[[#This Row],[Délais PC1 et PC3]]+Portefeuille_MNT_PPS_Access13[[#This Row],[Délais PC3 et PC5]]</f>
        <v>26</v>
      </c>
      <c r="V64">
        <v>5</v>
      </c>
      <c r="W64">
        <v>5</v>
      </c>
      <c r="X64">
        <v>5</v>
      </c>
      <c r="Y64">
        <v>5</v>
      </c>
      <c r="Z64" t="s">
        <v>165</v>
      </c>
      <c r="AA64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64" s="12" t="e">
        <f>_xlfn.XLOOKUP(Portefeuille_MNT_PPS_Access13[[#This Row],[Numéro projet]],Tableau5[Numéro projet],Tableau5[IND_Site_Prioritaire])</f>
        <v>#N/A</v>
      </c>
      <c r="AC64" s="2" t="e">
        <f>_xlfn.XLOOKUP(Portefeuille_MNT_PPS_Access13[[#This Row],[Numéro projet]],Tableau5[Numéro projet],Tableau5[Critère Etat Infrastructure])</f>
        <v>#N/A</v>
      </c>
      <c r="AD64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64" s="2">
        <v>5</v>
      </c>
      <c r="AF64" s="63"/>
      <c r="AG64">
        <v>123</v>
      </c>
      <c r="AI64">
        <v>259</v>
      </c>
      <c r="AJ64">
        <v>10778</v>
      </c>
      <c r="AK64"/>
      <c r="AU64"/>
      <c r="BE64" s="14">
        <f>SUM(Portefeuille_MNT_PPS_Access13[[#This Row],[AC ANT]:[TR 2034]])</f>
        <v>11160</v>
      </c>
    </row>
    <row r="65" spans="1:57" hidden="1" x14ac:dyDescent="0.3">
      <c r="B65" t="s">
        <v>118</v>
      </c>
      <c r="C65" t="s">
        <v>102</v>
      </c>
      <c r="D65" t="s">
        <v>103</v>
      </c>
      <c r="E65" t="s">
        <v>149</v>
      </c>
      <c r="F65" t="s">
        <v>16</v>
      </c>
      <c r="G65" t="s">
        <v>16</v>
      </c>
      <c r="H65" t="s">
        <v>131</v>
      </c>
      <c r="I65" t="s">
        <v>192</v>
      </c>
      <c r="J65" t="s">
        <v>193</v>
      </c>
      <c r="K65" t="s">
        <v>194</v>
      </c>
      <c r="L65" t="s">
        <v>176</v>
      </c>
      <c r="M65" t="s">
        <v>164</v>
      </c>
      <c r="N65" s="1">
        <v>44547</v>
      </c>
      <c r="O65" s="1">
        <v>45091</v>
      </c>
      <c r="P65" s="1">
        <v>45375</v>
      </c>
      <c r="Q6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6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6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18</v>
      </c>
      <c r="T6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9</v>
      </c>
      <c r="U65">
        <f>Portefeuille_MNT_PPS_Access13[[#This Row],[Délais PC1 et PC3]]+Portefeuille_MNT_PPS_Access13[[#This Row],[Délais PC3 et PC5]]</f>
        <v>27</v>
      </c>
      <c r="V65">
        <v>5</v>
      </c>
      <c r="W65">
        <v>5</v>
      </c>
      <c r="X65">
        <v>5</v>
      </c>
      <c r="Y65">
        <v>5</v>
      </c>
      <c r="Z65" t="s">
        <v>165</v>
      </c>
      <c r="AA65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65" s="12" t="e">
        <f>_xlfn.XLOOKUP(Portefeuille_MNT_PPS_Access13[[#This Row],[Numéro projet]],Tableau5[Numéro projet],Tableau5[IND_Site_Prioritaire])</f>
        <v>#N/A</v>
      </c>
      <c r="AC65" s="2" t="e">
        <f>_xlfn.XLOOKUP(Portefeuille_MNT_PPS_Access13[[#This Row],[Numéro projet]],Tableau5[Numéro projet],Tableau5[Critère Etat Infrastructure])</f>
        <v>#N/A</v>
      </c>
      <c r="AD65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65" s="2">
        <v>5</v>
      </c>
      <c r="AF65" s="63"/>
      <c r="AG65">
        <v>7</v>
      </c>
      <c r="AI65">
        <v>81</v>
      </c>
      <c r="AJ65">
        <v>1350</v>
      </c>
      <c r="AK65">
        <v>185</v>
      </c>
      <c r="AL65">
        <v>4398</v>
      </c>
      <c r="AU65"/>
      <c r="BE65" s="14">
        <f>SUM(Portefeuille_MNT_PPS_Access13[[#This Row],[AC ANT]:[TR 2034]])</f>
        <v>6021</v>
      </c>
    </row>
    <row r="66" spans="1:57" hidden="1" x14ac:dyDescent="0.3">
      <c r="A66">
        <v>8</v>
      </c>
      <c r="B66" t="s">
        <v>101</v>
      </c>
      <c r="C66" t="s">
        <v>102</v>
      </c>
      <c r="D66" t="s">
        <v>103</v>
      </c>
      <c r="E66" t="s">
        <v>149</v>
      </c>
      <c r="F66" t="s">
        <v>16</v>
      </c>
      <c r="G66" t="s">
        <v>20</v>
      </c>
      <c r="H66" t="s">
        <v>105</v>
      </c>
      <c r="I66" t="s">
        <v>228</v>
      </c>
      <c r="J66" t="s">
        <v>229</v>
      </c>
      <c r="K66" t="s">
        <v>230</v>
      </c>
      <c r="L66" t="s">
        <v>148</v>
      </c>
      <c r="M66" t="s">
        <v>164</v>
      </c>
      <c r="N66" s="1">
        <v>45022</v>
      </c>
      <c r="O66" s="1">
        <v>45463</v>
      </c>
      <c r="P66" s="1">
        <v>45590</v>
      </c>
      <c r="Q6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6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</v>
      </c>
      <c r="T6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4</v>
      </c>
      <c r="U66">
        <f>Portefeuille_MNT_PPS_Access13[[#This Row],[Délais PC1 et PC3]]+Portefeuille_MNT_PPS_Access13[[#This Row],[Délais PC3 et PC5]]</f>
        <v>18</v>
      </c>
      <c r="V66">
        <v>1</v>
      </c>
      <c r="W66">
        <v>5</v>
      </c>
      <c r="X66">
        <v>5</v>
      </c>
      <c r="Y66">
        <v>5</v>
      </c>
      <c r="Z66" t="s">
        <v>165</v>
      </c>
      <c r="AA66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66" s="12" t="e">
        <f>_xlfn.XLOOKUP(Portefeuille_MNT_PPS_Access13[[#This Row],[Numéro projet]],Tableau5[Numéro projet],Tableau5[IND_Site_Prioritaire])</f>
        <v>#N/A</v>
      </c>
      <c r="AC66" s="2" t="e">
        <f>_xlfn.XLOOKUP(Portefeuille_MNT_PPS_Access13[[#This Row],[Numéro projet]],Tableau5[Numéro projet],Tableau5[Critère Etat Infrastructure])</f>
        <v>#N/A</v>
      </c>
      <c r="AD6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6" s="2"/>
      <c r="AF66" s="63"/>
      <c r="AG66">
        <v>61</v>
      </c>
      <c r="AI66">
        <v>21</v>
      </c>
      <c r="AK66">
        <v>580</v>
      </c>
      <c r="AL66">
        <v>11581</v>
      </c>
      <c r="AU66"/>
      <c r="BE66" s="14">
        <f>SUM(Portefeuille_MNT_PPS_Access13[[#This Row],[AC ANT]:[TR 2034]])</f>
        <v>12243</v>
      </c>
    </row>
    <row r="67" spans="1:57" hidden="1" x14ac:dyDescent="0.3">
      <c r="A67">
        <v>2</v>
      </c>
      <c r="B67" t="s">
        <v>126</v>
      </c>
      <c r="C67" t="s">
        <v>127</v>
      </c>
      <c r="D67" t="s">
        <v>177</v>
      </c>
      <c r="E67" t="s">
        <v>206</v>
      </c>
      <c r="F67" t="s">
        <v>16</v>
      </c>
      <c r="G67" t="s">
        <v>130</v>
      </c>
      <c r="H67" t="s">
        <v>223</v>
      </c>
      <c r="I67" t="s">
        <v>224</v>
      </c>
      <c r="J67" t="s">
        <v>520</v>
      </c>
      <c r="K67" t="s">
        <v>180</v>
      </c>
      <c r="L67" t="s">
        <v>109</v>
      </c>
      <c r="M67" t="s">
        <v>123</v>
      </c>
      <c r="N67" s="1">
        <v>44623</v>
      </c>
      <c r="O67" s="1">
        <v>45698</v>
      </c>
      <c r="P67" s="1">
        <v>46006</v>
      </c>
      <c r="Q6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6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35</v>
      </c>
      <c r="T6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10</v>
      </c>
      <c r="U67">
        <f>Portefeuille_MNT_PPS_Access13[[#This Row],[Délais PC1 et PC3]]+Portefeuille_MNT_PPS_Access13[[#This Row],[Délais PC3 et PC5]]</f>
        <v>45</v>
      </c>
      <c r="V67">
        <v>1</v>
      </c>
      <c r="W67">
        <v>1</v>
      </c>
      <c r="X67">
        <v>1</v>
      </c>
      <c r="Y67">
        <v>5</v>
      </c>
      <c r="Z67" t="s">
        <v>125</v>
      </c>
      <c r="AA6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67" s="12" t="e">
        <f>_xlfn.XLOOKUP(Portefeuille_MNT_PPS_Access13[[#This Row],[Numéro projet]],Tableau5[Numéro projet],Tableau5[IND_Site_Prioritaire])</f>
        <v>#N/A</v>
      </c>
      <c r="AC67" s="2" t="e">
        <f>_xlfn.XLOOKUP(Portefeuille_MNT_PPS_Access13[[#This Row],[Numéro projet]],Tableau5[Numéro projet],Tableau5[Critère Etat Infrastructure])</f>
        <v>#N/A</v>
      </c>
      <c r="AD6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7" s="2"/>
      <c r="AF67" s="63"/>
      <c r="AG67">
        <v>180.00000000000003</v>
      </c>
      <c r="AI67">
        <v>102</v>
      </c>
      <c r="AK67">
        <v>150</v>
      </c>
      <c r="AM67">
        <v>133</v>
      </c>
      <c r="AN67">
        <v>354.99999999999994</v>
      </c>
      <c r="AO67">
        <v>53.000000000000014</v>
      </c>
      <c r="AP67">
        <v>1610</v>
      </c>
      <c r="AQ67">
        <v>159</v>
      </c>
      <c r="AR67">
        <v>4929</v>
      </c>
      <c r="AS67">
        <v>212</v>
      </c>
      <c r="AT67">
        <v>6707.0000000000009</v>
      </c>
      <c r="AU67">
        <v>212.00000000000003</v>
      </c>
      <c r="AV67">
        <v>6846.0000000000027</v>
      </c>
      <c r="BE67" s="14">
        <f>SUM(Portefeuille_MNT_PPS_Access13[[#This Row],[AC ANT]:[TR 2034]])</f>
        <v>21648.000000000004</v>
      </c>
    </row>
    <row r="68" spans="1:57" hidden="1" x14ac:dyDescent="0.3">
      <c r="B68" t="s">
        <v>126</v>
      </c>
      <c r="C68" t="s">
        <v>127</v>
      </c>
      <c r="D68" t="s">
        <v>136</v>
      </c>
      <c r="E68" t="s">
        <v>113</v>
      </c>
      <c r="F68" t="s">
        <v>16</v>
      </c>
      <c r="G68" t="s">
        <v>20</v>
      </c>
      <c r="H68" t="s">
        <v>131</v>
      </c>
      <c r="I68" t="s">
        <v>226</v>
      </c>
      <c r="J68" t="s">
        <v>227</v>
      </c>
      <c r="K68" t="s">
        <v>139</v>
      </c>
      <c r="L68" t="s">
        <v>184</v>
      </c>
      <c r="M68" t="s">
        <v>110</v>
      </c>
      <c r="N68" s="1">
        <v>45330</v>
      </c>
      <c r="O68" s="1">
        <v>46325</v>
      </c>
      <c r="P68" s="1">
        <v>46625</v>
      </c>
      <c r="Q6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6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32</v>
      </c>
      <c r="T6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10</v>
      </c>
      <c r="U68">
        <f>Portefeuille_MNT_PPS_Access13[[#This Row],[Délais PC1 et PC3]]+Portefeuille_MNT_PPS_Access13[[#This Row],[Délais PC3 et PC5]]</f>
        <v>42</v>
      </c>
      <c r="V68">
        <v>1</v>
      </c>
      <c r="W68">
        <v>1</v>
      </c>
      <c r="X68">
        <v>1</v>
      </c>
      <c r="Y68">
        <v>5</v>
      </c>
      <c r="Z68" t="s">
        <v>112</v>
      </c>
      <c r="AA6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68" s="12" t="e">
        <f>_xlfn.XLOOKUP(Portefeuille_MNT_PPS_Access13[[#This Row],[Numéro projet]],Tableau5[Numéro projet],Tableau5[IND_Site_Prioritaire])</f>
        <v>#N/A</v>
      </c>
      <c r="AC68" s="2" t="e">
        <f>_xlfn.XLOOKUP(Portefeuille_MNT_PPS_Access13[[#This Row],[Numéro projet]],Tableau5[Numéro projet],Tableau5[Critère Etat Infrastructure])</f>
        <v>#N/A</v>
      </c>
      <c r="AD6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8" s="2"/>
      <c r="AF68" s="63"/>
      <c r="AG68">
        <v>44</v>
      </c>
      <c r="AI68">
        <v>45</v>
      </c>
      <c r="AK68">
        <v>100</v>
      </c>
      <c r="AM68">
        <v>288</v>
      </c>
      <c r="AO68">
        <v>475</v>
      </c>
      <c r="AQ68">
        <v>475</v>
      </c>
      <c r="AS68">
        <v>573</v>
      </c>
      <c r="AU68">
        <v>1000</v>
      </c>
      <c r="AV68">
        <v>4362</v>
      </c>
      <c r="AW68">
        <v>1077</v>
      </c>
      <c r="AX68">
        <v>12800</v>
      </c>
      <c r="BE68" s="14">
        <f>SUM(Portefeuille_MNT_PPS_Access13[[#This Row],[AC ANT]:[TR 2034]])</f>
        <v>21239</v>
      </c>
    </row>
    <row r="69" spans="1:57" hidden="1" x14ac:dyDescent="0.3">
      <c r="B69" t="s">
        <v>126</v>
      </c>
      <c r="C69" t="s">
        <v>127</v>
      </c>
      <c r="D69" t="s">
        <v>103</v>
      </c>
      <c r="E69" t="s">
        <v>144</v>
      </c>
      <c r="F69" t="s">
        <v>16</v>
      </c>
      <c r="G69" t="s">
        <v>16</v>
      </c>
      <c r="H69" t="s">
        <v>131</v>
      </c>
      <c r="I69" t="s">
        <v>145</v>
      </c>
      <c r="J69" t="s">
        <v>146</v>
      </c>
      <c r="K69" t="s">
        <v>147</v>
      </c>
      <c r="L69" t="s">
        <v>109</v>
      </c>
      <c r="M69" t="s">
        <v>110</v>
      </c>
      <c r="N69" s="1">
        <v>44609</v>
      </c>
      <c r="O69" s="1">
        <v>45778</v>
      </c>
      <c r="P69" s="1">
        <v>45853</v>
      </c>
      <c r="Q6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6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6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39</v>
      </c>
      <c r="T6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2</v>
      </c>
      <c r="U69">
        <f>Portefeuille_MNT_PPS_Access13[[#This Row],[Délais PC1 et PC3]]+Portefeuille_MNT_PPS_Access13[[#This Row],[Délais PC3 et PC5]]</f>
        <v>41</v>
      </c>
      <c r="V69">
        <v>5</v>
      </c>
      <c r="W69">
        <v>1</v>
      </c>
      <c r="X69">
        <v>1</v>
      </c>
      <c r="Y69">
        <v>5</v>
      </c>
      <c r="Z69" t="s">
        <v>112</v>
      </c>
      <c r="AA6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69" s="12" t="e">
        <f>_xlfn.XLOOKUP(Portefeuille_MNT_PPS_Access13[[#This Row],[Numéro projet]],Tableau5[Numéro projet],Tableau5[IND_Site_Prioritaire])</f>
        <v>#N/A</v>
      </c>
      <c r="AC69" s="2" t="e">
        <f>_xlfn.XLOOKUP(Portefeuille_MNT_PPS_Access13[[#This Row],[Numéro projet]],Tableau5[Numéro projet],Tableau5[Critère Etat Infrastructure])</f>
        <v>#N/A</v>
      </c>
      <c r="AD6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69" s="2"/>
      <c r="AF69" s="63"/>
      <c r="AG69">
        <v>117</v>
      </c>
      <c r="AI69">
        <v>159</v>
      </c>
      <c r="AK69">
        <v>105</v>
      </c>
      <c r="AM69">
        <v>342</v>
      </c>
      <c r="AN69">
        <v>9684</v>
      </c>
      <c r="AU69"/>
      <c r="BE69" s="14">
        <f>SUM(Portefeuille_MNT_PPS_Access13[[#This Row],[AC ANT]:[TR 2034]])</f>
        <v>10407</v>
      </c>
    </row>
    <row r="70" spans="1:57" hidden="1" x14ac:dyDescent="0.3">
      <c r="B70" t="s">
        <v>118</v>
      </c>
      <c r="C70" t="s">
        <v>102</v>
      </c>
      <c r="D70" t="s">
        <v>136</v>
      </c>
      <c r="F70" t="s">
        <v>130</v>
      </c>
      <c r="G70" t="s">
        <v>20</v>
      </c>
      <c r="H70" t="s">
        <v>105</v>
      </c>
      <c r="I70" t="s">
        <v>364</v>
      </c>
      <c r="J70" t="s">
        <v>365</v>
      </c>
      <c r="K70" t="s">
        <v>205</v>
      </c>
      <c r="L70" t="s">
        <v>184</v>
      </c>
      <c r="M70" t="s">
        <v>291</v>
      </c>
      <c r="N70" s="1"/>
      <c r="O70" s="1"/>
      <c r="P70" s="1"/>
      <c r="Q7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7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7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7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70">
        <f>Portefeuille_MNT_PPS_Access13[[#This Row],[Délais PC1 et PC3]]+Portefeuille_MNT_PPS_Access13[[#This Row],[Délais PC3 et PC5]]</f>
        <v>0</v>
      </c>
      <c r="V70">
        <v>1</v>
      </c>
      <c r="Z70" t="s">
        <v>311</v>
      </c>
      <c r="AA7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70" s="12" t="e">
        <f>_xlfn.XLOOKUP(Portefeuille_MNT_PPS_Access13[[#This Row],[Numéro projet]],Tableau5[Numéro projet],Tableau5[IND_Site_Prioritaire])</f>
        <v>#N/A</v>
      </c>
      <c r="AC70" s="2" t="e">
        <f>_xlfn.XLOOKUP(Portefeuille_MNT_PPS_Access13[[#This Row],[Numéro projet]],Tableau5[Numéro projet],Tableau5[Critère Etat Infrastructure])</f>
        <v>#N/A</v>
      </c>
      <c r="AD7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0" s="2"/>
      <c r="AF70" s="63"/>
      <c r="AK70"/>
      <c r="AQ70">
        <v>200</v>
      </c>
      <c r="AS70">
        <v>250</v>
      </c>
      <c r="AU70">
        <v>400</v>
      </c>
      <c r="AV70">
        <v>4500</v>
      </c>
      <c r="AW70">
        <v>400</v>
      </c>
      <c r="AX70">
        <v>14000</v>
      </c>
      <c r="BE70" s="14">
        <f>SUM(Portefeuille_MNT_PPS_Access13[[#This Row],[AC ANT]:[TR 2034]])</f>
        <v>19750</v>
      </c>
    </row>
    <row r="71" spans="1:57" hidden="1" x14ac:dyDescent="0.3">
      <c r="B71" t="s">
        <v>126</v>
      </c>
      <c r="C71" t="s">
        <v>127</v>
      </c>
      <c r="D71" t="s">
        <v>136</v>
      </c>
      <c r="E71" t="s">
        <v>144</v>
      </c>
      <c r="F71" t="s">
        <v>16</v>
      </c>
      <c r="G71" t="s">
        <v>20</v>
      </c>
      <c r="H71" t="s">
        <v>131</v>
      </c>
      <c r="I71" t="s">
        <v>231</v>
      </c>
      <c r="J71" t="s">
        <v>232</v>
      </c>
      <c r="K71" t="s">
        <v>147</v>
      </c>
      <c r="L71" t="s">
        <v>173</v>
      </c>
      <c r="M71" t="s">
        <v>110</v>
      </c>
      <c r="N71" s="1">
        <v>45099</v>
      </c>
      <c r="O71" s="1">
        <v>45945</v>
      </c>
      <c r="P71" s="1">
        <v>46371</v>
      </c>
      <c r="Q7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7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28</v>
      </c>
      <c r="T7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</v>
      </c>
      <c r="U71">
        <f>Portefeuille_MNT_PPS_Access13[[#This Row],[Délais PC1 et PC3]]+Portefeuille_MNT_PPS_Access13[[#This Row],[Délais PC3 et PC5]]</f>
        <v>42</v>
      </c>
      <c r="V71">
        <v>1</v>
      </c>
      <c r="W71">
        <v>1</v>
      </c>
      <c r="X71">
        <v>1</v>
      </c>
      <c r="Y71">
        <v>5</v>
      </c>
      <c r="Z71" t="s">
        <v>112</v>
      </c>
      <c r="AA7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71" s="12" t="e">
        <f>_xlfn.XLOOKUP(Portefeuille_MNT_PPS_Access13[[#This Row],[Numéro projet]],Tableau5[Numéro projet],Tableau5[IND_Site_Prioritaire])</f>
        <v>#N/A</v>
      </c>
      <c r="AC71" s="2" t="e">
        <f>_xlfn.XLOOKUP(Portefeuille_MNT_PPS_Access13[[#This Row],[Numéro projet]],Tableau5[Numéro projet],Tableau5[Critère Etat Infrastructure])</f>
        <v>#N/A</v>
      </c>
      <c r="AD7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1" s="2"/>
      <c r="AF71" s="63"/>
      <c r="AG71">
        <v>9</v>
      </c>
      <c r="AI71">
        <v>21</v>
      </c>
      <c r="AK71">
        <v>672</v>
      </c>
      <c r="AM71">
        <v>553</v>
      </c>
      <c r="AO71">
        <v>1175</v>
      </c>
      <c r="AP71">
        <v>6475</v>
      </c>
      <c r="AQ71">
        <v>1602</v>
      </c>
      <c r="AR71">
        <v>6677</v>
      </c>
      <c r="AU71"/>
      <c r="BE71" s="14">
        <f>SUM(Portefeuille_MNT_PPS_Access13[[#This Row],[AC ANT]:[TR 2034]])</f>
        <v>17184</v>
      </c>
    </row>
    <row r="72" spans="1:57" hidden="1" x14ac:dyDescent="0.3">
      <c r="B72" t="s">
        <v>101</v>
      </c>
      <c r="C72" t="s">
        <v>102</v>
      </c>
      <c r="D72" t="s">
        <v>136</v>
      </c>
      <c r="E72" t="s">
        <v>149</v>
      </c>
      <c r="F72" t="s">
        <v>130</v>
      </c>
      <c r="G72" t="s">
        <v>20</v>
      </c>
      <c r="H72" t="s">
        <v>105</v>
      </c>
      <c r="I72" t="s">
        <v>366</v>
      </c>
      <c r="J72" t="s">
        <v>367</v>
      </c>
      <c r="K72" t="s">
        <v>316</v>
      </c>
      <c r="L72" t="s">
        <v>184</v>
      </c>
      <c r="M72" t="s">
        <v>155</v>
      </c>
      <c r="N72" s="1">
        <v>46157</v>
      </c>
      <c r="O72" s="1">
        <v>46645</v>
      </c>
      <c r="P72" s="1">
        <v>47011</v>
      </c>
      <c r="Q7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7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16</v>
      </c>
      <c r="T7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72">
        <f>Portefeuille_MNT_PPS_Access13[[#This Row],[Délais PC1 et PC3]]+Portefeuille_MNT_PPS_Access13[[#This Row],[Délais PC3 et PC5]]</f>
        <v>28</v>
      </c>
      <c r="V72">
        <v>1</v>
      </c>
      <c r="W72">
        <v>1</v>
      </c>
      <c r="X72">
        <v>1</v>
      </c>
      <c r="Y72">
        <v>1</v>
      </c>
      <c r="Z72" t="s">
        <v>156</v>
      </c>
      <c r="AA7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72" s="12" t="e">
        <f>_xlfn.XLOOKUP(Portefeuille_MNT_PPS_Access13[[#This Row],[Numéro projet]],Tableau5[Numéro projet],Tableau5[IND_Site_Prioritaire])</f>
        <v>#N/A</v>
      </c>
      <c r="AC72" s="2" t="e">
        <f>_xlfn.XLOOKUP(Portefeuille_MNT_PPS_Access13[[#This Row],[Numéro projet]],Tableau5[Numéro projet],Tableau5[Critère Etat Infrastructure])</f>
        <v>#N/A</v>
      </c>
      <c r="AD7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2" s="2"/>
      <c r="AF72" s="63"/>
      <c r="AK72"/>
      <c r="AO72">
        <v>430</v>
      </c>
      <c r="AQ72">
        <v>600</v>
      </c>
      <c r="AS72">
        <v>670</v>
      </c>
      <c r="AU72">
        <v>600</v>
      </c>
      <c r="AV72">
        <v>5000</v>
      </c>
      <c r="AY72">
        <v>500</v>
      </c>
      <c r="AZ72">
        <v>4700</v>
      </c>
      <c r="BA72">
        <v>600</v>
      </c>
      <c r="BB72">
        <v>5000</v>
      </c>
      <c r="BC72">
        <v>600</v>
      </c>
      <c r="BD72">
        <v>5000</v>
      </c>
      <c r="BE72" s="14">
        <f>SUM(Portefeuille_MNT_PPS_Access13[[#This Row],[AC ANT]:[TR 2034]])</f>
        <v>23700</v>
      </c>
    </row>
    <row r="73" spans="1:57" hidden="1" x14ac:dyDescent="0.3">
      <c r="A73">
        <v>3</v>
      </c>
      <c r="B73" t="s">
        <v>101</v>
      </c>
      <c r="C73" t="s">
        <v>102</v>
      </c>
      <c r="D73" t="s">
        <v>103</v>
      </c>
      <c r="E73" t="s">
        <v>104</v>
      </c>
      <c r="F73" t="s">
        <v>16</v>
      </c>
      <c r="G73" t="s">
        <v>20</v>
      </c>
      <c r="H73" t="s">
        <v>105</v>
      </c>
      <c r="I73" t="s">
        <v>106</v>
      </c>
      <c r="J73" t="s">
        <v>107</v>
      </c>
      <c r="K73" t="s">
        <v>108</v>
      </c>
      <c r="L73" t="s">
        <v>109</v>
      </c>
      <c r="M73" t="s">
        <v>110</v>
      </c>
      <c r="N73" s="1">
        <v>45014</v>
      </c>
      <c r="O73" s="1">
        <v>45778</v>
      </c>
      <c r="P73" s="1">
        <v>45960</v>
      </c>
      <c r="Q7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7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26</v>
      </c>
      <c r="T7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5</v>
      </c>
      <c r="U73">
        <f>Portefeuille_MNT_PPS_Access13[[#This Row],[Délais PC1 et PC3]]+Portefeuille_MNT_PPS_Access13[[#This Row],[Délais PC3 et PC5]]</f>
        <v>31</v>
      </c>
      <c r="V73">
        <v>1</v>
      </c>
      <c r="W73">
        <v>1</v>
      </c>
      <c r="X73">
        <v>1</v>
      </c>
      <c r="Y73">
        <v>5</v>
      </c>
      <c r="Z73" t="s">
        <v>112</v>
      </c>
      <c r="AA7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73" s="12" t="e">
        <f>_xlfn.XLOOKUP(Portefeuille_MNT_PPS_Access13[[#This Row],[Numéro projet]],Tableau5[Numéro projet],Tableau5[IND_Site_Prioritaire])</f>
        <v>#N/A</v>
      </c>
      <c r="AC73" s="2" t="e">
        <f>_xlfn.XLOOKUP(Portefeuille_MNT_PPS_Access13[[#This Row],[Numéro projet]],Tableau5[Numéro projet],Tableau5[Critère Etat Infrastructure])</f>
        <v>#N/A</v>
      </c>
      <c r="AD7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3" s="2"/>
      <c r="AF73" s="63"/>
      <c r="AG73">
        <v>69</v>
      </c>
      <c r="AI73">
        <v>225</v>
      </c>
      <c r="AK73">
        <v>180</v>
      </c>
      <c r="AM73">
        <v>881</v>
      </c>
      <c r="AN73">
        <v>16557</v>
      </c>
      <c r="AU73"/>
      <c r="BE73" s="14">
        <f>SUM(Portefeuille_MNT_PPS_Access13[[#This Row],[AC ANT]:[TR 2034]])</f>
        <v>17912</v>
      </c>
    </row>
    <row r="74" spans="1:57" hidden="1" x14ac:dyDescent="0.3">
      <c r="B74" t="s">
        <v>101</v>
      </c>
      <c r="C74" t="s">
        <v>102</v>
      </c>
      <c r="D74" t="s">
        <v>136</v>
      </c>
      <c r="E74" t="s">
        <v>140</v>
      </c>
      <c r="F74" t="s">
        <v>16</v>
      </c>
      <c r="G74" t="s">
        <v>20</v>
      </c>
      <c r="H74" t="s">
        <v>131</v>
      </c>
      <c r="I74" t="s">
        <v>181</v>
      </c>
      <c r="J74" t="s">
        <v>296</v>
      </c>
      <c r="K74" t="s">
        <v>183</v>
      </c>
      <c r="L74" t="s">
        <v>173</v>
      </c>
      <c r="M74" t="s">
        <v>110</v>
      </c>
      <c r="N74" s="1">
        <v>45590</v>
      </c>
      <c r="O74" s="1">
        <v>46157</v>
      </c>
      <c r="P74" s="1">
        <v>46157</v>
      </c>
      <c r="Q7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7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19</v>
      </c>
      <c r="T7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74">
        <f>Portefeuille_MNT_PPS_Access13[[#This Row],[Délais PC1 et PC3]]+Portefeuille_MNT_PPS_Access13[[#This Row],[Délais PC3 et PC5]]</f>
        <v>19</v>
      </c>
      <c r="V74">
        <v>1</v>
      </c>
      <c r="W74">
        <v>1</v>
      </c>
      <c r="X74">
        <v>1</v>
      </c>
      <c r="Y74">
        <v>5</v>
      </c>
      <c r="Z74" t="s">
        <v>112</v>
      </c>
      <c r="AA7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74" s="12" t="e">
        <f>_xlfn.XLOOKUP(Portefeuille_MNT_PPS_Access13[[#This Row],[Numéro projet]],Tableau5[Numéro projet],Tableau5[IND_Site_Prioritaire])</f>
        <v>#N/A</v>
      </c>
      <c r="AC74" s="2" t="e">
        <f>_xlfn.XLOOKUP(Portefeuille_MNT_PPS_Access13[[#This Row],[Numéro projet]],Tableau5[Numéro projet],Tableau5[Critère Etat Infrastructure])</f>
        <v>#N/A</v>
      </c>
      <c r="AD7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4" s="2"/>
      <c r="AF74" s="62"/>
      <c r="AK74">
        <v>466</v>
      </c>
      <c r="AM74">
        <v>475</v>
      </c>
      <c r="AO74">
        <v>468</v>
      </c>
      <c r="AP74">
        <v>1461</v>
      </c>
      <c r="AU74"/>
      <c r="BE74" s="14">
        <f>SUM(Portefeuille_MNT_PPS_Access13[[#This Row],[AC ANT]:[TR 2034]])</f>
        <v>2870</v>
      </c>
    </row>
    <row r="75" spans="1:57" hidden="1" x14ac:dyDescent="0.3">
      <c r="A75">
        <v>11</v>
      </c>
      <c r="B75" t="s">
        <v>101</v>
      </c>
      <c r="C75" t="s">
        <v>102</v>
      </c>
      <c r="D75" t="s">
        <v>128</v>
      </c>
      <c r="E75" t="s">
        <v>149</v>
      </c>
      <c r="F75" t="s">
        <v>16</v>
      </c>
      <c r="G75" t="s">
        <v>20</v>
      </c>
      <c r="H75" t="s">
        <v>131</v>
      </c>
      <c r="I75" t="s">
        <v>150</v>
      </c>
      <c r="J75" t="s">
        <v>151</v>
      </c>
      <c r="K75" t="s">
        <v>152</v>
      </c>
      <c r="L75" t="s">
        <v>109</v>
      </c>
      <c r="M75" t="s">
        <v>123</v>
      </c>
      <c r="N75" s="1">
        <v>45079</v>
      </c>
      <c r="O75" s="1">
        <v>45685</v>
      </c>
      <c r="P75" s="1">
        <v>45860</v>
      </c>
      <c r="Q7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7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19</v>
      </c>
      <c r="T7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6</v>
      </c>
      <c r="U75">
        <f>Portefeuille_MNT_PPS_Access13[[#This Row],[Délais PC1 et PC3]]+Portefeuille_MNT_PPS_Access13[[#This Row],[Délais PC3 et PC5]]</f>
        <v>25</v>
      </c>
      <c r="V75">
        <v>1</v>
      </c>
      <c r="W75">
        <v>1</v>
      </c>
      <c r="X75">
        <v>1</v>
      </c>
      <c r="Y75">
        <v>5</v>
      </c>
      <c r="Z75" t="s">
        <v>125</v>
      </c>
      <c r="AA7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75" s="12" t="e">
        <f>_xlfn.XLOOKUP(Portefeuille_MNT_PPS_Access13[[#This Row],[Numéro projet]],Tableau5[Numéro projet],Tableau5[IND_Site_Prioritaire])</f>
        <v>#N/A</v>
      </c>
      <c r="AC75" s="2" t="e">
        <f>_xlfn.XLOOKUP(Portefeuille_MNT_PPS_Access13[[#This Row],[Numéro projet]],Tableau5[Numéro projet],Tableau5[Critère Etat Infrastructure])</f>
        <v>#N/A</v>
      </c>
      <c r="AD7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5" s="2"/>
      <c r="AF75" s="63"/>
      <c r="AG75">
        <v>12</v>
      </c>
      <c r="AI75">
        <v>162</v>
      </c>
      <c r="AK75">
        <v>100</v>
      </c>
      <c r="AM75">
        <v>300</v>
      </c>
      <c r="AN75">
        <v>4221</v>
      </c>
      <c r="AO75">
        <v>43</v>
      </c>
      <c r="AP75">
        <v>4139</v>
      </c>
      <c r="AU75"/>
      <c r="BE75" s="14">
        <f>SUM(Portefeuille_MNT_PPS_Access13[[#This Row],[AC ANT]:[TR 2034]])</f>
        <v>8977</v>
      </c>
    </row>
    <row r="76" spans="1:57" hidden="1" x14ac:dyDescent="0.3">
      <c r="B76" t="s">
        <v>118</v>
      </c>
      <c r="C76" t="s">
        <v>102</v>
      </c>
      <c r="D76" t="s">
        <v>188</v>
      </c>
      <c r="E76" t="s">
        <v>113</v>
      </c>
      <c r="F76" t="s">
        <v>16</v>
      </c>
      <c r="G76" t="s">
        <v>130</v>
      </c>
      <c r="H76" t="s">
        <v>131</v>
      </c>
      <c r="I76" t="s">
        <v>189</v>
      </c>
      <c r="J76" t="s">
        <v>190</v>
      </c>
      <c r="K76" t="s">
        <v>191</v>
      </c>
      <c r="L76" t="s">
        <v>173</v>
      </c>
      <c r="M76" t="s">
        <v>110</v>
      </c>
      <c r="N76" s="1">
        <v>45684</v>
      </c>
      <c r="O76" s="1">
        <v>46157</v>
      </c>
      <c r="P76" s="1">
        <v>46157</v>
      </c>
      <c r="Q7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7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16</v>
      </c>
      <c r="T7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76">
        <f>Portefeuille_MNT_PPS_Access13[[#This Row],[Délais PC1 et PC3]]+Portefeuille_MNT_PPS_Access13[[#This Row],[Délais PC3 et PC5]]</f>
        <v>16</v>
      </c>
      <c r="V76">
        <v>1</v>
      </c>
      <c r="W76">
        <v>1</v>
      </c>
      <c r="X76">
        <v>1</v>
      </c>
      <c r="Y76">
        <v>1</v>
      </c>
      <c r="Z76" t="s">
        <v>112</v>
      </c>
      <c r="AA7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76" s="12" t="e">
        <f>_xlfn.XLOOKUP(Portefeuille_MNT_PPS_Access13[[#This Row],[Numéro projet]],Tableau5[Numéro projet],Tableau5[IND_Site_Prioritaire])</f>
        <v>#N/A</v>
      </c>
      <c r="AC76" s="2" t="e">
        <f>_xlfn.XLOOKUP(Portefeuille_MNT_PPS_Access13[[#This Row],[Numéro projet]],Tableau5[Numéro projet],Tableau5[Critère Etat Infrastructure])</f>
        <v>#N/A</v>
      </c>
      <c r="AD7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6" s="2"/>
      <c r="AF76" s="63"/>
      <c r="AK76">
        <v>80</v>
      </c>
      <c r="AM76">
        <v>87</v>
      </c>
      <c r="AO76">
        <v>227</v>
      </c>
      <c r="AP76">
        <v>899</v>
      </c>
      <c r="AU76"/>
      <c r="BE76" s="14">
        <f>SUM(Portefeuille_MNT_PPS_Access13[[#This Row],[AC ANT]:[TR 2034]])</f>
        <v>1293</v>
      </c>
    </row>
    <row r="77" spans="1:57" hidden="1" x14ac:dyDescent="0.3">
      <c r="B77" t="s">
        <v>118</v>
      </c>
      <c r="C77" t="s">
        <v>102</v>
      </c>
      <c r="D77" t="s">
        <v>177</v>
      </c>
      <c r="E77" t="s">
        <v>104</v>
      </c>
      <c r="F77" t="s">
        <v>16</v>
      </c>
      <c r="G77" t="s">
        <v>16</v>
      </c>
      <c r="H77" t="s">
        <v>105</v>
      </c>
      <c r="I77" t="s">
        <v>198</v>
      </c>
      <c r="J77" t="s">
        <v>199</v>
      </c>
      <c r="K77" t="s">
        <v>108</v>
      </c>
      <c r="L77" s="2" t="s">
        <v>176</v>
      </c>
      <c r="M77" t="s">
        <v>297</v>
      </c>
      <c r="N77" s="1"/>
      <c r="O77" s="1"/>
      <c r="P77" s="1">
        <v>45176</v>
      </c>
      <c r="Q7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7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7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1484</v>
      </c>
      <c r="U77">
        <f>Portefeuille_MNT_PPS_Access13[[#This Row],[Délais PC1 et PC3]]+Portefeuille_MNT_PPS_Access13[[#This Row],[Délais PC3 et PC5]]</f>
        <v>1484</v>
      </c>
      <c r="V77">
        <v>5</v>
      </c>
      <c r="W77">
        <v>5</v>
      </c>
      <c r="Z77" t="s">
        <v>349</v>
      </c>
      <c r="AA77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77" s="12" t="e">
        <f>_xlfn.XLOOKUP(Portefeuille_MNT_PPS_Access13[[#This Row],[Numéro projet]],Tableau5[Numéro projet],Tableau5[IND_Site_Prioritaire])</f>
        <v>#N/A</v>
      </c>
      <c r="AC77" s="2" t="e">
        <f>_xlfn.XLOOKUP(Portefeuille_MNT_PPS_Access13[[#This Row],[Numéro projet]],Tableau5[Numéro projet],Tableau5[Critère Etat Infrastructure])</f>
        <v>#N/A</v>
      </c>
      <c r="AD77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77" s="2">
        <v>5</v>
      </c>
      <c r="AF77" s="63"/>
      <c r="AG77">
        <v>269</v>
      </c>
      <c r="AI77">
        <v>17</v>
      </c>
      <c r="AJ77">
        <v>5</v>
      </c>
      <c r="AK77"/>
      <c r="AU77"/>
      <c r="BE77" s="14">
        <f>SUM(Portefeuille_MNT_PPS_Access13[[#This Row],[AC ANT]:[TR 2034]])</f>
        <v>291</v>
      </c>
    </row>
    <row r="78" spans="1:57" x14ac:dyDescent="0.3">
      <c r="A78">
        <v>2</v>
      </c>
      <c r="B78" t="s">
        <v>101</v>
      </c>
      <c r="C78" t="s">
        <v>102</v>
      </c>
      <c r="D78" t="s">
        <v>103</v>
      </c>
      <c r="E78" t="s">
        <v>129</v>
      </c>
      <c r="F78" t="s">
        <v>16</v>
      </c>
      <c r="G78" t="s">
        <v>130</v>
      </c>
      <c r="H78" t="s">
        <v>131</v>
      </c>
      <c r="I78" t="s">
        <v>132</v>
      </c>
      <c r="J78" t="s">
        <v>288</v>
      </c>
      <c r="K78" t="s">
        <v>134</v>
      </c>
      <c r="L78" t="s">
        <v>109</v>
      </c>
      <c r="M78" t="s">
        <v>123</v>
      </c>
      <c r="N78" s="1">
        <v>45218</v>
      </c>
      <c r="O78" s="1">
        <v>45722</v>
      </c>
      <c r="P78" s="1">
        <v>45945</v>
      </c>
      <c r="Q7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7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7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17</v>
      </c>
      <c r="T7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7</v>
      </c>
      <c r="U78">
        <f>Portefeuille_MNT_PPS_Access13[[#This Row],[Délais PC1 et PC3]]+Portefeuille_MNT_PPS_Access13[[#This Row],[Délais PC3 et PC5]]</f>
        <v>24</v>
      </c>
      <c r="V78">
        <v>1</v>
      </c>
      <c r="W78">
        <v>1</v>
      </c>
      <c r="X78">
        <v>1</v>
      </c>
      <c r="Y78">
        <v>5</v>
      </c>
      <c r="Z78" t="s">
        <v>125</v>
      </c>
      <c r="AA7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78" s="12" t="e">
        <f>_xlfn.XLOOKUP(Portefeuille_MNT_PPS_Access13[[#This Row],[Numéro projet]],Tableau5[Numéro projet],Tableau5[IND_Site_Prioritaire])</f>
        <v>#N/A</v>
      </c>
      <c r="AC78" s="2" t="e">
        <f>_xlfn.XLOOKUP(Portefeuille_MNT_PPS_Access13[[#This Row],[Numéro projet]],Tableau5[Numéro projet],Tableau5[Critère Etat Infrastructure])</f>
        <v>#N/A</v>
      </c>
      <c r="AD7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8" s="2"/>
      <c r="AF78" s="63"/>
      <c r="AI78">
        <v>12</v>
      </c>
      <c r="AK78">
        <v>10</v>
      </c>
      <c r="AM78">
        <v>350</v>
      </c>
      <c r="AN78">
        <v>4669</v>
      </c>
      <c r="AU78"/>
      <c r="BE78" s="14">
        <f>SUM(Portefeuille_MNT_PPS_Access13[[#This Row],[AC ANT]:[TR 2034]])</f>
        <v>5041</v>
      </c>
    </row>
    <row r="79" spans="1:57" hidden="1" x14ac:dyDescent="0.3">
      <c r="B79" t="s">
        <v>101</v>
      </c>
      <c r="C79" t="s">
        <v>102</v>
      </c>
      <c r="D79" t="s">
        <v>136</v>
      </c>
      <c r="E79" t="s">
        <v>104</v>
      </c>
      <c r="F79" t="s">
        <v>20</v>
      </c>
      <c r="G79" t="s">
        <v>20</v>
      </c>
      <c r="H79" t="s">
        <v>105</v>
      </c>
      <c r="I79" t="s">
        <v>368</v>
      </c>
      <c r="J79" t="s">
        <v>369</v>
      </c>
      <c r="K79" t="s">
        <v>217</v>
      </c>
      <c r="L79" t="s">
        <v>370</v>
      </c>
      <c r="M79" t="s">
        <v>291</v>
      </c>
      <c r="N79" s="1"/>
      <c r="O79" s="1"/>
      <c r="P79" s="1"/>
      <c r="Q7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7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7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7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79">
        <f>Portefeuille_MNT_PPS_Access13[[#This Row],[Délais PC1 et PC3]]+Portefeuille_MNT_PPS_Access13[[#This Row],[Délais PC3 et PC5]]</f>
        <v>0</v>
      </c>
      <c r="V79">
        <v>1</v>
      </c>
      <c r="Z79" t="s">
        <v>311</v>
      </c>
      <c r="AA7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79" s="12" t="e">
        <f>_xlfn.XLOOKUP(Portefeuille_MNT_PPS_Access13[[#This Row],[Numéro projet]],Tableau5[Numéro projet],Tableau5[IND_Site_Prioritaire])</f>
        <v>#N/A</v>
      </c>
      <c r="AC79" s="2" t="e">
        <f>_xlfn.XLOOKUP(Portefeuille_MNT_PPS_Access13[[#This Row],[Numéro projet]],Tableau5[Numéro projet],Tableau5[Critère Etat Infrastructure])</f>
        <v>#N/A</v>
      </c>
      <c r="AD7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79" s="2"/>
      <c r="AF79" s="63"/>
      <c r="AK79"/>
      <c r="AM79">
        <v>250</v>
      </c>
      <c r="AO79">
        <v>250</v>
      </c>
      <c r="AS79">
        <v>100</v>
      </c>
      <c r="AU79">
        <v>100</v>
      </c>
      <c r="AW79">
        <v>200</v>
      </c>
      <c r="AX79">
        <v>4700</v>
      </c>
      <c r="AY79">
        <v>500</v>
      </c>
      <c r="AZ79">
        <v>3500</v>
      </c>
      <c r="BA79">
        <v>500</v>
      </c>
      <c r="BB79">
        <v>5700</v>
      </c>
      <c r="BC79">
        <v>500</v>
      </c>
      <c r="BD79">
        <v>5000</v>
      </c>
      <c r="BE79" s="14">
        <f>SUM(Portefeuille_MNT_PPS_Access13[[#This Row],[AC ANT]:[TR 2034]])</f>
        <v>21300</v>
      </c>
    </row>
    <row r="80" spans="1:57" hidden="1" x14ac:dyDescent="0.3">
      <c r="B80" t="s">
        <v>118</v>
      </c>
      <c r="C80" t="s">
        <v>102</v>
      </c>
      <c r="D80" t="s">
        <v>103</v>
      </c>
      <c r="F80" t="s">
        <v>20</v>
      </c>
      <c r="G80" t="s">
        <v>20</v>
      </c>
      <c r="H80" t="s">
        <v>131</v>
      </c>
      <c r="I80" t="s">
        <v>371</v>
      </c>
      <c r="J80" t="s">
        <v>372</v>
      </c>
      <c r="K80" t="s">
        <v>152</v>
      </c>
      <c r="L80" t="s">
        <v>184</v>
      </c>
      <c r="M80" t="s">
        <v>291</v>
      </c>
      <c r="N80" s="1"/>
      <c r="O80" s="1"/>
      <c r="P80" s="1"/>
      <c r="Q8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8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8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8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80">
        <f>Portefeuille_MNT_PPS_Access13[[#This Row],[Délais PC1 et PC3]]+Portefeuille_MNT_PPS_Access13[[#This Row],[Délais PC3 et PC5]]</f>
        <v>0</v>
      </c>
      <c r="V80">
        <v>1</v>
      </c>
      <c r="Z80" t="s">
        <v>311</v>
      </c>
      <c r="AA8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80" s="12" t="e">
        <f>_xlfn.XLOOKUP(Portefeuille_MNT_PPS_Access13[[#This Row],[Numéro projet]],Tableau5[Numéro projet],Tableau5[IND_Site_Prioritaire])</f>
        <v>#N/A</v>
      </c>
      <c r="AC80" s="2" t="e">
        <f>_xlfn.XLOOKUP(Portefeuille_MNT_PPS_Access13[[#This Row],[Numéro projet]],Tableau5[Numéro projet],Tableau5[Critère Etat Infrastructure])</f>
        <v>#N/A</v>
      </c>
      <c r="AD8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0" s="2"/>
      <c r="AF80" s="63"/>
      <c r="AK80"/>
      <c r="AQ80">
        <v>100</v>
      </c>
      <c r="AS80">
        <v>200</v>
      </c>
      <c r="AU80">
        <v>450</v>
      </c>
      <c r="AV80">
        <v>7500</v>
      </c>
      <c r="BE80" s="14">
        <f>SUM(Portefeuille_MNT_PPS_Access13[[#This Row],[AC ANT]:[TR 2034]])</f>
        <v>8250</v>
      </c>
    </row>
    <row r="81" spans="1:57" hidden="1" x14ac:dyDescent="0.3">
      <c r="B81" t="s">
        <v>101</v>
      </c>
      <c r="C81" t="s">
        <v>102</v>
      </c>
      <c r="D81" t="s">
        <v>136</v>
      </c>
      <c r="E81" t="s">
        <v>206</v>
      </c>
      <c r="F81" t="s">
        <v>130</v>
      </c>
      <c r="G81" t="s">
        <v>20</v>
      </c>
      <c r="H81" t="s">
        <v>131</v>
      </c>
      <c r="I81" t="s">
        <v>375</v>
      </c>
      <c r="J81" t="s">
        <v>376</v>
      </c>
      <c r="K81" t="s">
        <v>209</v>
      </c>
      <c r="L81" t="s">
        <v>197</v>
      </c>
      <c r="M81" t="s">
        <v>155</v>
      </c>
      <c r="N81" s="1">
        <v>46006</v>
      </c>
      <c r="O81" s="1">
        <v>46371</v>
      </c>
      <c r="P81" s="1">
        <v>46736</v>
      </c>
      <c r="Q8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8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8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8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81">
        <f>Portefeuille_MNT_PPS_Access13[[#This Row],[Délais PC1 et PC3]]+Portefeuille_MNT_PPS_Access13[[#This Row],[Délais PC3 et PC5]]</f>
        <v>24</v>
      </c>
      <c r="V81">
        <v>1</v>
      </c>
      <c r="W81">
        <v>1</v>
      </c>
      <c r="X81">
        <v>1</v>
      </c>
      <c r="Y81">
        <v>1</v>
      </c>
      <c r="Z81" t="s">
        <v>156</v>
      </c>
      <c r="AA8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81" s="12" t="e">
        <f>_xlfn.XLOOKUP(Portefeuille_MNT_PPS_Access13[[#This Row],[Numéro projet]],Tableau5[Numéro projet],Tableau5[IND_Site_Prioritaire])</f>
        <v>#N/A</v>
      </c>
      <c r="AC81" s="2" t="e">
        <f>_xlfn.XLOOKUP(Portefeuille_MNT_PPS_Access13[[#This Row],[Numéro projet]],Tableau5[Numéro projet],Tableau5[Critère Etat Infrastructure])</f>
        <v>#N/A</v>
      </c>
      <c r="AD8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1" s="2"/>
      <c r="AF81" s="62"/>
      <c r="AK81"/>
      <c r="AM81">
        <v>250</v>
      </c>
      <c r="AO81">
        <v>300</v>
      </c>
      <c r="AQ81">
        <v>500</v>
      </c>
      <c r="AR81">
        <v>4000</v>
      </c>
      <c r="AS81">
        <v>800</v>
      </c>
      <c r="AT81">
        <v>15000</v>
      </c>
      <c r="AU81"/>
      <c r="BE81" s="14">
        <f>SUM(Portefeuille_MNT_PPS_Access13[[#This Row],[AC ANT]:[TR 2034]])</f>
        <v>20850</v>
      </c>
    </row>
    <row r="82" spans="1:57" hidden="1" x14ac:dyDescent="0.3">
      <c r="A82">
        <v>6</v>
      </c>
      <c r="B82" t="s">
        <v>101</v>
      </c>
      <c r="C82" t="s">
        <v>102</v>
      </c>
      <c r="D82" t="s">
        <v>136</v>
      </c>
      <c r="E82" t="s">
        <v>149</v>
      </c>
      <c r="F82" t="s">
        <v>20</v>
      </c>
      <c r="G82" t="s">
        <v>20</v>
      </c>
      <c r="H82" t="s">
        <v>105</v>
      </c>
      <c r="I82" t="s">
        <v>203</v>
      </c>
      <c r="J82" t="s">
        <v>204</v>
      </c>
      <c r="K82" t="s">
        <v>205</v>
      </c>
      <c r="L82" t="s">
        <v>173</v>
      </c>
      <c r="M82" t="s">
        <v>155</v>
      </c>
      <c r="N82" s="1">
        <v>45828</v>
      </c>
      <c r="O82" s="1">
        <v>45976</v>
      </c>
      <c r="P82" s="1">
        <v>46295</v>
      </c>
      <c r="Q8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8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8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5</v>
      </c>
      <c r="T8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10</v>
      </c>
      <c r="U82">
        <f>Portefeuille_MNT_PPS_Access13[[#This Row],[Délais PC1 et PC3]]+Portefeuille_MNT_PPS_Access13[[#This Row],[Délais PC3 et PC5]]</f>
        <v>15</v>
      </c>
      <c r="V82">
        <v>1</v>
      </c>
      <c r="W82">
        <v>1</v>
      </c>
      <c r="X82">
        <v>1</v>
      </c>
      <c r="Y82">
        <v>1</v>
      </c>
      <c r="Z82" t="s">
        <v>156</v>
      </c>
      <c r="AA8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82" s="12" t="e">
        <f>_xlfn.XLOOKUP(Portefeuille_MNT_PPS_Access13[[#This Row],[Numéro projet]],Tableau5[Numéro projet],Tableau5[IND_Site_Prioritaire])</f>
        <v>#N/A</v>
      </c>
      <c r="AC82" s="2" t="e">
        <f>_xlfn.XLOOKUP(Portefeuille_MNT_PPS_Access13[[#This Row],[Numéro projet]],Tableau5[Numéro projet],Tableau5[Critère Etat Infrastructure])</f>
        <v>#N/A</v>
      </c>
      <c r="AD8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2" s="2"/>
      <c r="AF82" s="63"/>
      <c r="AK82">
        <v>85</v>
      </c>
      <c r="AM82">
        <v>85</v>
      </c>
      <c r="AO82">
        <v>170</v>
      </c>
      <c r="AP82">
        <v>2000</v>
      </c>
      <c r="AU82"/>
      <c r="BE82" s="14">
        <f>SUM(Portefeuille_MNT_PPS_Access13[[#This Row],[AC ANT]:[TR 2034]])</f>
        <v>2340</v>
      </c>
    </row>
    <row r="83" spans="1:57" hidden="1" x14ac:dyDescent="0.3">
      <c r="B83" t="s">
        <v>118</v>
      </c>
      <c r="C83" t="s">
        <v>102</v>
      </c>
      <c r="D83" t="s">
        <v>103</v>
      </c>
      <c r="E83" t="s">
        <v>113</v>
      </c>
      <c r="F83" t="s">
        <v>20</v>
      </c>
      <c r="G83" t="s">
        <v>20</v>
      </c>
      <c r="H83" t="s">
        <v>131</v>
      </c>
      <c r="I83" t="s">
        <v>377</v>
      </c>
      <c r="J83" t="s">
        <v>378</v>
      </c>
      <c r="K83" t="s">
        <v>191</v>
      </c>
      <c r="L83" t="s">
        <v>197</v>
      </c>
      <c r="M83" t="s">
        <v>291</v>
      </c>
      <c r="N83" s="1"/>
      <c r="O83" s="1"/>
      <c r="P83" s="1"/>
      <c r="Q8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8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8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8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83">
        <f>Portefeuille_MNT_PPS_Access13[[#This Row],[Délais PC1 et PC3]]+Portefeuille_MNT_PPS_Access13[[#This Row],[Délais PC3 et PC5]]</f>
        <v>0</v>
      </c>
      <c r="V83">
        <v>1</v>
      </c>
      <c r="Z83" t="s">
        <v>311</v>
      </c>
      <c r="AA8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83" s="12" t="e">
        <f>_xlfn.XLOOKUP(Portefeuille_MNT_PPS_Access13[[#This Row],[Numéro projet]],Tableau5[Numéro projet],Tableau5[IND_Site_Prioritaire])</f>
        <v>#N/A</v>
      </c>
      <c r="AC83" s="2" t="e">
        <f>_xlfn.XLOOKUP(Portefeuille_MNT_PPS_Access13[[#This Row],[Numéro projet]],Tableau5[Numéro projet],Tableau5[Critère Etat Infrastructure])</f>
        <v>#N/A</v>
      </c>
      <c r="AD8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3" s="2"/>
      <c r="AF83" s="63"/>
      <c r="AK83"/>
      <c r="AM83">
        <v>100</v>
      </c>
      <c r="AO83">
        <v>200</v>
      </c>
      <c r="AQ83">
        <v>495</v>
      </c>
      <c r="AR83">
        <v>8000</v>
      </c>
      <c r="AU83"/>
      <c r="BE83" s="14">
        <f>SUM(Portefeuille_MNT_PPS_Access13[[#This Row],[AC ANT]:[TR 2034]])</f>
        <v>8795</v>
      </c>
    </row>
    <row r="84" spans="1:57" x14ac:dyDescent="0.3">
      <c r="B84" t="s">
        <v>101</v>
      </c>
      <c r="C84" t="s">
        <v>102</v>
      </c>
      <c r="D84" t="s">
        <v>103</v>
      </c>
      <c r="F84" t="s">
        <v>20</v>
      </c>
      <c r="G84" t="s">
        <v>20</v>
      </c>
      <c r="H84" t="s">
        <v>131</v>
      </c>
      <c r="I84" t="s">
        <v>379</v>
      </c>
      <c r="J84" t="s">
        <v>380</v>
      </c>
      <c r="K84" t="s">
        <v>134</v>
      </c>
      <c r="L84" t="s">
        <v>392</v>
      </c>
      <c r="M84" t="s">
        <v>291</v>
      </c>
      <c r="N84" s="1"/>
      <c r="O84" s="1"/>
      <c r="P84" s="1"/>
      <c r="Q8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8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8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8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84">
        <f>Portefeuille_MNT_PPS_Access13[[#This Row],[Délais PC1 et PC3]]+Portefeuille_MNT_PPS_Access13[[#This Row],[Délais PC3 et PC5]]</f>
        <v>0</v>
      </c>
      <c r="V84">
        <v>1</v>
      </c>
      <c r="Z84" t="s">
        <v>311</v>
      </c>
      <c r="AA8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84" s="12" t="e">
        <f>_xlfn.XLOOKUP(Portefeuille_MNT_PPS_Access13[[#This Row],[Numéro projet]],Tableau5[Numéro projet],Tableau5[IND_Site_Prioritaire])</f>
        <v>#N/A</v>
      </c>
      <c r="AC84" s="2" t="e">
        <f>_xlfn.XLOOKUP(Portefeuille_MNT_PPS_Access13[[#This Row],[Numéro projet]],Tableau5[Numéro projet],Tableau5[Critère Etat Infrastructure])</f>
        <v>#N/A</v>
      </c>
      <c r="AD8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4" s="2"/>
      <c r="AF84" s="63"/>
      <c r="AK84"/>
      <c r="AU84"/>
      <c r="AY84">
        <v>150</v>
      </c>
      <c r="BA84">
        <v>250</v>
      </c>
      <c r="BB84">
        <v>5000</v>
      </c>
      <c r="BE84" s="14">
        <f>SUM(Portefeuille_MNT_PPS_Access13[[#This Row],[AC ANT]:[TR 2034]])</f>
        <v>5400</v>
      </c>
    </row>
    <row r="85" spans="1:57" hidden="1" x14ac:dyDescent="0.3">
      <c r="B85" t="s">
        <v>101</v>
      </c>
      <c r="C85" t="s">
        <v>102</v>
      </c>
      <c r="D85" t="s">
        <v>103</v>
      </c>
      <c r="F85" t="s">
        <v>20</v>
      </c>
      <c r="G85" t="s">
        <v>20</v>
      </c>
      <c r="H85" t="s">
        <v>131</v>
      </c>
      <c r="I85" t="s">
        <v>383</v>
      </c>
      <c r="J85" t="s">
        <v>384</v>
      </c>
      <c r="K85" t="s">
        <v>183</v>
      </c>
      <c r="L85" t="s">
        <v>184</v>
      </c>
      <c r="M85" t="s">
        <v>291</v>
      </c>
      <c r="N85" s="1"/>
      <c r="O85" s="1"/>
      <c r="P85" s="1"/>
      <c r="Q8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8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8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8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85">
        <f>Portefeuille_MNT_PPS_Access13[[#This Row],[Délais PC1 et PC3]]+Portefeuille_MNT_PPS_Access13[[#This Row],[Délais PC3 et PC5]]</f>
        <v>0</v>
      </c>
      <c r="V85">
        <v>1</v>
      </c>
      <c r="Z85" t="s">
        <v>311</v>
      </c>
      <c r="AA8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85" s="12" t="e">
        <f>_xlfn.XLOOKUP(Portefeuille_MNT_PPS_Access13[[#This Row],[Numéro projet]],Tableau5[Numéro projet],Tableau5[IND_Site_Prioritaire])</f>
        <v>#N/A</v>
      </c>
      <c r="AC85" s="2" t="e">
        <f>_xlfn.XLOOKUP(Portefeuille_MNT_PPS_Access13[[#This Row],[Numéro projet]],Tableau5[Numéro projet],Tableau5[Critère Etat Infrastructure])</f>
        <v>#N/A</v>
      </c>
      <c r="AD8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5" s="2"/>
      <c r="AF85" s="63"/>
      <c r="AK85"/>
      <c r="AS85">
        <v>150</v>
      </c>
      <c r="AU85">
        <v>250</v>
      </c>
      <c r="AV85">
        <v>5000</v>
      </c>
      <c r="BE85" s="14">
        <f>SUM(Portefeuille_MNT_PPS_Access13[[#This Row],[AC ANT]:[TR 2034]])</f>
        <v>5400</v>
      </c>
    </row>
    <row r="86" spans="1:57" x14ac:dyDescent="0.3">
      <c r="A86">
        <v>2</v>
      </c>
      <c r="B86" t="s">
        <v>118</v>
      </c>
      <c r="C86" t="s">
        <v>102</v>
      </c>
      <c r="D86" t="s">
        <v>242</v>
      </c>
      <c r="E86" t="s">
        <v>129</v>
      </c>
      <c r="F86" t="s">
        <v>20</v>
      </c>
      <c r="G86" t="s">
        <v>20</v>
      </c>
      <c r="H86" t="s">
        <v>131</v>
      </c>
      <c r="I86" t="s">
        <v>385</v>
      </c>
      <c r="J86" t="s">
        <v>386</v>
      </c>
      <c r="K86" t="s">
        <v>134</v>
      </c>
      <c r="L86" t="s">
        <v>197</v>
      </c>
      <c r="M86" t="s">
        <v>155</v>
      </c>
      <c r="N86" s="1">
        <v>45809</v>
      </c>
      <c r="O86" s="1">
        <v>46174</v>
      </c>
      <c r="P86" s="1">
        <v>46569</v>
      </c>
      <c r="Q8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8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8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8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13</v>
      </c>
      <c r="U86">
        <f>Portefeuille_MNT_PPS_Access13[[#This Row],[Délais PC1 et PC3]]+Portefeuille_MNT_PPS_Access13[[#This Row],[Délais PC3 et PC5]]</f>
        <v>25</v>
      </c>
      <c r="V86">
        <v>1</v>
      </c>
      <c r="W86">
        <v>1</v>
      </c>
      <c r="X86">
        <v>1</v>
      </c>
      <c r="Y86">
        <v>1</v>
      </c>
      <c r="Z86" t="s">
        <v>156</v>
      </c>
      <c r="AA8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86" s="12" t="e">
        <f>_xlfn.XLOOKUP(Portefeuille_MNT_PPS_Access13[[#This Row],[Numéro projet]],Tableau5[Numéro projet],Tableau5[IND_Site_Prioritaire])</f>
        <v>#N/A</v>
      </c>
      <c r="AC86" s="2" t="e">
        <f>_xlfn.XLOOKUP(Portefeuille_MNT_PPS_Access13[[#This Row],[Numéro projet]],Tableau5[Numéro projet],Tableau5[Critère Etat Infrastructure])</f>
        <v>#N/A</v>
      </c>
      <c r="AD8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6" s="2"/>
      <c r="AF86" s="63"/>
      <c r="AK86">
        <v>20</v>
      </c>
      <c r="AM86">
        <v>50</v>
      </c>
      <c r="AO86">
        <v>50</v>
      </c>
      <c r="AQ86">
        <v>200</v>
      </c>
      <c r="AR86">
        <v>2000</v>
      </c>
      <c r="AU86"/>
      <c r="BE86" s="14">
        <f>SUM(Portefeuille_MNT_PPS_Access13[[#This Row],[AC ANT]:[TR 2034]])</f>
        <v>2320</v>
      </c>
    </row>
    <row r="87" spans="1:57" hidden="1" x14ac:dyDescent="0.3">
      <c r="B87" t="s">
        <v>118</v>
      </c>
      <c r="C87" t="s">
        <v>102</v>
      </c>
      <c r="D87" t="s">
        <v>136</v>
      </c>
      <c r="E87" t="s">
        <v>104</v>
      </c>
      <c r="F87" t="s">
        <v>130</v>
      </c>
      <c r="G87" t="s">
        <v>20</v>
      </c>
      <c r="H87" t="s">
        <v>131</v>
      </c>
      <c r="I87" t="s">
        <v>373</v>
      </c>
      <c r="J87" t="s">
        <v>374</v>
      </c>
      <c r="K87" t="s">
        <v>159</v>
      </c>
      <c r="L87" t="s">
        <v>169</v>
      </c>
      <c r="M87" t="s">
        <v>155</v>
      </c>
      <c r="N87" s="1">
        <v>45915</v>
      </c>
      <c r="O87" s="1">
        <v>46280</v>
      </c>
      <c r="P87" s="1">
        <v>46645</v>
      </c>
      <c r="Q8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8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8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8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87">
        <f>Portefeuille_MNT_PPS_Access13[[#This Row],[Délais PC1 et PC3]]+Portefeuille_MNT_PPS_Access13[[#This Row],[Délais PC3 et PC5]]</f>
        <v>24</v>
      </c>
      <c r="V87">
        <v>1</v>
      </c>
      <c r="W87">
        <v>1</v>
      </c>
      <c r="X87">
        <v>1</v>
      </c>
      <c r="Y87">
        <v>1</v>
      </c>
      <c r="Z87" t="s">
        <v>156</v>
      </c>
      <c r="AA8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87" s="12" t="e">
        <f>_xlfn.XLOOKUP(Portefeuille_MNT_PPS_Access13[[#This Row],[Numéro projet]],Tableau5[Numéro projet],Tableau5[IND_Site_Prioritaire])</f>
        <v>#N/A</v>
      </c>
      <c r="AC87" s="2" t="e">
        <f>_xlfn.XLOOKUP(Portefeuille_MNT_PPS_Access13[[#This Row],[Numéro projet]],Tableau5[Numéro projet],Tableau5[Critère Etat Infrastructure])</f>
        <v>#N/A</v>
      </c>
      <c r="AD8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7" s="2"/>
      <c r="AF87" s="63"/>
      <c r="AK87"/>
      <c r="AM87">
        <v>50</v>
      </c>
      <c r="AO87">
        <v>50</v>
      </c>
      <c r="AQ87">
        <v>100</v>
      </c>
      <c r="AS87">
        <v>200</v>
      </c>
      <c r="AT87">
        <v>3000</v>
      </c>
      <c r="AU87"/>
      <c r="BE87" s="14">
        <f>SUM(Portefeuille_MNT_PPS_Access13[[#This Row],[AC ANT]:[TR 2034]])</f>
        <v>3400</v>
      </c>
    </row>
    <row r="88" spans="1:57" hidden="1" x14ac:dyDescent="0.3">
      <c r="A88">
        <v>10</v>
      </c>
      <c r="B88" t="s">
        <v>118</v>
      </c>
      <c r="C88" t="s">
        <v>102</v>
      </c>
      <c r="D88" t="s">
        <v>119</v>
      </c>
      <c r="E88" t="s">
        <v>113</v>
      </c>
      <c r="F88" t="s">
        <v>20</v>
      </c>
      <c r="G88" t="s">
        <v>20</v>
      </c>
      <c r="H88" t="s">
        <v>105</v>
      </c>
      <c r="I88" t="s">
        <v>120</v>
      </c>
      <c r="J88" t="s">
        <v>289</v>
      </c>
      <c r="K88" t="s">
        <v>122</v>
      </c>
      <c r="L88" t="s">
        <v>148</v>
      </c>
      <c r="M88" t="s">
        <v>297</v>
      </c>
      <c r="N88" s="1"/>
      <c r="O88" s="1"/>
      <c r="P88" s="1">
        <v>45712</v>
      </c>
      <c r="Q8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8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8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8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1501</v>
      </c>
      <c r="U88">
        <f>Portefeuille_MNT_PPS_Access13[[#This Row],[Délais PC1 et PC3]]+Portefeuille_MNT_PPS_Access13[[#This Row],[Délais PC3 et PC5]]</f>
        <v>1501</v>
      </c>
      <c r="V88">
        <v>1</v>
      </c>
      <c r="W88">
        <v>1</v>
      </c>
      <c r="Z88" t="s">
        <v>349</v>
      </c>
      <c r="AA8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6</v>
      </c>
      <c r="AB88" s="12" t="e">
        <f>_xlfn.XLOOKUP(Portefeuille_MNT_PPS_Access13[[#This Row],[Numéro projet]],Tableau5[Numéro projet],Tableau5[IND_Site_Prioritaire])</f>
        <v>#N/A</v>
      </c>
      <c r="AC88" s="2" t="e">
        <f>_xlfn.XLOOKUP(Portefeuille_MNT_PPS_Access13[[#This Row],[Numéro projet]],Tableau5[Numéro projet],Tableau5[Critère Etat Infrastructure])</f>
        <v>#N/A</v>
      </c>
      <c r="AD8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8" s="2"/>
      <c r="AF88" s="63"/>
      <c r="AK88">
        <v>20</v>
      </c>
      <c r="AL88">
        <v>895</v>
      </c>
      <c r="AU88"/>
      <c r="BE88" s="14">
        <f>SUM(Portefeuille_MNT_PPS_Access13[[#This Row],[AC ANT]:[TR 2034]])</f>
        <v>915</v>
      </c>
    </row>
    <row r="89" spans="1:57" hidden="1" x14ac:dyDescent="0.3">
      <c r="A89">
        <v>6</v>
      </c>
      <c r="B89" t="s">
        <v>118</v>
      </c>
      <c r="C89" t="s">
        <v>102</v>
      </c>
      <c r="D89" t="s">
        <v>177</v>
      </c>
      <c r="E89" t="s">
        <v>113</v>
      </c>
      <c r="F89" t="s">
        <v>130</v>
      </c>
      <c r="G89" t="s">
        <v>20</v>
      </c>
      <c r="H89" t="s">
        <v>131</v>
      </c>
      <c r="I89" t="s">
        <v>240</v>
      </c>
      <c r="J89" t="s">
        <v>241</v>
      </c>
      <c r="K89" t="s">
        <v>187</v>
      </c>
      <c r="L89" t="s">
        <v>173</v>
      </c>
      <c r="M89" t="s">
        <v>110</v>
      </c>
      <c r="N89" s="1">
        <v>45708</v>
      </c>
      <c r="O89" s="1">
        <v>46127</v>
      </c>
      <c r="P89" s="1">
        <v>46492</v>
      </c>
      <c r="Q8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8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8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</v>
      </c>
      <c r="T8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89">
        <f>Portefeuille_MNT_PPS_Access13[[#This Row],[Délais PC1 et PC3]]+Portefeuille_MNT_PPS_Access13[[#This Row],[Délais PC3 et PC5]]</f>
        <v>26</v>
      </c>
      <c r="V89">
        <v>1</v>
      </c>
      <c r="W89">
        <v>1</v>
      </c>
      <c r="X89">
        <v>1</v>
      </c>
      <c r="Y89">
        <v>1</v>
      </c>
      <c r="Z89" t="s">
        <v>112</v>
      </c>
      <c r="AA8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89" s="12" t="e">
        <f>_xlfn.XLOOKUP(Portefeuille_MNT_PPS_Access13[[#This Row],[Numéro projet]],Tableau5[Numéro projet],Tableau5[IND_Site_Prioritaire])</f>
        <v>#N/A</v>
      </c>
      <c r="AC89" s="2" t="e">
        <f>_xlfn.XLOOKUP(Portefeuille_MNT_PPS_Access13[[#This Row],[Numéro projet]],Tableau5[Numéro projet],Tableau5[Critère Etat Infrastructure])</f>
        <v>#N/A</v>
      </c>
      <c r="AD8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89" s="2"/>
      <c r="AF89" s="63"/>
      <c r="AI89">
        <v>10</v>
      </c>
      <c r="AK89">
        <v>178</v>
      </c>
      <c r="AM89">
        <v>176</v>
      </c>
      <c r="AO89">
        <v>212</v>
      </c>
      <c r="AP89">
        <v>4831</v>
      </c>
      <c r="AQ89">
        <v>141</v>
      </c>
      <c r="AR89">
        <v>3298</v>
      </c>
      <c r="AU89"/>
      <c r="BE89" s="14">
        <f>SUM(Portefeuille_MNT_PPS_Access13[[#This Row],[AC ANT]:[TR 2034]])</f>
        <v>8846</v>
      </c>
    </row>
    <row r="90" spans="1:57" hidden="1" x14ac:dyDescent="0.3">
      <c r="B90" t="s">
        <v>118</v>
      </c>
      <c r="C90" t="s">
        <v>102</v>
      </c>
      <c r="D90" t="s">
        <v>103</v>
      </c>
      <c r="E90" t="s">
        <v>129</v>
      </c>
      <c r="F90" t="s">
        <v>20</v>
      </c>
      <c r="G90" t="s">
        <v>20</v>
      </c>
      <c r="H90" t="s">
        <v>131</v>
      </c>
      <c r="I90" t="s">
        <v>403</v>
      </c>
      <c r="J90" t="s">
        <v>524</v>
      </c>
      <c r="K90" t="s">
        <v>214</v>
      </c>
      <c r="L90" t="s">
        <v>169</v>
      </c>
      <c r="M90" t="s">
        <v>291</v>
      </c>
      <c r="N90" s="1"/>
      <c r="O90" s="1"/>
      <c r="P90" s="1"/>
      <c r="Q9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9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9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9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90">
        <f>Portefeuille_MNT_PPS_Access13[[#This Row],[Délais PC1 et PC3]]+Portefeuille_MNT_PPS_Access13[[#This Row],[Délais PC3 et PC5]]</f>
        <v>0</v>
      </c>
      <c r="V90">
        <v>1</v>
      </c>
      <c r="Z90" t="s">
        <v>311</v>
      </c>
      <c r="AA9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90" s="12" t="e">
        <f>_xlfn.XLOOKUP(Portefeuille_MNT_PPS_Access13[[#This Row],[Numéro projet]],Tableau5[Numéro projet],Tableau5[IND_Site_Prioritaire])</f>
        <v>#N/A</v>
      </c>
      <c r="AC90" s="2" t="e">
        <f>_xlfn.XLOOKUP(Portefeuille_MNT_PPS_Access13[[#This Row],[Numéro projet]],Tableau5[Numéro projet],Tableau5[Critère Etat Infrastructure])</f>
        <v>#N/A</v>
      </c>
      <c r="AD9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0" s="2"/>
      <c r="AF90" s="63"/>
      <c r="AK90"/>
      <c r="AQ90">
        <v>200</v>
      </c>
      <c r="AS90">
        <v>200</v>
      </c>
      <c r="AT90">
        <v>10500</v>
      </c>
      <c r="AU90"/>
      <c r="BE90" s="14">
        <f>SUM(Portefeuille_MNT_PPS_Access13[[#This Row],[AC ANT]:[TR 2034]])</f>
        <v>10900</v>
      </c>
    </row>
    <row r="91" spans="1:57" hidden="1" x14ac:dyDescent="0.3">
      <c r="B91" t="s">
        <v>118</v>
      </c>
      <c r="C91" t="s">
        <v>102</v>
      </c>
      <c r="D91" t="s">
        <v>136</v>
      </c>
      <c r="E91" t="s">
        <v>129</v>
      </c>
      <c r="F91" t="s">
        <v>130</v>
      </c>
      <c r="G91" t="s">
        <v>20</v>
      </c>
      <c r="H91" t="s">
        <v>131</v>
      </c>
      <c r="I91" t="s">
        <v>405</v>
      </c>
      <c r="J91" t="s">
        <v>406</v>
      </c>
      <c r="K91" t="s">
        <v>152</v>
      </c>
      <c r="L91" t="s">
        <v>169</v>
      </c>
      <c r="M91" t="s">
        <v>155</v>
      </c>
      <c r="N91" s="1">
        <v>45898</v>
      </c>
      <c r="O91" s="1">
        <v>46427</v>
      </c>
      <c r="P91" s="1">
        <v>46813</v>
      </c>
      <c r="Q9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9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9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18</v>
      </c>
      <c r="T9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13</v>
      </c>
      <c r="U91">
        <f>Portefeuille_MNT_PPS_Access13[[#This Row],[Délais PC1 et PC3]]+Portefeuille_MNT_PPS_Access13[[#This Row],[Délais PC3 et PC5]]</f>
        <v>31</v>
      </c>
      <c r="V91">
        <v>1</v>
      </c>
      <c r="W91">
        <v>1</v>
      </c>
      <c r="X91">
        <v>1</v>
      </c>
      <c r="Y91">
        <v>1</v>
      </c>
      <c r="Z91" t="s">
        <v>156</v>
      </c>
      <c r="AA9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1" s="12" t="e">
        <f>_xlfn.XLOOKUP(Portefeuille_MNT_PPS_Access13[[#This Row],[Numéro projet]],Tableau5[Numéro projet],Tableau5[IND_Site_Prioritaire])</f>
        <v>#N/A</v>
      </c>
      <c r="AC91" s="2" t="e">
        <f>_xlfn.XLOOKUP(Portefeuille_MNT_PPS_Access13[[#This Row],[Numéro projet]],Tableau5[Numéro projet],Tableau5[Critère Etat Infrastructure])</f>
        <v>#N/A</v>
      </c>
      <c r="AD9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1" s="2"/>
      <c r="AF91" s="63"/>
      <c r="AK91"/>
      <c r="AM91">
        <v>150</v>
      </c>
      <c r="AO91">
        <v>200</v>
      </c>
      <c r="AQ91">
        <v>200</v>
      </c>
      <c r="AS91">
        <v>500</v>
      </c>
      <c r="AT91">
        <v>2500</v>
      </c>
      <c r="AU91">
        <v>850</v>
      </c>
      <c r="AV91">
        <v>13000</v>
      </c>
      <c r="BE91" s="14">
        <f>SUM(Portefeuille_MNT_PPS_Access13[[#This Row],[AC ANT]:[TR 2034]])</f>
        <v>17400</v>
      </c>
    </row>
    <row r="92" spans="1:57" hidden="1" x14ac:dyDescent="0.3">
      <c r="A92">
        <v>7</v>
      </c>
      <c r="B92" t="s">
        <v>118</v>
      </c>
      <c r="C92" t="s">
        <v>102</v>
      </c>
      <c r="D92" t="s">
        <v>242</v>
      </c>
      <c r="E92" t="s">
        <v>113</v>
      </c>
      <c r="F92" t="s">
        <v>20</v>
      </c>
      <c r="G92" t="s">
        <v>20</v>
      </c>
      <c r="H92" t="s">
        <v>131</v>
      </c>
      <c r="I92" t="s">
        <v>243</v>
      </c>
      <c r="J92" t="s">
        <v>244</v>
      </c>
      <c r="K92" t="s">
        <v>245</v>
      </c>
      <c r="L92" t="s">
        <v>173</v>
      </c>
      <c r="M92" t="s">
        <v>155</v>
      </c>
      <c r="N92" s="1">
        <v>45823</v>
      </c>
      <c r="O92" s="1">
        <v>45976</v>
      </c>
      <c r="P92" s="1">
        <v>46341</v>
      </c>
      <c r="Q9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9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9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5</v>
      </c>
      <c r="T9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92">
        <f>Portefeuille_MNT_PPS_Access13[[#This Row],[Délais PC1 et PC3]]+Portefeuille_MNT_PPS_Access13[[#This Row],[Délais PC3 et PC5]]</f>
        <v>17</v>
      </c>
      <c r="V92">
        <v>1</v>
      </c>
      <c r="W92">
        <v>1</v>
      </c>
      <c r="X92">
        <v>1</v>
      </c>
      <c r="Y92">
        <v>1</v>
      </c>
      <c r="Z92" t="s">
        <v>156</v>
      </c>
      <c r="AA9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2" s="12" t="e">
        <f>_xlfn.XLOOKUP(Portefeuille_MNT_PPS_Access13[[#This Row],[Numéro projet]],Tableau5[Numéro projet],Tableau5[IND_Site_Prioritaire])</f>
        <v>#N/A</v>
      </c>
      <c r="AC92" s="2" t="e">
        <f>_xlfn.XLOOKUP(Portefeuille_MNT_PPS_Access13[[#This Row],[Numéro projet]],Tableau5[Numéro projet],Tableau5[Critère Etat Infrastructure])</f>
        <v>#N/A</v>
      </c>
      <c r="AD9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2" s="2"/>
      <c r="AF92" s="63"/>
      <c r="AK92">
        <v>50</v>
      </c>
      <c r="AM92">
        <v>150</v>
      </c>
      <c r="AO92">
        <v>150</v>
      </c>
      <c r="AP92">
        <v>2000</v>
      </c>
      <c r="AU92"/>
      <c r="BE92" s="14">
        <f>SUM(Portefeuille_MNT_PPS_Access13[[#This Row],[AC ANT]:[TR 2034]])</f>
        <v>2350</v>
      </c>
    </row>
    <row r="93" spans="1:57" hidden="1" x14ac:dyDescent="0.3">
      <c r="B93" t="s">
        <v>118</v>
      </c>
      <c r="C93" t="s">
        <v>102</v>
      </c>
      <c r="D93" t="s">
        <v>242</v>
      </c>
      <c r="E93" t="s">
        <v>129</v>
      </c>
      <c r="F93" t="s">
        <v>20</v>
      </c>
      <c r="G93" t="s">
        <v>20</v>
      </c>
      <c r="H93" t="s">
        <v>131</v>
      </c>
      <c r="I93" t="s">
        <v>409</v>
      </c>
      <c r="J93" t="s">
        <v>410</v>
      </c>
      <c r="K93" t="s">
        <v>411</v>
      </c>
      <c r="L93" t="s">
        <v>169</v>
      </c>
      <c r="M93" t="s">
        <v>155</v>
      </c>
      <c r="N93" s="1">
        <v>46143</v>
      </c>
      <c r="O93" s="1">
        <v>46508</v>
      </c>
      <c r="P93" s="1">
        <v>46874</v>
      </c>
      <c r="Q9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9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9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9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93">
        <f>Portefeuille_MNT_PPS_Access13[[#This Row],[Délais PC1 et PC3]]+Portefeuille_MNT_PPS_Access13[[#This Row],[Délais PC3 et PC5]]</f>
        <v>24</v>
      </c>
      <c r="V93">
        <v>1</v>
      </c>
      <c r="W93">
        <v>1</v>
      </c>
      <c r="X93">
        <v>1</v>
      </c>
      <c r="Y93">
        <v>1</v>
      </c>
      <c r="Z93" t="s">
        <v>156</v>
      </c>
      <c r="AA9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3" s="12" t="e">
        <f>_xlfn.XLOOKUP(Portefeuille_MNT_PPS_Access13[[#This Row],[Numéro projet]],Tableau5[Numéro projet],Tableau5[IND_Site_Prioritaire])</f>
        <v>#N/A</v>
      </c>
      <c r="AC93" s="2" t="e">
        <f>_xlfn.XLOOKUP(Portefeuille_MNT_PPS_Access13[[#This Row],[Numéro projet]],Tableau5[Numéro projet],Tableau5[Critère Etat Infrastructure])</f>
        <v>#N/A</v>
      </c>
      <c r="AD9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3" s="2"/>
      <c r="AF93" s="63"/>
      <c r="AK93"/>
      <c r="AO93">
        <v>150</v>
      </c>
      <c r="AQ93">
        <v>150</v>
      </c>
      <c r="AS93">
        <v>250</v>
      </c>
      <c r="AT93">
        <v>2000</v>
      </c>
      <c r="AU93"/>
      <c r="BE93" s="14">
        <f>SUM(Portefeuille_MNT_PPS_Access13[[#This Row],[AC ANT]:[TR 2034]])</f>
        <v>2550</v>
      </c>
    </row>
    <row r="94" spans="1:57" hidden="1" x14ac:dyDescent="0.3">
      <c r="B94" t="s">
        <v>118</v>
      </c>
      <c r="C94" t="s">
        <v>102</v>
      </c>
      <c r="D94" t="s">
        <v>242</v>
      </c>
      <c r="E94" t="s">
        <v>129</v>
      </c>
      <c r="F94" t="s">
        <v>20</v>
      </c>
      <c r="G94" t="s">
        <v>20</v>
      </c>
      <c r="H94" t="s">
        <v>131</v>
      </c>
      <c r="I94" t="s">
        <v>412</v>
      </c>
      <c r="J94" t="s">
        <v>413</v>
      </c>
      <c r="K94" t="s">
        <v>414</v>
      </c>
      <c r="L94" t="s">
        <v>184</v>
      </c>
      <c r="M94" t="s">
        <v>291</v>
      </c>
      <c r="N94" s="1"/>
      <c r="O94" s="1"/>
      <c r="P94" s="1"/>
      <c r="Q9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9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9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9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94">
        <f>Portefeuille_MNT_PPS_Access13[[#This Row],[Délais PC1 et PC3]]+Portefeuille_MNT_PPS_Access13[[#This Row],[Délais PC3 et PC5]]</f>
        <v>0</v>
      </c>
      <c r="V94">
        <v>1</v>
      </c>
      <c r="Z94" t="s">
        <v>311</v>
      </c>
      <c r="AA9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94" s="12" t="e">
        <f>_xlfn.XLOOKUP(Portefeuille_MNT_PPS_Access13[[#This Row],[Numéro projet]],Tableau5[Numéro projet],Tableau5[IND_Site_Prioritaire])</f>
        <v>#N/A</v>
      </c>
      <c r="AC94" s="2" t="e">
        <f>_xlfn.XLOOKUP(Portefeuille_MNT_PPS_Access13[[#This Row],[Numéro projet]],Tableau5[Numéro projet],Tableau5[Critère Etat Infrastructure])</f>
        <v>#N/A</v>
      </c>
      <c r="AD9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4" s="2"/>
      <c r="AF94" s="63"/>
      <c r="AK94"/>
      <c r="AQ94">
        <v>150</v>
      </c>
      <c r="AS94">
        <v>150</v>
      </c>
      <c r="AU94">
        <v>250</v>
      </c>
      <c r="AV94">
        <v>2000</v>
      </c>
      <c r="BE94" s="14">
        <f>SUM(Portefeuille_MNT_PPS_Access13[[#This Row],[AC ANT]:[TR 2034]])</f>
        <v>2550</v>
      </c>
    </row>
    <row r="95" spans="1:57" hidden="1" x14ac:dyDescent="0.3">
      <c r="B95" t="s">
        <v>126</v>
      </c>
      <c r="C95" t="s">
        <v>127</v>
      </c>
      <c r="D95" t="s">
        <v>103</v>
      </c>
      <c r="E95" t="s">
        <v>104</v>
      </c>
      <c r="F95" t="s">
        <v>16</v>
      </c>
      <c r="G95" t="s">
        <v>130</v>
      </c>
      <c r="H95" t="s">
        <v>131</v>
      </c>
      <c r="I95" t="s">
        <v>220</v>
      </c>
      <c r="J95" t="s">
        <v>221</v>
      </c>
      <c r="K95" t="s">
        <v>159</v>
      </c>
      <c r="L95" t="s">
        <v>173</v>
      </c>
      <c r="M95" t="s">
        <v>155</v>
      </c>
      <c r="N95" s="1">
        <v>45807</v>
      </c>
      <c r="O95" s="1">
        <v>46164</v>
      </c>
      <c r="P95" s="1">
        <v>46402</v>
      </c>
      <c r="Q9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9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9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9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8</v>
      </c>
      <c r="U95">
        <f>Portefeuille_MNT_PPS_Access13[[#This Row],[Délais PC1 et PC3]]+Portefeuille_MNT_PPS_Access13[[#This Row],[Délais PC3 et PC5]]</f>
        <v>20</v>
      </c>
      <c r="V95">
        <v>1</v>
      </c>
      <c r="W95">
        <v>1</v>
      </c>
      <c r="X95">
        <v>1</v>
      </c>
      <c r="Y95">
        <v>1</v>
      </c>
      <c r="Z95" t="s">
        <v>156</v>
      </c>
      <c r="AA9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5" s="12" t="e">
        <f>_xlfn.XLOOKUP(Portefeuille_MNT_PPS_Access13[[#This Row],[Numéro projet]],Tableau5[Numéro projet],Tableau5[IND_Site_Prioritaire])</f>
        <v>#N/A</v>
      </c>
      <c r="AC95" s="2" t="e">
        <f>_xlfn.XLOOKUP(Portefeuille_MNT_PPS_Access13[[#This Row],[Numéro projet]],Tableau5[Numéro projet],Tableau5[Critère Etat Infrastructure])</f>
        <v>#N/A</v>
      </c>
      <c r="AD9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5" s="2"/>
      <c r="AF95" s="63"/>
      <c r="AK95">
        <v>130</v>
      </c>
      <c r="AM95">
        <v>125</v>
      </c>
      <c r="AO95">
        <v>100</v>
      </c>
      <c r="AP95">
        <v>12180</v>
      </c>
      <c r="AQ95">
        <v>70</v>
      </c>
      <c r="AR95">
        <v>7570</v>
      </c>
      <c r="AS95">
        <v>55</v>
      </c>
      <c r="AT95">
        <v>10250</v>
      </c>
      <c r="AU95"/>
      <c r="BE95" s="14">
        <f>SUM(Portefeuille_MNT_PPS_Access13[[#This Row],[AC ANT]:[TR 2034]])</f>
        <v>30480</v>
      </c>
    </row>
    <row r="96" spans="1:57" hidden="1" x14ac:dyDescent="0.3">
      <c r="B96" t="s">
        <v>118</v>
      </c>
      <c r="C96" t="s">
        <v>102</v>
      </c>
      <c r="D96" t="s">
        <v>242</v>
      </c>
      <c r="E96" t="s">
        <v>129</v>
      </c>
      <c r="F96" t="s">
        <v>20</v>
      </c>
      <c r="G96" t="s">
        <v>20</v>
      </c>
      <c r="H96" t="s">
        <v>131</v>
      </c>
      <c r="I96" t="s">
        <v>415</v>
      </c>
      <c r="J96" t="s">
        <v>416</v>
      </c>
      <c r="K96" t="s">
        <v>417</v>
      </c>
      <c r="L96" t="s">
        <v>169</v>
      </c>
      <c r="M96" t="s">
        <v>155</v>
      </c>
      <c r="N96" s="1">
        <v>46143</v>
      </c>
      <c r="O96" s="1">
        <v>46508</v>
      </c>
      <c r="P96" s="1">
        <v>46874</v>
      </c>
      <c r="Q9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9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9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9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96">
        <f>Portefeuille_MNT_PPS_Access13[[#This Row],[Délais PC1 et PC3]]+Portefeuille_MNT_PPS_Access13[[#This Row],[Délais PC3 et PC5]]</f>
        <v>24</v>
      </c>
      <c r="V96">
        <v>1</v>
      </c>
      <c r="W96">
        <v>1</v>
      </c>
      <c r="X96">
        <v>1</v>
      </c>
      <c r="Y96">
        <v>1</v>
      </c>
      <c r="Z96" t="s">
        <v>156</v>
      </c>
      <c r="AA9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6" s="12" t="e">
        <f>_xlfn.XLOOKUP(Portefeuille_MNT_PPS_Access13[[#This Row],[Numéro projet]],Tableau5[Numéro projet],Tableau5[IND_Site_Prioritaire])</f>
        <v>#N/A</v>
      </c>
      <c r="AC96" s="2" t="e">
        <f>_xlfn.XLOOKUP(Portefeuille_MNT_PPS_Access13[[#This Row],[Numéro projet]],Tableau5[Numéro projet],Tableau5[Critère Etat Infrastructure])</f>
        <v>#N/A</v>
      </c>
      <c r="AD9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6" s="2"/>
      <c r="AF96" s="63"/>
      <c r="AK96"/>
      <c r="AO96">
        <v>150</v>
      </c>
      <c r="AQ96">
        <v>150</v>
      </c>
      <c r="AS96">
        <v>250</v>
      </c>
      <c r="AT96">
        <v>2000</v>
      </c>
      <c r="AU96"/>
      <c r="BE96" s="14">
        <f>SUM(Portefeuille_MNT_PPS_Access13[[#This Row],[AC ANT]:[TR 2034]])</f>
        <v>2550</v>
      </c>
    </row>
    <row r="97" spans="1:57" hidden="1" x14ac:dyDescent="0.3">
      <c r="A97">
        <v>3</v>
      </c>
      <c r="B97" t="s">
        <v>126</v>
      </c>
      <c r="C97" t="s">
        <v>127</v>
      </c>
      <c r="D97" t="s">
        <v>103</v>
      </c>
      <c r="E97" t="s">
        <v>149</v>
      </c>
      <c r="F97" t="s">
        <v>20</v>
      </c>
      <c r="G97" t="s">
        <v>20</v>
      </c>
      <c r="H97" t="s">
        <v>131</v>
      </c>
      <c r="I97" t="s">
        <v>233</v>
      </c>
      <c r="J97" t="s">
        <v>234</v>
      </c>
      <c r="K97" t="s">
        <v>152</v>
      </c>
      <c r="L97" t="s">
        <v>173</v>
      </c>
      <c r="M97" t="s">
        <v>155</v>
      </c>
      <c r="N97" s="1">
        <v>45823</v>
      </c>
      <c r="O97" s="1">
        <v>46310</v>
      </c>
      <c r="P97" s="1">
        <v>46675</v>
      </c>
      <c r="Q9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9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1.Très à risque</v>
      </c>
      <c r="S9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16</v>
      </c>
      <c r="T9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97">
        <f>Portefeuille_MNT_PPS_Access13[[#This Row],[Délais PC1 et PC3]]+Portefeuille_MNT_PPS_Access13[[#This Row],[Délais PC3 et PC5]]</f>
        <v>28</v>
      </c>
      <c r="V97">
        <v>1</v>
      </c>
      <c r="W97">
        <v>1</v>
      </c>
      <c r="X97">
        <v>1</v>
      </c>
      <c r="Y97">
        <v>1</v>
      </c>
      <c r="Z97" t="s">
        <v>156</v>
      </c>
      <c r="AA9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97" s="12" t="e">
        <f>_xlfn.XLOOKUP(Portefeuille_MNT_PPS_Access13[[#This Row],[Numéro projet]],Tableau5[Numéro projet],Tableau5[IND_Site_Prioritaire])</f>
        <v>#N/A</v>
      </c>
      <c r="AC97" s="2" t="e">
        <f>_xlfn.XLOOKUP(Portefeuille_MNT_PPS_Access13[[#This Row],[Numéro projet]],Tableau5[Numéro projet],Tableau5[Critère Etat Infrastructure])</f>
        <v>#N/A</v>
      </c>
      <c r="AD9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7" s="2"/>
      <c r="AF97" s="63"/>
      <c r="AK97">
        <v>100</v>
      </c>
      <c r="AM97">
        <v>267</v>
      </c>
      <c r="AO97">
        <v>588</v>
      </c>
      <c r="AP97">
        <v>7500</v>
      </c>
      <c r="AU97"/>
      <c r="BE97" s="14">
        <f>SUM(Portefeuille_MNT_PPS_Access13[[#This Row],[AC ANT]:[TR 2034]])</f>
        <v>8455</v>
      </c>
    </row>
    <row r="98" spans="1:57" hidden="1" x14ac:dyDescent="0.3">
      <c r="B98" t="s">
        <v>118</v>
      </c>
      <c r="C98" t="s">
        <v>102</v>
      </c>
      <c r="D98" t="s">
        <v>103</v>
      </c>
      <c r="E98" t="s">
        <v>149</v>
      </c>
      <c r="F98" t="s">
        <v>20</v>
      </c>
      <c r="G98" t="s">
        <v>20</v>
      </c>
      <c r="H98" t="s">
        <v>131</v>
      </c>
      <c r="I98" t="s">
        <v>396</v>
      </c>
      <c r="J98" t="s">
        <v>397</v>
      </c>
      <c r="K98" t="s">
        <v>194</v>
      </c>
      <c r="L98" t="s">
        <v>197</v>
      </c>
      <c r="M98" t="s">
        <v>291</v>
      </c>
      <c r="N98" s="1"/>
      <c r="O98" s="1"/>
      <c r="P98" s="1"/>
      <c r="Q9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9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9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9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98">
        <f>Portefeuille_MNT_PPS_Access13[[#This Row],[Délais PC1 et PC3]]+Portefeuille_MNT_PPS_Access13[[#This Row],[Délais PC3 et PC5]]</f>
        <v>0</v>
      </c>
      <c r="V98">
        <v>1</v>
      </c>
      <c r="Z98" t="s">
        <v>311</v>
      </c>
      <c r="AA9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98" s="12" t="e">
        <f>_xlfn.XLOOKUP(Portefeuille_MNT_PPS_Access13[[#This Row],[Numéro projet]],Tableau5[Numéro projet],Tableau5[IND_Site_Prioritaire])</f>
        <v>#N/A</v>
      </c>
      <c r="AC98" s="2" t="e">
        <f>_xlfn.XLOOKUP(Portefeuille_MNT_PPS_Access13[[#This Row],[Numéro projet]],Tableau5[Numéro projet],Tableau5[Critère Etat Infrastructure])</f>
        <v>#N/A</v>
      </c>
      <c r="AD9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8" s="2"/>
      <c r="AF98" s="62"/>
      <c r="AK98"/>
      <c r="AM98">
        <v>150</v>
      </c>
      <c r="AO98">
        <v>250</v>
      </c>
      <c r="AQ98">
        <v>600</v>
      </c>
      <c r="AR98">
        <v>10500</v>
      </c>
      <c r="AU98"/>
      <c r="BE98" s="14">
        <f>SUM(Portefeuille_MNT_PPS_Access13[[#This Row],[AC ANT]:[TR 2034]])</f>
        <v>11500</v>
      </c>
    </row>
    <row r="99" spans="1:57" hidden="1" x14ac:dyDescent="0.3">
      <c r="A99">
        <v>9</v>
      </c>
      <c r="B99" t="s">
        <v>101</v>
      </c>
      <c r="C99" t="s">
        <v>102</v>
      </c>
      <c r="D99" t="s">
        <v>103</v>
      </c>
      <c r="E99" t="s">
        <v>149</v>
      </c>
      <c r="F99" t="s">
        <v>20</v>
      </c>
      <c r="G99" t="s">
        <v>20</v>
      </c>
      <c r="H99" t="s">
        <v>105</v>
      </c>
      <c r="I99" t="s">
        <v>235</v>
      </c>
      <c r="J99" t="s">
        <v>510</v>
      </c>
      <c r="K99" t="s">
        <v>205</v>
      </c>
      <c r="L99" t="s">
        <v>173</v>
      </c>
      <c r="M99" t="s">
        <v>110</v>
      </c>
      <c r="N99" s="1">
        <v>45706</v>
      </c>
      <c r="O99" s="1">
        <v>46055</v>
      </c>
      <c r="P99" s="1">
        <v>46273</v>
      </c>
      <c r="Q9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9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9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9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7</v>
      </c>
      <c r="U99">
        <f>Portefeuille_MNT_PPS_Access13[[#This Row],[Délais PC1 et PC3]]+Portefeuille_MNT_PPS_Access13[[#This Row],[Délais PC3 et PC5]]</f>
        <v>19</v>
      </c>
      <c r="V99">
        <v>1</v>
      </c>
      <c r="W99">
        <v>1</v>
      </c>
      <c r="X99">
        <v>1</v>
      </c>
      <c r="Y99">
        <v>1</v>
      </c>
      <c r="Z99" t="s">
        <v>112</v>
      </c>
      <c r="AA9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99" s="12" t="e">
        <f>_xlfn.XLOOKUP(Portefeuille_MNT_PPS_Access13[[#This Row],[Numéro projet]],Tableau5[Numéro projet],Tableau5[IND_Site_Prioritaire])</f>
        <v>#N/A</v>
      </c>
      <c r="AC99" s="2" t="e">
        <f>_xlfn.XLOOKUP(Portefeuille_MNT_PPS_Access13[[#This Row],[Numéro projet]],Tableau5[Numéro projet],Tableau5[Critère Etat Infrastructure])</f>
        <v>#N/A</v>
      </c>
      <c r="AD9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99" s="2"/>
      <c r="AF99" s="63"/>
      <c r="AK99">
        <v>90</v>
      </c>
      <c r="AM99">
        <v>200</v>
      </c>
      <c r="AO99">
        <v>970</v>
      </c>
      <c r="AP99">
        <v>13608</v>
      </c>
      <c r="AU99"/>
      <c r="BE99" s="14">
        <f>SUM(Portefeuille_MNT_PPS_Access13[[#This Row],[AC ANT]:[TR 2034]])</f>
        <v>14868</v>
      </c>
    </row>
    <row r="100" spans="1:57" hidden="1" x14ac:dyDescent="0.3">
      <c r="B100" t="s">
        <v>118</v>
      </c>
      <c r="C100" t="s">
        <v>102</v>
      </c>
      <c r="D100" t="s">
        <v>103</v>
      </c>
      <c r="F100" t="s">
        <v>20</v>
      </c>
      <c r="G100" t="s">
        <v>20</v>
      </c>
      <c r="H100" t="s">
        <v>131</v>
      </c>
      <c r="I100" t="s">
        <v>418</v>
      </c>
      <c r="J100" t="s">
        <v>530</v>
      </c>
      <c r="K100" t="s">
        <v>420</v>
      </c>
      <c r="L100" t="s">
        <v>421</v>
      </c>
      <c r="M100" t="s">
        <v>291</v>
      </c>
      <c r="N100" s="1"/>
      <c r="O100" s="1"/>
      <c r="P100" s="1"/>
      <c r="Q10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0">
        <f>Portefeuille_MNT_PPS_Access13[[#This Row],[Délais PC1 et PC3]]+Portefeuille_MNT_PPS_Access13[[#This Row],[Délais PC3 et PC5]]</f>
        <v>0</v>
      </c>
      <c r="V100">
        <v>1</v>
      </c>
      <c r="Z100" t="s">
        <v>311</v>
      </c>
      <c r="AA10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0" s="12" t="e">
        <f>_xlfn.XLOOKUP(Portefeuille_MNT_PPS_Access13[[#This Row],[Numéro projet]],Tableau5[Numéro projet],Tableau5[IND_Site_Prioritaire])</f>
        <v>#N/A</v>
      </c>
      <c r="AC100" s="2" t="e">
        <f>_xlfn.XLOOKUP(Portefeuille_MNT_PPS_Access13[[#This Row],[Numéro projet]],Tableau5[Numéro projet],Tableau5[Critère Etat Infrastructure])</f>
        <v>#N/A</v>
      </c>
      <c r="AD10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0" s="2"/>
      <c r="AF100" s="63"/>
      <c r="AK100"/>
      <c r="AU100">
        <v>100</v>
      </c>
      <c r="AW100">
        <v>200</v>
      </c>
      <c r="AY100">
        <v>450</v>
      </c>
      <c r="AZ100">
        <v>7500</v>
      </c>
      <c r="BE100" s="14">
        <f>SUM(Portefeuille_MNT_PPS_Access13[[#This Row],[AC ANT]:[TR 2034]])</f>
        <v>8250</v>
      </c>
    </row>
    <row r="101" spans="1:57" hidden="1" x14ac:dyDescent="0.3">
      <c r="B101" t="s">
        <v>101</v>
      </c>
      <c r="C101" t="s">
        <v>102</v>
      </c>
      <c r="D101" t="s">
        <v>103</v>
      </c>
      <c r="F101" t="s">
        <v>20</v>
      </c>
      <c r="G101" t="s">
        <v>20</v>
      </c>
      <c r="H101" t="s">
        <v>105</v>
      </c>
      <c r="I101" t="s">
        <v>398</v>
      </c>
      <c r="J101" t="s">
        <v>399</v>
      </c>
      <c r="K101" t="s">
        <v>172</v>
      </c>
      <c r="L101" t="s">
        <v>169</v>
      </c>
      <c r="M101" t="s">
        <v>291</v>
      </c>
      <c r="N101" s="1"/>
      <c r="O101" s="1"/>
      <c r="P101" s="1"/>
      <c r="Q10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1">
        <f>Portefeuille_MNT_PPS_Access13[[#This Row],[Délais PC1 et PC3]]+Portefeuille_MNT_PPS_Access13[[#This Row],[Délais PC3 et PC5]]</f>
        <v>0</v>
      </c>
      <c r="V101">
        <v>1</v>
      </c>
      <c r="Z101" t="s">
        <v>311</v>
      </c>
      <c r="AA10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1" s="12" t="e">
        <f>_xlfn.XLOOKUP(Portefeuille_MNT_PPS_Access13[[#This Row],[Numéro projet]],Tableau5[Numéro projet],Tableau5[IND_Site_Prioritaire])</f>
        <v>#N/A</v>
      </c>
      <c r="AC101" s="2" t="e">
        <f>_xlfn.XLOOKUP(Portefeuille_MNT_PPS_Access13[[#This Row],[Numéro projet]],Tableau5[Numéro projet],Tableau5[Critère Etat Infrastructure])</f>
        <v>#N/A</v>
      </c>
      <c r="AD10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1" s="2"/>
      <c r="AF101" s="62"/>
      <c r="AK101"/>
      <c r="AQ101">
        <v>100</v>
      </c>
      <c r="AS101">
        <v>250</v>
      </c>
      <c r="AT101">
        <v>5000</v>
      </c>
      <c r="AU101"/>
      <c r="BE101" s="14">
        <f>SUM(Portefeuille_MNT_PPS_Access13[[#This Row],[AC ANT]:[TR 2034]])</f>
        <v>5350</v>
      </c>
    </row>
    <row r="102" spans="1:57" hidden="1" x14ac:dyDescent="0.3">
      <c r="B102" t="s">
        <v>118</v>
      </c>
      <c r="C102" t="s">
        <v>102</v>
      </c>
      <c r="D102" t="s">
        <v>103</v>
      </c>
      <c r="E102" t="s">
        <v>113</v>
      </c>
      <c r="F102" t="s">
        <v>20</v>
      </c>
      <c r="G102" t="s">
        <v>20</v>
      </c>
      <c r="H102" t="s">
        <v>131</v>
      </c>
      <c r="I102" t="s">
        <v>422</v>
      </c>
      <c r="J102" t="s">
        <v>423</v>
      </c>
      <c r="K102" t="s">
        <v>139</v>
      </c>
      <c r="L102" t="s">
        <v>169</v>
      </c>
      <c r="M102" t="s">
        <v>291</v>
      </c>
      <c r="N102" s="1"/>
      <c r="O102" s="1"/>
      <c r="P102" s="1"/>
      <c r="Q10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2">
        <f>Portefeuille_MNT_PPS_Access13[[#This Row],[Délais PC1 et PC3]]+Portefeuille_MNT_PPS_Access13[[#This Row],[Délais PC3 et PC5]]</f>
        <v>0</v>
      </c>
      <c r="V102">
        <v>1</v>
      </c>
      <c r="Z102" t="s">
        <v>311</v>
      </c>
      <c r="AA10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2" s="12" t="e">
        <f>_xlfn.XLOOKUP(Portefeuille_MNT_PPS_Access13[[#This Row],[Numéro projet]],Tableau5[Numéro projet],Tableau5[IND_Site_Prioritaire])</f>
        <v>#N/A</v>
      </c>
      <c r="AC102" s="2" t="e">
        <f>_xlfn.XLOOKUP(Portefeuille_MNT_PPS_Access13[[#This Row],[Numéro projet]],Tableau5[Numéro projet],Tableau5[Critère Etat Infrastructure])</f>
        <v>#N/A</v>
      </c>
      <c r="AD10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2" s="2"/>
      <c r="AF102" s="62"/>
      <c r="AK102"/>
      <c r="AO102">
        <v>100</v>
      </c>
      <c r="AQ102">
        <v>200</v>
      </c>
      <c r="AS102">
        <v>250</v>
      </c>
      <c r="AT102">
        <v>7500</v>
      </c>
      <c r="AU102"/>
      <c r="BE102" s="14">
        <f>SUM(Portefeuille_MNT_PPS_Access13[[#This Row],[AC ANT]:[TR 2034]])</f>
        <v>8050</v>
      </c>
    </row>
    <row r="103" spans="1:57" hidden="1" x14ac:dyDescent="0.3">
      <c r="A103">
        <v>10</v>
      </c>
      <c r="B103" t="s">
        <v>101</v>
      </c>
      <c r="C103" t="s">
        <v>102</v>
      </c>
      <c r="D103" t="s">
        <v>103</v>
      </c>
      <c r="E103" t="s">
        <v>149</v>
      </c>
      <c r="F103" t="s">
        <v>20</v>
      </c>
      <c r="G103" t="s">
        <v>20</v>
      </c>
      <c r="H103" t="s">
        <v>105</v>
      </c>
      <c r="I103" t="s">
        <v>237</v>
      </c>
      <c r="J103" t="s">
        <v>238</v>
      </c>
      <c r="K103" t="s">
        <v>239</v>
      </c>
      <c r="L103" t="s">
        <v>173</v>
      </c>
      <c r="M103" t="s">
        <v>155</v>
      </c>
      <c r="N103" s="1">
        <v>45797</v>
      </c>
      <c r="O103" s="1">
        <v>46162</v>
      </c>
      <c r="P103" s="1">
        <v>46527</v>
      </c>
      <c r="Q10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10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1.Très à risque</v>
      </c>
      <c r="S10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10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103">
        <f>Portefeuille_MNT_PPS_Access13[[#This Row],[Délais PC1 et PC3]]+Portefeuille_MNT_PPS_Access13[[#This Row],[Délais PC3 et PC5]]</f>
        <v>24</v>
      </c>
      <c r="V103">
        <v>1</v>
      </c>
      <c r="W103">
        <v>1</v>
      </c>
      <c r="X103">
        <v>1</v>
      </c>
      <c r="Y103">
        <v>1</v>
      </c>
      <c r="Z103" t="s">
        <v>156</v>
      </c>
      <c r="AA10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103" s="12" t="e">
        <f>_xlfn.XLOOKUP(Portefeuille_MNT_PPS_Access13[[#This Row],[Numéro projet]],Tableau5[Numéro projet],Tableau5[IND_Site_Prioritaire])</f>
        <v>#N/A</v>
      </c>
      <c r="AC103" s="2" t="e">
        <f>_xlfn.XLOOKUP(Portefeuille_MNT_PPS_Access13[[#This Row],[Numéro projet]],Tableau5[Numéro projet],Tableau5[Critère Etat Infrastructure])</f>
        <v>#N/A</v>
      </c>
      <c r="AD10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3" s="2"/>
      <c r="AF103" s="63"/>
      <c r="AK103">
        <v>100</v>
      </c>
      <c r="AM103">
        <v>200</v>
      </c>
      <c r="AO103">
        <v>475</v>
      </c>
      <c r="AP103">
        <v>11000</v>
      </c>
      <c r="AU103"/>
      <c r="BE103" s="14">
        <f>SUM(Portefeuille_MNT_PPS_Access13[[#This Row],[AC ANT]:[TR 2034]])</f>
        <v>11775</v>
      </c>
    </row>
    <row r="104" spans="1:57" hidden="1" x14ac:dyDescent="0.3">
      <c r="B104" t="s">
        <v>118</v>
      </c>
      <c r="C104" t="s">
        <v>102</v>
      </c>
      <c r="D104" t="s">
        <v>389</v>
      </c>
      <c r="F104" t="s">
        <v>20</v>
      </c>
      <c r="G104" t="s">
        <v>20</v>
      </c>
      <c r="H104" t="s">
        <v>105</v>
      </c>
      <c r="I104" t="s">
        <v>424</v>
      </c>
      <c r="J104" t="s">
        <v>425</v>
      </c>
      <c r="K104" t="s">
        <v>205</v>
      </c>
      <c r="L104" t="s">
        <v>421</v>
      </c>
      <c r="M104" t="s">
        <v>291</v>
      </c>
      <c r="N104" s="1"/>
      <c r="O104" s="1"/>
      <c r="P104" s="1"/>
      <c r="Q10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4">
        <f>Portefeuille_MNT_PPS_Access13[[#This Row],[Délais PC1 et PC3]]+Portefeuille_MNT_PPS_Access13[[#This Row],[Délais PC3 et PC5]]</f>
        <v>0</v>
      </c>
      <c r="V104">
        <v>1</v>
      </c>
      <c r="Z104" t="s">
        <v>311</v>
      </c>
      <c r="AA10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4" s="12" t="e">
        <f>_xlfn.XLOOKUP(Portefeuille_MNT_PPS_Access13[[#This Row],[Numéro projet]],Tableau5[Numéro projet],Tableau5[IND_Site_Prioritaire])</f>
        <v>#N/A</v>
      </c>
      <c r="AC104" s="2" t="e">
        <f>_xlfn.XLOOKUP(Portefeuille_MNT_PPS_Access13[[#This Row],[Numéro projet]],Tableau5[Numéro projet],Tableau5[Critère Etat Infrastructure])</f>
        <v>#N/A</v>
      </c>
      <c r="AD10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4" s="2"/>
      <c r="AF104" s="63"/>
      <c r="AK104"/>
      <c r="AU104"/>
      <c r="AW104">
        <v>100</v>
      </c>
      <c r="AY104">
        <v>200</v>
      </c>
      <c r="AZ104">
        <v>5000</v>
      </c>
      <c r="BE104" s="14">
        <f>SUM(Portefeuille_MNT_PPS_Access13[[#This Row],[AC ANT]:[TR 2034]])</f>
        <v>5300</v>
      </c>
    </row>
    <row r="105" spans="1:57" hidden="1" x14ac:dyDescent="0.3">
      <c r="B105" t="s">
        <v>101</v>
      </c>
      <c r="C105" t="s">
        <v>102</v>
      </c>
      <c r="D105" t="s">
        <v>103</v>
      </c>
      <c r="E105" t="s">
        <v>129</v>
      </c>
      <c r="F105" t="s">
        <v>20</v>
      </c>
      <c r="G105" t="s">
        <v>20</v>
      </c>
      <c r="H105" t="s">
        <v>105</v>
      </c>
      <c r="I105" t="s">
        <v>400</v>
      </c>
      <c r="J105" t="s">
        <v>401</v>
      </c>
      <c r="K105" t="s">
        <v>402</v>
      </c>
      <c r="L105" t="s">
        <v>197</v>
      </c>
      <c r="M105" t="s">
        <v>155</v>
      </c>
      <c r="N105" s="1">
        <v>46059</v>
      </c>
      <c r="O105" s="1">
        <v>46503</v>
      </c>
      <c r="P105" s="1">
        <v>46722</v>
      </c>
      <c r="Q10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10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0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14</v>
      </c>
      <c r="T10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8</v>
      </c>
      <c r="U105">
        <f>Portefeuille_MNT_PPS_Access13[[#This Row],[Délais PC1 et PC3]]+Portefeuille_MNT_PPS_Access13[[#This Row],[Délais PC3 et PC5]]</f>
        <v>22</v>
      </c>
      <c r="V105">
        <v>1</v>
      </c>
      <c r="W105">
        <v>1</v>
      </c>
      <c r="X105">
        <v>1</v>
      </c>
      <c r="Y105">
        <v>1</v>
      </c>
      <c r="Z105" t="s">
        <v>156</v>
      </c>
      <c r="AA10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105" s="12" t="e">
        <f>_xlfn.XLOOKUP(Portefeuille_MNT_PPS_Access13[[#This Row],[Numéro projet]],Tableau5[Numéro projet],Tableau5[IND_Site_Prioritaire])</f>
        <v>#N/A</v>
      </c>
      <c r="AC105" s="2" t="e">
        <f>_xlfn.XLOOKUP(Portefeuille_MNT_PPS_Access13[[#This Row],[Numéro projet]],Tableau5[Numéro projet],Tableau5[Critère Etat Infrastructure])</f>
        <v>#N/A</v>
      </c>
      <c r="AD10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5" s="2"/>
      <c r="AF105" s="63"/>
      <c r="AK105"/>
      <c r="AM105">
        <v>200</v>
      </c>
      <c r="AO105">
        <v>200</v>
      </c>
      <c r="AQ105">
        <v>800</v>
      </c>
      <c r="AR105">
        <v>16000</v>
      </c>
      <c r="AU105"/>
      <c r="BE105" s="14">
        <f>SUM(Portefeuille_MNT_PPS_Access13[[#This Row],[AC ANT]:[TR 2034]])</f>
        <v>17200</v>
      </c>
    </row>
    <row r="106" spans="1:57" hidden="1" x14ac:dyDescent="0.3">
      <c r="B106" t="s">
        <v>118</v>
      </c>
      <c r="C106" t="s">
        <v>102</v>
      </c>
      <c r="D106" t="s">
        <v>103</v>
      </c>
      <c r="E106" t="s">
        <v>113</v>
      </c>
      <c r="F106" t="s">
        <v>20</v>
      </c>
      <c r="G106" t="s">
        <v>20</v>
      </c>
      <c r="H106" t="s">
        <v>105</v>
      </c>
      <c r="I106" t="s">
        <v>426</v>
      </c>
      <c r="J106" t="s">
        <v>527</v>
      </c>
      <c r="K106" t="s">
        <v>122</v>
      </c>
      <c r="L106" t="s">
        <v>169</v>
      </c>
      <c r="M106" t="s">
        <v>155</v>
      </c>
      <c r="N106" s="1">
        <v>45945</v>
      </c>
      <c r="O106" s="1">
        <v>46402</v>
      </c>
      <c r="P106" s="1">
        <v>47011</v>
      </c>
      <c r="Q10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10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0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15</v>
      </c>
      <c r="T10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20</v>
      </c>
      <c r="U106">
        <f>Portefeuille_MNT_PPS_Access13[[#This Row],[Délais PC1 et PC3]]+Portefeuille_MNT_PPS_Access13[[#This Row],[Délais PC3 et PC5]]</f>
        <v>35</v>
      </c>
      <c r="V106">
        <v>1</v>
      </c>
      <c r="W106">
        <v>1</v>
      </c>
      <c r="X106">
        <v>1</v>
      </c>
      <c r="Y106">
        <v>1</v>
      </c>
      <c r="Z106" t="s">
        <v>156</v>
      </c>
      <c r="AA10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106" s="12" t="e">
        <f>_xlfn.XLOOKUP(Portefeuille_MNT_PPS_Access13[[#This Row],[Numéro projet]],Tableau5[Numéro projet],Tableau5[IND_Site_Prioritaire])</f>
        <v>#N/A</v>
      </c>
      <c r="AC106" s="2" t="e">
        <f>_xlfn.XLOOKUP(Portefeuille_MNT_PPS_Access13[[#This Row],[Numéro projet]],Tableau5[Numéro projet],Tableau5[Critère Etat Infrastructure])</f>
        <v>#N/A</v>
      </c>
      <c r="AD10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6" s="2"/>
      <c r="AF106" s="63"/>
      <c r="AK106"/>
      <c r="AQ106">
        <v>300</v>
      </c>
      <c r="AS106">
        <v>500</v>
      </c>
      <c r="AT106">
        <v>5000</v>
      </c>
      <c r="AU106"/>
      <c r="BE106" s="14">
        <f>SUM(Portefeuille_MNT_PPS_Access13[[#This Row],[AC ANT]:[TR 2034]])</f>
        <v>5800</v>
      </c>
    </row>
    <row r="107" spans="1:57" x14ac:dyDescent="0.3">
      <c r="A107">
        <v>4</v>
      </c>
      <c r="B107" t="s">
        <v>101</v>
      </c>
      <c r="C107" t="s">
        <v>102</v>
      </c>
      <c r="D107" t="s">
        <v>119</v>
      </c>
      <c r="E107" t="s">
        <v>129</v>
      </c>
      <c r="F107" t="s">
        <v>20</v>
      </c>
      <c r="G107" t="s">
        <v>20</v>
      </c>
      <c r="H107" t="s">
        <v>131</v>
      </c>
      <c r="I107" t="s">
        <v>153</v>
      </c>
      <c r="J107" t="s">
        <v>154</v>
      </c>
      <c r="K107" t="s">
        <v>134</v>
      </c>
      <c r="L107" t="s">
        <v>109</v>
      </c>
      <c r="M107" t="s">
        <v>123</v>
      </c>
      <c r="N107" s="1">
        <v>45601</v>
      </c>
      <c r="O107" s="1">
        <v>45731</v>
      </c>
      <c r="P107" s="1">
        <v>45976</v>
      </c>
      <c r="Q10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10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0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4</v>
      </c>
      <c r="T10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8</v>
      </c>
      <c r="U107">
        <f>Portefeuille_MNT_PPS_Access13[[#This Row],[Délais PC1 et PC3]]+Portefeuille_MNT_PPS_Access13[[#This Row],[Délais PC3 et PC5]]</f>
        <v>12</v>
      </c>
      <c r="V107">
        <v>1</v>
      </c>
      <c r="W107">
        <v>1</v>
      </c>
      <c r="X107">
        <v>1</v>
      </c>
      <c r="Y107">
        <v>5</v>
      </c>
      <c r="Z107" t="s">
        <v>125</v>
      </c>
      <c r="AA10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107" s="12" t="e">
        <f>_xlfn.XLOOKUP(Portefeuille_MNT_PPS_Access13[[#This Row],[Numéro projet]],Tableau5[Numéro projet],Tableau5[IND_Site_Prioritaire])</f>
        <v>#N/A</v>
      </c>
      <c r="AC107" s="2" t="e">
        <f>_xlfn.XLOOKUP(Portefeuille_MNT_PPS_Access13[[#This Row],[Numéro projet]],Tableau5[Numéro projet],Tableau5[Critère Etat Infrastructure])</f>
        <v>#N/A</v>
      </c>
      <c r="AD10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7" s="2"/>
      <c r="AF107" s="63"/>
      <c r="AK107">
        <v>20</v>
      </c>
      <c r="AM107">
        <v>55</v>
      </c>
      <c r="AN107">
        <v>543</v>
      </c>
      <c r="AU107"/>
      <c r="BE107" s="14">
        <f>SUM(Portefeuille_MNT_PPS_Access13[[#This Row],[AC ANT]:[TR 2034]])</f>
        <v>618</v>
      </c>
    </row>
    <row r="108" spans="1:57" hidden="1" x14ac:dyDescent="0.3">
      <c r="B108" t="s">
        <v>101</v>
      </c>
      <c r="C108" t="s">
        <v>102</v>
      </c>
      <c r="D108" t="s">
        <v>136</v>
      </c>
      <c r="F108" t="s">
        <v>130</v>
      </c>
      <c r="G108" t="s">
        <v>130</v>
      </c>
      <c r="H108" t="s">
        <v>105</v>
      </c>
      <c r="I108" t="s">
        <v>407</v>
      </c>
      <c r="J108" t="s">
        <v>514</v>
      </c>
      <c r="K108" t="s">
        <v>108</v>
      </c>
      <c r="L108" t="s">
        <v>197</v>
      </c>
      <c r="M108" t="s">
        <v>291</v>
      </c>
      <c r="N108" s="1"/>
      <c r="O108" s="1"/>
      <c r="P108" s="1"/>
      <c r="Q10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8">
        <f>Portefeuille_MNT_PPS_Access13[[#This Row],[Délais PC1 et PC3]]+Portefeuille_MNT_PPS_Access13[[#This Row],[Délais PC3 et PC5]]</f>
        <v>0</v>
      </c>
      <c r="V108">
        <v>1</v>
      </c>
      <c r="Z108" t="s">
        <v>311</v>
      </c>
      <c r="AA10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8" s="12" t="e">
        <f>_xlfn.XLOOKUP(Portefeuille_MNT_PPS_Access13[[#This Row],[Numéro projet]],Tableau5[Numéro projet],Tableau5[IND_Site_Prioritaire])</f>
        <v>#N/A</v>
      </c>
      <c r="AC108" s="2" t="e">
        <f>_xlfn.XLOOKUP(Portefeuille_MNT_PPS_Access13[[#This Row],[Numéro projet]],Tableau5[Numéro projet],Tableau5[Critère Etat Infrastructure])</f>
        <v>#N/A</v>
      </c>
      <c r="AD10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8" s="2"/>
      <c r="AF108" s="63"/>
      <c r="AK108"/>
      <c r="AM108">
        <v>150</v>
      </c>
      <c r="AO108">
        <v>150</v>
      </c>
      <c r="AQ108">
        <v>550</v>
      </c>
      <c r="AR108">
        <v>4000</v>
      </c>
      <c r="AU108"/>
      <c r="BE108" s="14">
        <f>SUM(Portefeuille_MNT_PPS_Access13[[#This Row],[AC ANT]:[TR 2034]])</f>
        <v>4850</v>
      </c>
    </row>
    <row r="109" spans="1:57" hidden="1" x14ac:dyDescent="0.3">
      <c r="B109" t="s">
        <v>118</v>
      </c>
      <c r="C109" t="s">
        <v>102</v>
      </c>
      <c r="D109" t="s">
        <v>389</v>
      </c>
      <c r="F109" t="s">
        <v>20</v>
      </c>
      <c r="G109" t="s">
        <v>20</v>
      </c>
      <c r="H109" t="s">
        <v>131</v>
      </c>
      <c r="I109" t="s">
        <v>430</v>
      </c>
      <c r="J109" t="s">
        <v>431</v>
      </c>
      <c r="K109" t="s">
        <v>147</v>
      </c>
      <c r="L109" t="s">
        <v>169</v>
      </c>
      <c r="M109" t="s">
        <v>291</v>
      </c>
      <c r="N109" s="1"/>
      <c r="O109" s="1"/>
      <c r="P109" s="1"/>
      <c r="Q10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0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0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0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09">
        <f>Portefeuille_MNT_PPS_Access13[[#This Row],[Délais PC1 et PC3]]+Portefeuille_MNT_PPS_Access13[[#This Row],[Délais PC3 et PC5]]</f>
        <v>0</v>
      </c>
      <c r="V109">
        <v>1</v>
      </c>
      <c r="Z109" t="s">
        <v>311</v>
      </c>
      <c r="AA10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09" s="12" t="e">
        <f>_xlfn.XLOOKUP(Portefeuille_MNT_PPS_Access13[[#This Row],[Numéro projet]],Tableau5[Numéro projet],Tableau5[IND_Site_Prioritaire])</f>
        <v>#N/A</v>
      </c>
      <c r="AC109" s="2" t="e">
        <f>_xlfn.XLOOKUP(Portefeuille_MNT_PPS_Access13[[#This Row],[Numéro projet]],Tableau5[Numéro projet],Tableau5[Critère Etat Infrastructure])</f>
        <v>#N/A</v>
      </c>
      <c r="AD10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09" s="2"/>
      <c r="AF109" s="63"/>
      <c r="AK109"/>
      <c r="AQ109">
        <v>50</v>
      </c>
      <c r="AS109">
        <v>100</v>
      </c>
      <c r="AT109">
        <v>1000</v>
      </c>
      <c r="AU109"/>
      <c r="BE109" s="14">
        <f>SUM(Portefeuille_MNT_PPS_Access13[[#This Row],[AC ANT]:[TR 2034]])</f>
        <v>1150</v>
      </c>
    </row>
    <row r="110" spans="1:57" hidden="1" x14ac:dyDescent="0.3">
      <c r="A110">
        <v>12</v>
      </c>
      <c r="B110" t="s">
        <v>101</v>
      </c>
      <c r="C110" t="s">
        <v>102</v>
      </c>
      <c r="D110" t="s">
        <v>103</v>
      </c>
      <c r="E110" t="s">
        <v>140</v>
      </c>
      <c r="F110" t="s">
        <v>20</v>
      </c>
      <c r="G110" t="s">
        <v>20</v>
      </c>
      <c r="H110" t="s">
        <v>131</v>
      </c>
      <c r="I110" t="s">
        <v>246</v>
      </c>
      <c r="J110" t="s">
        <v>515</v>
      </c>
      <c r="K110" t="s">
        <v>180</v>
      </c>
      <c r="L110" t="s">
        <v>173</v>
      </c>
      <c r="M110" t="s">
        <v>110</v>
      </c>
      <c r="N110" s="1">
        <v>45679</v>
      </c>
      <c r="O110" s="1">
        <v>46006</v>
      </c>
      <c r="P110" s="1">
        <v>46371</v>
      </c>
      <c r="Q11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11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1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11</v>
      </c>
      <c r="T11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12</v>
      </c>
      <c r="U110">
        <f>Portefeuille_MNT_PPS_Access13[[#This Row],[Délais PC1 et PC3]]+Portefeuille_MNT_PPS_Access13[[#This Row],[Délais PC3 et PC5]]</f>
        <v>23</v>
      </c>
      <c r="V110">
        <v>1</v>
      </c>
      <c r="W110">
        <v>1</v>
      </c>
      <c r="X110">
        <v>1</v>
      </c>
      <c r="Y110">
        <v>1</v>
      </c>
      <c r="Z110" t="s">
        <v>112</v>
      </c>
      <c r="AA11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110" s="12" t="e">
        <f>_xlfn.XLOOKUP(Portefeuille_MNT_PPS_Access13[[#This Row],[Numéro projet]],Tableau5[Numéro projet],Tableau5[IND_Site_Prioritaire])</f>
        <v>#N/A</v>
      </c>
      <c r="AC110" s="2" t="e">
        <f>_xlfn.XLOOKUP(Portefeuille_MNT_PPS_Access13[[#This Row],[Numéro projet]],Tableau5[Numéro projet],Tableau5[Critère Etat Infrastructure])</f>
        <v>#N/A</v>
      </c>
      <c r="AD11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0" s="2"/>
      <c r="AF110" s="63"/>
      <c r="AK110">
        <v>130</v>
      </c>
      <c r="AM110">
        <v>60</v>
      </c>
      <c r="AO110">
        <v>283</v>
      </c>
      <c r="AP110">
        <v>3902</v>
      </c>
      <c r="AU110"/>
      <c r="BE110" s="14">
        <f>SUM(Portefeuille_MNT_PPS_Access13[[#This Row],[AC ANT]:[TR 2034]])</f>
        <v>4375</v>
      </c>
    </row>
    <row r="111" spans="1:57" hidden="1" x14ac:dyDescent="0.3">
      <c r="A111">
        <v>8</v>
      </c>
      <c r="B111" t="s">
        <v>118</v>
      </c>
      <c r="C111" t="s">
        <v>102</v>
      </c>
      <c r="D111" t="s">
        <v>136</v>
      </c>
      <c r="E111" t="s">
        <v>113</v>
      </c>
      <c r="F111" t="s">
        <v>20</v>
      </c>
      <c r="G111" t="s">
        <v>20</v>
      </c>
      <c r="H111" t="s">
        <v>105</v>
      </c>
      <c r="I111" t="s">
        <v>248</v>
      </c>
      <c r="J111" t="s">
        <v>249</v>
      </c>
      <c r="K111" t="s">
        <v>180</v>
      </c>
      <c r="L111" t="s">
        <v>173</v>
      </c>
      <c r="M111" t="s">
        <v>110</v>
      </c>
      <c r="N111" s="1">
        <v>45476</v>
      </c>
      <c r="O111" s="1">
        <v>45945</v>
      </c>
      <c r="P111" s="1">
        <v>46096</v>
      </c>
      <c r="Q11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5.Respect OPC</v>
      </c>
      <c r="R11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1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15</v>
      </c>
      <c r="T11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5</v>
      </c>
      <c r="U111">
        <f>Portefeuille_MNT_PPS_Access13[[#This Row],[Délais PC1 et PC3]]+Portefeuille_MNT_PPS_Access13[[#This Row],[Délais PC3 et PC5]]</f>
        <v>20</v>
      </c>
      <c r="V111">
        <v>1</v>
      </c>
      <c r="W111">
        <v>1</v>
      </c>
      <c r="X111">
        <v>1</v>
      </c>
      <c r="Y111">
        <v>5</v>
      </c>
      <c r="Z111" t="s">
        <v>112</v>
      </c>
      <c r="AA11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111" s="12" t="e">
        <f>_xlfn.XLOOKUP(Portefeuille_MNT_PPS_Access13[[#This Row],[Numéro projet]],Tableau5[Numéro projet],Tableau5[IND_Site_Prioritaire])</f>
        <v>#N/A</v>
      </c>
      <c r="AC111" s="2" t="e">
        <f>_xlfn.XLOOKUP(Portefeuille_MNT_PPS_Access13[[#This Row],[Numéro projet]],Tableau5[Numéro projet],Tableau5[Critère Etat Infrastructure])</f>
        <v>#N/A</v>
      </c>
      <c r="AD11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1" s="2"/>
      <c r="AF111" s="63"/>
      <c r="AK111">
        <v>100</v>
      </c>
      <c r="AM111">
        <v>110</v>
      </c>
      <c r="AO111">
        <v>110</v>
      </c>
      <c r="AP111">
        <v>1415</v>
      </c>
      <c r="AR111">
        <v>2030</v>
      </c>
      <c r="AU111"/>
      <c r="BE111" s="14">
        <f>SUM(Portefeuille_MNT_PPS_Access13[[#This Row],[AC ANT]:[TR 2034]])</f>
        <v>3765</v>
      </c>
    </row>
    <row r="112" spans="1:57" hidden="1" x14ac:dyDescent="0.3">
      <c r="A112">
        <v>9</v>
      </c>
      <c r="B112" t="s">
        <v>118</v>
      </c>
      <c r="C112" t="s">
        <v>102</v>
      </c>
      <c r="D112" t="s">
        <v>136</v>
      </c>
      <c r="E112" t="s">
        <v>104</v>
      </c>
      <c r="F112" t="s">
        <v>20</v>
      </c>
      <c r="G112" t="s">
        <v>20</v>
      </c>
      <c r="H112" t="s">
        <v>131</v>
      </c>
      <c r="I112" t="s">
        <v>157</v>
      </c>
      <c r="J112" t="s">
        <v>158</v>
      </c>
      <c r="K112" t="s">
        <v>159</v>
      </c>
      <c r="L112" s="2" t="s">
        <v>173</v>
      </c>
      <c r="M112" t="s">
        <v>155</v>
      </c>
      <c r="N112" s="1">
        <v>46068</v>
      </c>
      <c r="O112" s="1"/>
      <c r="P112" s="1">
        <v>46006</v>
      </c>
      <c r="Q11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1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-1513</v>
      </c>
      <c r="T11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1511</v>
      </c>
      <c r="U112">
        <f>Portefeuille_MNT_PPS_Access13[[#This Row],[Délais PC1 et PC3]]+Portefeuille_MNT_PPS_Access13[[#This Row],[Délais PC3 et PC5]]</f>
        <v>-2</v>
      </c>
      <c r="V112">
        <v>1</v>
      </c>
      <c r="W112">
        <v>1</v>
      </c>
      <c r="Y112">
        <v>1</v>
      </c>
      <c r="Z112" t="s">
        <v>156</v>
      </c>
      <c r="AA11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112" s="12" t="e">
        <f>_xlfn.XLOOKUP(Portefeuille_MNT_PPS_Access13[[#This Row],[Numéro projet]],Tableau5[Numéro projet],Tableau5[IND_Site_Prioritaire])</f>
        <v>#N/A</v>
      </c>
      <c r="AC112" s="2" t="e">
        <f>_xlfn.XLOOKUP(Portefeuille_MNT_PPS_Access13[[#This Row],[Numéro projet]],Tableau5[Numéro projet],Tableau5[Critère Etat Infrastructure])</f>
        <v>#N/A</v>
      </c>
      <c r="AD11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2" s="2"/>
      <c r="AF112" s="63"/>
      <c r="AK112">
        <v>75</v>
      </c>
      <c r="AM112">
        <v>75</v>
      </c>
      <c r="AO112">
        <v>150</v>
      </c>
      <c r="AP112">
        <v>650</v>
      </c>
      <c r="AU112"/>
      <c r="BE112" s="14">
        <f>SUM(Portefeuille_MNT_PPS_Access13[[#This Row],[AC ANT]:[TR 2034]])</f>
        <v>950</v>
      </c>
    </row>
    <row r="113" spans="1:57" hidden="1" x14ac:dyDescent="0.3">
      <c r="B113" t="s">
        <v>118</v>
      </c>
      <c r="C113" t="s">
        <v>102</v>
      </c>
      <c r="D113" t="s">
        <v>103</v>
      </c>
      <c r="E113" t="s">
        <v>252</v>
      </c>
      <c r="F113" t="s">
        <v>20</v>
      </c>
      <c r="G113" t="s">
        <v>16</v>
      </c>
      <c r="H113" t="s">
        <v>131</v>
      </c>
      <c r="I113" t="s">
        <v>387</v>
      </c>
      <c r="J113" t="s">
        <v>388</v>
      </c>
      <c r="K113" t="s">
        <v>180</v>
      </c>
      <c r="L113" t="s">
        <v>176</v>
      </c>
      <c r="M113" t="s">
        <v>297</v>
      </c>
      <c r="N113" s="1"/>
      <c r="O113" s="1"/>
      <c r="P113" s="1"/>
      <c r="Q11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3">
        <f>Portefeuille_MNT_PPS_Access13[[#This Row],[Délais PC1 et PC3]]+Portefeuille_MNT_PPS_Access13[[#This Row],[Délais PC3 et PC5]]</f>
        <v>0</v>
      </c>
      <c r="V113">
        <v>1</v>
      </c>
      <c r="Z113" t="s">
        <v>349</v>
      </c>
      <c r="AA11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6</v>
      </c>
      <c r="AB113" s="12" t="e">
        <f>_xlfn.XLOOKUP(Portefeuille_MNT_PPS_Access13[[#This Row],[Numéro projet]],Tableau5[Numéro projet],Tableau5[IND_Site_Prioritaire])</f>
        <v>#N/A</v>
      </c>
      <c r="AC113" s="2" t="e">
        <f>_xlfn.XLOOKUP(Portefeuille_MNT_PPS_Access13[[#This Row],[Numéro projet]],Tableau5[Numéro projet],Tableau5[Critère Etat Infrastructure])</f>
        <v>#N/A</v>
      </c>
      <c r="AD113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113" s="2">
        <v>5</v>
      </c>
      <c r="AF113" s="62"/>
      <c r="AJ113">
        <v>311</v>
      </c>
      <c r="AK113"/>
      <c r="AU113"/>
      <c r="BE113" s="14">
        <f>SUM(Portefeuille_MNT_PPS_Access13[[#This Row],[AC ANT]:[TR 2034]])</f>
        <v>311</v>
      </c>
    </row>
    <row r="114" spans="1:57" hidden="1" x14ac:dyDescent="0.3">
      <c r="B114" t="s">
        <v>101</v>
      </c>
      <c r="C114" t="s">
        <v>102</v>
      </c>
      <c r="D114" t="s">
        <v>136</v>
      </c>
      <c r="E114" t="s">
        <v>149</v>
      </c>
      <c r="F114" t="s">
        <v>20</v>
      </c>
      <c r="G114" t="s">
        <v>20</v>
      </c>
      <c r="H114" t="s">
        <v>131</v>
      </c>
      <c r="I114" t="s">
        <v>381</v>
      </c>
      <c r="J114" t="s">
        <v>382</v>
      </c>
      <c r="K114" t="s">
        <v>194</v>
      </c>
      <c r="L114" t="s">
        <v>173</v>
      </c>
      <c r="M114" t="s">
        <v>291</v>
      </c>
      <c r="N114" s="1"/>
      <c r="O114" s="1"/>
      <c r="P114" s="1"/>
      <c r="Q11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4">
        <f>Portefeuille_MNT_PPS_Access13[[#This Row],[Délais PC1 et PC3]]+Portefeuille_MNT_PPS_Access13[[#This Row],[Délais PC3 et PC5]]</f>
        <v>0</v>
      </c>
      <c r="V114">
        <v>1</v>
      </c>
      <c r="Z114" t="s">
        <v>311</v>
      </c>
      <c r="AA11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14" s="12" t="e">
        <f>_xlfn.XLOOKUP(Portefeuille_MNT_PPS_Access13[[#This Row],[Numéro projet]],Tableau5[Numéro projet],Tableau5[IND_Site_Prioritaire])</f>
        <v>#N/A</v>
      </c>
      <c r="AC114" s="2" t="e">
        <f>_xlfn.XLOOKUP(Portefeuille_MNT_PPS_Access13[[#This Row],[Numéro projet]],Tableau5[Numéro projet],Tableau5[Critère Etat Infrastructure])</f>
        <v>#N/A</v>
      </c>
      <c r="AD11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4" s="2"/>
      <c r="AF114" s="63"/>
      <c r="AK114"/>
      <c r="AM114">
        <v>50</v>
      </c>
      <c r="AO114">
        <v>50</v>
      </c>
      <c r="AP114">
        <v>250</v>
      </c>
      <c r="AU114"/>
      <c r="BE114" s="14">
        <f>SUM(Portefeuille_MNT_PPS_Access13[[#This Row],[AC ANT]:[TR 2034]])</f>
        <v>350</v>
      </c>
    </row>
    <row r="115" spans="1:57" hidden="1" x14ac:dyDescent="0.3">
      <c r="B115" t="s">
        <v>101</v>
      </c>
      <c r="C115" t="s">
        <v>102</v>
      </c>
      <c r="D115" t="s">
        <v>389</v>
      </c>
      <c r="F115" t="s">
        <v>20</v>
      </c>
      <c r="G115" t="s">
        <v>20</v>
      </c>
      <c r="H115" t="s">
        <v>105</v>
      </c>
      <c r="I115" t="s">
        <v>390</v>
      </c>
      <c r="J115" t="s">
        <v>391</v>
      </c>
      <c r="K115" t="s">
        <v>172</v>
      </c>
      <c r="L115" t="s">
        <v>392</v>
      </c>
      <c r="M115" t="s">
        <v>291</v>
      </c>
      <c r="N115" s="1"/>
      <c r="O115" s="1"/>
      <c r="P115" s="1"/>
      <c r="Q11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5">
        <f>Portefeuille_MNT_PPS_Access13[[#This Row],[Délais PC1 et PC3]]+Portefeuille_MNT_PPS_Access13[[#This Row],[Délais PC3 et PC5]]</f>
        <v>0</v>
      </c>
      <c r="V115">
        <v>1</v>
      </c>
      <c r="Z115" t="s">
        <v>311</v>
      </c>
      <c r="AA11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15" s="12" t="e">
        <f>_xlfn.XLOOKUP(Portefeuille_MNT_PPS_Access13[[#This Row],[Numéro projet]],Tableau5[Numéro projet],Tableau5[IND_Site_Prioritaire])</f>
        <v>#N/A</v>
      </c>
      <c r="AC115" s="2" t="e">
        <f>_xlfn.XLOOKUP(Portefeuille_MNT_PPS_Access13[[#This Row],[Numéro projet]],Tableau5[Numéro projet],Tableau5[Critère Etat Infrastructure])</f>
        <v>#N/A</v>
      </c>
      <c r="AD11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5" s="2"/>
      <c r="AF115" s="63"/>
      <c r="AK115"/>
      <c r="AU115"/>
      <c r="AY115">
        <v>100</v>
      </c>
      <c r="BA115">
        <v>250</v>
      </c>
      <c r="BB115">
        <v>5000</v>
      </c>
      <c r="BE115" s="14">
        <f>SUM(Portefeuille_MNT_PPS_Access13[[#This Row],[AC ANT]:[TR 2034]])</f>
        <v>5350</v>
      </c>
    </row>
    <row r="116" spans="1:57" hidden="1" x14ac:dyDescent="0.3">
      <c r="B116" t="s">
        <v>101</v>
      </c>
      <c r="C116" t="s">
        <v>102</v>
      </c>
      <c r="D116" t="s">
        <v>103</v>
      </c>
      <c r="F116" t="s">
        <v>20</v>
      </c>
      <c r="G116" t="s">
        <v>20</v>
      </c>
      <c r="H116" t="s">
        <v>105</v>
      </c>
      <c r="I116" t="s">
        <v>393</v>
      </c>
      <c r="J116" t="s">
        <v>394</v>
      </c>
      <c r="K116" t="s">
        <v>122</v>
      </c>
      <c r="L116" t="s">
        <v>533</v>
      </c>
      <c r="M116" t="s">
        <v>291</v>
      </c>
      <c r="N116" s="1"/>
      <c r="O116" s="1"/>
      <c r="P116" s="1"/>
      <c r="Q11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6">
        <f>Portefeuille_MNT_PPS_Access13[[#This Row],[Délais PC1 et PC3]]+Portefeuille_MNT_PPS_Access13[[#This Row],[Délais PC3 et PC5]]</f>
        <v>0</v>
      </c>
      <c r="V116">
        <v>1</v>
      </c>
      <c r="Z116" t="s">
        <v>311</v>
      </c>
      <c r="AA11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16" s="12" t="e">
        <f>_xlfn.XLOOKUP(Portefeuille_MNT_PPS_Access13[[#This Row],[Numéro projet]],Tableau5[Numéro projet],Tableau5[IND_Site_Prioritaire])</f>
        <v>#N/A</v>
      </c>
      <c r="AC116" s="2" t="e">
        <f>_xlfn.XLOOKUP(Portefeuille_MNT_PPS_Access13[[#This Row],[Numéro projet]],Tableau5[Numéro projet],Tableau5[Critère Etat Infrastructure])</f>
        <v>#N/A</v>
      </c>
      <c r="AD11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6" s="2"/>
      <c r="AF116" s="63"/>
      <c r="AK116"/>
      <c r="AU116"/>
      <c r="BA116">
        <v>100</v>
      </c>
      <c r="BC116">
        <v>100</v>
      </c>
      <c r="BE116" s="14">
        <f>SUM(Portefeuille_MNT_PPS_Access13[[#This Row],[AC ANT]:[TR 2034]])</f>
        <v>200</v>
      </c>
    </row>
    <row r="117" spans="1:57" hidden="1" x14ac:dyDescent="0.3">
      <c r="B117" t="s">
        <v>101</v>
      </c>
      <c r="C117" t="s">
        <v>102</v>
      </c>
      <c r="D117" t="s">
        <v>119</v>
      </c>
      <c r="E117" t="s">
        <v>129</v>
      </c>
      <c r="F117" t="s">
        <v>20</v>
      </c>
      <c r="G117" t="s">
        <v>20</v>
      </c>
      <c r="H117" t="s">
        <v>131</v>
      </c>
      <c r="I117" t="s">
        <v>440</v>
      </c>
      <c r="J117" t="s">
        <v>441</v>
      </c>
      <c r="K117" t="s">
        <v>152</v>
      </c>
      <c r="L117" t="s">
        <v>197</v>
      </c>
      <c r="M117" t="s">
        <v>155</v>
      </c>
      <c r="N117" s="1">
        <v>46037</v>
      </c>
      <c r="O117" s="1">
        <v>46402</v>
      </c>
      <c r="P117" s="1">
        <v>46722</v>
      </c>
      <c r="Q11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11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1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12</v>
      </c>
      <c r="T11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11</v>
      </c>
      <c r="U117">
        <f>Portefeuille_MNT_PPS_Access13[[#This Row],[Délais PC1 et PC3]]+Portefeuille_MNT_PPS_Access13[[#This Row],[Délais PC3 et PC5]]</f>
        <v>23</v>
      </c>
      <c r="V117">
        <v>1</v>
      </c>
      <c r="W117">
        <v>1</v>
      </c>
      <c r="X117">
        <v>1</v>
      </c>
      <c r="Y117">
        <v>1</v>
      </c>
      <c r="Z117" t="s">
        <v>156</v>
      </c>
      <c r="AA11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1</v>
      </c>
      <c r="AB117" s="12" t="e">
        <f>_xlfn.XLOOKUP(Portefeuille_MNT_PPS_Access13[[#This Row],[Numéro projet]],Tableau5[Numéro projet],Tableau5[IND_Site_Prioritaire])</f>
        <v>#N/A</v>
      </c>
      <c r="AC117" s="2" t="e">
        <f>_xlfn.XLOOKUP(Portefeuille_MNT_PPS_Access13[[#This Row],[Numéro projet]],Tableau5[Numéro projet],Tableau5[Critère Etat Infrastructure])</f>
        <v>#N/A</v>
      </c>
      <c r="AD11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7" s="2"/>
      <c r="AF117" s="63"/>
      <c r="AK117"/>
      <c r="AM117">
        <v>75</v>
      </c>
      <c r="AO117">
        <v>75</v>
      </c>
      <c r="AQ117">
        <v>170</v>
      </c>
      <c r="AR117">
        <v>1000</v>
      </c>
      <c r="AU117"/>
      <c r="BE117" s="14">
        <f>SUM(Portefeuille_MNT_PPS_Access13[[#This Row],[AC ANT]:[TR 2034]])</f>
        <v>1320</v>
      </c>
    </row>
    <row r="118" spans="1:57" hidden="1" x14ac:dyDescent="0.3">
      <c r="B118" t="s">
        <v>101</v>
      </c>
      <c r="C118" t="s">
        <v>102</v>
      </c>
      <c r="D118" t="s">
        <v>389</v>
      </c>
      <c r="F118" t="s">
        <v>20</v>
      </c>
      <c r="G118" t="s">
        <v>20</v>
      </c>
      <c r="H118" t="s">
        <v>105</v>
      </c>
      <c r="I118" t="s">
        <v>428</v>
      </c>
      <c r="J118" t="s">
        <v>429</v>
      </c>
      <c r="K118" t="s">
        <v>302</v>
      </c>
      <c r="L118" t="s">
        <v>421</v>
      </c>
      <c r="M118" t="s">
        <v>291</v>
      </c>
      <c r="N118" s="1"/>
      <c r="O118" s="1"/>
      <c r="P118" s="1"/>
      <c r="Q11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8">
        <f>Portefeuille_MNT_PPS_Access13[[#This Row],[Délais PC1 et PC3]]+Portefeuille_MNT_PPS_Access13[[#This Row],[Délais PC3 et PC5]]</f>
        <v>0</v>
      </c>
      <c r="V118">
        <v>1</v>
      </c>
      <c r="Z118" t="s">
        <v>311</v>
      </c>
      <c r="AA11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18" s="12" t="e">
        <f>_xlfn.XLOOKUP(Portefeuille_MNT_PPS_Access13[[#This Row],[Numéro projet]],Tableau5[Numéro projet],Tableau5[IND_Site_Prioritaire])</f>
        <v>#N/A</v>
      </c>
      <c r="AC118" s="2" t="e">
        <f>_xlfn.XLOOKUP(Portefeuille_MNT_PPS_Access13[[#This Row],[Numéro projet]],Tableau5[Numéro projet],Tableau5[Critère Etat Infrastructure])</f>
        <v>#N/A</v>
      </c>
      <c r="AD11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8" s="2"/>
      <c r="AF118" s="63"/>
      <c r="AK118"/>
      <c r="AU118"/>
      <c r="AW118">
        <v>100</v>
      </c>
      <c r="AY118">
        <v>200</v>
      </c>
      <c r="AZ118">
        <v>5000</v>
      </c>
      <c r="BE118" s="14">
        <f>SUM(Portefeuille_MNT_PPS_Access13[[#This Row],[AC ANT]:[TR 2034]])</f>
        <v>5300</v>
      </c>
    </row>
    <row r="119" spans="1:57" hidden="1" x14ac:dyDescent="0.3">
      <c r="B119" t="s">
        <v>101</v>
      </c>
      <c r="C119" t="s">
        <v>102</v>
      </c>
      <c r="D119" t="s">
        <v>389</v>
      </c>
      <c r="F119" t="s">
        <v>20</v>
      </c>
      <c r="G119" t="s">
        <v>20</v>
      </c>
      <c r="H119" t="s">
        <v>105</v>
      </c>
      <c r="I119" t="s">
        <v>432</v>
      </c>
      <c r="J119" t="s">
        <v>433</v>
      </c>
      <c r="K119" t="s">
        <v>143</v>
      </c>
      <c r="L119" t="s">
        <v>370</v>
      </c>
      <c r="M119" t="s">
        <v>291</v>
      </c>
      <c r="N119" s="1"/>
      <c r="O119" s="1"/>
      <c r="P119" s="1"/>
      <c r="Q11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1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1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1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19">
        <f>Portefeuille_MNT_PPS_Access13[[#This Row],[Délais PC1 et PC3]]+Portefeuille_MNT_PPS_Access13[[#This Row],[Délais PC3 et PC5]]</f>
        <v>0</v>
      </c>
      <c r="V119">
        <v>1</v>
      </c>
      <c r="Z119" t="s">
        <v>311</v>
      </c>
      <c r="AA11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19" s="12" t="e">
        <f>_xlfn.XLOOKUP(Portefeuille_MNT_PPS_Access13[[#This Row],[Numéro projet]],Tableau5[Numéro projet],Tableau5[IND_Site_Prioritaire])</f>
        <v>#N/A</v>
      </c>
      <c r="AC119" s="2" t="e">
        <f>_xlfn.XLOOKUP(Portefeuille_MNT_PPS_Access13[[#This Row],[Numéro projet]],Tableau5[Numéro projet],Tableau5[Critère Etat Infrastructure])</f>
        <v>#N/A</v>
      </c>
      <c r="AD11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19" s="2"/>
      <c r="AF119" s="63"/>
      <c r="AK119"/>
      <c r="AU119">
        <v>100</v>
      </c>
      <c r="AW119">
        <v>200</v>
      </c>
      <c r="AX119">
        <v>5000</v>
      </c>
      <c r="BE119" s="14">
        <f>SUM(Portefeuille_MNT_PPS_Access13[[#This Row],[AC ANT]:[TR 2034]])</f>
        <v>5300</v>
      </c>
    </row>
    <row r="120" spans="1:57" hidden="1" x14ac:dyDescent="0.3">
      <c r="B120" t="s">
        <v>126</v>
      </c>
      <c r="C120" t="s">
        <v>127</v>
      </c>
      <c r="D120" t="s">
        <v>128</v>
      </c>
      <c r="E120" t="s">
        <v>252</v>
      </c>
      <c r="F120" t="s">
        <v>16</v>
      </c>
      <c r="G120" t="s">
        <v>16</v>
      </c>
      <c r="H120" t="s">
        <v>131</v>
      </c>
      <c r="I120" t="s">
        <v>434</v>
      </c>
      <c r="J120" t="s">
        <v>435</v>
      </c>
      <c r="K120" t="s">
        <v>147</v>
      </c>
      <c r="L120" t="s">
        <v>176</v>
      </c>
      <c r="M120" t="s">
        <v>123</v>
      </c>
      <c r="N120" s="1"/>
      <c r="O120" s="1"/>
      <c r="P120" s="1">
        <v>45413</v>
      </c>
      <c r="Q12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12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1492</v>
      </c>
      <c r="U120">
        <f>Portefeuille_MNT_PPS_Access13[[#This Row],[Délais PC1 et PC3]]+Portefeuille_MNT_PPS_Access13[[#This Row],[Délais PC3 et PC5]]</f>
        <v>1492</v>
      </c>
      <c r="V120">
        <v>1</v>
      </c>
      <c r="W120">
        <v>5</v>
      </c>
      <c r="Z120" t="s">
        <v>125</v>
      </c>
      <c r="AA120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120" s="12" t="e">
        <f>_xlfn.XLOOKUP(Portefeuille_MNT_PPS_Access13[[#This Row],[Numéro projet]],Tableau5[Numéro projet],Tableau5[IND_Site_Prioritaire])</f>
        <v>#N/A</v>
      </c>
      <c r="AC120" s="2" t="e">
        <f>_xlfn.XLOOKUP(Portefeuille_MNT_PPS_Access13[[#This Row],[Numéro projet]],Tableau5[Numéro projet],Tableau5[Critère Etat Infrastructure])</f>
        <v>#N/A</v>
      </c>
      <c r="AD120" s="12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100</v>
      </c>
      <c r="AE120" s="2">
        <v>5</v>
      </c>
      <c r="AF120" s="63"/>
      <c r="AI120">
        <v>5</v>
      </c>
      <c r="AJ120">
        <v>146</v>
      </c>
      <c r="AK120"/>
      <c r="AU120"/>
      <c r="BE120" s="14">
        <f>SUM(Portefeuille_MNT_PPS_Access13[[#This Row],[AC ANT]:[TR 2034]])</f>
        <v>151</v>
      </c>
    </row>
    <row r="121" spans="1:57" hidden="1" x14ac:dyDescent="0.3">
      <c r="B121" t="s">
        <v>101</v>
      </c>
      <c r="C121" t="s">
        <v>102</v>
      </c>
      <c r="D121" t="s">
        <v>200</v>
      </c>
      <c r="E121" t="s">
        <v>113</v>
      </c>
      <c r="F121" t="s">
        <v>20</v>
      </c>
      <c r="G121" t="s">
        <v>20</v>
      </c>
      <c r="H121" t="s">
        <v>131</v>
      </c>
      <c r="I121" t="s">
        <v>436</v>
      </c>
      <c r="J121" t="s">
        <v>437</v>
      </c>
      <c r="K121" t="s">
        <v>139</v>
      </c>
      <c r="L121" t="s">
        <v>169</v>
      </c>
      <c r="M121" t="s">
        <v>291</v>
      </c>
      <c r="N121" s="1"/>
      <c r="O121" s="1"/>
      <c r="P121" s="1"/>
      <c r="Q12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1">
        <f>Portefeuille_MNT_PPS_Access13[[#This Row],[Délais PC1 et PC3]]+Portefeuille_MNT_PPS_Access13[[#This Row],[Délais PC3 et PC5]]</f>
        <v>0</v>
      </c>
      <c r="V121">
        <v>1</v>
      </c>
      <c r="Z121" t="s">
        <v>311</v>
      </c>
      <c r="AA12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1" s="12" t="e">
        <f>_xlfn.XLOOKUP(Portefeuille_MNT_PPS_Access13[[#This Row],[Numéro projet]],Tableau5[Numéro projet],Tableau5[IND_Site_Prioritaire])</f>
        <v>#N/A</v>
      </c>
      <c r="AC121" s="2" t="e">
        <f>_xlfn.XLOOKUP(Portefeuille_MNT_PPS_Access13[[#This Row],[Numéro projet]],Tableau5[Numéro projet],Tableau5[Critère Etat Infrastructure])</f>
        <v>#N/A</v>
      </c>
      <c r="AD12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1" s="2"/>
      <c r="AF121" s="63"/>
      <c r="AK121"/>
      <c r="AM121">
        <v>50</v>
      </c>
      <c r="AO121">
        <v>50</v>
      </c>
      <c r="AQ121">
        <v>150</v>
      </c>
      <c r="AS121">
        <v>300</v>
      </c>
      <c r="AT121">
        <v>3000</v>
      </c>
      <c r="AU121"/>
      <c r="BE121" s="14">
        <f>SUM(Portefeuille_MNT_PPS_Access13[[#This Row],[AC ANT]:[TR 2034]])</f>
        <v>3550</v>
      </c>
    </row>
    <row r="122" spans="1:57" hidden="1" x14ac:dyDescent="0.3">
      <c r="B122" t="s">
        <v>118</v>
      </c>
      <c r="C122" t="s">
        <v>102</v>
      </c>
      <c r="D122" t="s">
        <v>177</v>
      </c>
      <c r="E122" t="s">
        <v>113</v>
      </c>
      <c r="F122" t="s">
        <v>20</v>
      </c>
      <c r="G122" t="s">
        <v>20</v>
      </c>
      <c r="H122" t="s">
        <v>131</v>
      </c>
      <c r="I122" t="s">
        <v>511</v>
      </c>
      <c r="J122" t="s">
        <v>512</v>
      </c>
      <c r="K122" t="s">
        <v>187</v>
      </c>
      <c r="L122" t="s">
        <v>197</v>
      </c>
      <c r="M122" t="s">
        <v>291</v>
      </c>
      <c r="N122" s="1"/>
      <c r="O122" s="1"/>
      <c r="P122" s="1"/>
      <c r="Q12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2">
        <f>Portefeuille_MNT_PPS_Access13[[#This Row],[Délais PC1 et PC3]]+Portefeuille_MNT_PPS_Access13[[#This Row],[Délais PC3 et PC5]]</f>
        <v>0</v>
      </c>
      <c r="V122">
        <v>1</v>
      </c>
      <c r="Z122" t="s">
        <v>311</v>
      </c>
      <c r="AA12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2" s="12" t="e">
        <f>_xlfn.XLOOKUP(Portefeuille_MNT_PPS_Access13[[#This Row],[Numéro projet]],Tableau5[Numéro projet],Tableau5[IND_Site_Prioritaire])</f>
        <v>#N/A</v>
      </c>
      <c r="AC122" s="2" t="e">
        <f>_xlfn.XLOOKUP(Portefeuille_MNT_PPS_Access13[[#This Row],[Numéro projet]],Tableau5[Numéro projet],Tableau5[Critère Etat Infrastructure])</f>
        <v>#N/A</v>
      </c>
      <c r="AD12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2" s="2"/>
      <c r="AF122" s="63"/>
      <c r="AK122"/>
      <c r="AM122">
        <v>75</v>
      </c>
      <c r="AO122">
        <v>100</v>
      </c>
      <c r="AQ122">
        <v>350</v>
      </c>
      <c r="AR122">
        <v>3500</v>
      </c>
      <c r="AU122"/>
      <c r="BE122" s="14">
        <f>SUM(Portefeuille_MNT_PPS_Access13[[#This Row],[AC ANT]:[TR 2034]])</f>
        <v>4025</v>
      </c>
    </row>
    <row r="123" spans="1:57" hidden="1" x14ac:dyDescent="0.3">
      <c r="B123" t="s">
        <v>101</v>
      </c>
      <c r="C123" t="s">
        <v>102</v>
      </c>
      <c r="D123" t="s">
        <v>177</v>
      </c>
      <c r="E123" t="s">
        <v>129</v>
      </c>
      <c r="F123" t="s">
        <v>20</v>
      </c>
      <c r="G123" t="s">
        <v>20</v>
      </c>
      <c r="H123" t="s">
        <v>131</v>
      </c>
      <c r="I123" t="s">
        <v>438</v>
      </c>
      <c r="J123" t="s">
        <v>439</v>
      </c>
      <c r="K123" t="s">
        <v>180</v>
      </c>
      <c r="L123" t="s">
        <v>169</v>
      </c>
      <c r="M123" t="s">
        <v>291</v>
      </c>
      <c r="N123" s="1"/>
      <c r="O123" s="1"/>
      <c r="P123" s="1"/>
      <c r="Q12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3">
        <f>Portefeuille_MNT_PPS_Access13[[#This Row],[Délais PC1 et PC3]]+Portefeuille_MNT_PPS_Access13[[#This Row],[Délais PC3 et PC5]]</f>
        <v>0</v>
      </c>
      <c r="V123">
        <v>1</v>
      </c>
      <c r="Z123" t="s">
        <v>311</v>
      </c>
      <c r="AA12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3" s="12" t="e">
        <f>_xlfn.XLOOKUP(Portefeuille_MNT_PPS_Access13[[#This Row],[Numéro projet]],Tableau5[Numéro projet],Tableau5[IND_Site_Prioritaire])</f>
        <v>#N/A</v>
      </c>
      <c r="AC123" s="2" t="e">
        <f>_xlfn.XLOOKUP(Portefeuille_MNT_PPS_Access13[[#This Row],[Numéro projet]],Tableau5[Numéro projet],Tableau5[Critère Etat Infrastructure])</f>
        <v>#N/A</v>
      </c>
      <c r="AD12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3" s="2"/>
      <c r="AF123" s="62"/>
      <c r="AK123"/>
      <c r="AQ123">
        <v>100</v>
      </c>
      <c r="AS123">
        <v>175</v>
      </c>
      <c r="AT123">
        <v>1500</v>
      </c>
      <c r="AU123"/>
      <c r="BE123" s="14">
        <f>SUM(Portefeuille_MNT_PPS_Access13[[#This Row],[AC ANT]:[TR 2034]])</f>
        <v>1775</v>
      </c>
    </row>
    <row r="124" spans="1:57" hidden="1" x14ac:dyDescent="0.3">
      <c r="B124" t="s">
        <v>126</v>
      </c>
      <c r="C124" t="s">
        <v>127</v>
      </c>
      <c r="D124" t="s">
        <v>103</v>
      </c>
      <c r="E124" t="s">
        <v>113</v>
      </c>
      <c r="F124" t="s">
        <v>20</v>
      </c>
      <c r="G124" t="s">
        <v>20</v>
      </c>
      <c r="H124" t="s">
        <v>105</v>
      </c>
      <c r="I124" t="s">
        <v>442</v>
      </c>
      <c r="J124" t="s">
        <v>526</v>
      </c>
      <c r="K124" t="s">
        <v>168</v>
      </c>
      <c r="L124" t="s">
        <v>184</v>
      </c>
      <c r="M124" t="s">
        <v>291</v>
      </c>
      <c r="N124" s="1"/>
      <c r="O124" s="1"/>
      <c r="P124" s="1"/>
      <c r="Q12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4">
        <f>Portefeuille_MNT_PPS_Access13[[#This Row],[Délais PC1 et PC3]]+Portefeuille_MNT_PPS_Access13[[#This Row],[Délais PC3 et PC5]]</f>
        <v>0</v>
      </c>
      <c r="V124">
        <v>1</v>
      </c>
      <c r="Z124" t="s">
        <v>311</v>
      </c>
      <c r="AA12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4" s="12" t="e">
        <f>_xlfn.XLOOKUP(Portefeuille_MNT_PPS_Access13[[#This Row],[Numéro projet]],Tableau5[Numéro projet],Tableau5[IND_Site_Prioritaire])</f>
        <v>#N/A</v>
      </c>
      <c r="AC124" s="2" t="e">
        <f>_xlfn.XLOOKUP(Portefeuille_MNT_PPS_Access13[[#This Row],[Numéro projet]],Tableau5[Numéro projet],Tableau5[Critère Etat Infrastructure])</f>
        <v>#N/A</v>
      </c>
      <c r="AD12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4" s="2"/>
      <c r="AF124" s="63"/>
      <c r="AK124"/>
      <c r="AQ124">
        <v>250</v>
      </c>
      <c r="AS124">
        <v>250</v>
      </c>
      <c r="AU124">
        <v>500</v>
      </c>
      <c r="AV124">
        <v>2500</v>
      </c>
      <c r="AW124">
        <v>500</v>
      </c>
      <c r="AX124">
        <v>7500</v>
      </c>
      <c r="AY124">
        <v>500</v>
      </c>
      <c r="AZ124">
        <v>5000</v>
      </c>
      <c r="BE124" s="14">
        <f>SUM(Portefeuille_MNT_PPS_Access13[[#This Row],[AC ANT]:[TR 2034]])</f>
        <v>17000</v>
      </c>
    </row>
    <row r="125" spans="1:57" hidden="1" x14ac:dyDescent="0.3">
      <c r="A125">
        <v>13</v>
      </c>
      <c r="B125" t="s">
        <v>101</v>
      </c>
      <c r="C125" t="s">
        <v>102</v>
      </c>
      <c r="D125" t="s">
        <v>128</v>
      </c>
      <c r="E125" t="s">
        <v>129</v>
      </c>
      <c r="F125" t="s">
        <v>20</v>
      </c>
      <c r="G125" t="s">
        <v>20</v>
      </c>
      <c r="H125" t="s">
        <v>131</v>
      </c>
      <c r="I125" t="s">
        <v>250</v>
      </c>
      <c r="J125" t="s">
        <v>251</v>
      </c>
      <c r="K125" t="s">
        <v>214</v>
      </c>
      <c r="L125" t="s">
        <v>197</v>
      </c>
      <c r="M125" t="s">
        <v>110</v>
      </c>
      <c r="N125" s="1">
        <v>45490</v>
      </c>
      <c r="O125" s="1"/>
      <c r="P125" s="1">
        <v>46447</v>
      </c>
      <c r="Q12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2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-1494</v>
      </c>
      <c r="T12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1526</v>
      </c>
      <c r="U125">
        <f>Portefeuille_MNT_PPS_Access13[[#This Row],[Délais PC1 et PC3]]+Portefeuille_MNT_PPS_Access13[[#This Row],[Délais PC3 et PC5]]</f>
        <v>32</v>
      </c>
      <c r="V125">
        <v>1</v>
      </c>
      <c r="W125">
        <v>1</v>
      </c>
      <c r="Y125">
        <v>5</v>
      </c>
      <c r="Z125" t="s">
        <v>112</v>
      </c>
      <c r="AA12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3</v>
      </c>
      <c r="AB125" s="12" t="e">
        <f>_xlfn.XLOOKUP(Portefeuille_MNT_PPS_Access13[[#This Row],[Numéro projet]],Tableau5[Numéro projet],Tableau5[IND_Site_Prioritaire])</f>
        <v>#N/A</v>
      </c>
      <c r="AC125" s="2" t="e">
        <f>_xlfn.XLOOKUP(Portefeuille_MNT_PPS_Access13[[#This Row],[Numéro projet]],Tableau5[Numéro projet],Tableau5[Critère Etat Infrastructure])</f>
        <v>#N/A</v>
      </c>
      <c r="AD12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5" s="2"/>
      <c r="AF125" s="63"/>
      <c r="AK125">
        <v>37</v>
      </c>
      <c r="AM125">
        <v>10</v>
      </c>
      <c r="AO125">
        <v>12</v>
      </c>
      <c r="AQ125">
        <v>30</v>
      </c>
      <c r="AR125">
        <v>194</v>
      </c>
      <c r="AU125"/>
      <c r="BE125" s="14">
        <f>SUM(Portefeuille_MNT_PPS_Access13[[#This Row],[AC ANT]:[TR 2034]])</f>
        <v>283</v>
      </c>
    </row>
    <row r="126" spans="1:57" hidden="1" x14ac:dyDescent="0.3">
      <c r="A126">
        <v>4</v>
      </c>
      <c r="B126" t="s">
        <v>126</v>
      </c>
      <c r="C126" t="s">
        <v>127</v>
      </c>
      <c r="D126" t="s">
        <v>128</v>
      </c>
      <c r="E126" t="s">
        <v>252</v>
      </c>
      <c r="F126" t="s">
        <v>20</v>
      </c>
      <c r="G126" t="s">
        <v>20</v>
      </c>
      <c r="H126" t="s">
        <v>131</v>
      </c>
      <c r="I126" t="s">
        <v>253</v>
      </c>
      <c r="J126" t="s">
        <v>254</v>
      </c>
      <c r="K126" t="s">
        <v>147</v>
      </c>
      <c r="L126" t="s">
        <v>148</v>
      </c>
      <c r="M126" t="s">
        <v>110</v>
      </c>
      <c r="N126" s="1">
        <v>45378</v>
      </c>
      <c r="O126" s="1"/>
      <c r="P126" s="1">
        <v>45611</v>
      </c>
      <c r="Q12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5.Respect OPC</v>
      </c>
      <c r="S12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-1490</v>
      </c>
      <c r="T12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1498</v>
      </c>
      <c r="U126">
        <f>Portefeuille_MNT_PPS_Access13[[#This Row],[Délais PC1 et PC3]]+Portefeuille_MNT_PPS_Access13[[#This Row],[Délais PC3 et PC5]]</f>
        <v>8</v>
      </c>
      <c r="V126">
        <v>1</v>
      </c>
      <c r="W126">
        <v>5</v>
      </c>
      <c r="Y126">
        <v>5</v>
      </c>
      <c r="Z126" t="s">
        <v>112</v>
      </c>
      <c r="AA126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126" s="12" t="e">
        <f>_xlfn.XLOOKUP(Portefeuille_MNT_PPS_Access13[[#This Row],[Numéro projet]],Tableau5[Numéro projet],Tableau5[IND_Site_Prioritaire])</f>
        <v>#N/A</v>
      </c>
      <c r="AC126" s="2" t="e">
        <f>_xlfn.XLOOKUP(Portefeuille_MNT_PPS_Access13[[#This Row],[Numéro projet]],Tableau5[Numéro projet],Tableau5[Critère Etat Infrastructure])</f>
        <v>#N/A</v>
      </c>
      <c r="AD12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6" s="2"/>
      <c r="AF126" s="63"/>
      <c r="AK126">
        <v>10</v>
      </c>
      <c r="AL126">
        <v>39</v>
      </c>
      <c r="AU126"/>
      <c r="BE126" s="14">
        <f>SUM(Portefeuille_MNT_PPS_Access13[[#This Row],[AC ANT]:[TR 2034]])</f>
        <v>49</v>
      </c>
    </row>
    <row r="127" spans="1:57" hidden="1" x14ac:dyDescent="0.3">
      <c r="B127" t="s">
        <v>101</v>
      </c>
      <c r="C127" t="s">
        <v>102</v>
      </c>
      <c r="D127" t="s">
        <v>103</v>
      </c>
      <c r="F127" t="s">
        <v>20</v>
      </c>
      <c r="G127" t="s">
        <v>20</v>
      </c>
      <c r="H127" t="s">
        <v>105</v>
      </c>
      <c r="I127" t="s">
        <v>444</v>
      </c>
      <c r="J127" t="s">
        <v>445</v>
      </c>
      <c r="K127" t="s">
        <v>302</v>
      </c>
      <c r="L127" t="s">
        <v>421</v>
      </c>
      <c r="M127" t="s">
        <v>291</v>
      </c>
      <c r="N127" s="1"/>
      <c r="O127" s="1"/>
      <c r="P127" s="1"/>
      <c r="Q12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7">
        <f>Portefeuille_MNT_PPS_Access13[[#This Row],[Délais PC1 et PC3]]+Portefeuille_MNT_PPS_Access13[[#This Row],[Délais PC3 et PC5]]</f>
        <v>0</v>
      </c>
      <c r="V127">
        <v>1</v>
      </c>
      <c r="Z127" t="s">
        <v>311</v>
      </c>
      <c r="AA12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7" s="12" t="e">
        <f>_xlfn.XLOOKUP(Portefeuille_MNT_PPS_Access13[[#This Row],[Numéro projet]],Tableau5[Numéro projet],Tableau5[IND_Site_Prioritaire])</f>
        <v>#N/A</v>
      </c>
      <c r="AC127" s="2" t="e">
        <f>_xlfn.XLOOKUP(Portefeuille_MNT_PPS_Access13[[#This Row],[Numéro projet]],Tableau5[Numéro projet],Tableau5[Critère Etat Infrastructure])</f>
        <v>#N/A</v>
      </c>
      <c r="AD12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7" s="2"/>
      <c r="AF127" s="63"/>
      <c r="AK127"/>
      <c r="AU127">
        <v>150</v>
      </c>
      <c r="AW127">
        <v>150</v>
      </c>
      <c r="AY127">
        <v>600</v>
      </c>
      <c r="AZ127">
        <v>12000</v>
      </c>
      <c r="BE127" s="14">
        <f>SUM(Portefeuille_MNT_PPS_Access13[[#This Row],[AC ANT]:[TR 2034]])</f>
        <v>12900</v>
      </c>
    </row>
    <row r="128" spans="1:57" hidden="1" x14ac:dyDescent="0.3">
      <c r="B128" t="s">
        <v>101</v>
      </c>
      <c r="C128" t="s">
        <v>102</v>
      </c>
      <c r="D128" t="s">
        <v>103</v>
      </c>
      <c r="F128" t="s">
        <v>20</v>
      </c>
      <c r="G128" t="s">
        <v>20</v>
      </c>
      <c r="H128" t="s">
        <v>105</v>
      </c>
      <c r="I128" t="s">
        <v>446</v>
      </c>
      <c r="J128" t="s">
        <v>447</v>
      </c>
      <c r="K128" t="s">
        <v>168</v>
      </c>
      <c r="L128" t="s">
        <v>395</v>
      </c>
      <c r="M128" t="s">
        <v>291</v>
      </c>
      <c r="N128" s="1"/>
      <c r="O128" s="1"/>
      <c r="P128" s="1"/>
      <c r="Q12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8">
        <f>Portefeuille_MNT_PPS_Access13[[#This Row],[Délais PC1 et PC3]]+Portefeuille_MNT_PPS_Access13[[#This Row],[Délais PC3 et PC5]]</f>
        <v>0</v>
      </c>
      <c r="V128">
        <v>1</v>
      </c>
      <c r="Z128" t="s">
        <v>311</v>
      </c>
      <c r="AA12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8" s="12" t="e">
        <f>_xlfn.XLOOKUP(Portefeuille_MNT_PPS_Access13[[#This Row],[Numéro projet]],Tableau5[Numéro projet],Tableau5[IND_Site_Prioritaire])</f>
        <v>#N/A</v>
      </c>
      <c r="AC128" s="2" t="e">
        <f>_xlfn.XLOOKUP(Portefeuille_MNT_PPS_Access13[[#This Row],[Numéro projet]],Tableau5[Numéro projet],Tableau5[Critère Etat Infrastructure])</f>
        <v>#N/A</v>
      </c>
      <c r="AD12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8" s="2"/>
      <c r="AF128" s="63"/>
      <c r="AK128"/>
      <c r="AU128"/>
      <c r="AY128">
        <v>150</v>
      </c>
      <c r="BA128">
        <v>150</v>
      </c>
      <c r="BC128">
        <v>600</v>
      </c>
      <c r="BD128">
        <v>12000</v>
      </c>
      <c r="BE128" s="14">
        <f>SUM(Portefeuille_MNT_PPS_Access13[[#This Row],[AC ANT]:[TR 2034]])</f>
        <v>12900</v>
      </c>
    </row>
    <row r="129" spans="1:57" hidden="1" x14ac:dyDescent="0.3">
      <c r="B129" t="s">
        <v>118</v>
      </c>
      <c r="C129" t="s">
        <v>102</v>
      </c>
      <c r="D129" t="s">
        <v>177</v>
      </c>
      <c r="E129" t="s">
        <v>252</v>
      </c>
      <c r="F129" t="s">
        <v>20</v>
      </c>
      <c r="G129" t="s">
        <v>20</v>
      </c>
      <c r="H129" t="s">
        <v>131</v>
      </c>
      <c r="I129" t="s">
        <v>448</v>
      </c>
      <c r="J129" t="s">
        <v>449</v>
      </c>
      <c r="K129" t="s">
        <v>159</v>
      </c>
      <c r="L129" t="s">
        <v>109</v>
      </c>
      <c r="M129" t="s">
        <v>291</v>
      </c>
      <c r="N129" s="1"/>
      <c r="O129" s="1"/>
      <c r="P129" s="1"/>
      <c r="Q12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2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2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2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29">
        <f>Portefeuille_MNT_PPS_Access13[[#This Row],[Délais PC1 et PC3]]+Portefeuille_MNT_PPS_Access13[[#This Row],[Délais PC3 et PC5]]</f>
        <v>0</v>
      </c>
      <c r="V129">
        <v>1</v>
      </c>
      <c r="Z129" t="s">
        <v>311</v>
      </c>
      <c r="AA12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29" s="12" t="e">
        <f>_xlfn.XLOOKUP(Portefeuille_MNT_PPS_Access13[[#This Row],[Numéro projet]],Tableau5[Numéro projet],Tableau5[IND_Site_Prioritaire])</f>
        <v>#N/A</v>
      </c>
      <c r="AC129" s="2" t="e">
        <f>_xlfn.XLOOKUP(Portefeuille_MNT_PPS_Access13[[#This Row],[Numéro projet]],Tableau5[Numéro projet],Tableau5[Critère Etat Infrastructure])</f>
        <v>#N/A</v>
      </c>
      <c r="AD12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29" s="2"/>
      <c r="AF129" s="63"/>
      <c r="AK129"/>
      <c r="AN129">
        <v>100</v>
      </c>
      <c r="AU129"/>
      <c r="BE129" s="14">
        <f>SUM(Portefeuille_MNT_PPS_Access13[[#This Row],[AC ANT]:[TR 2034]])</f>
        <v>100</v>
      </c>
    </row>
    <row r="130" spans="1:57" hidden="1" x14ac:dyDescent="0.3">
      <c r="B130" t="s">
        <v>118</v>
      </c>
      <c r="C130" t="s">
        <v>102</v>
      </c>
      <c r="D130" t="s">
        <v>119</v>
      </c>
      <c r="E130" t="s">
        <v>252</v>
      </c>
      <c r="F130" t="s">
        <v>20</v>
      </c>
      <c r="G130" t="s">
        <v>20</v>
      </c>
      <c r="H130" t="s">
        <v>131</v>
      </c>
      <c r="I130" t="s">
        <v>450</v>
      </c>
      <c r="J130" t="s">
        <v>451</v>
      </c>
      <c r="K130" t="s">
        <v>214</v>
      </c>
      <c r="L130" t="s">
        <v>109</v>
      </c>
      <c r="M130" t="s">
        <v>291</v>
      </c>
      <c r="N130" s="1"/>
      <c r="O130" s="1"/>
      <c r="P130" s="1"/>
      <c r="Q13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0">
        <f>Portefeuille_MNT_PPS_Access13[[#This Row],[Délais PC1 et PC3]]+Portefeuille_MNT_PPS_Access13[[#This Row],[Délais PC3 et PC5]]</f>
        <v>0</v>
      </c>
      <c r="V130">
        <v>1</v>
      </c>
      <c r="Z130" t="s">
        <v>311</v>
      </c>
      <c r="AA13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0" s="12" t="e">
        <f>_xlfn.XLOOKUP(Portefeuille_MNT_PPS_Access13[[#This Row],[Numéro projet]],Tableau5[Numéro projet],Tableau5[IND_Site_Prioritaire])</f>
        <v>#N/A</v>
      </c>
      <c r="AC130" s="2" t="e">
        <f>_xlfn.XLOOKUP(Portefeuille_MNT_PPS_Access13[[#This Row],[Numéro projet]],Tableau5[Numéro projet],Tableau5[Critère Etat Infrastructure])</f>
        <v>#N/A</v>
      </c>
      <c r="AD13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0" s="2"/>
      <c r="AF130" s="63"/>
      <c r="AK130"/>
      <c r="AN130">
        <v>40</v>
      </c>
      <c r="AU130"/>
      <c r="BE130" s="14">
        <f>SUM(Portefeuille_MNT_PPS_Access13[[#This Row],[AC ANT]:[TR 2034]])</f>
        <v>40</v>
      </c>
    </row>
    <row r="131" spans="1:57" hidden="1" x14ac:dyDescent="0.3">
      <c r="A131">
        <v>11</v>
      </c>
      <c r="B131" t="s">
        <v>118</v>
      </c>
      <c r="C131" t="s">
        <v>102</v>
      </c>
      <c r="D131" t="s">
        <v>136</v>
      </c>
      <c r="E131" t="s">
        <v>252</v>
      </c>
      <c r="F131" t="s">
        <v>20</v>
      </c>
      <c r="G131" t="s">
        <v>20</v>
      </c>
      <c r="H131" t="s">
        <v>131</v>
      </c>
      <c r="I131" t="s">
        <v>255</v>
      </c>
      <c r="J131" t="s">
        <v>529</v>
      </c>
      <c r="K131" t="s">
        <v>209</v>
      </c>
      <c r="L131" t="s">
        <v>109</v>
      </c>
      <c r="M131" t="s">
        <v>291</v>
      </c>
      <c r="N131" s="1"/>
      <c r="O131" s="1"/>
      <c r="P131" s="1"/>
      <c r="Q13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1">
        <f>Portefeuille_MNT_PPS_Access13[[#This Row],[Délais PC1 et PC3]]+Portefeuille_MNT_PPS_Access13[[#This Row],[Délais PC3 et PC5]]</f>
        <v>0</v>
      </c>
      <c r="V131">
        <v>1</v>
      </c>
      <c r="Z131" t="s">
        <v>311</v>
      </c>
      <c r="AA13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1" s="12" t="e">
        <f>_xlfn.XLOOKUP(Portefeuille_MNT_PPS_Access13[[#This Row],[Numéro projet]],Tableau5[Numéro projet],Tableau5[IND_Site_Prioritaire])</f>
        <v>#N/A</v>
      </c>
      <c r="AC131" s="2" t="e">
        <f>_xlfn.XLOOKUP(Portefeuille_MNT_PPS_Access13[[#This Row],[Numéro projet]],Tableau5[Numéro projet],Tableau5[Critère Etat Infrastructure])</f>
        <v>#N/A</v>
      </c>
      <c r="AD13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1" s="2"/>
      <c r="AF131" s="62"/>
      <c r="AK131">
        <v>60</v>
      </c>
      <c r="AM131">
        <v>20</v>
      </c>
      <c r="AN131">
        <v>540</v>
      </c>
      <c r="AU131"/>
      <c r="BE131" s="14">
        <f>SUM(Portefeuille_MNT_PPS_Access13[[#This Row],[AC ANT]:[TR 2034]])</f>
        <v>620</v>
      </c>
    </row>
    <row r="132" spans="1:57" hidden="1" x14ac:dyDescent="0.3">
      <c r="A132">
        <v>12</v>
      </c>
      <c r="B132" t="s">
        <v>118</v>
      </c>
      <c r="C132" t="s">
        <v>102</v>
      </c>
      <c r="D132" t="s">
        <v>103</v>
      </c>
      <c r="E132" t="s">
        <v>252</v>
      </c>
      <c r="F132" t="s">
        <v>20</v>
      </c>
      <c r="G132" t="s">
        <v>20</v>
      </c>
      <c r="H132" t="s">
        <v>131</v>
      </c>
      <c r="I132" t="s">
        <v>257</v>
      </c>
      <c r="J132" t="s">
        <v>258</v>
      </c>
      <c r="K132" t="s">
        <v>180</v>
      </c>
      <c r="L132" t="s">
        <v>148</v>
      </c>
      <c r="M132" t="s">
        <v>291</v>
      </c>
      <c r="N132" s="1"/>
      <c r="O132" s="1"/>
      <c r="P132" s="1"/>
      <c r="Q13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2">
        <f>Portefeuille_MNT_PPS_Access13[[#This Row],[Délais PC1 et PC3]]+Portefeuille_MNT_PPS_Access13[[#This Row],[Délais PC3 et PC5]]</f>
        <v>0</v>
      </c>
      <c r="V132">
        <v>1</v>
      </c>
      <c r="Z132" t="s">
        <v>311</v>
      </c>
      <c r="AA13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2" s="12" t="e">
        <f>_xlfn.XLOOKUP(Portefeuille_MNT_PPS_Access13[[#This Row],[Numéro projet]],Tableau5[Numéro projet],Tableau5[IND_Site_Prioritaire])</f>
        <v>#N/A</v>
      </c>
      <c r="AC132" s="2" t="e">
        <f>_xlfn.XLOOKUP(Portefeuille_MNT_PPS_Access13[[#This Row],[Numéro projet]],Tableau5[Numéro projet],Tableau5[Critère Etat Infrastructure])</f>
        <v>#N/A</v>
      </c>
      <c r="AD13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2" s="2"/>
      <c r="AF132" s="62"/>
      <c r="AK132"/>
      <c r="AL132">
        <v>300</v>
      </c>
      <c r="AU132"/>
      <c r="BE132" s="14">
        <f>SUM(Portefeuille_MNT_PPS_Access13[[#This Row],[AC ANT]:[TR 2034]])</f>
        <v>300</v>
      </c>
    </row>
    <row r="133" spans="1:57" hidden="1" x14ac:dyDescent="0.3">
      <c r="A133">
        <v>5</v>
      </c>
      <c r="B133" t="s">
        <v>126</v>
      </c>
      <c r="C133" t="s">
        <v>127</v>
      </c>
      <c r="D133" t="s">
        <v>128</v>
      </c>
      <c r="E133" t="s">
        <v>252</v>
      </c>
      <c r="F133" t="s">
        <v>20</v>
      </c>
      <c r="G133" t="s">
        <v>20</v>
      </c>
      <c r="H133" t="s">
        <v>131</v>
      </c>
      <c r="I133" t="s">
        <v>259</v>
      </c>
      <c r="J133" t="s">
        <v>260</v>
      </c>
      <c r="K133" t="s">
        <v>159</v>
      </c>
      <c r="L133" t="s">
        <v>148</v>
      </c>
      <c r="M133" t="s">
        <v>291</v>
      </c>
      <c r="N133" s="1"/>
      <c r="O133" s="1"/>
      <c r="P133" s="1"/>
      <c r="Q13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3">
        <f>Portefeuille_MNT_PPS_Access13[[#This Row],[Délais PC1 et PC3]]+Portefeuille_MNT_PPS_Access13[[#This Row],[Délais PC3 et PC5]]</f>
        <v>0</v>
      </c>
      <c r="V133">
        <v>1</v>
      </c>
      <c r="Z133" t="s">
        <v>311</v>
      </c>
      <c r="AA13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3" s="12" t="e">
        <f>_xlfn.XLOOKUP(Portefeuille_MNT_PPS_Access13[[#This Row],[Numéro projet]],Tableau5[Numéro projet],Tableau5[IND_Site_Prioritaire])</f>
        <v>#N/A</v>
      </c>
      <c r="AC133" s="2" t="e">
        <f>_xlfn.XLOOKUP(Portefeuille_MNT_PPS_Access13[[#This Row],[Numéro projet]],Tableau5[Numéro projet],Tableau5[Critère Etat Infrastructure])</f>
        <v>#N/A</v>
      </c>
      <c r="AD13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3" s="2"/>
      <c r="AF133" s="63"/>
      <c r="AK133">
        <v>15</v>
      </c>
      <c r="AL133">
        <v>85</v>
      </c>
      <c r="AU133"/>
      <c r="BE133" s="14">
        <f>SUM(Portefeuille_MNT_PPS_Access13[[#This Row],[AC ANT]:[TR 2034]])</f>
        <v>100</v>
      </c>
    </row>
    <row r="134" spans="1:57" hidden="1" x14ac:dyDescent="0.3">
      <c r="B134" t="s">
        <v>101</v>
      </c>
      <c r="C134" t="s">
        <v>102</v>
      </c>
      <c r="D134" t="s">
        <v>136</v>
      </c>
      <c r="F134" t="s">
        <v>20</v>
      </c>
      <c r="G134" t="s">
        <v>20</v>
      </c>
      <c r="H134" t="s">
        <v>105</v>
      </c>
      <c r="I134" t="s">
        <v>454</v>
      </c>
      <c r="J134" t="s">
        <v>455</v>
      </c>
      <c r="K134" t="s">
        <v>143</v>
      </c>
      <c r="L134" t="s">
        <v>370</v>
      </c>
      <c r="M134" t="s">
        <v>291</v>
      </c>
      <c r="N134" s="1"/>
      <c r="O134" s="1"/>
      <c r="P134" s="1"/>
      <c r="Q13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4">
        <f>Portefeuille_MNT_PPS_Access13[[#This Row],[Délais PC1 et PC3]]+Portefeuille_MNT_PPS_Access13[[#This Row],[Délais PC3 et PC5]]</f>
        <v>0</v>
      </c>
      <c r="V134">
        <v>1</v>
      </c>
      <c r="Z134" t="s">
        <v>311</v>
      </c>
      <c r="AA13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4" s="12" t="e">
        <f>_xlfn.XLOOKUP(Portefeuille_MNT_PPS_Access13[[#This Row],[Numéro projet]],Tableau5[Numéro projet],Tableau5[IND_Site_Prioritaire])</f>
        <v>#N/A</v>
      </c>
      <c r="AC134" s="2" t="e">
        <f>_xlfn.XLOOKUP(Portefeuille_MNT_PPS_Access13[[#This Row],[Numéro projet]],Tableau5[Numéro projet],Tableau5[Critère Etat Infrastructure])</f>
        <v>#N/A</v>
      </c>
      <c r="AD13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4" s="2"/>
      <c r="AF134" s="63"/>
      <c r="AK134"/>
      <c r="AS134">
        <v>150</v>
      </c>
      <c r="AU134">
        <v>150</v>
      </c>
      <c r="AW134">
        <v>500</v>
      </c>
      <c r="AX134">
        <v>6800</v>
      </c>
      <c r="BE134" s="14">
        <f>SUM(Portefeuille_MNT_PPS_Access13[[#This Row],[AC ANT]:[TR 2034]])</f>
        <v>7600</v>
      </c>
    </row>
    <row r="135" spans="1:57" hidden="1" x14ac:dyDescent="0.3">
      <c r="B135" t="s">
        <v>101</v>
      </c>
      <c r="C135" t="s">
        <v>102</v>
      </c>
      <c r="D135" t="s">
        <v>136</v>
      </c>
      <c r="F135" t="s">
        <v>20</v>
      </c>
      <c r="G135" t="s">
        <v>20</v>
      </c>
      <c r="H135" t="s">
        <v>105</v>
      </c>
      <c r="I135" t="s">
        <v>456</v>
      </c>
      <c r="J135" t="s">
        <v>457</v>
      </c>
      <c r="K135" t="s">
        <v>402</v>
      </c>
      <c r="L135" t="s">
        <v>421</v>
      </c>
      <c r="M135" t="s">
        <v>291</v>
      </c>
      <c r="N135" s="1"/>
      <c r="O135" s="1"/>
      <c r="P135" s="1"/>
      <c r="Q13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5">
        <f>Portefeuille_MNT_PPS_Access13[[#This Row],[Délais PC1 et PC3]]+Portefeuille_MNT_PPS_Access13[[#This Row],[Délais PC3 et PC5]]</f>
        <v>0</v>
      </c>
      <c r="V135">
        <v>1</v>
      </c>
      <c r="Z135" t="s">
        <v>311</v>
      </c>
      <c r="AA13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5" s="12" t="e">
        <f>_xlfn.XLOOKUP(Portefeuille_MNT_PPS_Access13[[#This Row],[Numéro projet]],Tableau5[Numéro projet],Tableau5[IND_Site_Prioritaire])</f>
        <v>#N/A</v>
      </c>
      <c r="AC135" s="2" t="e">
        <f>_xlfn.XLOOKUP(Portefeuille_MNT_PPS_Access13[[#This Row],[Numéro projet]],Tableau5[Numéro projet],Tableau5[Critère Etat Infrastructure])</f>
        <v>#N/A</v>
      </c>
      <c r="AD13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5" s="2"/>
      <c r="AF135" s="63"/>
      <c r="AK135"/>
      <c r="AU135">
        <v>150</v>
      </c>
      <c r="AW135">
        <v>150</v>
      </c>
      <c r="AY135">
        <v>500</v>
      </c>
      <c r="AZ135">
        <v>6800</v>
      </c>
      <c r="BE135" s="14">
        <f>SUM(Portefeuille_MNT_PPS_Access13[[#This Row],[AC ANT]:[TR 2034]])</f>
        <v>7600</v>
      </c>
    </row>
    <row r="136" spans="1:57" hidden="1" x14ac:dyDescent="0.3">
      <c r="B136" t="s">
        <v>101</v>
      </c>
      <c r="C136" t="s">
        <v>102</v>
      </c>
      <c r="D136" t="s">
        <v>136</v>
      </c>
      <c r="F136" t="s">
        <v>20</v>
      </c>
      <c r="G136" t="s">
        <v>20</v>
      </c>
      <c r="H136" t="s">
        <v>105</v>
      </c>
      <c r="I136" t="s">
        <v>458</v>
      </c>
      <c r="J136" t="s">
        <v>459</v>
      </c>
      <c r="K136" t="s">
        <v>239</v>
      </c>
      <c r="L136" t="s">
        <v>421</v>
      </c>
      <c r="M136" t="s">
        <v>291</v>
      </c>
      <c r="N136" s="1"/>
      <c r="O136" s="1"/>
      <c r="P136" s="1"/>
      <c r="Q13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6">
        <f>Portefeuille_MNT_PPS_Access13[[#This Row],[Délais PC1 et PC3]]+Portefeuille_MNT_PPS_Access13[[#This Row],[Délais PC3 et PC5]]</f>
        <v>0</v>
      </c>
      <c r="V136">
        <v>1</v>
      </c>
      <c r="Z136" t="s">
        <v>311</v>
      </c>
      <c r="AA13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6" s="12" t="e">
        <f>_xlfn.XLOOKUP(Portefeuille_MNT_PPS_Access13[[#This Row],[Numéro projet]],Tableau5[Numéro projet],Tableau5[IND_Site_Prioritaire])</f>
        <v>#N/A</v>
      </c>
      <c r="AC136" s="2" t="e">
        <f>_xlfn.XLOOKUP(Portefeuille_MNT_PPS_Access13[[#This Row],[Numéro projet]],Tableau5[Numéro projet],Tableau5[Critère Etat Infrastructure])</f>
        <v>#N/A</v>
      </c>
      <c r="AD13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6" s="2"/>
      <c r="AF136" s="63"/>
      <c r="AK136"/>
      <c r="AU136">
        <v>150</v>
      </c>
      <c r="AW136">
        <v>150</v>
      </c>
      <c r="AY136">
        <v>500</v>
      </c>
      <c r="AZ136">
        <v>6500</v>
      </c>
      <c r="BE136" s="14">
        <f>SUM(Portefeuille_MNT_PPS_Access13[[#This Row],[AC ANT]:[TR 2034]])</f>
        <v>7300</v>
      </c>
    </row>
    <row r="137" spans="1:57" hidden="1" x14ac:dyDescent="0.3">
      <c r="B137" t="s">
        <v>101</v>
      </c>
      <c r="C137" t="s">
        <v>102</v>
      </c>
      <c r="D137" t="s">
        <v>136</v>
      </c>
      <c r="F137" t="s">
        <v>20</v>
      </c>
      <c r="G137" t="s">
        <v>20</v>
      </c>
      <c r="H137" t="s">
        <v>105</v>
      </c>
      <c r="I137" t="s">
        <v>460</v>
      </c>
      <c r="J137" t="s">
        <v>461</v>
      </c>
      <c r="K137" t="s">
        <v>108</v>
      </c>
      <c r="L137" t="s">
        <v>395</v>
      </c>
      <c r="M137" t="s">
        <v>291</v>
      </c>
      <c r="N137" s="1"/>
      <c r="O137" s="1"/>
      <c r="P137" s="1"/>
      <c r="Q13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7">
        <f>Portefeuille_MNT_PPS_Access13[[#This Row],[Délais PC1 et PC3]]+Portefeuille_MNT_PPS_Access13[[#This Row],[Délais PC3 et PC5]]</f>
        <v>0</v>
      </c>
      <c r="V137">
        <v>1</v>
      </c>
      <c r="Z137" t="s">
        <v>311</v>
      </c>
      <c r="AA13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7" s="12" t="e">
        <f>_xlfn.XLOOKUP(Portefeuille_MNT_PPS_Access13[[#This Row],[Numéro projet]],Tableau5[Numéro projet],Tableau5[IND_Site_Prioritaire])</f>
        <v>#N/A</v>
      </c>
      <c r="AC137" s="2" t="e">
        <f>_xlfn.XLOOKUP(Portefeuille_MNT_PPS_Access13[[#This Row],[Numéro projet]],Tableau5[Numéro projet],Tableau5[Critère Etat Infrastructure])</f>
        <v>#N/A</v>
      </c>
      <c r="AD13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7" s="2"/>
      <c r="AF137" s="63"/>
      <c r="AK137"/>
      <c r="AU137"/>
      <c r="AY137">
        <v>150</v>
      </c>
      <c r="BA137">
        <v>150</v>
      </c>
      <c r="BC137">
        <v>500</v>
      </c>
      <c r="BD137">
        <v>7400</v>
      </c>
      <c r="BE137" s="14">
        <f>SUM(Portefeuille_MNT_PPS_Access13[[#This Row],[AC ANT]:[TR 2034]])</f>
        <v>8200</v>
      </c>
    </row>
    <row r="138" spans="1:57" hidden="1" x14ac:dyDescent="0.3">
      <c r="B138" t="s">
        <v>101</v>
      </c>
      <c r="C138" t="s">
        <v>102</v>
      </c>
      <c r="D138" t="s">
        <v>136</v>
      </c>
      <c r="F138" t="s">
        <v>20</v>
      </c>
      <c r="G138" t="s">
        <v>20</v>
      </c>
      <c r="H138" t="s">
        <v>105</v>
      </c>
      <c r="I138" t="s">
        <v>462</v>
      </c>
      <c r="J138" t="s">
        <v>463</v>
      </c>
      <c r="K138" t="s">
        <v>230</v>
      </c>
      <c r="L138" t="s">
        <v>421</v>
      </c>
      <c r="M138" t="s">
        <v>291</v>
      </c>
      <c r="N138" s="1"/>
      <c r="O138" s="1"/>
      <c r="P138" s="1"/>
      <c r="Q13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8">
        <f>Portefeuille_MNT_PPS_Access13[[#This Row],[Délais PC1 et PC3]]+Portefeuille_MNT_PPS_Access13[[#This Row],[Délais PC3 et PC5]]</f>
        <v>0</v>
      </c>
      <c r="V138">
        <v>1</v>
      </c>
      <c r="Z138" t="s">
        <v>311</v>
      </c>
      <c r="AA13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8" s="12" t="e">
        <f>_xlfn.XLOOKUP(Portefeuille_MNT_PPS_Access13[[#This Row],[Numéro projet]],Tableau5[Numéro projet],Tableau5[IND_Site_Prioritaire])</f>
        <v>#N/A</v>
      </c>
      <c r="AC138" s="2" t="e">
        <f>_xlfn.XLOOKUP(Portefeuille_MNT_PPS_Access13[[#This Row],[Numéro projet]],Tableau5[Numéro projet],Tableau5[Critère Etat Infrastructure])</f>
        <v>#N/A</v>
      </c>
      <c r="AD13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8" s="2"/>
      <c r="AF138" s="63"/>
      <c r="AK138"/>
      <c r="AU138">
        <v>150</v>
      </c>
      <c r="AW138">
        <v>150</v>
      </c>
      <c r="AY138">
        <v>500</v>
      </c>
      <c r="AZ138">
        <v>6800</v>
      </c>
      <c r="BE138" s="14">
        <f>SUM(Portefeuille_MNT_PPS_Access13[[#This Row],[AC ANT]:[TR 2034]])</f>
        <v>7600</v>
      </c>
    </row>
    <row r="139" spans="1:57" hidden="1" x14ac:dyDescent="0.3">
      <c r="B139" t="s">
        <v>101</v>
      </c>
      <c r="C139" t="s">
        <v>102</v>
      </c>
      <c r="D139" t="s">
        <v>136</v>
      </c>
      <c r="F139" t="s">
        <v>20</v>
      </c>
      <c r="G139" t="s">
        <v>20</v>
      </c>
      <c r="H139" t="s">
        <v>105</v>
      </c>
      <c r="I139" t="s">
        <v>464</v>
      </c>
      <c r="J139" t="s">
        <v>465</v>
      </c>
      <c r="K139" t="s">
        <v>116</v>
      </c>
      <c r="L139" t="s">
        <v>421</v>
      </c>
      <c r="M139" t="s">
        <v>291</v>
      </c>
      <c r="N139" s="1"/>
      <c r="O139" s="1"/>
      <c r="P139" s="1"/>
      <c r="Q13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3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3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3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39">
        <f>Portefeuille_MNT_PPS_Access13[[#This Row],[Délais PC1 et PC3]]+Portefeuille_MNT_PPS_Access13[[#This Row],[Délais PC3 et PC5]]</f>
        <v>0</v>
      </c>
      <c r="V139">
        <v>1</v>
      </c>
      <c r="Z139" t="s">
        <v>311</v>
      </c>
      <c r="AA139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39" s="12" t="e">
        <f>_xlfn.XLOOKUP(Portefeuille_MNT_PPS_Access13[[#This Row],[Numéro projet]],Tableau5[Numéro projet],Tableau5[IND_Site_Prioritaire])</f>
        <v>#N/A</v>
      </c>
      <c r="AC139" s="2" t="e">
        <f>_xlfn.XLOOKUP(Portefeuille_MNT_PPS_Access13[[#This Row],[Numéro projet]],Tableau5[Numéro projet],Tableau5[Critère Etat Infrastructure])</f>
        <v>#N/A</v>
      </c>
      <c r="AD13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39" s="2"/>
      <c r="AF139" s="63"/>
      <c r="AK139"/>
      <c r="AU139">
        <v>150</v>
      </c>
      <c r="AW139">
        <v>150</v>
      </c>
      <c r="AY139">
        <v>500</v>
      </c>
      <c r="AZ139">
        <v>6800</v>
      </c>
      <c r="BE139" s="14">
        <f>SUM(Portefeuille_MNT_PPS_Access13[[#This Row],[AC ANT]:[TR 2034]])</f>
        <v>7600</v>
      </c>
    </row>
    <row r="140" spans="1:57" hidden="1" x14ac:dyDescent="0.3">
      <c r="B140" t="s">
        <v>101</v>
      </c>
      <c r="C140" t="s">
        <v>102</v>
      </c>
      <c r="D140" t="s">
        <v>103</v>
      </c>
      <c r="F140" t="s">
        <v>20</v>
      </c>
      <c r="G140" t="s">
        <v>20</v>
      </c>
      <c r="H140" t="s">
        <v>105</v>
      </c>
      <c r="I140" t="s">
        <v>466</v>
      </c>
      <c r="J140" t="s">
        <v>467</v>
      </c>
      <c r="K140" t="s">
        <v>108</v>
      </c>
      <c r="L140" t="s">
        <v>392</v>
      </c>
      <c r="M140" t="s">
        <v>291</v>
      </c>
      <c r="N140" s="1"/>
      <c r="O140" s="1"/>
      <c r="P140" s="1"/>
      <c r="Q140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0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0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0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0">
        <f>Portefeuille_MNT_PPS_Access13[[#This Row],[Délais PC1 et PC3]]+Portefeuille_MNT_PPS_Access13[[#This Row],[Délais PC3 et PC5]]</f>
        <v>0</v>
      </c>
      <c r="V140">
        <v>1</v>
      </c>
      <c r="Z140" t="s">
        <v>311</v>
      </c>
      <c r="AA140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0" s="12" t="e">
        <f>_xlfn.XLOOKUP(Portefeuille_MNT_PPS_Access13[[#This Row],[Numéro projet]],Tableau5[Numéro projet],Tableau5[IND_Site_Prioritaire])</f>
        <v>#N/A</v>
      </c>
      <c r="AC140" s="2" t="e">
        <f>_xlfn.XLOOKUP(Portefeuille_MNT_PPS_Access13[[#This Row],[Numéro projet]],Tableau5[Numéro projet],Tableau5[Critère Etat Infrastructure])</f>
        <v>#N/A</v>
      </c>
      <c r="AD140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0" s="2"/>
      <c r="AF140" s="63"/>
      <c r="AK140"/>
      <c r="AU140"/>
      <c r="AW140">
        <v>375</v>
      </c>
      <c r="AY140">
        <v>375</v>
      </c>
      <c r="BA140">
        <v>750</v>
      </c>
      <c r="BB140">
        <v>45000</v>
      </c>
      <c r="BE140" s="14">
        <f>SUM(Portefeuille_MNT_PPS_Access13[[#This Row],[AC ANT]:[TR 2034]])</f>
        <v>46500</v>
      </c>
    </row>
    <row r="141" spans="1:57" hidden="1" x14ac:dyDescent="0.3">
      <c r="B141" t="s">
        <v>101</v>
      </c>
      <c r="C141" t="s">
        <v>102</v>
      </c>
      <c r="D141" t="s">
        <v>103</v>
      </c>
      <c r="F141" t="s">
        <v>20</v>
      </c>
      <c r="G141" t="s">
        <v>20</v>
      </c>
      <c r="H141" t="s">
        <v>105</v>
      </c>
      <c r="I141" t="s">
        <v>468</v>
      </c>
      <c r="J141" t="s">
        <v>469</v>
      </c>
      <c r="K141" t="s">
        <v>143</v>
      </c>
      <c r="L141" t="s">
        <v>421</v>
      </c>
      <c r="M141" t="s">
        <v>291</v>
      </c>
      <c r="N141" s="1"/>
      <c r="O141" s="1"/>
      <c r="P141" s="1"/>
      <c r="Q141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1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1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1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1">
        <f>Portefeuille_MNT_PPS_Access13[[#This Row],[Délais PC1 et PC3]]+Portefeuille_MNT_PPS_Access13[[#This Row],[Délais PC3 et PC5]]</f>
        <v>0</v>
      </c>
      <c r="V141">
        <v>1</v>
      </c>
      <c r="Z141" t="s">
        <v>311</v>
      </c>
      <c r="AA141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1" s="12" t="e">
        <f>_xlfn.XLOOKUP(Portefeuille_MNT_PPS_Access13[[#This Row],[Numéro projet]],Tableau5[Numéro projet],Tableau5[IND_Site_Prioritaire])</f>
        <v>#N/A</v>
      </c>
      <c r="AC141" s="2" t="e">
        <f>_xlfn.XLOOKUP(Portefeuille_MNT_PPS_Access13[[#This Row],[Numéro projet]],Tableau5[Numéro projet],Tableau5[Critère Etat Infrastructure])</f>
        <v>#N/A</v>
      </c>
      <c r="AD141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1" s="2"/>
      <c r="AF141" s="63"/>
      <c r="AK141"/>
      <c r="AU141">
        <v>375</v>
      </c>
      <c r="AW141">
        <v>375</v>
      </c>
      <c r="AY141">
        <v>500</v>
      </c>
      <c r="AZ141">
        <v>5000</v>
      </c>
      <c r="BA141">
        <v>500</v>
      </c>
      <c r="BB141">
        <v>12000</v>
      </c>
      <c r="BC141">
        <v>500</v>
      </c>
      <c r="BD141">
        <v>59000</v>
      </c>
      <c r="BE141" s="14">
        <f>SUM(Portefeuille_MNT_PPS_Access13[[#This Row],[AC ANT]:[TR 2034]])</f>
        <v>78250</v>
      </c>
    </row>
    <row r="142" spans="1:57" hidden="1" x14ac:dyDescent="0.3">
      <c r="B142" t="s">
        <v>118</v>
      </c>
      <c r="C142" t="s">
        <v>102</v>
      </c>
      <c r="D142" t="s">
        <v>136</v>
      </c>
      <c r="F142" t="s">
        <v>20</v>
      </c>
      <c r="G142" t="s">
        <v>20</v>
      </c>
      <c r="H142" t="s">
        <v>131</v>
      </c>
      <c r="I142" t="s">
        <v>470</v>
      </c>
      <c r="J142" t="s">
        <v>471</v>
      </c>
      <c r="K142" t="s">
        <v>191</v>
      </c>
      <c r="L142" t="s">
        <v>370</v>
      </c>
      <c r="M142" t="s">
        <v>291</v>
      </c>
      <c r="N142" s="1"/>
      <c r="O142" s="1"/>
      <c r="P142" s="1"/>
      <c r="Q142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2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2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2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2">
        <f>Portefeuille_MNT_PPS_Access13[[#This Row],[Délais PC1 et PC3]]+Portefeuille_MNT_PPS_Access13[[#This Row],[Délais PC3 et PC5]]</f>
        <v>0</v>
      </c>
      <c r="V142">
        <v>1</v>
      </c>
      <c r="Z142" t="s">
        <v>311</v>
      </c>
      <c r="AA142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2" s="12" t="e">
        <f>_xlfn.XLOOKUP(Portefeuille_MNT_PPS_Access13[[#This Row],[Numéro projet]],Tableau5[Numéro projet],Tableau5[IND_Site_Prioritaire])</f>
        <v>#N/A</v>
      </c>
      <c r="AC142" s="2" t="e">
        <f>_xlfn.XLOOKUP(Portefeuille_MNT_PPS_Access13[[#This Row],[Numéro projet]],Tableau5[Numéro projet],Tableau5[Critère Etat Infrastructure])</f>
        <v>#N/A</v>
      </c>
      <c r="AD142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2" s="2"/>
      <c r="AF142" s="63"/>
      <c r="AK142"/>
      <c r="AQ142">
        <v>50</v>
      </c>
      <c r="AS142">
        <v>50</v>
      </c>
      <c r="AU142">
        <v>100</v>
      </c>
      <c r="AW142">
        <v>200</v>
      </c>
      <c r="AX142">
        <v>3000</v>
      </c>
      <c r="BE142" s="14">
        <f>SUM(Portefeuille_MNT_PPS_Access13[[#This Row],[AC ANT]:[TR 2034]])</f>
        <v>3400</v>
      </c>
    </row>
    <row r="143" spans="1:57" hidden="1" x14ac:dyDescent="0.3">
      <c r="B143" t="s">
        <v>126</v>
      </c>
      <c r="C143" t="s">
        <v>127</v>
      </c>
      <c r="D143" t="s">
        <v>103</v>
      </c>
      <c r="F143" t="s">
        <v>20</v>
      </c>
      <c r="G143" t="s">
        <v>20</v>
      </c>
      <c r="H143" t="s">
        <v>105</v>
      </c>
      <c r="I143" t="s">
        <v>472</v>
      </c>
      <c r="J143" t="s">
        <v>473</v>
      </c>
      <c r="K143" t="s">
        <v>143</v>
      </c>
      <c r="L143" t="s">
        <v>184</v>
      </c>
      <c r="M143" t="s">
        <v>291</v>
      </c>
      <c r="N143" s="1"/>
      <c r="O143" s="1"/>
      <c r="P143" s="1"/>
      <c r="Q143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3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3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3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3">
        <f>Portefeuille_MNT_PPS_Access13[[#This Row],[Délais PC1 et PC3]]+Portefeuille_MNT_PPS_Access13[[#This Row],[Délais PC3 et PC5]]</f>
        <v>0</v>
      </c>
      <c r="V143">
        <v>1</v>
      </c>
      <c r="Z143" t="s">
        <v>311</v>
      </c>
      <c r="AA143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3" s="12" t="e">
        <f>_xlfn.XLOOKUP(Portefeuille_MNT_PPS_Access13[[#This Row],[Numéro projet]],Tableau5[Numéro projet],Tableau5[IND_Site_Prioritaire])</f>
        <v>#N/A</v>
      </c>
      <c r="AC143" s="2" t="e">
        <f>_xlfn.XLOOKUP(Portefeuille_MNT_PPS_Access13[[#This Row],[Numéro projet]],Tableau5[Numéro projet],Tableau5[Critère Etat Infrastructure])</f>
        <v>#N/A</v>
      </c>
      <c r="AD143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3" s="2"/>
      <c r="AF143" s="63"/>
      <c r="AK143"/>
      <c r="AQ143">
        <v>375</v>
      </c>
      <c r="AS143">
        <v>375</v>
      </c>
      <c r="AU143">
        <v>750</v>
      </c>
      <c r="AV143">
        <v>10000</v>
      </c>
      <c r="AW143">
        <v>500</v>
      </c>
      <c r="AX143">
        <v>10000</v>
      </c>
      <c r="AY143">
        <v>500</v>
      </c>
      <c r="AZ143">
        <v>15000</v>
      </c>
      <c r="BE143" s="14">
        <f>SUM(Portefeuille_MNT_PPS_Access13[[#This Row],[AC ANT]:[TR 2034]])</f>
        <v>37500</v>
      </c>
    </row>
    <row r="144" spans="1:57" hidden="1" x14ac:dyDescent="0.3">
      <c r="B144" t="s">
        <v>126</v>
      </c>
      <c r="C144" t="s">
        <v>127</v>
      </c>
      <c r="D144" t="s">
        <v>103</v>
      </c>
      <c r="F144" t="s">
        <v>20</v>
      </c>
      <c r="G144" t="s">
        <v>20</v>
      </c>
      <c r="H144" t="s">
        <v>105</v>
      </c>
      <c r="I144" t="s">
        <v>474</v>
      </c>
      <c r="J144" t="s">
        <v>528</v>
      </c>
      <c r="K144" t="s">
        <v>108</v>
      </c>
      <c r="L144" t="s">
        <v>421</v>
      </c>
      <c r="M144" t="s">
        <v>291</v>
      </c>
      <c r="N144" s="1"/>
      <c r="O144" s="1"/>
      <c r="P144" s="1"/>
      <c r="Q144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4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4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4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4">
        <f>Portefeuille_MNT_PPS_Access13[[#This Row],[Délais PC1 et PC3]]+Portefeuille_MNT_PPS_Access13[[#This Row],[Délais PC3 et PC5]]</f>
        <v>0</v>
      </c>
      <c r="V144">
        <v>1</v>
      </c>
      <c r="Z144" t="s">
        <v>311</v>
      </c>
      <c r="AA144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4" s="12" t="e">
        <f>_xlfn.XLOOKUP(Portefeuille_MNT_PPS_Access13[[#This Row],[Numéro projet]],Tableau5[Numéro projet],Tableau5[IND_Site_Prioritaire])</f>
        <v>#N/A</v>
      </c>
      <c r="AC144" s="2" t="e">
        <f>_xlfn.XLOOKUP(Portefeuille_MNT_PPS_Access13[[#This Row],[Numéro projet]],Tableau5[Numéro projet],Tableau5[Critère Etat Infrastructure])</f>
        <v>#N/A</v>
      </c>
      <c r="AD144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4" s="2"/>
      <c r="AF144" s="63"/>
      <c r="AK144"/>
      <c r="AU144">
        <v>375</v>
      </c>
      <c r="AW144">
        <v>375</v>
      </c>
      <c r="AY144">
        <v>750</v>
      </c>
      <c r="AZ144">
        <v>4000</v>
      </c>
      <c r="BA144">
        <v>500</v>
      </c>
      <c r="BB144">
        <v>24000</v>
      </c>
      <c r="BC144">
        <v>500</v>
      </c>
      <c r="BD144">
        <v>9000</v>
      </c>
      <c r="BE144" s="14">
        <f>SUM(Portefeuille_MNT_PPS_Access13[[#This Row],[AC ANT]:[TR 2034]])</f>
        <v>39500</v>
      </c>
    </row>
    <row r="145" spans="1:59" x14ac:dyDescent="0.3">
      <c r="A145">
        <v>5</v>
      </c>
      <c r="B145" t="s">
        <v>118</v>
      </c>
      <c r="C145" t="s">
        <v>102</v>
      </c>
      <c r="D145" t="s">
        <v>177</v>
      </c>
      <c r="E145" t="s">
        <v>129</v>
      </c>
      <c r="F145" t="s">
        <v>20</v>
      </c>
      <c r="G145" t="s">
        <v>20</v>
      </c>
      <c r="H145" t="s">
        <v>131</v>
      </c>
      <c r="I145" t="s">
        <v>293</v>
      </c>
      <c r="J145" s="82" t="s">
        <v>294</v>
      </c>
      <c r="K145" t="s">
        <v>134</v>
      </c>
      <c r="L145" t="s">
        <v>148</v>
      </c>
      <c r="M145" t="s">
        <v>123</v>
      </c>
      <c r="N145" s="1">
        <v>45702</v>
      </c>
      <c r="O145" s="1">
        <v>45702</v>
      </c>
      <c r="P145" s="1">
        <v>45702</v>
      </c>
      <c r="Q145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3.À risque</v>
      </c>
      <c r="R145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3.À risque</v>
      </c>
      <c r="S145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5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5">
        <f>Portefeuille_MNT_PPS_Access13[[#This Row],[Délais PC1 et PC3]]+Portefeuille_MNT_PPS_Access13[[#This Row],[Délais PC3 et PC5]]</f>
        <v>0</v>
      </c>
      <c r="V145">
        <v>1</v>
      </c>
      <c r="W145">
        <v>1</v>
      </c>
      <c r="X145">
        <v>1</v>
      </c>
      <c r="Y145">
        <v>1</v>
      </c>
      <c r="Z145" t="s">
        <v>125</v>
      </c>
      <c r="AA145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5</v>
      </c>
      <c r="AB145" s="12" t="e">
        <f>_xlfn.XLOOKUP(Portefeuille_MNT_PPS_Access13[[#This Row],[Numéro projet]],Tableau5[Numéro projet],Tableau5[IND_Site_Prioritaire])</f>
        <v>#N/A</v>
      </c>
      <c r="AC145" s="2" t="e">
        <f>_xlfn.XLOOKUP(Portefeuille_MNT_PPS_Access13[[#This Row],[Numéro projet]],Tableau5[Numéro projet],Tableau5[Critère Etat Infrastructure])</f>
        <v>#N/A</v>
      </c>
      <c r="AD145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5" s="2"/>
      <c r="AF145" s="62"/>
      <c r="AK145">
        <v>50</v>
      </c>
      <c r="AL145">
        <v>2894</v>
      </c>
      <c r="AU145"/>
      <c r="BE145" s="14">
        <f>SUM(Portefeuille_MNT_PPS_Access13[[#This Row],[AC ANT]:[TR 2034]])</f>
        <v>2944</v>
      </c>
    </row>
    <row r="146" spans="1:59" hidden="1" x14ac:dyDescent="0.3">
      <c r="A146">
        <v>3</v>
      </c>
      <c r="B146" t="s">
        <v>118</v>
      </c>
      <c r="C146" t="s">
        <v>102</v>
      </c>
      <c r="D146" t="s">
        <v>136</v>
      </c>
      <c r="F146" t="s">
        <v>20</v>
      </c>
      <c r="G146" t="s">
        <v>20</v>
      </c>
      <c r="H146" t="s">
        <v>105</v>
      </c>
      <c r="I146" t="s">
        <v>516</v>
      </c>
      <c r="J146" t="s">
        <v>517</v>
      </c>
      <c r="K146" t="s">
        <v>302</v>
      </c>
      <c r="L146" t="s">
        <v>173</v>
      </c>
      <c r="M146" t="s">
        <v>291</v>
      </c>
      <c r="N146" s="1"/>
      <c r="O146" s="1"/>
      <c r="P146" s="1"/>
      <c r="Q146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6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6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6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6">
        <f>Portefeuille_MNT_PPS_Access13[[#This Row],[Délais PC1 et PC3]]+Portefeuille_MNT_PPS_Access13[[#This Row],[Délais PC3 et PC5]]</f>
        <v>0</v>
      </c>
      <c r="V146">
        <v>1</v>
      </c>
      <c r="Z146" t="s">
        <v>311</v>
      </c>
      <c r="AA146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6" s="12" t="e">
        <f>_xlfn.XLOOKUP(Portefeuille_MNT_PPS_Access13[[#This Row],[Numéro projet]],Tableau5[Numéro projet],Tableau5[IND_Site_Prioritaire])</f>
        <v>#N/A</v>
      </c>
      <c r="AC146" s="2" t="e">
        <f>_xlfn.XLOOKUP(Portefeuille_MNT_PPS_Access13[[#This Row],[Numéro projet]],Tableau5[Numéro projet],Tableau5[Critère Etat Infrastructure])</f>
        <v>#N/A</v>
      </c>
      <c r="AD146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6" s="2"/>
      <c r="AF146" s="63"/>
      <c r="AK146">
        <v>25</v>
      </c>
      <c r="AM146">
        <v>25</v>
      </c>
      <c r="AP146">
        <v>250</v>
      </c>
      <c r="AU146"/>
      <c r="BE146" s="14">
        <f>SUM(Portefeuille_MNT_PPS_Access13[[#This Row],[AC ANT]:[TR 2034]])</f>
        <v>300</v>
      </c>
    </row>
    <row r="147" spans="1:59" hidden="1" x14ac:dyDescent="0.3">
      <c r="A147">
        <v>4</v>
      </c>
      <c r="B147" t="s">
        <v>118</v>
      </c>
      <c r="C147" t="s">
        <v>102</v>
      </c>
      <c r="D147" t="s">
        <v>136</v>
      </c>
      <c r="F147" t="s">
        <v>20</v>
      </c>
      <c r="G147" t="s">
        <v>20</v>
      </c>
      <c r="H147" t="s">
        <v>105</v>
      </c>
      <c r="I147" t="s">
        <v>518</v>
      </c>
      <c r="J147" t="s">
        <v>519</v>
      </c>
      <c r="K147" t="s">
        <v>143</v>
      </c>
      <c r="L147" t="s">
        <v>173</v>
      </c>
      <c r="M147" t="s">
        <v>291</v>
      </c>
      <c r="N147" s="1"/>
      <c r="O147" s="1"/>
      <c r="P147" s="1"/>
      <c r="Q147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7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7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7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7">
        <f>Portefeuille_MNT_PPS_Access13[[#This Row],[Délais PC1 et PC3]]+Portefeuille_MNT_PPS_Access13[[#This Row],[Délais PC3 et PC5]]</f>
        <v>0</v>
      </c>
      <c r="V147">
        <v>1</v>
      </c>
      <c r="Z147" t="s">
        <v>311</v>
      </c>
      <c r="AA147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7" s="12" t="e">
        <f>_xlfn.XLOOKUP(Portefeuille_MNT_PPS_Access13[[#This Row],[Numéro projet]],Tableau5[Numéro projet],Tableau5[IND_Site_Prioritaire])</f>
        <v>#N/A</v>
      </c>
      <c r="AC147" s="2" t="e">
        <f>_xlfn.XLOOKUP(Portefeuille_MNT_PPS_Access13[[#This Row],[Numéro projet]],Tableau5[Numéro projet],Tableau5[Critère Etat Infrastructure])</f>
        <v>#N/A</v>
      </c>
      <c r="AD147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7" s="2"/>
      <c r="AF147" s="63"/>
      <c r="AK147">
        <v>25</v>
      </c>
      <c r="AM147">
        <v>25</v>
      </c>
      <c r="AP147">
        <v>150</v>
      </c>
      <c r="AU147"/>
      <c r="BE147" s="14">
        <f>SUM(Portefeuille_MNT_PPS_Access13[[#This Row],[AC ANT]:[TR 2034]])</f>
        <v>200</v>
      </c>
    </row>
    <row r="148" spans="1:59" hidden="1" x14ac:dyDescent="0.3">
      <c r="B148" t="s">
        <v>118</v>
      </c>
      <c r="C148" t="s">
        <v>102</v>
      </c>
      <c r="D148" t="s">
        <v>177</v>
      </c>
      <c r="F148" t="s">
        <v>20</v>
      </c>
      <c r="G148" t="s">
        <v>20</v>
      </c>
      <c r="H148" t="s">
        <v>131</v>
      </c>
      <c r="I148" s="2" t="s">
        <v>522</v>
      </c>
      <c r="J148" t="s">
        <v>523</v>
      </c>
      <c r="K148" t="s">
        <v>187</v>
      </c>
      <c r="L148" t="s">
        <v>169</v>
      </c>
      <c r="M148" t="s">
        <v>291</v>
      </c>
      <c r="N148" s="1"/>
      <c r="O148" s="1"/>
      <c r="P148" s="1"/>
      <c r="Q148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8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8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8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8">
        <f>Portefeuille_MNT_PPS_Access13[[#This Row],[Délais PC1 et PC3]]+Portefeuille_MNT_PPS_Access13[[#This Row],[Délais PC3 et PC5]]</f>
        <v>0</v>
      </c>
      <c r="V148">
        <v>1</v>
      </c>
      <c r="Z148" t="s">
        <v>311</v>
      </c>
      <c r="AA148" s="2" t="str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8" s="12" t="e">
        <f>_xlfn.XLOOKUP(Portefeuille_MNT_PPS_Access13[[#This Row],[Numéro projet]],Tableau5[Numéro projet],Tableau5[IND_Site_Prioritaire])</f>
        <v>#N/A</v>
      </c>
      <c r="AC148" s="2" t="e">
        <f>_xlfn.XLOOKUP(Portefeuille_MNT_PPS_Access13[[#This Row],[Numéro projet]],Tableau5[Numéro projet],Tableau5[Critère Etat Infrastructure])</f>
        <v>#N/A</v>
      </c>
      <c r="AD148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8" s="2"/>
      <c r="AF148" s="63"/>
      <c r="AK148"/>
      <c r="AO148">
        <v>50</v>
      </c>
      <c r="AQ148">
        <v>50</v>
      </c>
      <c r="AS148">
        <v>100</v>
      </c>
      <c r="AT148">
        <v>2000</v>
      </c>
      <c r="AU148"/>
      <c r="BE148" s="14">
        <f>SUM(Portefeuille_MNT_PPS_Access13[[#This Row],[AC ANT]:[TR 2034]])</f>
        <v>2200</v>
      </c>
      <c r="BF148" s="57"/>
      <c r="BG148" s="57"/>
    </row>
    <row r="149" spans="1:59" hidden="1" x14ac:dyDescent="0.3">
      <c r="B149" t="s">
        <v>118</v>
      </c>
      <c r="C149" t="s">
        <v>102</v>
      </c>
      <c r="D149" t="s">
        <v>103</v>
      </c>
      <c r="F149" t="s">
        <v>20</v>
      </c>
      <c r="G149" t="s">
        <v>20</v>
      </c>
      <c r="H149" t="s">
        <v>131</v>
      </c>
      <c r="I149" t="s">
        <v>531</v>
      </c>
      <c r="J149" t="s">
        <v>532</v>
      </c>
      <c r="K149" t="s">
        <v>187</v>
      </c>
      <c r="L149" t="s">
        <v>370</v>
      </c>
      <c r="N149" s="1"/>
      <c r="O149" s="1"/>
      <c r="P149" s="1"/>
      <c r="Q149" s="1" t="str">
        <f xml:space="preserve"> IF(Portefeuille_MNT_PPS_Access13[[#This Row],[PC-3]] = "", "0.NA",IF(Portefeuille_MNT_PPS_Access13[[#This Row],[PC-3]] &lt;= DATE(Portefeuille_MNT_PPS_Access13[[#This Row],[Année DÉBUT Travaux prévu]]- 2, 12, 15),"5.Respect OPC",IF(Portefeuille_MNT_PPS_Access13[[#This Row],[PC-3]] &lt;= DATE(Portefeuille_MNT_PPS_Access13[[#This Row],[Année DÉBUT Travaux prévu]], 5, 1),"3.À risque","1.Très à risque")))</f>
        <v>0.NA</v>
      </c>
      <c r="R149" s="1" t="str">
        <f xml:space="preserve"> IF(Portefeuille_MNT_PPS_Access13[[#This Row],[PC-5]] = "", "0.NA",IF(Portefeuille_MNT_PPS_Access13[[#This Row],[PC-5]] &lt;= DATE(Portefeuille_MNT_PPS_Access13[[#This Row],[Année DÉBUT Travaux prévu]]- 1, 12, 15),"5.Respect OPC",IF(Portefeuille_MNT_PPS_Access13[[#This Row],[PC-5]] &lt;= DATE(Portefeuille_MNT_PPS_Access13[[#This Row],[Année DÉBUT Travaux prévu]], 5, 1),"3.À risque","1.Très à risque")))</f>
        <v>0.NA</v>
      </c>
      <c r="S149">
        <f xml:space="preserve"> (YEAR(Portefeuille_MNT_PPS_Access13[[#This Row],[PC-3]]) - YEAR(Portefeuille_MNT_PPS_Access13[[#This Row],[PC-1]])) * 12 + MONTH(Portefeuille_MNT_PPS_Access13[[#This Row],[PC-3]]) - MONTH(Portefeuille_MNT_PPS_Access13[[#This Row],[PC-1]])</f>
        <v>0</v>
      </c>
      <c r="T149">
        <f xml:space="preserve"> (YEAR(Portefeuille_MNT_PPS_Access13[[#This Row],[PC-5]]) - YEAR(Portefeuille_MNT_PPS_Access13[[#This Row],[PC-3]])) * 12 + MONTH(Portefeuille_MNT_PPS_Access13[[#This Row],[PC-5]]) - MONTH(Portefeuille_MNT_PPS_Access13[[#This Row],[PC-3]])</f>
        <v>0</v>
      </c>
      <c r="U149">
        <f>Portefeuille_MNT_PPS_Access13[[#This Row],[Délais PC1 et PC3]]+Portefeuille_MNT_PPS_Access13[[#This Row],[Délais PC3 et PC5]]</f>
        <v>0</v>
      </c>
      <c r="V149">
        <v>1</v>
      </c>
      <c r="AA149" s="2">
        <f>IF(AND(Portefeuille_MNT_PPS_Access13[[#This Row],[Année DÉBUT Travaux prévu]]&gt;=2024,Portefeuille_MNT_PPS_Access13[[#This Row],[IND_PC5_TR2025]]=5),5,IF(AND(Portefeuille_MNT_PPS_Access13[[#This Row],[Année DÉBUT Travaux prévu]]&gt;=2026,Portefeuille_MNT_PPS_Access13[[#This Row],[IND_PC3_TR2026]]=5),5,Portefeuille_MNT_PPS_Access13[[#This Row],[IND_Etat_avancement]]))</f>
        <v>0</v>
      </c>
      <c r="AB149" s="12" t="e">
        <f>_xlfn.XLOOKUP(Portefeuille_MNT_PPS_Access13[[#This Row],[Numéro projet]],Tableau5[Numéro projet],Tableau5[IND_Site_Prioritaire])</f>
        <v>#N/A</v>
      </c>
      <c r="AC149" s="2" t="e">
        <f>_xlfn.XLOOKUP(Portefeuille_MNT_PPS_Access13[[#This Row],[Numéro projet]],Tableau5[Numéro projet],Tableau5[Critère Etat Infrastructure])</f>
        <v>#N/A</v>
      </c>
      <c r="AD149" s="12" t="e">
        <f>IF(Portefeuille_MNT_PPS_Access13[[#This Row],[IND_Parachèvement]]=5,100, SUM(Portefeuille_MNT_PPS_Access13[[#This Row],[Critère PC Atteint]]*$AD$8/5, Portefeuille_MNT_PPS_Access13[[#This Row],[Critère Etat Infrastructure]]*$AD$10/5,Portefeuille_MNT_PPS_Access13[[#This Row],[Site prioritaire]]* $AD$9/5, Portefeuille_MNT_PPS_Access13[[#This Row],[IND_PROJT_ANNONCE]]*$AD$7/5)*100)</f>
        <v>#N/A</v>
      </c>
      <c r="AE149" s="2"/>
      <c r="AF149" s="63"/>
      <c r="AK149"/>
      <c r="AS149">
        <v>150</v>
      </c>
      <c r="AU149">
        <v>150</v>
      </c>
      <c r="AW149">
        <v>500</v>
      </c>
      <c r="AX149">
        <v>8000</v>
      </c>
      <c r="BE149" s="14">
        <f>SUM(Portefeuille_MNT_PPS_Access13[[#This Row],[AC ANT]:[TR 2034]])</f>
        <v>8800</v>
      </c>
    </row>
    <row r="150" spans="1:59" x14ac:dyDescent="0.3">
      <c r="I150">
        <f>SUBTOTAL(103,Portefeuille_MNT_PPS_Access13[Numéro projet])</f>
        <v>6</v>
      </c>
      <c r="AF150" s="13"/>
      <c r="AG150" s="57">
        <f>SUBTOTAL(109,Portefeuille_MNT_PPS_Access13[AC ANT])</f>
        <v>37</v>
      </c>
      <c r="AH150" s="57">
        <f>SUBTOTAL(109,Portefeuille_MNT_PPS_Access13[TR ANT])</f>
        <v>0</v>
      </c>
      <c r="AI150" s="57">
        <f>SUBTOTAL(109,Portefeuille_MNT_PPS_Access13[AC 2024])</f>
        <v>30</v>
      </c>
      <c r="AJ150" s="57">
        <f>SUBTOTAL(109,Portefeuille_MNT_PPS_Access13[TR 2024])</f>
        <v>288</v>
      </c>
      <c r="AK150" s="57">
        <f>SUBTOTAL(109,Portefeuille_MNT_PPS_Access13[AC 2025])</f>
        <v>100</v>
      </c>
      <c r="AL150" s="57">
        <f>SUBTOTAL(109,Portefeuille_MNT_PPS_Access13[TR 2025])</f>
        <v>2894</v>
      </c>
      <c r="AM150" s="57">
        <f>SUBTOTAL(109,Portefeuille_MNT_PPS_Access13[AC 2026])</f>
        <v>455</v>
      </c>
      <c r="AN150" s="57">
        <f>SUBTOTAL(109,Portefeuille_MNT_PPS_Access13[TR 2026])</f>
        <v>5212</v>
      </c>
      <c r="AO150" s="57">
        <f>SUBTOTAL(109,Portefeuille_MNT_PPS_Access13[AC 2027])</f>
        <v>50</v>
      </c>
      <c r="AP150" s="57">
        <f>SUBTOTAL(109,Portefeuille_MNT_PPS_Access13[TR 2027])</f>
        <v>0</v>
      </c>
      <c r="AQ150" s="57">
        <f>SUBTOTAL(109,Portefeuille_MNT_PPS_Access13[AC 2028])</f>
        <v>200</v>
      </c>
      <c r="AR150" s="57">
        <f>SUBTOTAL(109,Portefeuille_MNT_PPS_Access13[TR 2028])</f>
        <v>2000</v>
      </c>
      <c r="AS150" s="57">
        <f>SUBTOTAL(109,Portefeuille_MNT_PPS_Access13[AC 2029])</f>
        <v>0</v>
      </c>
      <c r="AT150" s="57">
        <f>SUBTOTAL(109,Portefeuille_MNT_PPS_Access13[TR 2029])</f>
        <v>0</v>
      </c>
      <c r="AU150" s="57">
        <f>SUBTOTAL(109,Portefeuille_MNT_PPS_Access13[AC 2030])</f>
        <v>0</v>
      </c>
      <c r="AV150" s="57">
        <f>SUBTOTAL(109,Portefeuille_MNT_PPS_Access13[TR 2030])</f>
        <v>0</v>
      </c>
      <c r="AW150" s="57">
        <f>SUBTOTAL(109,Portefeuille_MNT_PPS_Access13[AC 2031])</f>
        <v>0</v>
      </c>
      <c r="AX150" s="57">
        <f>SUBTOTAL(109,Portefeuille_MNT_PPS_Access13[TR 2031])</f>
        <v>0</v>
      </c>
      <c r="AY150" s="57">
        <f>SUBTOTAL(109,Portefeuille_MNT_PPS_Access13[AC 2032])</f>
        <v>150</v>
      </c>
      <c r="AZ150" s="57">
        <f>SUBTOTAL(109,Portefeuille_MNT_PPS_Access13[TR 2032])</f>
        <v>0</v>
      </c>
      <c r="BA150" s="57">
        <f>SUBTOTAL(109,Portefeuille_MNT_PPS_Access13[AC 2033])</f>
        <v>250</v>
      </c>
      <c r="BB150" s="57">
        <f>SUBTOTAL(109,Portefeuille_MNT_PPS_Access13[TR 2033])</f>
        <v>5000</v>
      </c>
      <c r="BC150" s="57">
        <f>SUBTOTAL(109,Portefeuille_MNT_PPS_Access13[AC 2034])</f>
        <v>0</v>
      </c>
      <c r="BD150" s="57">
        <f>SUBTOTAL(109,Portefeuille_MNT_PPS_Access13[TR 2034])</f>
        <v>0</v>
      </c>
      <c r="BE150" s="14">
        <f>SUBTOTAL(109,Portefeuille_MNT_PPS_Access13[Total Projet])</f>
        <v>16666</v>
      </c>
    </row>
    <row r="152" spans="1:59" x14ac:dyDescent="0.3">
      <c r="AW152" s="57"/>
      <c r="AX152" s="57"/>
      <c r="AY152" s="57"/>
      <c r="AZ152" s="57"/>
      <c r="BA152" s="57"/>
      <c r="BB152" s="57"/>
      <c r="BC152" s="57"/>
      <c r="BD152" s="57"/>
      <c r="BE152" s="57"/>
    </row>
  </sheetData>
  <mergeCells count="168">
    <mergeCell ref="G3:H3"/>
    <mergeCell ref="AG3:AH3"/>
    <mergeCell ref="AI3:AJ3"/>
    <mergeCell ref="AK3:AL3"/>
    <mergeCell ref="AM3:AN3"/>
    <mergeCell ref="AO3:AP3"/>
    <mergeCell ref="BC3:BD3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Q3:AR3"/>
    <mergeCell ref="AS3:AT3"/>
    <mergeCell ref="AU3:AV3"/>
    <mergeCell ref="AW3:AX3"/>
    <mergeCell ref="AY3:AZ3"/>
    <mergeCell ref="BA3:BB3"/>
    <mergeCell ref="AY4:AZ4"/>
    <mergeCell ref="BA4:BB4"/>
    <mergeCell ref="BC7:BD7"/>
    <mergeCell ref="BC4:BD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AW8:AX8"/>
    <mergeCell ref="AG6:AH6"/>
    <mergeCell ref="AI6:AJ6"/>
    <mergeCell ref="AK6:AL6"/>
    <mergeCell ref="AM6:AN6"/>
    <mergeCell ref="AO6:AP6"/>
    <mergeCell ref="BC6:BD6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Q6:AR6"/>
    <mergeCell ref="AS6:AT6"/>
    <mergeCell ref="AU6:AV6"/>
    <mergeCell ref="AW6:AX6"/>
    <mergeCell ref="AY6:AZ6"/>
    <mergeCell ref="BA6:BB6"/>
    <mergeCell ref="AY7:AZ7"/>
    <mergeCell ref="BA7:BB7"/>
    <mergeCell ref="AW10:AX10"/>
    <mergeCell ref="AY8:AZ8"/>
    <mergeCell ref="BA8:BB8"/>
    <mergeCell ref="BC8:BD8"/>
    <mergeCell ref="AG9:AH9"/>
    <mergeCell ref="AI9:AJ9"/>
    <mergeCell ref="AK9:AL9"/>
    <mergeCell ref="AM9:AN9"/>
    <mergeCell ref="AO9:AP9"/>
    <mergeCell ref="BC9:BD9"/>
    <mergeCell ref="AQ9:AR9"/>
    <mergeCell ref="AS9:AT9"/>
    <mergeCell ref="AU9:AV9"/>
    <mergeCell ref="AW9:AX9"/>
    <mergeCell ref="AY9:AZ9"/>
    <mergeCell ref="BA9:BB9"/>
    <mergeCell ref="AG8:AH8"/>
    <mergeCell ref="AI8:AJ8"/>
    <mergeCell ref="AK8:AL8"/>
    <mergeCell ref="AM8:AN8"/>
    <mergeCell ref="AO8:AP8"/>
    <mergeCell ref="AQ8:AR8"/>
    <mergeCell ref="AS8:AT8"/>
    <mergeCell ref="AU8:AV8"/>
    <mergeCell ref="BA12:BB12"/>
    <mergeCell ref="AY10:AZ10"/>
    <mergeCell ref="BA10:BB10"/>
    <mergeCell ref="BC10:BD10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BA15:BB15"/>
    <mergeCell ref="BC15:BD15"/>
    <mergeCell ref="AW14:AX14"/>
    <mergeCell ref="AY14:AZ14"/>
    <mergeCell ref="AG12:AH12"/>
    <mergeCell ref="AI12:AJ12"/>
    <mergeCell ref="AK12:AL12"/>
    <mergeCell ref="AM12:AN12"/>
    <mergeCell ref="AO12:AP12"/>
    <mergeCell ref="BC12:BD12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AQ12:AR12"/>
    <mergeCell ref="AS12:AT12"/>
    <mergeCell ref="AU12:AV12"/>
    <mergeCell ref="AW12:AX12"/>
    <mergeCell ref="AY12:AZ12"/>
    <mergeCell ref="BA13:BB13"/>
    <mergeCell ref="BC13:BD13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BA14:BB14"/>
    <mergeCell ref="BC14:BD14"/>
    <mergeCell ref="AS16:AT16"/>
    <mergeCell ref="AU16:AV16"/>
    <mergeCell ref="AW16:AX16"/>
    <mergeCell ref="AY16:AZ16"/>
    <mergeCell ref="BA16:BB16"/>
    <mergeCell ref="BC16:BD16"/>
    <mergeCell ref="AG16:AH16"/>
    <mergeCell ref="AI16:AJ16"/>
    <mergeCell ref="AK16:AL16"/>
    <mergeCell ref="AM16:AN16"/>
    <mergeCell ref="AO16:AP16"/>
    <mergeCell ref="AQ16:AR16"/>
    <mergeCell ref="AY15:AZ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56C49CF-EA1A-4ED3-BB5E-650F6FC0311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AA19:AB149</xm:sqref>
        </x14:conditionalFormatting>
        <x14:conditionalFormatting xmlns:xm="http://schemas.microsoft.com/office/excel/2006/main">
          <x14:cfRule type="iconSet" priority="2" id="{92206A0B-6AE7-462C-B15C-06D258EA6DB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AC19:AD149</xm:sqref>
        </x14:conditionalFormatting>
        <x14:conditionalFormatting xmlns:xm="http://schemas.microsoft.com/office/excel/2006/main">
          <x14:cfRule type="iconSet" priority="3" id="{6A63C36B-DD74-4CBD-9079-0806C3424B3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AE19:AF149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EF84-6AE1-470F-B02A-964B06817546}">
  <dimension ref="A1:BN144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hidden="1" customWidth="1"/>
    <col min="14" max="14" width="28" bestFit="1" customWidth="1"/>
    <col min="15" max="15" width="35.6640625" customWidth="1"/>
    <col min="16" max="17" width="13.6640625" customWidth="1"/>
    <col min="18" max="18" width="18.44140625" customWidth="1"/>
    <col min="19" max="19" width="12.33203125" hidden="1" customWidth="1" outlineLevel="1"/>
    <col min="20" max="20" width="13" hidden="1" customWidth="1" outlineLevel="1"/>
    <col min="21" max="22" width="9.44140625" hidden="1" customWidth="1" outlineLevel="1"/>
    <col min="23" max="23" width="9.5546875" customWidth="1" collapsed="1"/>
    <col min="24" max="25" width="9.5546875" customWidth="1"/>
    <col min="26" max="26" width="13.33203125" hidden="1" customWidth="1" outlineLevel="1"/>
    <col min="27" max="28" width="11.5546875" hidden="1" customWidth="1" outlineLevel="1"/>
    <col min="29" max="29" width="8.33203125" hidden="1" customWidth="1" outlineLevel="1" collapsed="1"/>
    <col min="30" max="30" width="9" hidden="1" customWidth="1" outlineLevel="1"/>
    <col min="31" max="31" width="11.44140625" customWidth="1" collapsed="1"/>
    <col min="32" max="32" width="9" hidden="1" customWidth="1" outlineLevel="1"/>
    <col min="33" max="33" width="9.88671875" style="25" hidden="1" customWidth="1" outlineLevel="1"/>
    <col min="34" max="34" width="9.88671875" style="25" customWidth="1" collapsed="1"/>
    <col min="35" max="35" width="9.6640625" hidden="1" customWidth="1" outlineLevel="1"/>
    <col min="36" max="36" width="12.109375" hidden="1" customWidth="1" outlineLevel="1" collapsed="1"/>
    <col min="37" max="37" width="9.5546875" hidden="1" customWidth="1" outlineLevel="1"/>
    <col min="38" max="38" width="8.109375" hidden="1" customWidth="1" outlineLevel="1" collapsed="1"/>
    <col min="39" max="39" width="8.109375" hidden="1" customWidth="1" outlineLevel="1"/>
    <col min="40" max="40" width="10.33203125" customWidth="1" collapsed="1"/>
    <col min="41" max="41" width="7.44140625" hidden="1" customWidth="1" outlineLevel="1"/>
    <col min="42" max="42" width="9.44140625" hidden="1" customWidth="1" outlineLevel="1"/>
    <col min="43" max="43" width="10.33203125" hidden="1" customWidth="1" outlineLevel="1"/>
    <col min="44" max="44" width="9.5546875" hidden="1" customWidth="1" outlineLevel="1"/>
    <col min="45" max="50" width="9.88671875" hidden="1" customWidth="1" outlineLevel="1"/>
    <col min="51" max="51" width="9.88671875" style="8" hidden="1" customWidth="1" outlineLevel="1"/>
    <col min="52" max="58" width="9.88671875" hidden="1" customWidth="1" outlineLevel="1"/>
    <col min="59" max="59" width="15.5546875" customWidth="1" collapsed="1"/>
    <col min="60" max="60" width="13.33203125" customWidth="1"/>
    <col min="61" max="63" width="9.88671875" customWidth="1"/>
    <col min="64" max="64" width="16.109375" customWidth="1"/>
    <col min="65" max="65" width="17" customWidth="1"/>
    <col min="66" max="76" width="11.33203125" customWidth="1"/>
    <col min="77" max="77" width="12.5546875" customWidth="1"/>
    <col min="78" max="78" width="13.44140625" customWidth="1"/>
    <col min="79" max="79" width="13.109375" customWidth="1"/>
    <col min="80" max="80" width="14" customWidth="1"/>
    <col min="81" max="86" width="17.33203125" customWidth="1"/>
    <col min="87" max="87" width="18.109375" customWidth="1"/>
    <col min="88" max="88" width="17.5546875" customWidth="1"/>
  </cols>
  <sheetData>
    <row r="1" spans="1:62" ht="21" x14ac:dyDescent="0.4">
      <c r="A1" s="85"/>
      <c r="B1" s="85"/>
      <c r="C1" s="85"/>
      <c r="D1" s="85"/>
      <c r="E1" s="85"/>
      <c r="F1" s="85"/>
      <c r="J1" s="32" t="s">
        <v>561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7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85"/>
      <c r="BJ1" s="85"/>
    </row>
    <row r="2" spans="1:62" x14ac:dyDescent="0.3">
      <c r="J2" s="189" t="s">
        <v>562</v>
      </c>
      <c r="K2" s="190"/>
      <c r="Q2" s="314"/>
      <c r="R2" s="314"/>
      <c r="S2" s="25"/>
      <c r="T2" s="25"/>
      <c r="U2" s="25"/>
      <c r="V2" s="8"/>
      <c r="AG2"/>
      <c r="AH2"/>
      <c r="AY2"/>
    </row>
    <row r="3" spans="1:62" ht="25.5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188"/>
      <c r="Z3" s="297" t="s">
        <v>553</v>
      </c>
      <c r="AA3" s="298"/>
      <c r="AB3" s="200"/>
      <c r="AC3" s="311" t="s">
        <v>554</v>
      </c>
      <c r="AD3" s="312"/>
      <c r="AE3" s="313"/>
      <c r="AF3" s="300" t="s">
        <v>266</v>
      </c>
      <c r="AG3" s="300"/>
      <c r="AH3" s="188"/>
      <c r="AI3" s="297" t="s">
        <v>557</v>
      </c>
      <c r="AJ3" s="298"/>
      <c r="AK3" s="200"/>
      <c r="AL3" s="308" t="s">
        <v>558</v>
      </c>
      <c r="AM3" s="309"/>
      <c r="AN3" s="310"/>
      <c r="AO3" s="300">
        <v>2027</v>
      </c>
      <c r="AP3" s="294"/>
      <c r="AQ3" s="293">
        <v>2028</v>
      </c>
      <c r="AR3" s="294"/>
      <c r="AS3" s="293">
        <v>2029</v>
      </c>
      <c r="AT3" s="294"/>
      <c r="AU3" s="293">
        <v>2030</v>
      </c>
      <c r="AV3" s="294"/>
      <c r="AW3" s="293">
        <v>2031</v>
      </c>
      <c r="AX3" s="294"/>
      <c r="AY3" s="293">
        <v>2032</v>
      </c>
      <c r="AZ3" s="294"/>
      <c r="BA3" s="293">
        <v>2033</v>
      </c>
      <c r="BB3" s="294"/>
      <c r="BC3" s="293">
        <v>2034</v>
      </c>
      <c r="BD3" s="294"/>
      <c r="BE3" s="293">
        <v>2035</v>
      </c>
      <c r="BF3" s="294"/>
      <c r="BG3" s="26" t="s">
        <v>269</v>
      </c>
      <c r="BH3" s="26" t="s">
        <v>8</v>
      </c>
    </row>
    <row r="4" spans="1:62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SUMIFS(Travaux_202524[AC 2024],Travaux_202524[DES_COMPL_NATR_COMPB],"=Fonctionnement")+SUMIFS(Travaux_202524[TR 2024],Travaux_202524[DES_COMPL_NATR_COMPB],"=Fonctionnement")</f>
        <v>0</v>
      </c>
      <c r="V4" s="260"/>
      <c r="W4" s="295">
        <f>SUMIFS(Travaux_202524[AC 2025],Travaux_202524[DES_COMPL_NATR_COMPB],"=Fonctionnement")+SUMIFS(Travaux_202524[TR 2025],Travaux_202524[DES_COMPL_NATR_COMPB],"=Fonctionnement")</f>
        <v>300</v>
      </c>
      <c r="X4" s="296"/>
      <c r="Y4" s="187"/>
      <c r="Z4" s="334">
        <f>SUMIFS(Travaux_202524[AC 2025 Initiale],Travaux_202524[DES_COMPL_NATR_COMPB],"=Fonctionnement")+SUMIFS(Travaux_202524[TR 2025 Initiale],Travaux_202524[DES_COMPL_NATR_COMPB],"=Fonctionnement")</f>
        <v>300</v>
      </c>
      <c r="AA4" s="296"/>
      <c r="AB4" s="78"/>
      <c r="AC4" s="279"/>
      <c r="AD4" s="260"/>
      <c r="AE4" s="280"/>
      <c r="AF4" s="334">
        <f>SUMIFS(Travaux_202524[AC 2026],Travaux_202524[DES_COMPL_NATR_COMPB],"=Fonctionnement")+SUMIFS(Travaux_202524[TR 2026],Travaux_202524[DES_COMPL_NATR_COMPB],"=Fonctionnement")</f>
        <v>0</v>
      </c>
      <c r="AG4" s="295"/>
      <c r="AH4" s="187"/>
      <c r="AI4" s="295">
        <f>SUMIFS(Travaux_202524[AC 2026 Initiale],Travaux_202524[DES_COMPL_NATR_COMPB],"=Fonctionnement")+SUMIFS(Travaux_202524[TR 2026 Initiale],Travaux_202524[DES_COMPL_NATR_COMPB],"=Fonctionnement")</f>
        <v>0</v>
      </c>
      <c r="AJ4" s="296"/>
      <c r="AK4" s="78"/>
      <c r="AL4" s="279"/>
      <c r="AM4" s="260"/>
      <c r="AN4" s="280"/>
      <c r="AO4" s="334">
        <f>SUMIFS(Travaux_202524[AC 2027],Travaux_202524[DES_COMPL_NATR_COMPB],"=Fonctionnement")+SUMIFS(Travaux_202524[TR 2027],Travaux_202524[DES_COMPL_NATR_COMPB],"=Fonctionnement")</f>
        <v>0</v>
      </c>
      <c r="AP4" s="295"/>
      <c r="AQ4" s="295">
        <f>SUMIFS(Travaux_202524[AC 2028],Travaux_202524[DES_COMPL_NATR_COMPB],"=Fonctionnement")+SUMIFS(Travaux_202524[TR 2028],Travaux_202524[DES_COMPL_NATR_COMPB],"=Fonctionnement")</f>
        <v>0</v>
      </c>
      <c r="AR4" s="295"/>
      <c r="AS4" s="295">
        <f>SUMIFS(Travaux_202524[AC 2029],Travaux_202524[DES_COMPL_NATR_COMPB],"=Fonctionnement")+SUMIFS(Travaux_202524[TR 2029],Travaux_202524[DES_COMPL_NATR_COMPB],"=Fonctionnement")</f>
        <v>0</v>
      </c>
      <c r="AT4" s="295"/>
      <c r="AU4" s="295">
        <f>SUMIFS(Travaux_202524[AC 2030],Travaux_202524[DES_COMPL_NATR_COMPB],"=Fonctionnement")+SUMIFS(Travaux_202524[TR 2030],Travaux_202524[DES_COMPL_NATR_COMPB],"=Fonctionnement")</f>
        <v>0</v>
      </c>
      <c r="AV4" s="295"/>
      <c r="AW4" s="295">
        <f>SUMIFS(Travaux_202524[AC 2031],Travaux_202524[DES_COMPL_NATR_COMPB],"=Fonctionnement")+SUMIFS(Travaux_202524[TR 2031],Travaux_202524[DES_COMPL_NATR_COMPB],"=Fonctionnement")</f>
        <v>0</v>
      </c>
      <c r="AX4" s="295"/>
      <c r="AY4" s="295">
        <f>SUMIFS(Travaux_202524[AC 2032],Travaux_202524[DES_COMPL_NATR_COMPB],"=Fonctionnement")+SUMIFS(Travaux_202524[TR 2032],Travaux_202524[DES_COMPL_NATR_COMPB],"=Fonctionnement")</f>
        <v>0</v>
      </c>
      <c r="AZ4" s="295"/>
      <c r="BA4" s="295">
        <f>SUMIFS(Travaux_202524[AC 2033],Travaux_202524[DES_COMPL_NATR_COMPB],"=Fonctionnement")+SUMIFS(Travaux_202524[TR 2033],Travaux_202524[DES_COMPL_NATR_COMPB],"=Fonctionnement")</f>
        <v>0</v>
      </c>
      <c r="BB4" s="295"/>
      <c r="BC4" s="295">
        <f>SUMIFS(Travaux_202524[AC 2034],Travaux_202524[DES_COMPL_NATR_COMPB],"=Fonctionnement")+SUMIFS(Travaux_202524[TR 2034],Travaux_202524[DES_COMPL_NATR_COMPB],"=Fonctionnement")</f>
        <v>0</v>
      </c>
      <c r="BD4" s="295"/>
      <c r="BE4" s="295">
        <f>SUMIFS(Travaux_202524[AC 2035],Travaux_202524[DES_COMPL_NATR_COMPB],"=Fonctionnement")+SUMIFS(Travaux_202524[TR 2035],Travaux_202524[DES_COMPL_NATR_COMPB],"=Fonctionnement")</f>
        <v>0</v>
      </c>
      <c r="BF4" s="295"/>
      <c r="BG4" s="16">
        <f t="shared" ref="BG4:BG12" si="0">SUM(W4,AF4)</f>
        <v>300</v>
      </c>
      <c r="BH4" s="16">
        <f t="shared" ref="BH4:BH11" si="1">SUM(W4,AF4,AO4:BD4)</f>
        <v>300</v>
      </c>
    </row>
    <row r="5" spans="1:62" x14ac:dyDescent="0.3">
      <c r="J5" s="27" t="s">
        <v>12</v>
      </c>
      <c r="K5" s="28" t="s">
        <v>13</v>
      </c>
      <c r="R5" s="104" t="s">
        <v>15</v>
      </c>
      <c r="S5" s="279">
        <f>SUMIFS(Travaux_202524[AC ANT],Travaux_202524[État Composante AC],"=PR")</f>
        <v>8803</v>
      </c>
      <c r="T5" s="260"/>
      <c r="U5" s="260">
        <f>SUMIFS(Travaux_202524[AC 2024],Travaux_202524[État Composante AC],"=PR")</f>
        <v>2412</v>
      </c>
      <c r="V5" s="260"/>
      <c r="W5" s="260">
        <f>SUMIFS(Travaux_202524[AC 2025],Travaux_202524[État Composante AC],"=PR")</f>
        <v>3817</v>
      </c>
      <c r="X5" s="280"/>
      <c r="Y5" s="78"/>
      <c r="Z5" s="279">
        <f>SUMIFS(Travaux_202524[AC 2025 Initiale],Travaux_202524[État Composante AC],"=PR")</f>
        <v>2729</v>
      </c>
      <c r="AA5" s="280"/>
      <c r="AB5" s="78"/>
      <c r="AC5" s="279">
        <f>SUMIFS(Travaux_202524[Écart AC 2025],Travaux_202524[État Composante AC],"=PR")</f>
        <v>1088</v>
      </c>
      <c r="AD5" s="260"/>
      <c r="AE5" s="280"/>
      <c r="AF5" s="279">
        <f>SUMIFS(Travaux_202524[AC 2026],Travaux_202524[État Composante AC],"=PR")</f>
        <v>93</v>
      </c>
      <c r="AG5" s="260"/>
      <c r="AH5" s="78"/>
      <c r="AI5" s="260">
        <f>SUMIFS(Travaux_202524[AC 2026 Initiale],Travaux_202524[État Composante AC],"=PR")</f>
        <v>60</v>
      </c>
      <c r="AJ5" s="280"/>
      <c r="AK5" s="78"/>
      <c r="AL5" s="279">
        <f>SUMIFS(Travaux_202524[Écart AC 2026],Travaux_202524[État Composante AC],"=PR")</f>
        <v>33</v>
      </c>
      <c r="AM5" s="260"/>
      <c r="AN5" s="280"/>
      <c r="AO5" s="279">
        <f>SUMIFS(Travaux_202524[AC 2027],Travaux_202524[État Composante AC],"=PR")</f>
        <v>0</v>
      </c>
      <c r="AP5" s="260"/>
      <c r="AQ5" s="260">
        <f>SUMIFS(Travaux_202524[AC 2028],Travaux_202524[État Composante AC],"=PR")</f>
        <v>0</v>
      </c>
      <c r="AR5" s="260"/>
      <c r="AS5" s="260">
        <f>SUMIFS(Travaux_202524[AC 2029],Travaux_202524[État Composante AC],"=PR")</f>
        <v>0</v>
      </c>
      <c r="AT5" s="260"/>
      <c r="AU5" s="260">
        <f>SUMIFS(Travaux_202524[AC 2030],Travaux_202524[État Composante AC],"=PR")</f>
        <v>0</v>
      </c>
      <c r="AV5" s="260"/>
      <c r="AW5" s="260">
        <f>SUMIFS(Travaux_202524[AC 2031],Travaux_202524[État Composante AC],"=PR")</f>
        <v>0</v>
      </c>
      <c r="AX5" s="260"/>
      <c r="AY5" s="260">
        <f>SUMIFS(Travaux_202524[AC 2032],Travaux_202524[État Composante AC],"=PR")</f>
        <v>0</v>
      </c>
      <c r="AZ5" s="260"/>
      <c r="BA5" s="260">
        <f>SUMIFS(Travaux_202524[AC 2033],Travaux_202524[État Composante AC],"=PR")</f>
        <v>0</v>
      </c>
      <c r="BB5" s="260"/>
      <c r="BC5" s="260">
        <f>SUMIFS(Travaux_202524[AC 2034],Travaux_202524[État Composante AC],"=PR")</f>
        <v>0</v>
      </c>
      <c r="BD5" s="260"/>
      <c r="BE5" s="260">
        <f>SUMIFS(Travaux_202524[AC 2035],Travaux_202524[État Composante AC],"=PR")</f>
        <v>0</v>
      </c>
      <c r="BF5" s="260"/>
      <c r="BG5" s="16">
        <f t="shared" si="0"/>
        <v>3910</v>
      </c>
      <c r="BH5" s="16">
        <f t="shared" si="1"/>
        <v>3910</v>
      </c>
    </row>
    <row r="6" spans="1:62" ht="15" thickBot="1" x14ac:dyDescent="0.35">
      <c r="J6" s="29" t="s">
        <v>16</v>
      </c>
      <c r="K6" s="28" t="s">
        <v>17</v>
      </c>
      <c r="R6" s="83" t="s">
        <v>19</v>
      </c>
      <c r="S6" s="279">
        <f>SUMIFS(Travaux_202524[TR ANT],Travaux_202524[État Composante TR],"=PR")</f>
        <v>53016</v>
      </c>
      <c r="T6" s="260"/>
      <c r="U6" s="260">
        <f>SUMIFS(Travaux_202524[TR 2024],Travaux_202524[État Composante TR],"=PR")</f>
        <v>55621</v>
      </c>
      <c r="V6" s="260"/>
      <c r="W6" s="260">
        <f>SUMIFS(Travaux_202524[TR 2025],Travaux_202524[État Composante TR],"=PR")</f>
        <v>55579</v>
      </c>
      <c r="X6" s="280"/>
      <c r="Y6" s="78"/>
      <c r="Z6" s="279">
        <f>SUMIFS(Travaux_202524[TR 2025 Initiale],Travaux_202524[État Composante TR],"=PR")</f>
        <v>50278</v>
      </c>
      <c r="AA6" s="280"/>
      <c r="AB6" s="78"/>
      <c r="AC6" s="279">
        <f>SUMIFS(Travaux_202524[Écart TR 2025],Travaux_202524[État Composante TR],"=PR")</f>
        <v>5301</v>
      </c>
      <c r="AD6" s="260"/>
      <c r="AE6" s="280"/>
      <c r="AF6" s="279">
        <f>SUMIFS(Travaux_202524[TR 2026],Travaux_202524[État Composante TR],"=PR")</f>
        <v>0</v>
      </c>
      <c r="AG6" s="260"/>
      <c r="AH6" s="78"/>
      <c r="AI6" s="260">
        <f>SUMIFS(Travaux_202524[TR 2026 Initiale],Travaux_202524[État Composante TR],"=PR")</f>
        <v>0</v>
      </c>
      <c r="AJ6" s="280"/>
      <c r="AK6" s="78"/>
      <c r="AL6" s="279">
        <f>SUMIFS(Travaux_202524[Écart TR 2026],Travaux_202524[État Composante TR],"=PR")</f>
        <v>0</v>
      </c>
      <c r="AM6" s="260"/>
      <c r="AN6" s="280"/>
      <c r="AO6" s="279">
        <f>SUMIFS(Travaux_202524[TR 2027],Travaux_202524[État Composante TR],"=PR")</f>
        <v>0</v>
      </c>
      <c r="AP6" s="260"/>
      <c r="AQ6" s="331">
        <f>SUMIFS(Travaux_202524[TR 2028],Travaux_202524[État Composante TR],"=PR")</f>
        <v>0</v>
      </c>
      <c r="AR6" s="331"/>
      <c r="AS6" s="331">
        <f>SUMIFS(Travaux_202524[TR 2029],Travaux_202524[État Composante TR],"=PR")</f>
        <v>0</v>
      </c>
      <c r="AT6" s="331"/>
      <c r="AU6" s="331">
        <f>SUMIFS(Travaux_202524[TR 2030],Travaux_202524[État Composante TR],"=PR")</f>
        <v>0</v>
      </c>
      <c r="AV6" s="331"/>
      <c r="AW6" s="331">
        <f>SUMIFS(Travaux_202524[TR 2031],Travaux_202524[État Composante TR],"=PR")</f>
        <v>0</v>
      </c>
      <c r="AX6" s="331"/>
      <c r="AY6" s="331">
        <f>SUMIFS(Travaux_202524[TR 2032],Travaux_202524[État Composante TR],"=PR")</f>
        <v>0</v>
      </c>
      <c r="AZ6" s="331"/>
      <c r="BA6" s="331">
        <f>SUMIFS(Travaux_202524[TR 2033],Travaux_202524[État Composante TR],"=PR")</f>
        <v>0</v>
      </c>
      <c r="BB6" s="331"/>
      <c r="BC6" s="331">
        <f>SUMIFS(Travaux_202524[TR 2034],Travaux_202524[État Composante TR],"=PR")</f>
        <v>0</v>
      </c>
      <c r="BD6" s="331"/>
      <c r="BE6" s="331">
        <f>SUMIFS(Travaux_202524[TR 2035],Travaux_202524[État Composante TR],"=PR")</f>
        <v>0</v>
      </c>
      <c r="BF6" s="331"/>
      <c r="BG6" s="16">
        <f t="shared" si="0"/>
        <v>55579</v>
      </c>
      <c r="BH6" s="16">
        <f t="shared" si="1"/>
        <v>55579</v>
      </c>
    </row>
    <row r="7" spans="1:62" ht="15" thickTop="1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61819</v>
      </c>
      <c r="T7" s="262"/>
      <c r="U7" s="262">
        <f>U5+U6</f>
        <v>58033</v>
      </c>
      <c r="V7" s="262"/>
      <c r="W7" s="262">
        <f>W5+W6</f>
        <v>59396</v>
      </c>
      <c r="X7" s="289"/>
      <c r="Y7" s="20"/>
      <c r="Z7" s="288">
        <f>Z5+Z6</f>
        <v>53007</v>
      </c>
      <c r="AA7" s="289"/>
      <c r="AB7" s="20"/>
      <c r="AC7" s="290">
        <f>AC5+AC6</f>
        <v>6389</v>
      </c>
      <c r="AD7" s="292"/>
      <c r="AE7" s="291"/>
      <c r="AF7" s="290">
        <f>AF5+AF6</f>
        <v>93</v>
      </c>
      <c r="AG7" s="291"/>
      <c r="AH7" s="20"/>
      <c r="AI7" s="288">
        <f>AI5+AI6</f>
        <v>60</v>
      </c>
      <c r="AJ7" s="289"/>
      <c r="AK7" s="20"/>
      <c r="AL7" s="290">
        <f>AL5+AL6</f>
        <v>33</v>
      </c>
      <c r="AM7" s="292"/>
      <c r="AN7" s="291"/>
      <c r="AO7" s="288">
        <f>AO5+AO6</f>
        <v>0</v>
      </c>
      <c r="AP7" s="262"/>
      <c r="AQ7" s="325">
        <f>AQ5+AQ6</f>
        <v>0</v>
      </c>
      <c r="AR7" s="325"/>
      <c r="AS7" s="325">
        <f>AS5+AS6</f>
        <v>0</v>
      </c>
      <c r="AT7" s="325"/>
      <c r="AU7" s="325">
        <f>AU5+AU6</f>
        <v>0</v>
      </c>
      <c r="AV7" s="325"/>
      <c r="AW7" s="325">
        <f>AW5+AW6</f>
        <v>0</v>
      </c>
      <c r="AX7" s="325"/>
      <c r="AY7" s="325">
        <f>AY5+AY6</f>
        <v>0</v>
      </c>
      <c r="AZ7" s="325"/>
      <c r="BA7" s="325">
        <f>BA5+BA6</f>
        <v>0</v>
      </c>
      <c r="BB7" s="325"/>
      <c r="BC7" s="325">
        <f>BC5+BC6</f>
        <v>0</v>
      </c>
      <c r="BD7" s="325"/>
      <c r="BE7" s="325">
        <f>BE5+BE6</f>
        <v>0</v>
      </c>
      <c r="BF7" s="325"/>
      <c r="BG7" s="20">
        <f>SUM(W7,AF7)</f>
        <v>59489</v>
      </c>
      <c r="BH7" s="20">
        <f t="shared" si="1"/>
        <v>59489</v>
      </c>
    </row>
    <row r="8" spans="1:62" x14ac:dyDescent="0.3">
      <c r="J8" s="329" t="s">
        <v>563</v>
      </c>
      <c r="K8" s="330"/>
      <c r="R8" s="83" t="s">
        <v>25</v>
      </c>
      <c r="S8" s="279">
        <f>SUMIFS(Travaux_202524[AC ANT],Travaux_202524[État Composante AC],"&lt;&gt;PR")</f>
        <v>0</v>
      </c>
      <c r="T8" s="260"/>
      <c r="U8" s="260">
        <f>SUMIFS(Travaux_202524[AC 2024],Travaux_202524[État Composante AC],"&lt;&gt;PR")</f>
        <v>0</v>
      </c>
      <c r="V8" s="260"/>
      <c r="W8" s="260">
        <f>SUMIFS(Travaux_202524[AC 2025],Travaux_202524[État Composante AC],"&lt;&gt;PR")</f>
        <v>0</v>
      </c>
      <c r="X8" s="280"/>
      <c r="Y8" s="78"/>
      <c r="Z8" s="279">
        <f>SUMIFS(Travaux_202524[AC 2025 Initiale],Travaux_202524[État Composante AC],"&lt;&gt;PR")</f>
        <v>0</v>
      </c>
      <c r="AA8" s="280"/>
      <c r="AB8" s="78"/>
      <c r="AC8" s="326">
        <f>SUMIFS(Travaux_202524[Écart AC 2025],Travaux_202524[État Composante AC],"&lt;&gt;PR")</f>
        <v>0</v>
      </c>
      <c r="AD8" s="327"/>
      <c r="AE8" s="328"/>
      <c r="AF8" s="326">
        <f>SUMIFS(Travaux_202524[AC 2026],Travaux_202524[État Composante AC],"&lt;&gt;PR")</f>
        <v>0</v>
      </c>
      <c r="AG8" s="327"/>
      <c r="AH8" s="78"/>
      <c r="AI8" s="260">
        <f>SUMIFS(Travaux_202524[AC 2026 Initiale],Travaux_202524[État Composante AC],"&lt;&gt;PR")</f>
        <v>0</v>
      </c>
      <c r="AJ8" s="280"/>
      <c r="AK8" s="78"/>
      <c r="AL8" s="326">
        <f>SUMIFS(Travaux_202524[Écart AC 2026],Travaux_202524[État Composante AC],"&lt;&gt;PR")</f>
        <v>0</v>
      </c>
      <c r="AM8" s="327"/>
      <c r="AN8" s="328"/>
      <c r="AO8" s="279">
        <f>SUMIFS(Travaux_202524[AC 2027],Travaux_202524[État Composante AC],"&lt;&gt;PR")</f>
        <v>0</v>
      </c>
      <c r="AP8" s="260"/>
      <c r="AQ8" s="260">
        <f>SUMIFS(Travaux_202524[AC 2028],Travaux_202524[État Composante AC],"&lt;&gt;PR")</f>
        <v>0</v>
      </c>
      <c r="AR8" s="260"/>
      <c r="AS8" s="260">
        <f>SUMIFS(Travaux_202524[AC 2029],Travaux_202524[État Composante AC],"&lt;&gt;PR")</f>
        <v>0</v>
      </c>
      <c r="AT8" s="260"/>
      <c r="AU8" s="260">
        <f>SUMIFS(Travaux_202524[AC 2030],Travaux_202524[État Composante AC],"&lt;&gt;PR")</f>
        <v>0</v>
      </c>
      <c r="AV8" s="260"/>
      <c r="AW8" s="260">
        <f>SUMIFS(Travaux_202524[AC 2031],Travaux_202524[État Composante AC],"&lt;&gt;PR")</f>
        <v>0</v>
      </c>
      <c r="AX8" s="260"/>
      <c r="AY8" s="260">
        <f>SUMIFS(Travaux_202524[AC 2032],Travaux_202524[État Composante AC],"&lt;&gt;PR")</f>
        <v>0</v>
      </c>
      <c r="AZ8" s="260"/>
      <c r="BA8" s="260">
        <f>SUMIFS(Travaux_202524[AC 2033],Travaux_202524[État Composante AC],"&lt;&gt;PR")</f>
        <v>0</v>
      </c>
      <c r="BB8" s="260"/>
      <c r="BC8" s="260">
        <f>SUMIFS(Travaux_202524[AC 2034],Travaux_202524[État Composante AC],"&lt;&gt;PR")</f>
        <v>0</v>
      </c>
      <c r="BD8" s="260"/>
      <c r="BE8" s="260">
        <f>SUMIFS(Travaux_202524[AC 2035],Travaux_202524[État Composante AC],"&lt;&gt;PR")</f>
        <v>0</v>
      </c>
      <c r="BF8" s="260"/>
      <c r="BG8" s="16">
        <f t="shared" si="0"/>
        <v>0</v>
      </c>
      <c r="BH8" s="16">
        <f t="shared" si="1"/>
        <v>0</v>
      </c>
    </row>
    <row r="9" spans="1:62" x14ac:dyDescent="0.3">
      <c r="J9" s="191"/>
      <c r="K9" s="28" t="s">
        <v>564</v>
      </c>
      <c r="R9" s="83" t="s">
        <v>27</v>
      </c>
      <c r="S9" s="279">
        <f>SUMIFS(Travaux_202524[TR ANT],Travaux_202524[État Composante TR],"&lt;&gt;PR")</f>
        <v>0</v>
      </c>
      <c r="T9" s="260"/>
      <c r="U9" s="260">
        <f>SUMIFS(Travaux_202524[TR 2024],Travaux_202524[État Composante TR],"&lt;&gt;PR")</f>
        <v>0</v>
      </c>
      <c r="V9" s="260"/>
      <c r="W9" s="260">
        <f>SUMIFS(Travaux_202524[TR 2025],Travaux_202524[État Composante TR],"&lt;&gt;PR")</f>
        <v>0</v>
      </c>
      <c r="X9" s="280"/>
      <c r="Y9" s="78"/>
      <c r="Z9" s="279">
        <f>SUMIFS(Travaux_202524[TR 2025 Initiale],Travaux_202524[État Composante TR],"&lt;&gt;PR")</f>
        <v>0</v>
      </c>
      <c r="AA9" s="280"/>
      <c r="AB9" s="78"/>
      <c r="AC9" s="279">
        <f>SUMIFS(Travaux_202524[Écart TR 2025],Travaux_202524[État Composante TR],"&lt;&gt;PR")</f>
        <v>0</v>
      </c>
      <c r="AD9" s="260"/>
      <c r="AE9" s="280"/>
      <c r="AF9" s="279">
        <f>SUMIFS(Travaux_202524[TR 2026],Travaux_202524[État Composante TR],"&lt;&gt;PR")</f>
        <v>0</v>
      </c>
      <c r="AG9" s="260"/>
      <c r="AH9" s="78"/>
      <c r="AI9" s="260">
        <f>SUMIFS(Travaux_202524[TR 2026 Initiale],Travaux_202524[État Composante TR],"&lt;&gt;PR")</f>
        <v>0</v>
      </c>
      <c r="AJ9" s="280"/>
      <c r="AK9" s="78"/>
      <c r="AL9" s="279">
        <f>SUMIFS(Travaux_202524[Écart TR 2026],Travaux_202524[État Composante TR],"&lt;&gt;PR")</f>
        <v>0</v>
      </c>
      <c r="AM9" s="260"/>
      <c r="AN9" s="280"/>
      <c r="AO9" s="279">
        <f>SUMIFS(Travaux_202524[TR 2027],Travaux_202524[État Composante TR],"&lt;&gt;PR")</f>
        <v>0</v>
      </c>
      <c r="AP9" s="260"/>
      <c r="AQ9" s="260">
        <f>SUMIFS(Travaux_202524[TR 2028],Travaux_202524[État Composante TR],"&lt;&gt;PR")</f>
        <v>0</v>
      </c>
      <c r="AR9" s="260"/>
      <c r="AS9" s="260">
        <f>SUMIFS(Travaux_202524[TR 2029],Travaux_202524[État Composante TR],"&lt;&gt;PR")</f>
        <v>0</v>
      </c>
      <c r="AT9" s="260"/>
      <c r="AU9" s="260">
        <f>SUMIFS(Travaux_202524[TR 2030],Travaux_202524[État Composante TR],"&lt;&gt;PR")</f>
        <v>0</v>
      </c>
      <c r="AV9" s="260"/>
      <c r="AW9" s="260">
        <f>SUMIFS(Travaux_202524[TR 2031],Travaux_202524[État Composante TR],"&lt;&gt;PR")</f>
        <v>0</v>
      </c>
      <c r="AX9" s="260"/>
      <c r="AY9" s="260">
        <f>SUMIFS(Travaux_202524[TR 2032],Travaux_202524[État Composante TR],"&lt;&gt;PR")</f>
        <v>0</v>
      </c>
      <c r="AZ9" s="260"/>
      <c r="BA9" s="260">
        <f>SUMIFS(Travaux_202524[TR 2033],Travaux_202524[État Composante TR],"&lt;&gt;PR")</f>
        <v>0</v>
      </c>
      <c r="BB9" s="260"/>
      <c r="BC9" s="260">
        <f>SUMIFS(Travaux_202524[TR 2034],Travaux_202524[État Composante TR],"&lt;&gt;PR")</f>
        <v>0</v>
      </c>
      <c r="BD9" s="260"/>
      <c r="BE9" s="260">
        <f>SUMIFS(Travaux_202524[TR 2035],Travaux_202524[État Composante TR],"&lt;&gt;PR")</f>
        <v>0</v>
      </c>
      <c r="BF9" s="260"/>
      <c r="BG9" s="16">
        <f t="shared" si="0"/>
        <v>0</v>
      </c>
      <c r="BH9" s="16">
        <f t="shared" si="1"/>
        <v>0</v>
      </c>
    </row>
    <row r="10" spans="1:62" x14ac:dyDescent="0.3">
      <c r="J10" s="192"/>
      <c r="K10" s="28" t="s">
        <v>565</v>
      </c>
      <c r="Q10" s="127"/>
      <c r="R10" s="117" t="s">
        <v>29</v>
      </c>
      <c r="S10" s="288">
        <f>S8+S9</f>
        <v>0</v>
      </c>
      <c r="T10" s="262"/>
      <c r="U10" s="262">
        <f>U8+U9</f>
        <v>0</v>
      </c>
      <c r="V10" s="262"/>
      <c r="W10" s="262">
        <f>W8+W9</f>
        <v>0</v>
      </c>
      <c r="X10" s="289"/>
      <c r="Y10" s="20"/>
      <c r="Z10" s="288">
        <f>Z8+Z9</f>
        <v>0</v>
      </c>
      <c r="AA10" s="289"/>
      <c r="AB10" s="20"/>
      <c r="AC10" s="288">
        <f>AC9+AC8</f>
        <v>0</v>
      </c>
      <c r="AD10" s="262"/>
      <c r="AE10" s="289"/>
      <c r="AF10" s="288">
        <f>AF8+AF9</f>
        <v>0</v>
      </c>
      <c r="AG10" s="262"/>
      <c r="AH10" s="20"/>
      <c r="AI10" s="262">
        <f>AI8+AI9</f>
        <v>0</v>
      </c>
      <c r="AJ10" s="289"/>
      <c r="AK10" s="20"/>
      <c r="AL10" s="288">
        <f>AL9+AL8</f>
        <v>0</v>
      </c>
      <c r="AM10" s="262"/>
      <c r="AN10" s="289"/>
      <c r="AO10" s="288">
        <f>AO8+AO9</f>
        <v>0</v>
      </c>
      <c r="AP10" s="262"/>
      <c r="AQ10" s="262">
        <f>AQ8+AQ9</f>
        <v>0</v>
      </c>
      <c r="AR10" s="262"/>
      <c r="AS10" s="262">
        <f>AS8+AS9</f>
        <v>0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62">
        <f>BC8+BC9</f>
        <v>0</v>
      </c>
      <c r="BD10" s="262"/>
      <c r="BE10" s="262">
        <f>BE8+BE9</f>
        <v>0</v>
      </c>
      <c r="BF10" s="262"/>
      <c r="BG10" s="20">
        <f t="shared" si="0"/>
        <v>0</v>
      </c>
      <c r="BH10" s="20">
        <f t="shared" si="1"/>
        <v>0</v>
      </c>
    </row>
    <row r="11" spans="1:62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61819</v>
      </c>
      <c r="T11" s="284"/>
      <c r="U11" s="285">
        <f>U10+U7</f>
        <v>58033</v>
      </c>
      <c r="V11" s="284"/>
      <c r="W11" s="285">
        <f>W10+W7</f>
        <v>59396</v>
      </c>
      <c r="X11" s="284"/>
      <c r="Y11" s="105"/>
      <c r="Z11" s="285">
        <f>Z10+Z7</f>
        <v>53007</v>
      </c>
      <c r="AA11" s="287"/>
      <c r="AB11" s="105"/>
      <c r="AC11" s="286">
        <f>AC10+AC7</f>
        <v>6389</v>
      </c>
      <c r="AD11" s="283"/>
      <c r="AE11" s="287"/>
      <c r="AF11" s="286">
        <f>AF10+AF7</f>
        <v>93</v>
      </c>
      <c r="AG11" s="284"/>
      <c r="AH11" s="105"/>
      <c r="AI11" s="285">
        <f>AI10+AI7</f>
        <v>60</v>
      </c>
      <c r="AJ11" s="287"/>
      <c r="AK11" s="105"/>
      <c r="AL11" s="286">
        <f>AL10+AL7</f>
        <v>33</v>
      </c>
      <c r="AM11" s="283"/>
      <c r="AN11" s="287"/>
      <c r="AO11" s="286">
        <f>AO10+AO7</f>
        <v>0</v>
      </c>
      <c r="AP11" s="284"/>
      <c r="AQ11" s="285">
        <f>AQ10+AQ7</f>
        <v>0</v>
      </c>
      <c r="AR11" s="284"/>
      <c r="AS11" s="285">
        <f>AS10+AS7</f>
        <v>0</v>
      </c>
      <c r="AT11" s="284"/>
      <c r="AU11" s="285">
        <f>AU10+AU7</f>
        <v>0</v>
      </c>
      <c r="AV11" s="284"/>
      <c r="AW11" s="285">
        <f>AW10+AW7</f>
        <v>0</v>
      </c>
      <c r="AX11" s="284"/>
      <c r="AY11" s="285">
        <f>AY10+AY7</f>
        <v>0</v>
      </c>
      <c r="AZ11" s="284"/>
      <c r="BA11" s="285">
        <f>BA10+BA7</f>
        <v>0</v>
      </c>
      <c r="BB11" s="284"/>
      <c r="BC11" s="285">
        <f>BC10+BC7</f>
        <v>0</v>
      </c>
      <c r="BD11" s="284"/>
      <c r="BE11" s="285">
        <f>BE10+BE7</f>
        <v>0</v>
      </c>
      <c r="BF11" s="284"/>
      <c r="BG11" s="105">
        <f t="shared" si="0"/>
        <v>59489</v>
      </c>
      <c r="BH11" s="105">
        <f t="shared" si="1"/>
        <v>59489</v>
      </c>
    </row>
    <row r="12" spans="1:62" ht="15" customHeight="1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80"/>
      <c r="Y12" s="78"/>
      <c r="Z12" s="279"/>
      <c r="AA12" s="280"/>
      <c r="AB12" s="78"/>
      <c r="AC12" s="322"/>
      <c r="AD12" s="323"/>
      <c r="AE12" s="324"/>
      <c r="AF12" s="279"/>
      <c r="AG12" s="260"/>
      <c r="AH12" s="78"/>
      <c r="AI12" s="260"/>
      <c r="AJ12" s="280"/>
      <c r="AK12" s="78"/>
      <c r="AL12" s="322"/>
      <c r="AM12" s="323"/>
      <c r="AN12" s="324"/>
      <c r="AO12" s="279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78">
        <f t="shared" si="0"/>
        <v>0</v>
      </c>
      <c r="BH12" s="78">
        <f>SUM(AO12:BD12,W12,AF12)</f>
        <v>0</v>
      </c>
    </row>
    <row r="13" spans="1:62" ht="16.2" thickBot="1" x14ac:dyDescent="0.35">
      <c r="J13" s="195"/>
      <c r="K13" s="31" t="s">
        <v>568</v>
      </c>
      <c r="Q13" s="126"/>
      <c r="R13" s="118" t="s">
        <v>33</v>
      </c>
      <c r="S13" s="120"/>
      <c r="T13" s="64"/>
      <c r="U13" s="319">
        <f>U12+U11</f>
        <v>58033</v>
      </c>
      <c r="V13" s="321"/>
      <c r="W13" s="258">
        <f>W12+W11</f>
        <v>59396</v>
      </c>
      <c r="X13" s="259"/>
      <c r="Y13" s="167"/>
      <c r="Z13" s="258">
        <f>Z12+Z11</f>
        <v>53007</v>
      </c>
      <c r="AA13" s="259"/>
      <c r="AB13" s="167"/>
      <c r="AC13" s="258">
        <f>AC12+AC11</f>
        <v>6389</v>
      </c>
      <c r="AD13" s="261"/>
      <c r="AE13" s="261"/>
      <c r="AF13" s="261">
        <f>AF12+AF11</f>
        <v>93</v>
      </c>
      <c r="AG13" s="259"/>
      <c r="AH13" s="167"/>
      <c r="AI13" s="258">
        <f>AI12+AI11</f>
        <v>60</v>
      </c>
      <c r="AJ13" s="259"/>
      <c r="AK13" s="167"/>
      <c r="AL13" s="319">
        <f>AL12+AL11</f>
        <v>33</v>
      </c>
      <c r="AM13" s="320"/>
      <c r="AN13" s="320"/>
      <c r="AO13" s="261">
        <f>AO12+AO11</f>
        <v>0</v>
      </c>
      <c r="AP13" s="259"/>
      <c r="AQ13" s="258">
        <f>AQ12+AQ11</f>
        <v>0</v>
      </c>
      <c r="AR13" s="259"/>
      <c r="AS13" s="258">
        <f>AS12+AS11</f>
        <v>0</v>
      </c>
      <c r="AT13" s="259"/>
      <c r="AU13" s="258">
        <f>AU12+AU11</f>
        <v>0</v>
      </c>
      <c r="AV13" s="259"/>
      <c r="AW13" s="258">
        <f>AW12+AW11</f>
        <v>0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58">
        <f>BE12+BE11</f>
        <v>0</v>
      </c>
      <c r="BF13" s="259"/>
      <c r="BG13" s="21">
        <f>BG12+BG11</f>
        <v>59489</v>
      </c>
      <c r="BH13" s="21">
        <f>BH12+BH11</f>
        <v>59489</v>
      </c>
    </row>
    <row r="14" spans="1:62" s="11" customFormat="1" ht="75.599999999999994" customHeight="1" x14ac:dyDescent="0.3">
      <c r="A14" s="11" t="s">
        <v>273</v>
      </c>
      <c r="B14" s="11" t="s">
        <v>274</v>
      </c>
      <c r="C14" s="11" t="s">
        <v>37</v>
      </c>
      <c r="D14" s="11" t="s">
        <v>38</v>
      </c>
      <c r="E14" s="11" t="s">
        <v>39</v>
      </c>
      <c r="F14" s="11" t="s">
        <v>40</v>
      </c>
      <c r="G14" s="11" t="s">
        <v>41</v>
      </c>
      <c r="H14" s="11" t="s">
        <v>42</v>
      </c>
      <c r="I14" s="11" t="s">
        <v>44</v>
      </c>
      <c r="J14" s="11" t="s">
        <v>45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582</v>
      </c>
      <c r="P14" s="11" t="s">
        <v>50</v>
      </c>
      <c r="Q14" s="11" t="s">
        <v>51</v>
      </c>
      <c r="R14" s="11" t="s">
        <v>52</v>
      </c>
      <c r="S14" s="9" t="s">
        <v>76</v>
      </c>
      <c r="T14" s="9" t="s">
        <v>77</v>
      </c>
      <c r="U14" s="9" t="s">
        <v>78</v>
      </c>
      <c r="V14" s="9" t="s">
        <v>79</v>
      </c>
      <c r="W14" s="11" t="s">
        <v>80</v>
      </c>
      <c r="X14" s="11" t="s">
        <v>81</v>
      </c>
      <c r="Y14" s="11" t="s">
        <v>579</v>
      </c>
      <c r="Z14" s="11" t="s">
        <v>549</v>
      </c>
      <c r="AA14" s="11" t="s">
        <v>550</v>
      </c>
      <c r="AB14" s="11" t="s">
        <v>577</v>
      </c>
      <c r="AC14" s="99" t="s">
        <v>277</v>
      </c>
      <c r="AD14" s="99" t="s">
        <v>278</v>
      </c>
      <c r="AE14" s="99" t="s">
        <v>279</v>
      </c>
      <c r="AF14" s="11" t="s">
        <v>82</v>
      </c>
      <c r="AG14" s="11" t="s">
        <v>83</v>
      </c>
      <c r="AH14" s="11" t="s">
        <v>578</v>
      </c>
      <c r="AI14" s="11" t="s">
        <v>551</v>
      </c>
      <c r="AJ14" s="11" t="s">
        <v>552</v>
      </c>
      <c r="AK14" s="11" t="s">
        <v>580</v>
      </c>
      <c r="AL14" s="93" t="s">
        <v>283</v>
      </c>
      <c r="AM14" s="93" t="s">
        <v>284</v>
      </c>
      <c r="AN14" s="93" t="s">
        <v>285</v>
      </c>
      <c r="AO14" s="11" t="s">
        <v>84</v>
      </c>
      <c r="AP14" s="11" t="s">
        <v>85</v>
      </c>
      <c r="AQ14" s="11" t="s">
        <v>86</v>
      </c>
      <c r="AR14" s="11" t="s">
        <v>87</v>
      </c>
      <c r="AS14" s="11" t="s">
        <v>88</v>
      </c>
      <c r="AT14" s="11" t="s">
        <v>89</v>
      </c>
      <c r="AU14" s="11" t="s">
        <v>90</v>
      </c>
      <c r="AV14" s="11" t="s">
        <v>91</v>
      </c>
      <c r="AW14" s="11" t="s">
        <v>92</v>
      </c>
      <c r="AX14" s="11" t="s">
        <v>93</v>
      </c>
      <c r="AY14" s="11" t="s">
        <v>94</v>
      </c>
      <c r="AZ14" s="11" t="s">
        <v>95</v>
      </c>
      <c r="BA14" s="11" t="s">
        <v>96</v>
      </c>
      <c r="BB14" s="11" t="s">
        <v>97</v>
      </c>
      <c r="BC14" s="11" t="s">
        <v>98</v>
      </c>
      <c r="BD14" s="11" t="s">
        <v>99</v>
      </c>
      <c r="BE14" s="11" t="s">
        <v>593</v>
      </c>
      <c r="BF14" s="11" t="s">
        <v>594</v>
      </c>
      <c r="BG14" s="11" t="s">
        <v>100</v>
      </c>
    </row>
    <row r="15" spans="1:62" x14ac:dyDescent="0.3">
      <c r="A15" t="s">
        <v>286</v>
      </c>
      <c r="C15" t="s">
        <v>101</v>
      </c>
      <c r="D15" t="s">
        <v>102</v>
      </c>
      <c r="E15" t="s">
        <v>103</v>
      </c>
      <c r="F15" t="s">
        <v>104</v>
      </c>
      <c r="G15" t="s">
        <v>16</v>
      </c>
      <c r="H15" t="s">
        <v>16</v>
      </c>
      <c r="I15" t="s">
        <v>105</v>
      </c>
      <c r="J15" t="s">
        <v>215</v>
      </c>
      <c r="K15" t="s">
        <v>216</v>
      </c>
      <c r="L15" t="s">
        <v>217</v>
      </c>
      <c r="M15" t="s">
        <v>148</v>
      </c>
      <c r="N15" s="198" t="s">
        <v>609</v>
      </c>
      <c r="O15" t="s">
        <v>613</v>
      </c>
      <c r="P15" s="1">
        <v>44838</v>
      </c>
      <c r="Q15" s="1">
        <v>45441</v>
      </c>
      <c r="R15" s="1">
        <v>45623</v>
      </c>
      <c r="S15">
        <v>218</v>
      </c>
      <c r="T15">
        <v>3</v>
      </c>
      <c r="U15">
        <v>96</v>
      </c>
      <c r="W15">
        <v>643</v>
      </c>
      <c r="X15">
        <v>12563</v>
      </c>
      <c r="Y15">
        <f>Travaux_202524[[#This Row],[AC 2025]]+Travaux_202524[[#This Row],[TR 2025]]</f>
        <v>13206</v>
      </c>
      <c r="Z15">
        <v>641</v>
      </c>
      <c r="AA15">
        <v>12563</v>
      </c>
      <c r="AB15">
        <f>Travaux_202524[[#This Row],[AC 2025 Initiale]]+Travaux_202524[[#This Row],[TR 2025 Initiale]]</f>
        <v>13204</v>
      </c>
      <c r="AC15">
        <f>Travaux_202524[[#This Row],[AC 2025]]-Travaux_202524[[#This Row],[AC 2025 Initiale]]</f>
        <v>2</v>
      </c>
      <c r="AD15">
        <f>Travaux_202524[[#This Row],[TR 2025]]-Travaux_202524[[#This Row],[TR 2025 Initiale]]</f>
        <v>0</v>
      </c>
      <c r="AE15">
        <f>Travaux_202524[[#This Row],[Écart AC 2025]]+Travaux_202524[[#This Row],[Écart TR 2025]]</f>
        <v>2</v>
      </c>
      <c r="AG15"/>
      <c r="AH15">
        <f>Travaux_202524[[#This Row],[AC 2026]]+Travaux_202524[[#This Row],[TR 2026]]</f>
        <v>0</v>
      </c>
      <c r="AK15">
        <f>Travaux_202524[[#This Row],[AC 2026 Initiale]]+Travaux_202524[[#This Row],[TR 2026 Initiale]]</f>
        <v>0</v>
      </c>
      <c r="AL15">
        <f>Travaux_202524[[#This Row],[AC 2026]]-Travaux_202524[[#This Row],[AC 2026 Initiale]]</f>
        <v>0</v>
      </c>
      <c r="AM15">
        <f>Travaux_202524[[#This Row],[TR 2026]]-Travaux_202524[[#This Row],[TR 2026 Initiale]]</f>
        <v>0</v>
      </c>
      <c r="AN15">
        <f>Travaux_202524[[#This Row],[Écart AC 2026]]+Travaux_202524[[#This Row],[Écart TR 2026]]</f>
        <v>0</v>
      </c>
      <c r="AY15"/>
      <c r="BG15" s="14">
        <f>SUM(Travaux_202524[[#This Row],[AC ANT]:[TR 2025]],Travaux_202524[[#This Row],[AC 2026]:[TR 2026]],Travaux_202524[[#This Row],[AC 2027]:[TR 2034]])</f>
        <v>13523</v>
      </c>
    </row>
    <row r="16" spans="1:62" ht="14.4" customHeight="1" x14ac:dyDescent="0.3">
      <c r="A16" t="s">
        <v>286</v>
      </c>
      <c r="C16" t="s">
        <v>118</v>
      </c>
      <c r="D16" t="s">
        <v>102</v>
      </c>
      <c r="E16" t="s">
        <v>119</v>
      </c>
      <c r="F16" t="s">
        <v>113</v>
      </c>
      <c r="G16" t="s">
        <v>16</v>
      </c>
      <c r="H16" t="s">
        <v>16</v>
      </c>
      <c r="I16" t="s">
        <v>105</v>
      </c>
      <c r="J16" t="s">
        <v>120</v>
      </c>
      <c r="K16" t="s">
        <v>289</v>
      </c>
      <c r="L16" t="s">
        <v>122</v>
      </c>
      <c r="M16" t="s">
        <v>148</v>
      </c>
      <c r="N16" s="198" t="s">
        <v>609</v>
      </c>
      <c r="O16" s="203" t="s">
        <v>618</v>
      </c>
      <c r="P16" s="1"/>
      <c r="Q16" s="1"/>
      <c r="R16" s="1">
        <v>45712</v>
      </c>
      <c r="W16">
        <v>20</v>
      </c>
      <c r="X16">
        <v>895</v>
      </c>
      <c r="Y16">
        <f>Travaux_202524[[#This Row],[AC 2025]]+Travaux_202524[[#This Row],[TR 2025]]</f>
        <v>915</v>
      </c>
      <c r="Z16">
        <v>20</v>
      </c>
      <c r="AA16">
        <v>895</v>
      </c>
      <c r="AB16">
        <f>Travaux_202524[[#This Row],[AC 2025 Initiale]]+Travaux_202524[[#This Row],[TR 2025 Initiale]]</f>
        <v>915</v>
      </c>
      <c r="AC16">
        <f>Travaux_202524[[#This Row],[AC 2025]]-Travaux_202524[[#This Row],[AC 2025 Initiale]]</f>
        <v>0</v>
      </c>
      <c r="AD16">
        <f>Travaux_202524[[#This Row],[TR 2025]]-Travaux_202524[[#This Row],[TR 2025 Initiale]]</f>
        <v>0</v>
      </c>
      <c r="AE16">
        <f>Travaux_202524[[#This Row],[Écart AC 2025]]+Travaux_202524[[#This Row],[Écart TR 2025]]</f>
        <v>0</v>
      </c>
      <c r="AG16"/>
      <c r="AH16">
        <f>Travaux_202524[[#This Row],[AC 2026]]+Travaux_202524[[#This Row],[TR 2026]]</f>
        <v>0</v>
      </c>
      <c r="AK16">
        <f>Travaux_202524[[#This Row],[AC 2026 Initiale]]+Travaux_202524[[#This Row],[TR 2026 Initiale]]</f>
        <v>0</v>
      </c>
      <c r="AL16">
        <f>Travaux_202524[[#This Row],[AC 2026]]-Travaux_202524[[#This Row],[AC 2026 Initiale]]</f>
        <v>0</v>
      </c>
      <c r="AM16">
        <f>Travaux_202524[[#This Row],[TR 2026]]-Travaux_202524[[#This Row],[TR 2026 Initiale]]</f>
        <v>0</v>
      </c>
      <c r="AN16">
        <f>Travaux_202524[[#This Row],[Écart AC 2026]]+Travaux_202524[[#This Row],[Écart TR 2026]]</f>
        <v>0</v>
      </c>
      <c r="AY16"/>
      <c r="BG16" s="14">
        <f>SUM(Travaux_202524[[#This Row],[AC ANT]:[TR 2025]],Travaux_202524[[#This Row],[AC 2026]:[TR 2026]],Travaux_202524[[#This Row],[AC 2027]:[TR 2034]])</f>
        <v>915</v>
      </c>
    </row>
    <row r="17" spans="1:59" x14ac:dyDescent="0.3">
      <c r="A17" t="s">
        <v>286</v>
      </c>
      <c r="C17" t="s">
        <v>118</v>
      </c>
      <c r="D17" t="s">
        <v>102</v>
      </c>
      <c r="E17" t="s">
        <v>136</v>
      </c>
      <c r="F17" t="s">
        <v>129</v>
      </c>
      <c r="G17" t="s">
        <v>16</v>
      </c>
      <c r="H17" t="s">
        <v>16</v>
      </c>
      <c r="I17" t="s">
        <v>131</v>
      </c>
      <c r="J17" t="s">
        <v>218</v>
      </c>
      <c r="K17" t="s">
        <v>219</v>
      </c>
      <c r="L17" t="s">
        <v>152</v>
      </c>
      <c r="M17" t="s">
        <v>148</v>
      </c>
      <c r="N17" s="217" t="s">
        <v>609</v>
      </c>
      <c r="O17" t="s">
        <v>611</v>
      </c>
      <c r="P17" s="1">
        <v>45370</v>
      </c>
      <c r="Q17" s="1"/>
      <c r="R17" s="1">
        <v>45706</v>
      </c>
      <c r="S17">
        <v>6</v>
      </c>
      <c r="U17">
        <v>45</v>
      </c>
      <c r="W17">
        <v>38</v>
      </c>
      <c r="X17">
        <v>605</v>
      </c>
      <c r="Y17">
        <f>Travaux_202524[[#This Row],[AC 2025]]+Travaux_202524[[#This Row],[TR 2025]]</f>
        <v>643</v>
      </c>
      <c r="Z17">
        <v>24</v>
      </c>
      <c r="AA17">
        <v>605</v>
      </c>
      <c r="AB17">
        <f>Travaux_202524[[#This Row],[AC 2025 Initiale]]+Travaux_202524[[#This Row],[TR 2025 Initiale]]</f>
        <v>629</v>
      </c>
      <c r="AC17">
        <f>Travaux_202524[[#This Row],[AC 2025]]-Travaux_202524[[#This Row],[AC 2025 Initiale]]</f>
        <v>14</v>
      </c>
      <c r="AD17">
        <f>Travaux_202524[[#This Row],[TR 2025]]-Travaux_202524[[#This Row],[TR 2025 Initiale]]</f>
        <v>0</v>
      </c>
      <c r="AE17">
        <f>Travaux_202524[[#This Row],[Écart AC 2025]]+Travaux_202524[[#This Row],[Écart TR 2025]]</f>
        <v>14</v>
      </c>
      <c r="AG17"/>
      <c r="AH17">
        <f>Travaux_202524[[#This Row],[AC 2026]]+Travaux_202524[[#This Row],[TR 2026]]</f>
        <v>0</v>
      </c>
      <c r="AK17">
        <f>Travaux_202524[[#This Row],[AC 2026 Initiale]]+Travaux_202524[[#This Row],[TR 2026 Initiale]]</f>
        <v>0</v>
      </c>
      <c r="AL17">
        <f>Travaux_202524[[#This Row],[AC 2026]]-Travaux_202524[[#This Row],[AC 2026 Initiale]]</f>
        <v>0</v>
      </c>
      <c r="AM17">
        <f>Travaux_202524[[#This Row],[TR 2026]]-Travaux_202524[[#This Row],[TR 2026 Initiale]]</f>
        <v>0</v>
      </c>
      <c r="AN17">
        <f>Travaux_202524[[#This Row],[Écart AC 2026]]+Travaux_202524[[#This Row],[Écart TR 2026]]</f>
        <v>0</v>
      </c>
      <c r="AY17"/>
      <c r="BG17" s="14">
        <f>SUM(Travaux_202524[[#This Row],[AC ANT]:[TR 2025]],Travaux_202524[[#This Row],[AC 2026]:[TR 2026]],Travaux_202524[[#This Row],[AC 2027]:[TR 2034]])</f>
        <v>694</v>
      </c>
    </row>
    <row r="18" spans="1:59" ht="28.8" x14ac:dyDescent="0.3">
      <c r="A18" t="s">
        <v>286</v>
      </c>
      <c r="C18" t="s">
        <v>101</v>
      </c>
      <c r="D18" t="s">
        <v>102</v>
      </c>
      <c r="E18" t="s">
        <v>128</v>
      </c>
      <c r="F18" t="s">
        <v>113</v>
      </c>
      <c r="G18" t="s">
        <v>16</v>
      </c>
      <c r="H18" t="s">
        <v>16</v>
      </c>
      <c r="I18" t="s">
        <v>105</v>
      </c>
      <c r="J18" t="s">
        <v>160</v>
      </c>
      <c r="K18" t="s">
        <v>161</v>
      </c>
      <c r="L18" t="s">
        <v>122</v>
      </c>
      <c r="M18" t="s">
        <v>148</v>
      </c>
      <c r="N18" s="198" t="s">
        <v>612</v>
      </c>
      <c r="O18" t="s">
        <v>614</v>
      </c>
      <c r="P18" s="1">
        <v>44956</v>
      </c>
      <c r="Q18" s="1">
        <v>45321</v>
      </c>
      <c r="R18" s="1">
        <v>45687</v>
      </c>
      <c r="S18">
        <v>6</v>
      </c>
      <c r="U18">
        <v>14</v>
      </c>
      <c r="W18">
        <v>325</v>
      </c>
      <c r="X18">
        <v>4503</v>
      </c>
      <c r="Y18">
        <f>Travaux_202524[[#This Row],[AC 2025]]+Travaux_202524[[#This Row],[TR 2025]]</f>
        <v>4828</v>
      </c>
      <c r="Z18">
        <v>320</v>
      </c>
      <c r="AA18">
        <v>4503</v>
      </c>
      <c r="AB18">
        <f>Travaux_202524[[#This Row],[AC 2025 Initiale]]+Travaux_202524[[#This Row],[TR 2025 Initiale]]</f>
        <v>4823</v>
      </c>
      <c r="AC18">
        <f>Travaux_202524[[#This Row],[AC 2025]]-Travaux_202524[[#This Row],[AC 2025 Initiale]]</f>
        <v>5</v>
      </c>
      <c r="AD18">
        <f>Travaux_202524[[#This Row],[TR 2025]]-Travaux_202524[[#This Row],[TR 2025 Initiale]]</f>
        <v>0</v>
      </c>
      <c r="AE18">
        <f>Travaux_202524[[#This Row],[Écart AC 2025]]+Travaux_202524[[#This Row],[Écart TR 2025]]</f>
        <v>5</v>
      </c>
      <c r="AG18"/>
      <c r="AH18">
        <f>Travaux_202524[[#This Row],[AC 2026]]+Travaux_202524[[#This Row],[TR 2026]]</f>
        <v>0</v>
      </c>
      <c r="AK18">
        <f>Travaux_202524[[#This Row],[AC 2026 Initiale]]+Travaux_202524[[#This Row],[TR 2026 Initiale]]</f>
        <v>0</v>
      </c>
      <c r="AL18">
        <f>Travaux_202524[[#This Row],[AC 2026]]-Travaux_202524[[#This Row],[AC 2026 Initiale]]</f>
        <v>0</v>
      </c>
      <c r="AM18">
        <f>Travaux_202524[[#This Row],[TR 2026]]-Travaux_202524[[#This Row],[TR 2026 Initiale]]</f>
        <v>0</v>
      </c>
      <c r="AN18">
        <f>Travaux_202524[[#This Row],[Écart AC 2026]]+Travaux_202524[[#This Row],[Écart TR 2026]]</f>
        <v>0</v>
      </c>
      <c r="AY18"/>
      <c r="BG18" s="14">
        <f>SUM(Travaux_202524[[#This Row],[AC ANT]:[TR 2025]],Travaux_202524[[#This Row],[AC 2026]:[TR 2026]],Travaux_202524[[#This Row],[AC 2027]:[TR 2034]])</f>
        <v>4848</v>
      </c>
    </row>
    <row r="19" spans="1:59" ht="43.2" x14ac:dyDescent="0.3">
      <c r="A19" t="s">
        <v>286</v>
      </c>
      <c r="C19" t="s">
        <v>101</v>
      </c>
      <c r="D19" t="s">
        <v>102</v>
      </c>
      <c r="E19" t="s">
        <v>103</v>
      </c>
      <c r="F19" t="s">
        <v>149</v>
      </c>
      <c r="G19" t="s">
        <v>16</v>
      </c>
      <c r="H19" t="s">
        <v>16</v>
      </c>
      <c r="I19" t="s">
        <v>105</v>
      </c>
      <c r="J19" t="s">
        <v>228</v>
      </c>
      <c r="K19" t="s">
        <v>229</v>
      </c>
      <c r="L19" t="s">
        <v>230</v>
      </c>
      <c r="M19" t="s">
        <v>148</v>
      </c>
      <c r="N19" s="198" t="s">
        <v>616</v>
      </c>
      <c r="O19" s="203" t="s">
        <v>617</v>
      </c>
      <c r="P19" s="1">
        <v>45022</v>
      </c>
      <c r="Q19" s="1">
        <v>45463</v>
      </c>
      <c r="R19" s="1">
        <v>45590</v>
      </c>
      <c r="S19">
        <v>61</v>
      </c>
      <c r="W19">
        <v>601</v>
      </c>
      <c r="X19">
        <v>11581</v>
      </c>
      <c r="Y19">
        <f>Travaux_202524[[#This Row],[AC 2025]]+Travaux_202524[[#This Row],[TR 2025]]</f>
        <v>12182</v>
      </c>
      <c r="Z19">
        <v>580</v>
      </c>
      <c r="AA19">
        <v>11581</v>
      </c>
      <c r="AB19">
        <f>Travaux_202524[[#This Row],[AC 2025 Initiale]]+Travaux_202524[[#This Row],[TR 2025 Initiale]]</f>
        <v>12161</v>
      </c>
      <c r="AC19">
        <f>Travaux_202524[[#This Row],[AC 2025]]-Travaux_202524[[#This Row],[AC 2025 Initiale]]</f>
        <v>21</v>
      </c>
      <c r="AD19">
        <f>Travaux_202524[[#This Row],[TR 2025]]-Travaux_202524[[#This Row],[TR 2025 Initiale]]</f>
        <v>0</v>
      </c>
      <c r="AE19">
        <f>Travaux_202524[[#This Row],[Écart AC 2025]]+Travaux_202524[[#This Row],[Écart TR 2025]]</f>
        <v>21</v>
      </c>
      <c r="AG19"/>
      <c r="AH19">
        <f>Travaux_202524[[#This Row],[AC 2026]]+Travaux_202524[[#This Row],[TR 2026]]</f>
        <v>0</v>
      </c>
      <c r="AK19">
        <f>Travaux_202524[[#This Row],[AC 2026 Initiale]]+Travaux_202524[[#This Row],[TR 2026 Initiale]]</f>
        <v>0</v>
      </c>
      <c r="AL19">
        <f>Travaux_202524[[#This Row],[AC 2026]]-Travaux_202524[[#This Row],[AC 2026 Initiale]]</f>
        <v>0</v>
      </c>
      <c r="AM19">
        <f>Travaux_202524[[#This Row],[TR 2026]]-Travaux_202524[[#This Row],[TR 2026 Initiale]]</f>
        <v>0</v>
      </c>
      <c r="AN19">
        <f>Travaux_202524[[#This Row],[Écart AC 2026]]+Travaux_202524[[#This Row],[Écart TR 2026]]</f>
        <v>0</v>
      </c>
      <c r="AY19"/>
      <c r="BG19" s="14">
        <f>SUM(Travaux_202524[[#This Row],[AC ANT]:[TR 2025]],Travaux_202524[[#This Row],[AC 2026]:[TR 2026]],Travaux_202524[[#This Row],[AC 2027]:[TR 2034]])</f>
        <v>12243</v>
      </c>
    </row>
    <row r="20" spans="1:59" x14ac:dyDescent="0.3">
      <c r="A20" t="s">
        <v>286</v>
      </c>
      <c r="C20" t="s">
        <v>118</v>
      </c>
      <c r="D20" t="s">
        <v>102</v>
      </c>
      <c r="E20" t="s">
        <v>177</v>
      </c>
      <c r="F20" t="s">
        <v>129</v>
      </c>
      <c r="G20" t="s">
        <v>16</v>
      </c>
      <c r="H20" t="s">
        <v>16</v>
      </c>
      <c r="I20" t="s">
        <v>131</v>
      </c>
      <c r="J20" t="s">
        <v>293</v>
      </c>
      <c r="K20" t="s">
        <v>294</v>
      </c>
      <c r="L20" t="s">
        <v>134</v>
      </c>
      <c r="M20" t="s">
        <v>148</v>
      </c>
      <c r="N20" s="199" t="s">
        <v>620</v>
      </c>
      <c r="O20" t="s">
        <v>619</v>
      </c>
      <c r="P20" s="1">
        <v>45702</v>
      </c>
      <c r="Q20" s="1">
        <v>45702</v>
      </c>
      <c r="R20" s="1">
        <v>45702</v>
      </c>
      <c r="W20">
        <v>50</v>
      </c>
      <c r="X20">
        <v>2894</v>
      </c>
      <c r="Y20">
        <f>Travaux_202524[[#This Row],[AC 2025]]+Travaux_202524[[#This Row],[TR 2025]]</f>
        <v>2944</v>
      </c>
      <c r="Z20">
        <v>50</v>
      </c>
      <c r="AA20">
        <v>2894</v>
      </c>
      <c r="AB20">
        <f>Travaux_202524[[#This Row],[AC 2025 Initiale]]+Travaux_202524[[#This Row],[TR 2025 Initiale]]</f>
        <v>2944</v>
      </c>
      <c r="AC20">
        <f>Travaux_202524[[#This Row],[AC 2025]]-Travaux_202524[[#This Row],[AC 2025 Initiale]]</f>
        <v>0</v>
      </c>
      <c r="AD20">
        <f>Travaux_202524[[#This Row],[TR 2025]]-Travaux_202524[[#This Row],[TR 2025 Initiale]]</f>
        <v>0</v>
      </c>
      <c r="AE20">
        <f>Travaux_202524[[#This Row],[Écart AC 2025]]+Travaux_202524[[#This Row],[Écart TR 2025]]</f>
        <v>0</v>
      </c>
      <c r="AG20"/>
      <c r="AH20">
        <f>Travaux_202524[[#This Row],[AC 2026]]+Travaux_202524[[#This Row],[TR 2026]]</f>
        <v>0</v>
      </c>
      <c r="AK20">
        <f>Travaux_202524[[#This Row],[AC 2026 Initiale]]+Travaux_202524[[#This Row],[TR 2026 Initiale]]</f>
        <v>0</v>
      </c>
      <c r="AL20">
        <f>Travaux_202524[[#This Row],[AC 2026]]-Travaux_202524[[#This Row],[AC 2026 Initiale]]</f>
        <v>0</v>
      </c>
      <c r="AM20">
        <f>Travaux_202524[[#This Row],[TR 2026]]-Travaux_202524[[#This Row],[TR 2026 Initiale]]</f>
        <v>0</v>
      </c>
      <c r="AN20">
        <f>Travaux_202524[[#This Row],[Écart AC 2026]]+Travaux_202524[[#This Row],[Écart TR 2026]]</f>
        <v>0</v>
      </c>
      <c r="AY20"/>
      <c r="BG20" s="14">
        <f>SUM(Travaux_202524[[#This Row],[AC ANT]:[TR 2025]],Travaux_202524[[#This Row],[AC 2026]:[TR 2026]],Travaux_202524[[#This Row],[AC 2027]:[TR 2034]])</f>
        <v>2944</v>
      </c>
    </row>
    <row r="21" spans="1:59" x14ac:dyDescent="0.3">
      <c r="A21" t="s">
        <v>286</v>
      </c>
      <c r="C21" t="s">
        <v>101</v>
      </c>
      <c r="D21" t="s">
        <v>102</v>
      </c>
      <c r="E21" t="s">
        <v>103</v>
      </c>
      <c r="F21" t="s">
        <v>140</v>
      </c>
      <c r="G21" t="s">
        <v>16</v>
      </c>
      <c r="H21" t="s">
        <v>16</v>
      </c>
      <c r="I21" t="s">
        <v>105</v>
      </c>
      <c r="J21" t="s">
        <v>174</v>
      </c>
      <c r="K21" t="s">
        <v>175</v>
      </c>
      <c r="L21" t="s">
        <v>143</v>
      </c>
      <c r="M21" t="s">
        <v>148</v>
      </c>
      <c r="N21" s="217" t="s">
        <v>564</v>
      </c>
      <c r="O21" t="s">
        <v>613</v>
      </c>
      <c r="P21" s="1">
        <v>44014</v>
      </c>
      <c r="Q21" s="1">
        <v>44294</v>
      </c>
      <c r="R21" s="1">
        <v>45239</v>
      </c>
      <c r="S21">
        <v>389</v>
      </c>
      <c r="T21">
        <v>4986</v>
      </c>
      <c r="U21">
        <v>450</v>
      </c>
      <c r="V21">
        <v>25618</v>
      </c>
      <c r="W21">
        <v>678</v>
      </c>
      <c r="X21">
        <v>14983</v>
      </c>
      <c r="Y21">
        <f>Travaux_202524[[#This Row],[AC 2025]]+Travaux_202524[[#This Row],[TR 2025]]</f>
        <v>15661</v>
      </c>
      <c r="Z21">
        <v>399</v>
      </c>
      <c r="AA21">
        <v>11768</v>
      </c>
      <c r="AB21">
        <f>Travaux_202524[[#This Row],[AC 2025 Initiale]]+Travaux_202524[[#This Row],[TR 2025 Initiale]]</f>
        <v>12167</v>
      </c>
      <c r="AC21">
        <f>Travaux_202524[[#This Row],[AC 2025]]-Travaux_202524[[#This Row],[AC 2025 Initiale]]</f>
        <v>279</v>
      </c>
      <c r="AD21">
        <f>Travaux_202524[[#This Row],[TR 2025]]-Travaux_202524[[#This Row],[TR 2025 Initiale]]</f>
        <v>3215</v>
      </c>
      <c r="AE21">
        <f>Travaux_202524[[#This Row],[Écart AC 2025]]+Travaux_202524[[#This Row],[Écart TR 2025]]</f>
        <v>3494</v>
      </c>
      <c r="AG21"/>
      <c r="AH21">
        <f>Travaux_202524[[#This Row],[AC 2026]]+Travaux_202524[[#This Row],[TR 2026]]</f>
        <v>0</v>
      </c>
      <c r="AK21">
        <f>Travaux_202524[[#This Row],[AC 2026 Initiale]]+Travaux_202524[[#This Row],[TR 2026 Initiale]]</f>
        <v>0</v>
      </c>
      <c r="AL21">
        <f>Travaux_202524[[#This Row],[AC 2026]]-Travaux_202524[[#This Row],[AC 2026 Initiale]]</f>
        <v>0</v>
      </c>
      <c r="AM21">
        <f>Travaux_202524[[#This Row],[TR 2026]]-Travaux_202524[[#This Row],[TR 2026 Initiale]]</f>
        <v>0</v>
      </c>
      <c r="AN21">
        <f>Travaux_202524[[#This Row],[Écart AC 2026]]+Travaux_202524[[#This Row],[Écart TR 2026]]</f>
        <v>0</v>
      </c>
      <c r="AY21"/>
      <c r="BG21" s="14">
        <f>SUM(Travaux_202524[[#This Row],[AC ANT]:[TR 2025]],Travaux_202524[[#This Row],[AC 2026]:[TR 2026]],Travaux_202524[[#This Row],[AC 2027]:[TR 2034]])</f>
        <v>47104</v>
      </c>
    </row>
    <row r="22" spans="1:59" x14ac:dyDescent="0.3">
      <c r="A22" t="s">
        <v>286</v>
      </c>
      <c r="C22" t="s">
        <v>118</v>
      </c>
      <c r="D22" t="s">
        <v>102</v>
      </c>
      <c r="E22" t="s">
        <v>103</v>
      </c>
      <c r="F22" t="s">
        <v>149</v>
      </c>
      <c r="G22" t="s">
        <v>16</v>
      </c>
      <c r="H22" t="s">
        <v>16</v>
      </c>
      <c r="I22" t="s">
        <v>131</v>
      </c>
      <c r="J22" t="s">
        <v>192</v>
      </c>
      <c r="K22" t="s">
        <v>193</v>
      </c>
      <c r="L22" t="s">
        <v>194</v>
      </c>
      <c r="M22" t="s">
        <v>148</v>
      </c>
      <c r="N22" s="217" t="s">
        <v>564</v>
      </c>
      <c r="O22" t="s">
        <v>613</v>
      </c>
      <c r="P22" s="1">
        <v>44547</v>
      </c>
      <c r="Q22" s="1">
        <v>45091</v>
      </c>
      <c r="R22" s="1">
        <v>45375</v>
      </c>
      <c r="S22">
        <v>7</v>
      </c>
      <c r="U22">
        <v>45</v>
      </c>
      <c r="V22">
        <v>1057</v>
      </c>
      <c r="W22">
        <v>221</v>
      </c>
      <c r="X22">
        <v>4691</v>
      </c>
      <c r="Y22">
        <f>Travaux_202524[[#This Row],[AC 2025]]+Travaux_202524[[#This Row],[TR 2025]]</f>
        <v>4912</v>
      </c>
      <c r="Z22">
        <v>185</v>
      </c>
      <c r="AA22">
        <v>4398</v>
      </c>
      <c r="AB22">
        <f>Travaux_202524[[#This Row],[AC 2025 Initiale]]+Travaux_202524[[#This Row],[TR 2025 Initiale]]</f>
        <v>4583</v>
      </c>
      <c r="AC22">
        <f>Travaux_202524[[#This Row],[AC 2025]]-Travaux_202524[[#This Row],[AC 2025 Initiale]]</f>
        <v>36</v>
      </c>
      <c r="AD22">
        <f>Travaux_202524[[#This Row],[TR 2025]]-Travaux_202524[[#This Row],[TR 2025 Initiale]]</f>
        <v>293</v>
      </c>
      <c r="AE22">
        <f>Travaux_202524[[#This Row],[Écart AC 2025]]+Travaux_202524[[#This Row],[Écart TR 2025]]</f>
        <v>329</v>
      </c>
      <c r="AG22"/>
      <c r="AH22">
        <f>Travaux_202524[[#This Row],[AC 2026]]+Travaux_202524[[#This Row],[TR 2026]]</f>
        <v>0</v>
      </c>
      <c r="AK22">
        <f>Travaux_202524[[#This Row],[AC 2026 Initiale]]+Travaux_202524[[#This Row],[TR 2026 Initiale]]</f>
        <v>0</v>
      </c>
      <c r="AL22">
        <f>Travaux_202524[[#This Row],[AC 2026]]-Travaux_202524[[#This Row],[AC 2026 Initiale]]</f>
        <v>0</v>
      </c>
      <c r="AM22">
        <f>Travaux_202524[[#This Row],[TR 2026]]-Travaux_202524[[#This Row],[TR 2026 Initiale]]</f>
        <v>0</v>
      </c>
      <c r="AN22">
        <f>Travaux_202524[[#This Row],[Écart AC 2026]]+Travaux_202524[[#This Row],[Écart TR 2026]]</f>
        <v>0</v>
      </c>
      <c r="AY22"/>
      <c r="BG22" s="14">
        <f>SUM(Travaux_202524[[#This Row],[AC ANT]:[TR 2025]],Travaux_202524[[#This Row],[AC 2026]:[TR 2026]],Travaux_202524[[#This Row],[AC 2027]:[TR 2034]])</f>
        <v>6021</v>
      </c>
    </row>
    <row r="23" spans="1:59" x14ac:dyDescent="0.3">
      <c r="A23" t="s">
        <v>286</v>
      </c>
      <c r="C23" t="s">
        <v>101</v>
      </c>
      <c r="D23" t="s">
        <v>102</v>
      </c>
      <c r="E23" t="s">
        <v>177</v>
      </c>
      <c r="F23" t="s">
        <v>129</v>
      </c>
      <c r="G23" t="s">
        <v>16</v>
      </c>
      <c r="H23" t="s">
        <v>16</v>
      </c>
      <c r="I23" t="s">
        <v>131</v>
      </c>
      <c r="J23" t="s">
        <v>178</v>
      </c>
      <c r="K23" t="s">
        <v>179</v>
      </c>
      <c r="L23" t="s">
        <v>180</v>
      </c>
      <c r="M23" t="s">
        <v>148</v>
      </c>
      <c r="N23" s="103" t="s">
        <v>564</v>
      </c>
      <c r="O23" t="s">
        <v>615</v>
      </c>
      <c r="P23" s="1"/>
      <c r="Q23" s="1"/>
      <c r="R23" s="1">
        <v>45195</v>
      </c>
      <c r="S23">
        <v>75</v>
      </c>
      <c r="T23">
        <v>101.00000000000001</v>
      </c>
      <c r="U23">
        <v>25</v>
      </c>
      <c r="V23">
        <v>1137</v>
      </c>
      <c r="W23">
        <v>73</v>
      </c>
      <c r="X23">
        <v>596</v>
      </c>
      <c r="Y23">
        <f>Travaux_202524[[#This Row],[AC 2025]]+Travaux_202524[[#This Row],[TR 2025]]</f>
        <v>669</v>
      </c>
      <c r="Z23">
        <v>73</v>
      </c>
      <c r="AA23">
        <v>580</v>
      </c>
      <c r="AB23">
        <f>Travaux_202524[[#This Row],[AC 2025 Initiale]]+Travaux_202524[[#This Row],[TR 2025 Initiale]]</f>
        <v>653</v>
      </c>
      <c r="AC23">
        <f>Travaux_202524[[#This Row],[AC 2025]]-Travaux_202524[[#This Row],[AC 2025 Initiale]]</f>
        <v>0</v>
      </c>
      <c r="AD23">
        <f>Travaux_202524[[#This Row],[TR 2025]]-Travaux_202524[[#This Row],[TR 2025 Initiale]]</f>
        <v>16</v>
      </c>
      <c r="AE23">
        <f>Travaux_202524[[#This Row],[Écart AC 2025]]+Travaux_202524[[#This Row],[Écart TR 2025]]</f>
        <v>16</v>
      </c>
      <c r="AG23"/>
      <c r="AH23">
        <f>Travaux_202524[[#This Row],[AC 2026]]+Travaux_202524[[#This Row],[TR 2026]]</f>
        <v>0</v>
      </c>
      <c r="AK23">
        <f>Travaux_202524[[#This Row],[AC 2026 Initiale]]+Travaux_202524[[#This Row],[TR 2026 Initiale]]</f>
        <v>0</v>
      </c>
      <c r="AL23">
        <f>Travaux_202524[[#This Row],[AC 2026]]-Travaux_202524[[#This Row],[AC 2026 Initiale]]</f>
        <v>0</v>
      </c>
      <c r="AM23">
        <f>Travaux_202524[[#This Row],[TR 2026]]-Travaux_202524[[#This Row],[TR 2026 Initiale]]</f>
        <v>0</v>
      </c>
      <c r="AN23">
        <f>Travaux_202524[[#This Row],[Écart AC 2026]]+Travaux_202524[[#This Row],[Écart TR 2026]]</f>
        <v>0</v>
      </c>
      <c r="AY23"/>
      <c r="BG23" s="14">
        <f>SUM(Travaux_202524[[#This Row],[AC ANT]:[TR 2025]],Travaux_202524[[#This Row],[AC 2026]:[TR 2026]],Travaux_202524[[#This Row],[AC 2027]:[TR 2034]])</f>
        <v>2007</v>
      </c>
    </row>
    <row r="24" spans="1:59" ht="28.8" x14ac:dyDescent="0.3">
      <c r="A24" t="s">
        <v>286</v>
      </c>
      <c r="C24" t="s">
        <v>126</v>
      </c>
      <c r="D24" t="s">
        <v>127</v>
      </c>
      <c r="E24" t="s">
        <v>136</v>
      </c>
      <c r="F24" t="s">
        <v>104</v>
      </c>
      <c r="G24" t="s">
        <v>16</v>
      </c>
      <c r="H24" t="s">
        <v>16</v>
      </c>
      <c r="I24" t="s">
        <v>105</v>
      </c>
      <c r="J24" t="s">
        <v>162</v>
      </c>
      <c r="K24" t="s">
        <v>163</v>
      </c>
      <c r="L24" t="s">
        <v>122</v>
      </c>
      <c r="M24" s="2"/>
      <c r="N24" s="103" t="s">
        <v>608</v>
      </c>
      <c r="O24" s="203" t="s">
        <v>610</v>
      </c>
      <c r="P24" s="1"/>
      <c r="Q24" s="1"/>
      <c r="R24" s="1"/>
      <c r="S24">
        <v>5398</v>
      </c>
      <c r="T24">
        <v>28152</v>
      </c>
      <c r="U24">
        <v>46</v>
      </c>
      <c r="V24">
        <v>891</v>
      </c>
      <c r="W24">
        <v>399</v>
      </c>
      <c r="X24">
        <v>67</v>
      </c>
      <c r="Y24">
        <f>Travaux_202524[[#This Row],[AC 2025]]+Travaux_202524[[#This Row],[TR 2025]]</f>
        <v>466</v>
      </c>
      <c r="Z24">
        <v>399</v>
      </c>
      <c r="AA24">
        <v>67</v>
      </c>
      <c r="AB24">
        <f>Travaux_202524[[#This Row],[AC 2025 Initiale]]+Travaux_202524[[#This Row],[TR 2025 Initiale]]</f>
        <v>466</v>
      </c>
      <c r="AC24">
        <f>Travaux_202524[[#This Row],[AC 2025]]-Travaux_202524[[#This Row],[AC 2025 Initiale]]</f>
        <v>0</v>
      </c>
      <c r="AD24">
        <f>Travaux_202524[[#This Row],[TR 2025]]-Travaux_202524[[#This Row],[TR 2025 Initiale]]</f>
        <v>0</v>
      </c>
      <c r="AE24">
        <f>Travaux_202524[[#This Row],[Écart AC 2025]]+Travaux_202524[[#This Row],[Écart TR 2025]]</f>
        <v>0</v>
      </c>
      <c r="AF24">
        <v>93</v>
      </c>
      <c r="AG24"/>
      <c r="AH24">
        <f>Travaux_202524[[#This Row],[AC 2026]]+Travaux_202524[[#This Row],[TR 2026]]</f>
        <v>93</v>
      </c>
      <c r="AI24">
        <v>60</v>
      </c>
      <c r="AK24">
        <f>Travaux_202524[[#This Row],[AC 2026 Initiale]]+Travaux_202524[[#This Row],[TR 2026 Initiale]]</f>
        <v>60</v>
      </c>
      <c r="AL24">
        <f>Travaux_202524[[#This Row],[AC 2026]]-Travaux_202524[[#This Row],[AC 2026 Initiale]]</f>
        <v>33</v>
      </c>
      <c r="AM24">
        <f>Travaux_202524[[#This Row],[TR 2026]]-Travaux_202524[[#This Row],[TR 2026 Initiale]]</f>
        <v>0</v>
      </c>
      <c r="AN24">
        <f>Travaux_202524[[#This Row],[Écart AC 2026]]+Travaux_202524[[#This Row],[Écart TR 2026]]</f>
        <v>33</v>
      </c>
      <c r="AY24"/>
      <c r="BG24" s="14">
        <f>SUM(Travaux_202524[[#This Row],[AC ANT]:[TR 2025]],Travaux_202524[[#This Row],[AC 2026]:[TR 2026]],Travaux_202524[[#This Row],[AC 2027]:[TR 2034]])</f>
        <v>35046</v>
      </c>
    </row>
    <row r="25" spans="1:59" x14ac:dyDescent="0.3">
      <c r="A25" t="s">
        <v>286</v>
      </c>
      <c r="C25" t="s">
        <v>101</v>
      </c>
      <c r="D25" t="s">
        <v>102</v>
      </c>
      <c r="E25" t="s">
        <v>119</v>
      </c>
      <c r="F25" t="s">
        <v>113</v>
      </c>
      <c r="G25" t="s">
        <v>16</v>
      </c>
      <c r="H25" t="s">
        <v>16</v>
      </c>
      <c r="I25" t="s">
        <v>105</v>
      </c>
      <c r="J25" t="s">
        <v>332</v>
      </c>
      <c r="K25" t="s">
        <v>333</v>
      </c>
      <c r="L25" t="s">
        <v>122</v>
      </c>
      <c r="N25" s="103" t="s">
        <v>621</v>
      </c>
      <c r="O25" t="s">
        <v>624</v>
      </c>
      <c r="P25" s="1">
        <v>44162</v>
      </c>
      <c r="Q25" s="1">
        <v>44489</v>
      </c>
      <c r="R25" s="1">
        <v>44608</v>
      </c>
      <c r="S25">
        <v>183</v>
      </c>
      <c r="T25">
        <v>33</v>
      </c>
      <c r="U25">
        <v>297</v>
      </c>
      <c r="V25">
        <v>6350</v>
      </c>
      <c r="W25">
        <v>162</v>
      </c>
      <c r="X25">
        <v>50</v>
      </c>
      <c r="Y25">
        <f>Travaux_202524[[#This Row],[AC 2025]]+Travaux_202524[[#This Row],[TR 2025]]</f>
        <v>212</v>
      </c>
      <c r="AB25">
        <f>Travaux_202524[[#This Row],[AC 2025 Initiale]]+Travaux_202524[[#This Row],[TR 2025 Initiale]]</f>
        <v>0</v>
      </c>
      <c r="AC25">
        <f>Travaux_202524[[#This Row],[AC 2025]]-Travaux_202524[[#This Row],[AC 2025 Initiale]]</f>
        <v>162</v>
      </c>
      <c r="AD25">
        <f>Travaux_202524[[#This Row],[TR 2025]]-Travaux_202524[[#This Row],[TR 2025 Initiale]]</f>
        <v>50</v>
      </c>
      <c r="AE25">
        <f>Travaux_202524[[#This Row],[Écart AC 2025]]+Travaux_202524[[#This Row],[Écart TR 2025]]</f>
        <v>212</v>
      </c>
      <c r="AG25"/>
      <c r="AH25">
        <f>Travaux_202524[[#This Row],[AC 2026]]+Travaux_202524[[#This Row],[TR 2026]]</f>
        <v>0</v>
      </c>
      <c r="AK25">
        <f>Travaux_202524[[#This Row],[AC 2026 Initiale]]+Travaux_202524[[#This Row],[TR 2026 Initiale]]</f>
        <v>0</v>
      </c>
      <c r="AL25">
        <f>Travaux_202524[[#This Row],[AC 2026]]-Travaux_202524[[#This Row],[AC 2026 Initiale]]</f>
        <v>0</v>
      </c>
      <c r="AM25">
        <f>Travaux_202524[[#This Row],[TR 2026]]-Travaux_202524[[#This Row],[TR 2026 Initiale]]</f>
        <v>0</v>
      </c>
      <c r="AN25">
        <f>Travaux_202524[[#This Row],[Écart AC 2026]]+Travaux_202524[[#This Row],[Écart TR 2026]]</f>
        <v>0</v>
      </c>
      <c r="AY25"/>
      <c r="BG25" s="14">
        <f>SUM(Travaux_202524[[#This Row],[AC ANT]:[TR 2025]],Travaux_202524[[#This Row],[AC 2026]:[TR 2026]],Travaux_202524[[#This Row],[AC 2027]:[TR 2034]])</f>
        <v>7075</v>
      </c>
    </row>
    <row r="26" spans="1:59" x14ac:dyDescent="0.3">
      <c r="A26" t="s">
        <v>286</v>
      </c>
      <c r="C26" t="s">
        <v>101</v>
      </c>
      <c r="D26" t="s">
        <v>102</v>
      </c>
      <c r="E26" t="s">
        <v>200</v>
      </c>
      <c r="F26" t="s">
        <v>113</v>
      </c>
      <c r="G26" t="s">
        <v>16</v>
      </c>
      <c r="H26" t="s">
        <v>16</v>
      </c>
      <c r="I26" t="s">
        <v>131</v>
      </c>
      <c r="J26" t="s">
        <v>336</v>
      </c>
      <c r="K26" t="s">
        <v>337</v>
      </c>
      <c r="L26" t="s">
        <v>180</v>
      </c>
      <c r="N26" s="217" t="s">
        <v>621</v>
      </c>
      <c r="O26" t="s">
        <v>623</v>
      </c>
      <c r="P26" s="1"/>
      <c r="Q26" s="1">
        <v>44518</v>
      </c>
      <c r="R26" s="1">
        <v>44657</v>
      </c>
      <c r="S26">
        <v>594</v>
      </c>
      <c r="T26">
        <v>3359</v>
      </c>
      <c r="U26">
        <v>264</v>
      </c>
      <c r="V26">
        <v>2717</v>
      </c>
      <c r="W26">
        <v>63</v>
      </c>
      <c r="X26">
        <v>462</v>
      </c>
      <c r="Y26">
        <f>Travaux_202524[[#This Row],[AC 2025]]+Travaux_202524[[#This Row],[TR 2025]]</f>
        <v>525</v>
      </c>
      <c r="AB26">
        <f>Travaux_202524[[#This Row],[AC 2025 Initiale]]+Travaux_202524[[#This Row],[TR 2025 Initiale]]</f>
        <v>0</v>
      </c>
      <c r="AC26">
        <f>Travaux_202524[[#This Row],[AC 2025]]-Travaux_202524[[#This Row],[AC 2025 Initiale]]</f>
        <v>63</v>
      </c>
      <c r="AD26">
        <f>Travaux_202524[[#This Row],[TR 2025]]-Travaux_202524[[#This Row],[TR 2025 Initiale]]</f>
        <v>462</v>
      </c>
      <c r="AE26">
        <f>Travaux_202524[[#This Row],[Écart AC 2025]]+Travaux_202524[[#This Row],[Écart TR 2025]]</f>
        <v>525</v>
      </c>
      <c r="AG26"/>
      <c r="AH26">
        <f>Travaux_202524[[#This Row],[AC 2026]]+Travaux_202524[[#This Row],[TR 2026]]</f>
        <v>0</v>
      </c>
      <c r="AK26">
        <f>Travaux_202524[[#This Row],[AC 2026 Initiale]]+Travaux_202524[[#This Row],[TR 2026 Initiale]]</f>
        <v>0</v>
      </c>
      <c r="AL26">
        <f>Travaux_202524[[#This Row],[AC 2026]]-Travaux_202524[[#This Row],[AC 2026 Initiale]]</f>
        <v>0</v>
      </c>
      <c r="AM26">
        <f>Travaux_202524[[#This Row],[TR 2026]]-Travaux_202524[[#This Row],[TR 2026 Initiale]]</f>
        <v>0</v>
      </c>
      <c r="AN26">
        <f>Travaux_202524[[#This Row],[Écart AC 2026]]+Travaux_202524[[#This Row],[Écart TR 2026]]</f>
        <v>0</v>
      </c>
      <c r="AY26"/>
      <c r="BG26" s="14">
        <f>SUM(Travaux_202524[[#This Row],[AC ANT]:[TR 2025]],Travaux_202524[[#This Row],[AC 2026]:[TR 2026]],Travaux_202524[[#This Row],[AC 2027]:[TR 2034]])</f>
        <v>7459</v>
      </c>
    </row>
    <row r="27" spans="1:59" x14ac:dyDescent="0.3">
      <c r="A27" t="s">
        <v>286</v>
      </c>
      <c r="C27" t="s">
        <v>101</v>
      </c>
      <c r="D27" t="s">
        <v>102</v>
      </c>
      <c r="E27" t="s">
        <v>103</v>
      </c>
      <c r="F27" t="s">
        <v>113</v>
      </c>
      <c r="G27" t="s">
        <v>16</v>
      </c>
      <c r="H27" t="s">
        <v>16</v>
      </c>
      <c r="I27" t="s">
        <v>105</v>
      </c>
      <c r="J27" t="s">
        <v>312</v>
      </c>
      <c r="K27" t="s">
        <v>313</v>
      </c>
      <c r="L27" t="s">
        <v>168</v>
      </c>
      <c r="N27" s="217" t="s">
        <v>621</v>
      </c>
      <c r="O27" t="s">
        <v>623</v>
      </c>
      <c r="P27" s="1">
        <v>44055</v>
      </c>
      <c r="Q27" s="1">
        <v>44315</v>
      </c>
      <c r="R27" s="1">
        <v>44589</v>
      </c>
      <c r="S27">
        <v>448</v>
      </c>
      <c r="T27">
        <v>5849</v>
      </c>
      <c r="U27">
        <v>290</v>
      </c>
      <c r="V27">
        <v>3895</v>
      </c>
      <c r="W27">
        <v>93</v>
      </c>
      <c r="X27">
        <v>390</v>
      </c>
      <c r="Y27">
        <f>Travaux_202524[[#This Row],[AC 2025]]+Travaux_202524[[#This Row],[TR 2025]]</f>
        <v>483</v>
      </c>
      <c r="AB27">
        <f>Travaux_202524[[#This Row],[AC 2025 Initiale]]+Travaux_202524[[#This Row],[TR 2025 Initiale]]</f>
        <v>0</v>
      </c>
      <c r="AC27">
        <f>Travaux_202524[[#This Row],[AC 2025]]-Travaux_202524[[#This Row],[AC 2025 Initiale]]</f>
        <v>93</v>
      </c>
      <c r="AD27">
        <f>Travaux_202524[[#This Row],[TR 2025]]-Travaux_202524[[#This Row],[TR 2025 Initiale]]</f>
        <v>390</v>
      </c>
      <c r="AE27">
        <f>Travaux_202524[[#This Row],[Écart AC 2025]]+Travaux_202524[[#This Row],[Écart TR 2025]]</f>
        <v>483</v>
      </c>
      <c r="AG27"/>
      <c r="AH27">
        <f>Travaux_202524[[#This Row],[AC 2026]]+Travaux_202524[[#This Row],[TR 2026]]</f>
        <v>0</v>
      </c>
      <c r="AK27">
        <f>Travaux_202524[[#This Row],[AC 2026 Initiale]]+Travaux_202524[[#This Row],[TR 2026 Initiale]]</f>
        <v>0</v>
      </c>
      <c r="AL27">
        <f>Travaux_202524[[#This Row],[AC 2026]]-Travaux_202524[[#This Row],[AC 2026 Initiale]]</f>
        <v>0</v>
      </c>
      <c r="AM27">
        <f>Travaux_202524[[#This Row],[TR 2026]]-Travaux_202524[[#This Row],[TR 2026 Initiale]]</f>
        <v>0</v>
      </c>
      <c r="AN27">
        <f>Travaux_202524[[#This Row],[Écart AC 2026]]+Travaux_202524[[#This Row],[Écart TR 2026]]</f>
        <v>0</v>
      </c>
      <c r="AY27"/>
      <c r="BG27" s="14">
        <f>SUM(Travaux_202524[[#This Row],[AC ANT]:[TR 2025]],Travaux_202524[[#This Row],[AC 2026]:[TR 2026]],Travaux_202524[[#This Row],[AC 2027]:[TR 2034]])</f>
        <v>10965</v>
      </c>
    </row>
    <row r="28" spans="1:59" x14ac:dyDescent="0.3">
      <c r="A28" t="s">
        <v>286</v>
      </c>
      <c r="C28" t="s">
        <v>101</v>
      </c>
      <c r="D28" t="s">
        <v>102</v>
      </c>
      <c r="E28" t="s">
        <v>200</v>
      </c>
      <c r="F28" t="s">
        <v>149</v>
      </c>
      <c r="G28" t="s">
        <v>16</v>
      </c>
      <c r="H28" t="s">
        <v>16</v>
      </c>
      <c r="I28" t="s">
        <v>105</v>
      </c>
      <c r="J28" t="s">
        <v>334</v>
      </c>
      <c r="K28" t="s">
        <v>335</v>
      </c>
      <c r="L28" t="s">
        <v>205</v>
      </c>
      <c r="N28" s="217" t="s">
        <v>621</v>
      </c>
      <c r="O28" t="s">
        <v>623</v>
      </c>
      <c r="P28" s="1">
        <v>44228</v>
      </c>
      <c r="Q28" s="1">
        <v>44579</v>
      </c>
      <c r="R28" s="1">
        <v>44865</v>
      </c>
      <c r="S28">
        <v>262</v>
      </c>
      <c r="T28">
        <v>16</v>
      </c>
      <c r="U28">
        <v>265</v>
      </c>
      <c r="V28">
        <v>6205</v>
      </c>
      <c r="W28">
        <v>183</v>
      </c>
      <c r="X28">
        <v>282</v>
      </c>
      <c r="Y28">
        <f>Travaux_202524[[#This Row],[AC 2025]]+Travaux_202524[[#This Row],[TR 2025]]</f>
        <v>465</v>
      </c>
      <c r="AB28">
        <f>Travaux_202524[[#This Row],[AC 2025 Initiale]]+Travaux_202524[[#This Row],[TR 2025 Initiale]]</f>
        <v>0</v>
      </c>
      <c r="AC28">
        <f>Travaux_202524[[#This Row],[AC 2025]]-Travaux_202524[[#This Row],[AC 2025 Initiale]]</f>
        <v>183</v>
      </c>
      <c r="AD28">
        <f>Travaux_202524[[#This Row],[TR 2025]]-Travaux_202524[[#This Row],[TR 2025 Initiale]]</f>
        <v>282</v>
      </c>
      <c r="AE28">
        <f>Travaux_202524[[#This Row],[Écart AC 2025]]+Travaux_202524[[#This Row],[Écart TR 2025]]</f>
        <v>465</v>
      </c>
      <c r="AG28"/>
      <c r="AH28">
        <f>Travaux_202524[[#This Row],[AC 2026]]+Travaux_202524[[#This Row],[TR 2026]]</f>
        <v>0</v>
      </c>
      <c r="AK28">
        <f>Travaux_202524[[#This Row],[AC 2026 Initiale]]+Travaux_202524[[#This Row],[TR 2026 Initiale]]</f>
        <v>0</v>
      </c>
      <c r="AL28">
        <f>Travaux_202524[[#This Row],[AC 2026]]-Travaux_202524[[#This Row],[AC 2026 Initiale]]</f>
        <v>0</v>
      </c>
      <c r="AM28">
        <f>Travaux_202524[[#This Row],[TR 2026]]-Travaux_202524[[#This Row],[TR 2026 Initiale]]</f>
        <v>0</v>
      </c>
      <c r="AN28">
        <f>Travaux_202524[[#This Row],[Écart AC 2026]]+Travaux_202524[[#This Row],[Écart TR 2026]]</f>
        <v>0</v>
      </c>
      <c r="AY28"/>
      <c r="BG28" s="14">
        <f>SUM(Travaux_202524[[#This Row],[AC ANT]:[TR 2025]],Travaux_202524[[#This Row],[AC 2026]:[TR 2026]],Travaux_202524[[#This Row],[AC 2027]:[TR 2034]])</f>
        <v>7213</v>
      </c>
    </row>
    <row r="29" spans="1:59" x14ac:dyDescent="0.3">
      <c r="A29" t="s">
        <v>286</v>
      </c>
      <c r="C29" t="s">
        <v>101</v>
      </c>
      <c r="D29" t="s">
        <v>102</v>
      </c>
      <c r="E29" t="s">
        <v>103</v>
      </c>
      <c r="G29" t="s">
        <v>16</v>
      </c>
      <c r="H29" t="s">
        <v>16</v>
      </c>
      <c r="I29" t="s">
        <v>105</v>
      </c>
      <c r="J29" t="s">
        <v>309</v>
      </c>
      <c r="K29" t="s">
        <v>310</v>
      </c>
      <c r="L29" t="s">
        <v>108</v>
      </c>
      <c r="N29" s="217" t="s">
        <v>621</v>
      </c>
      <c r="O29" t="s">
        <v>623</v>
      </c>
      <c r="P29" s="1"/>
      <c r="Q29" s="1"/>
      <c r="R29" s="1"/>
      <c r="S29">
        <v>467</v>
      </c>
      <c r="T29">
        <v>5053</v>
      </c>
      <c r="W29">
        <v>27</v>
      </c>
      <c r="X29">
        <v>135</v>
      </c>
      <c r="Y29">
        <f>Travaux_202524[[#This Row],[AC 2025]]+Travaux_202524[[#This Row],[TR 2025]]</f>
        <v>162</v>
      </c>
      <c r="AB29">
        <f>Travaux_202524[[#This Row],[AC 2025 Initiale]]+Travaux_202524[[#This Row],[TR 2025 Initiale]]</f>
        <v>0</v>
      </c>
      <c r="AC29">
        <f>Travaux_202524[[#This Row],[AC 2025]]-Travaux_202524[[#This Row],[AC 2025 Initiale]]</f>
        <v>27</v>
      </c>
      <c r="AD29">
        <f>Travaux_202524[[#This Row],[TR 2025]]-Travaux_202524[[#This Row],[TR 2025 Initiale]]</f>
        <v>135</v>
      </c>
      <c r="AE29">
        <f>Travaux_202524[[#This Row],[Écart AC 2025]]+Travaux_202524[[#This Row],[Écart TR 2025]]</f>
        <v>162</v>
      </c>
      <c r="AG29"/>
      <c r="AH29">
        <f>Travaux_202524[[#This Row],[AC 2026]]+Travaux_202524[[#This Row],[TR 2026]]</f>
        <v>0</v>
      </c>
      <c r="AK29">
        <f>Travaux_202524[[#This Row],[AC 2026 Initiale]]+Travaux_202524[[#This Row],[TR 2026 Initiale]]</f>
        <v>0</v>
      </c>
      <c r="AL29">
        <f>Travaux_202524[[#This Row],[AC 2026]]-Travaux_202524[[#This Row],[AC 2026 Initiale]]</f>
        <v>0</v>
      </c>
      <c r="AM29">
        <f>Travaux_202524[[#This Row],[TR 2026]]-Travaux_202524[[#This Row],[TR 2026 Initiale]]</f>
        <v>0</v>
      </c>
      <c r="AN29">
        <f>Travaux_202524[[#This Row],[Écart AC 2026]]+Travaux_202524[[#This Row],[Écart TR 2026]]</f>
        <v>0</v>
      </c>
      <c r="AY29"/>
      <c r="BG29" s="14">
        <f>SUM(Travaux_202524[[#This Row],[AC ANT]:[TR 2025]],Travaux_202524[[#This Row],[AC 2026]:[TR 2026]],Travaux_202524[[#This Row],[AC 2027]:[TR 2034]])</f>
        <v>5682</v>
      </c>
    </row>
    <row r="30" spans="1:59" ht="28.8" x14ac:dyDescent="0.3">
      <c r="A30" t="s">
        <v>286</v>
      </c>
      <c r="C30" t="s">
        <v>101</v>
      </c>
      <c r="D30" t="s">
        <v>102</v>
      </c>
      <c r="E30" t="s">
        <v>103</v>
      </c>
      <c r="F30" t="s">
        <v>206</v>
      </c>
      <c r="G30" t="s">
        <v>16</v>
      </c>
      <c r="H30" t="s">
        <v>16</v>
      </c>
      <c r="I30" t="s">
        <v>105</v>
      </c>
      <c r="J30" t="s">
        <v>314</v>
      </c>
      <c r="K30" t="s">
        <v>315</v>
      </c>
      <c r="L30" t="s">
        <v>316</v>
      </c>
      <c r="N30" s="103" t="s">
        <v>621</v>
      </c>
      <c r="O30" s="203" t="s">
        <v>622</v>
      </c>
      <c r="P30" s="1">
        <v>43882</v>
      </c>
      <c r="Q30" s="1">
        <v>44033</v>
      </c>
      <c r="R30" s="1">
        <v>45225</v>
      </c>
      <c r="S30">
        <v>257</v>
      </c>
      <c r="T30">
        <v>2407</v>
      </c>
      <c r="U30">
        <v>439</v>
      </c>
      <c r="V30">
        <v>7751</v>
      </c>
      <c r="W30">
        <v>79</v>
      </c>
      <c r="X30">
        <v>385</v>
      </c>
      <c r="Y30">
        <f>Travaux_202524[[#This Row],[AC 2025]]+Travaux_202524[[#This Row],[TR 2025]]</f>
        <v>464</v>
      </c>
      <c r="AB30">
        <f>Travaux_202524[[#This Row],[AC 2025 Initiale]]+Travaux_202524[[#This Row],[TR 2025 Initiale]]</f>
        <v>0</v>
      </c>
      <c r="AC30">
        <f>Travaux_202524[[#This Row],[AC 2025]]-Travaux_202524[[#This Row],[AC 2025 Initiale]]</f>
        <v>79</v>
      </c>
      <c r="AD30">
        <f>Travaux_202524[[#This Row],[TR 2025]]-Travaux_202524[[#This Row],[TR 2025 Initiale]]</f>
        <v>385</v>
      </c>
      <c r="AE30">
        <f>Travaux_202524[[#This Row],[Écart AC 2025]]+Travaux_202524[[#This Row],[Écart TR 2025]]</f>
        <v>464</v>
      </c>
      <c r="AG30"/>
      <c r="AH30">
        <f>Travaux_202524[[#This Row],[AC 2026]]+Travaux_202524[[#This Row],[TR 2026]]</f>
        <v>0</v>
      </c>
      <c r="AK30">
        <f>Travaux_202524[[#This Row],[AC 2026 Initiale]]+Travaux_202524[[#This Row],[TR 2026 Initiale]]</f>
        <v>0</v>
      </c>
      <c r="AL30">
        <f>Travaux_202524[[#This Row],[AC 2026]]-Travaux_202524[[#This Row],[AC 2026 Initiale]]</f>
        <v>0</v>
      </c>
      <c r="AM30">
        <f>Travaux_202524[[#This Row],[TR 2026]]-Travaux_202524[[#This Row],[TR 2026 Initiale]]</f>
        <v>0</v>
      </c>
      <c r="AN30">
        <f>Travaux_202524[[#This Row],[Écart AC 2026]]+Travaux_202524[[#This Row],[Écart TR 2026]]</f>
        <v>0</v>
      </c>
      <c r="AY30"/>
      <c r="BG30" s="14">
        <f>SUM(Travaux_202524[[#This Row],[AC ANT]:[TR 2025]],Travaux_202524[[#This Row],[AC 2026]:[TR 2026]],Travaux_202524[[#This Row],[AC 2027]:[TR 2034]])</f>
        <v>11318</v>
      </c>
    </row>
    <row r="31" spans="1:59" ht="28.8" x14ac:dyDescent="0.3">
      <c r="A31" t="s">
        <v>286</v>
      </c>
      <c r="C31" t="s">
        <v>101</v>
      </c>
      <c r="D31" t="s">
        <v>102</v>
      </c>
      <c r="E31" t="s">
        <v>200</v>
      </c>
      <c r="F31" t="s">
        <v>104</v>
      </c>
      <c r="G31" t="s">
        <v>16</v>
      </c>
      <c r="H31" t="s">
        <v>16</v>
      </c>
      <c r="I31" t="s">
        <v>105</v>
      </c>
      <c r="J31" t="s">
        <v>330</v>
      </c>
      <c r="K31" t="s">
        <v>331</v>
      </c>
      <c r="L31" t="s">
        <v>180</v>
      </c>
      <c r="N31" s="103" t="s">
        <v>621</v>
      </c>
      <c r="O31" s="203" t="s">
        <v>622</v>
      </c>
      <c r="P31" s="1">
        <v>43360</v>
      </c>
      <c r="Q31" s="1">
        <v>43671</v>
      </c>
      <c r="R31" s="1">
        <v>44217</v>
      </c>
      <c r="S31">
        <v>432</v>
      </c>
      <c r="T31">
        <v>3057</v>
      </c>
      <c r="U31">
        <v>136</v>
      </c>
      <c r="W31">
        <v>137</v>
      </c>
      <c r="X31">
        <v>73</v>
      </c>
      <c r="Y31">
        <f>Travaux_202524[[#This Row],[AC 2025]]+Travaux_202524[[#This Row],[TR 2025]]</f>
        <v>210</v>
      </c>
      <c r="Z31">
        <v>13</v>
      </c>
      <c r="AB31">
        <f>Travaux_202524[[#This Row],[AC 2025 Initiale]]+Travaux_202524[[#This Row],[TR 2025 Initiale]]</f>
        <v>13</v>
      </c>
      <c r="AC31">
        <f>Travaux_202524[[#This Row],[AC 2025]]-Travaux_202524[[#This Row],[AC 2025 Initiale]]</f>
        <v>124</v>
      </c>
      <c r="AD31">
        <f>Travaux_202524[[#This Row],[TR 2025]]-Travaux_202524[[#This Row],[TR 2025 Initiale]]</f>
        <v>73</v>
      </c>
      <c r="AE31">
        <f>Travaux_202524[[#This Row],[Écart AC 2025]]+Travaux_202524[[#This Row],[Écart TR 2025]]</f>
        <v>197</v>
      </c>
      <c r="AG31"/>
      <c r="AH31">
        <f>Travaux_202524[[#This Row],[AC 2026]]+Travaux_202524[[#This Row],[TR 2026]]</f>
        <v>0</v>
      </c>
      <c r="AK31">
        <f>Travaux_202524[[#This Row],[AC 2026 Initiale]]+Travaux_202524[[#This Row],[TR 2026 Initiale]]</f>
        <v>0</v>
      </c>
      <c r="AL31">
        <f>Travaux_202524[[#This Row],[AC 2026]]-Travaux_202524[[#This Row],[AC 2026 Initiale]]</f>
        <v>0</v>
      </c>
      <c r="AM31">
        <f>Travaux_202524[[#This Row],[TR 2026]]-Travaux_202524[[#This Row],[TR 2026 Initiale]]</f>
        <v>0</v>
      </c>
      <c r="AN31">
        <f>Travaux_202524[[#This Row],[Écart AC 2026]]+Travaux_202524[[#This Row],[Écart TR 2026]]</f>
        <v>0</v>
      </c>
      <c r="AY31"/>
      <c r="BG31" s="14">
        <f>SUM(Travaux_202524[[#This Row],[AC ANT]:[TR 2025]],Travaux_202524[[#This Row],[AC 2026]:[TR 2026]],Travaux_202524[[#This Row],[AC 2027]:[TR 2034]])</f>
        <v>3835</v>
      </c>
    </row>
    <row r="32" spans="1:59" x14ac:dyDescent="0.3">
      <c r="A32" t="s">
        <v>286</v>
      </c>
      <c r="C32" t="s">
        <v>126</v>
      </c>
      <c r="D32" t="s">
        <v>127</v>
      </c>
      <c r="E32" t="s">
        <v>128</v>
      </c>
      <c r="F32" t="s">
        <v>252</v>
      </c>
      <c r="G32" t="s">
        <v>16</v>
      </c>
      <c r="H32" t="s">
        <v>16</v>
      </c>
      <c r="I32" t="s">
        <v>131</v>
      </c>
      <c r="J32" t="s">
        <v>253</v>
      </c>
      <c r="K32" t="s">
        <v>254</v>
      </c>
      <c r="L32" t="s">
        <v>147</v>
      </c>
      <c r="M32" t="s">
        <v>148</v>
      </c>
      <c r="N32" s="103" t="s">
        <v>631</v>
      </c>
      <c r="O32" t="s">
        <v>632</v>
      </c>
      <c r="P32" s="1"/>
      <c r="Q32" s="1"/>
      <c r="R32" s="1"/>
      <c r="W32">
        <v>10</v>
      </c>
      <c r="X32">
        <v>39</v>
      </c>
      <c r="Y32">
        <f>Travaux_202524[[#This Row],[AC 2025]]+Travaux_202524[[#This Row],[TR 2025]]</f>
        <v>49</v>
      </c>
      <c r="Z32">
        <v>10</v>
      </c>
      <c r="AA32">
        <v>39</v>
      </c>
      <c r="AB32">
        <f>Travaux_202524[[#This Row],[AC 2025 Initiale]]+Travaux_202524[[#This Row],[TR 2025 Initiale]]</f>
        <v>49</v>
      </c>
      <c r="AC32">
        <f>Travaux_202524[[#This Row],[AC 2025]]-Travaux_202524[[#This Row],[AC 2025 Initiale]]</f>
        <v>0</v>
      </c>
      <c r="AD32">
        <f>Travaux_202524[[#This Row],[TR 2025]]-Travaux_202524[[#This Row],[TR 2025 Initiale]]</f>
        <v>0</v>
      </c>
      <c r="AE32">
        <f>Travaux_202524[[#This Row],[Écart AC 2025]]+Travaux_202524[[#This Row],[Écart TR 2025]]</f>
        <v>0</v>
      </c>
      <c r="AG32"/>
      <c r="AH32">
        <f>Travaux_202524[[#This Row],[AC 2026]]+Travaux_202524[[#This Row],[TR 2026]]</f>
        <v>0</v>
      </c>
      <c r="AK32">
        <f>Travaux_202524[[#This Row],[AC 2026 Initiale]]+Travaux_202524[[#This Row],[TR 2026 Initiale]]</f>
        <v>0</v>
      </c>
      <c r="AL32">
        <f>Travaux_202524[[#This Row],[AC 2026]]-Travaux_202524[[#This Row],[AC 2026 Initiale]]</f>
        <v>0</v>
      </c>
      <c r="AM32">
        <f>Travaux_202524[[#This Row],[TR 2026]]-Travaux_202524[[#This Row],[TR 2026 Initiale]]</f>
        <v>0</v>
      </c>
      <c r="AN32">
        <f>Travaux_202524[[#This Row],[Écart AC 2026]]+Travaux_202524[[#This Row],[Écart TR 2026]]</f>
        <v>0</v>
      </c>
      <c r="AY32"/>
      <c r="BG32" s="14">
        <f>SUM(Travaux_202524[[#This Row],[AC ANT]:[TR 2025]],Travaux_202524[[#This Row],[AC 2026]:[TR 2026]],Travaux_202524[[#This Row],[AC 2027]:[TR 2034]])</f>
        <v>49</v>
      </c>
    </row>
    <row r="33" spans="1:59" x14ac:dyDescent="0.3">
      <c r="A33" t="s">
        <v>11</v>
      </c>
      <c r="C33" t="s">
        <v>118</v>
      </c>
      <c r="D33" t="s">
        <v>102</v>
      </c>
      <c r="E33" t="s">
        <v>103</v>
      </c>
      <c r="F33" t="s">
        <v>252</v>
      </c>
      <c r="G33" t="s">
        <v>20</v>
      </c>
      <c r="H33" t="s">
        <v>16</v>
      </c>
      <c r="I33" t="s">
        <v>131</v>
      </c>
      <c r="J33" t="s">
        <v>257</v>
      </c>
      <c r="K33" t="s">
        <v>258</v>
      </c>
      <c r="L33" t="s">
        <v>180</v>
      </c>
      <c r="M33" t="s">
        <v>148</v>
      </c>
      <c r="N33" s="217" t="s">
        <v>609</v>
      </c>
      <c r="O33" t="s">
        <v>613</v>
      </c>
      <c r="P33" s="1"/>
      <c r="Q33" s="1"/>
      <c r="R33" s="1"/>
      <c r="X33">
        <v>300</v>
      </c>
      <c r="Y33">
        <f>Travaux_202524[[#This Row],[AC 2025]]+Travaux_202524[[#This Row],[TR 2025]]</f>
        <v>300</v>
      </c>
      <c r="AA33">
        <v>300</v>
      </c>
      <c r="AB33">
        <f>Travaux_202524[[#This Row],[AC 2025 Initiale]]+Travaux_202524[[#This Row],[TR 2025 Initiale]]</f>
        <v>300</v>
      </c>
      <c r="AC33">
        <f>Travaux_202524[[#This Row],[AC 2025]]-Travaux_202524[[#This Row],[AC 2025 Initiale]]</f>
        <v>0</v>
      </c>
      <c r="AD33">
        <f>Travaux_202524[[#This Row],[TR 2025]]-Travaux_202524[[#This Row],[TR 2025 Initiale]]</f>
        <v>0</v>
      </c>
      <c r="AE33">
        <f>Travaux_202524[[#This Row],[Écart AC 2025]]+Travaux_202524[[#This Row],[Écart TR 2025]]</f>
        <v>0</v>
      </c>
      <c r="AG33"/>
      <c r="AH33">
        <f>Travaux_202524[[#This Row],[AC 2026]]+Travaux_202524[[#This Row],[TR 2026]]</f>
        <v>0</v>
      </c>
      <c r="AK33">
        <f>Travaux_202524[[#This Row],[AC 2026 Initiale]]+Travaux_202524[[#This Row],[TR 2026 Initiale]]</f>
        <v>0</v>
      </c>
      <c r="AL33">
        <f>Travaux_202524[[#This Row],[AC 2026]]-Travaux_202524[[#This Row],[AC 2026 Initiale]]</f>
        <v>0</v>
      </c>
      <c r="AM33">
        <f>Travaux_202524[[#This Row],[TR 2026]]-Travaux_202524[[#This Row],[TR 2026 Initiale]]</f>
        <v>0</v>
      </c>
      <c r="AN33">
        <f>Travaux_202524[[#This Row],[Écart AC 2026]]+Travaux_202524[[#This Row],[Écart TR 2026]]</f>
        <v>0</v>
      </c>
      <c r="AY33"/>
      <c r="BG33" s="14">
        <f>SUM(Travaux_202524[[#This Row],[AC ANT]:[TR 2025]],Travaux_202524[[#This Row],[AC 2026]:[TR 2026]],Travaux_202524[[#This Row],[AC 2027]:[TR 2034]])</f>
        <v>300</v>
      </c>
    </row>
    <row r="34" spans="1:59" x14ac:dyDescent="0.3">
      <c r="A34" t="s">
        <v>286</v>
      </c>
      <c r="C34" t="s">
        <v>126</v>
      </c>
      <c r="D34" t="s">
        <v>127</v>
      </c>
      <c r="E34" t="s">
        <v>128</v>
      </c>
      <c r="F34" t="s">
        <v>252</v>
      </c>
      <c r="G34" t="s">
        <v>16</v>
      </c>
      <c r="H34" t="s">
        <v>16</v>
      </c>
      <c r="I34" t="s">
        <v>131</v>
      </c>
      <c r="J34" t="s">
        <v>259</v>
      </c>
      <c r="K34" t="s">
        <v>260</v>
      </c>
      <c r="L34" t="s">
        <v>159</v>
      </c>
      <c r="M34" t="s">
        <v>148</v>
      </c>
      <c r="N34" s="103" t="s">
        <v>631</v>
      </c>
      <c r="O34" t="s">
        <v>632</v>
      </c>
      <c r="P34" s="1"/>
      <c r="Q34" s="1"/>
      <c r="R34" s="1"/>
      <c r="W34">
        <v>15</v>
      </c>
      <c r="X34">
        <v>85</v>
      </c>
      <c r="Y34">
        <f>Travaux_202524[[#This Row],[AC 2025]]+Travaux_202524[[#This Row],[TR 2025]]</f>
        <v>100</v>
      </c>
      <c r="Z34">
        <v>15</v>
      </c>
      <c r="AA34">
        <v>85</v>
      </c>
      <c r="AB34">
        <f>Travaux_202524[[#This Row],[AC 2025 Initiale]]+Travaux_202524[[#This Row],[TR 2025 Initiale]]</f>
        <v>100</v>
      </c>
      <c r="AC34">
        <f>Travaux_202524[[#This Row],[AC 2025]]-Travaux_202524[[#This Row],[AC 2025 Initiale]]</f>
        <v>0</v>
      </c>
      <c r="AD34">
        <f>Travaux_202524[[#This Row],[TR 2025]]-Travaux_202524[[#This Row],[TR 2025 Initiale]]</f>
        <v>0</v>
      </c>
      <c r="AE34">
        <f>Travaux_202524[[#This Row],[Écart AC 2025]]+Travaux_202524[[#This Row],[Écart TR 2025]]</f>
        <v>0</v>
      </c>
      <c r="AG34"/>
      <c r="AH34">
        <f>Travaux_202524[[#This Row],[AC 2026]]+Travaux_202524[[#This Row],[TR 2026]]</f>
        <v>0</v>
      </c>
      <c r="AK34">
        <f>Travaux_202524[[#This Row],[AC 2026 Initiale]]+Travaux_202524[[#This Row],[TR 2026 Initiale]]</f>
        <v>0</v>
      </c>
      <c r="AL34">
        <f>Travaux_202524[[#This Row],[AC 2026]]-Travaux_202524[[#This Row],[AC 2026 Initiale]]</f>
        <v>0</v>
      </c>
      <c r="AM34">
        <f>Travaux_202524[[#This Row],[TR 2026]]-Travaux_202524[[#This Row],[TR 2026 Initiale]]</f>
        <v>0</v>
      </c>
      <c r="AN34">
        <f>Travaux_202524[[#This Row],[Écart AC 2026]]+Travaux_202524[[#This Row],[Écart TR 2026]]</f>
        <v>0</v>
      </c>
      <c r="AY34"/>
      <c r="BG34" s="14">
        <f>SUM(Travaux_202524[[#This Row],[AC ANT]:[TR 2025]],Travaux_202524[[#This Row],[AC 2026]:[TR 2026]],Travaux_202524[[#This Row],[AC 2027]:[TR 2034]])</f>
        <v>100</v>
      </c>
    </row>
    <row r="35" spans="1:59" x14ac:dyDescent="0.3">
      <c r="J35">
        <f>SUBTOTAL(103,Travaux_202524[Numéro projet])</f>
        <v>20</v>
      </c>
      <c r="S35" s="14">
        <f>SUBTOTAL(109,Travaux_202524[AC ANT])</f>
        <v>8803</v>
      </c>
      <c r="T35" s="14">
        <f>SUBTOTAL(109,Travaux_202524[TR ANT])</f>
        <v>53016</v>
      </c>
      <c r="U35" s="14">
        <f>SUBTOTAL(109,Travaux_202524[AC 2024])</f>
        <v>2412</v>
      </c>
      <c r="V35" s="14">
        <f>SUBTOTAL(109,Travaux_202524[TR 2024])</f>
        <v>55621</v>
      </c>
      <c r="W35" s="14">
        <f>SUBTOTAL(109,Travaux_202524[AC 2025])</f>
        <v>3817</v>
      </c>
      <c r="X35" s="14">
        <f>SUBTOTAL(109,Travaux_202524[TR 2025])</f>
        <v>55579</v>
      </c>
      <c r="Y35" s="14">
        <f>SUBTOTAL(109,Travaux_202524[Actuel 2025])</f>
        <v>59396</v>
      </c>
      <c r="Z35" s="14">
        <f>SUBTOTAL(109,Travaux_202524[AC 2025 Initiale])</f>
        <v>2729</v>
      </c>
      <c r="AA35" s="14">
        <f>SUBTOTAL(109,Travaux_202524[TR 2025 Initiale])</f>
        <v>50278</v>
      </c>
      <c r="AB35" s="14">
        <f>SUBTOTAL(109,Travaux_202524[Initiale 2025])</f>
        <v>53007</v>
      </c>
      <c r="AC35" s="14">
        <f>SUBTOTAL(109,Travaux_202524[Écart AC 2025])</f>
        <v>1088</v>
      </c>
      <c r="AD35" s="14">
        <f>SUBTOTAL(109,Travaux_202524[Écart TR 2025])</f>
        <v>5301</v>
      </c>
      <c r="AE35" s="14">
        <f>SUBTOTAL(109,Travaux_202524[Écart 2025 Total])</f>
        <v>6389</v>
      </c>
      <c r="AF35" s="14">
        <f>SUBTOTAL(109,Travaux_202524[AC 2026])</f>
        <v>93</v>
      </c>
      <c r="AG35" s="14">
        <f>SUBTOTAL(109,Travaux_202524[TR 2026])</f>
        <v>0</v>
      </c>
      <c r="AH35" s="14">
        <f>SUBTOTAL(109,Travaux_202524[Actuel 2026])</f>
        <v>93</v>
      </c>
      <c r="AI35" s="14">
        <f>SUBTOTAL(109,Travaux_202524[AC 2026 Initiale])</f>
        <v>60</v>
      </c>
      <c r="AJ35" s="14">
        <f>SUBTOTAL(109,Travaux_202524[TR 2026 Initiale])</f>
        <v>0</v>
      </c>
      <c r="AK35" s="14">
        <f>SUBTOTAL(109,Travaux_202524[Initiale 2026])</f>
        <v>60</v>
      </c>
      <c r="AL35" s="14">
        <f>SUBTOTAL(109,Travaux_202524[Écart AC 2026])</f>
        <v>33</v>
      </c>
      <c r="AM35" s="14">
        <f>SUBTOTAL(109,Travaux_202524[Écart TR 2026])</f>
        <v>0</v>
      </c>
      <c r="AN35" s="14">
        <f>SUBTOTAL(109,Travaux_202524[Écart 2026 Total])</f>
        <v>33</v>
      </c>
      <c r="AO35" s="14">
        <f>SUBTOTAL(109,Travaux_202524[AC 2027])</f>
        <v>0</v>
      </c>
      <c r="AP35" s="14">
        <f>SUBTOTAL(109,Travaux_202524[TR 2027])</f>
        <v>0</v>
      </c>
      <c r="AQ35" s="14">
        <f>SUBTOTAL(109,Travaux_202524[AC 2028])</f>
        <v>0</v>
      </c>
      <c r="AR35" s="14">
        <f>SUBTOTAL(109,Travaux_202524[TR 2028])</f>
        <v>0</v>
      </c>
      <c r="AS35" s="14">
        <f>SUBTOTAL(109,Travaux_202524[AC 2029])</f>
        <v>0</v>
      </c>
      <c r="AT35" s="14">
        <f>SUBTOTAL(109,Travaux_202524[TR 2029])</f>
        <v>0</v>
      </c>
      <c r="AU35" s="14">
        <f>SUBTOTAL(109,Travaux_202524[AC 2030])</f>
        <v>0</v>
      </c>
      <c r="AV35" s="14">
        <f>SUBTOTAL(109,Travaux_202524[TR 2030])</f>
        <v>0</v>
      </c>
      <c r="AW35" s="14">
        <f>SUBTOTAL(109,Travaux_202524[AC 2031])</f>
        <v>0</v>
      </c>
      <c r="AX35" s="14">
        <f>SUBTOTAL(109,Travaux_202524[TR 2031])</f>
        <v>0</v>
      </c>
      <c r="AY35" s="14">
        <f>SUBTOTAL(109,Travaux_202524[AC 2032])</f>
        <v>0</v>
      </c>
      <c r="AZ35" s="14">
        <f>SUBTOTAL(109,Travaux_202524[TR 2032])</f>
        <v>0</v>
      </c>
      <c r="BA35" s="14">
        <f>SUBTOTAL(109,Travaux_202524[AC 2033])</f>
        <v>0</v>
      </c>
      <c r="BB35" s="14">
        <f>SUBTOTAL(109,Travaux_202524[TR 2033])</f>
        <v>0</v>
      </c>
      <c r="BC35" s="14">
        <f>SUBTOTAL(109,Travaux_202524[AC 2034])</f>
        <v>0</v>
      </c>
      <c r="BD35" s="14">
        <f>SUBTOTAL(109,Travaux_202524[TR 2034])</f>
        <v>0</v>
      </c>
      <c r="BG35" s="14">
        <f>SUBTOTAL(109,Travaux_202524[Total Projet])</f>
        <v>179341</v>
      </c>
    </row>
    <row r="37" spans="1:59" x14ac:dyDescent="0.3">
      <c r="BA37" s="57"/>
      <c r="BB37" s="57"/>
      <c r="BC37" s="57"/>
      <c r="BD37" s="57"/>
      <c r="BE37" s="57"/>
      <c r="BF37" s="57"/>
      <c r="BG37" s="57"/>
    </row>
    <row r="64" spans="60:60" x14ac:dyDescent="0.3">
      <c r="BH64" s="57"/>
    </row>
    <row r="68" spans="60:60" x14ac:dyDescent="0.3">
      <c r="BH68" s="57"/>
    </row>
    <row r="144" spans="65:66" x14ac:dyDescent="0.3">
      <c r="BM144" s="57"/>
      <c r="BN144" s="57"/>
    </row>
  </sheetData>
  <mergeCells count="189">
    <mergeCell ref="Q2:R2"/>
    <mergeCell ref="Q3:R3"/>
    <mergeCell ref="S3:T3"/>
    <mergeCell ref="U3:V3"/>
    <mergeCell ref="W3:X3"/>
    <mergeCell ref="Z3:AA3"/>
    <mergeCell ref="BE3:BF3"/>
    <mergeCell ref="S4:T4"/>
    <mergeCell ref="U4:V4"/>
    <mergeCell ref="W4:X4"/>
    <mergeCell ref="Z4:AA4"/>
    <mergeCell ref="AC4:AE4"/>
    <mergeCell ref="AF4:AG4"/>
    <mergeCell ref="AI4:AJ4"/>
    <mergeCell ref="AL4:AN4"/>
    <mergeCell ref="AO4:AP4"/>
    <mergeCell ref="AS3:AT3"/>
    <mergeCell ref="AU3:AV3"/>
    <mergeCell ref="AW3:AX3"/>
    <mergeCell ref="AY3:AZ3"/>
    <mergeCell ref="BA3:BB3"/>
    <mergeCell ref="BC3:BD3"/>
    <mergeCell ref="AC3:AE3"/>
    <mergeCell ref="AF3:AG3"/>
    <mergeCell ref="AI3:AJ3"/>
    <mergeCell ref="AL3:AN3"/>
    <mergeCell ref="AO3:AP3"/>
    <mergeCell ref="AQ3:AR3"/>
    <mergeCell ref="BC4:BD4"/>
    <mergeCell ref="BE4:BF4"/>
    <mergeCell ref="S5:T5"/>
    <mergeCell ref="U5:V5"/>
    <mergeCell ref="W5:X5"/>
    <mergeCell ref="Z5:AA5"/>
    <mergeCell ref="AC5:AE5"/>
    <mergeCell ref="AF5:AG5"/>
    <mergeCell ref="AI5:AJ5"/>
    <mergeCell ref="AL5:AN5"/>
    <mergeCell ref="AQ4:AR4"/>
    <mergeCell ref="AS4:AT4"/>
    <mergeCell ref="AU4:AV4"/>
    <mergeCell ref="AW4:AX4"/>
    <mergeCell ref="AY4:AZ4"/>
    <mergeCell ref="BA4:BB4"/>
    <mergeCell ref="BA5:BB5"/>
    <mergeCell ref="BC5:BD5"/>
    <mergeCell ref="BE5:BF5"/>
    <mergeCell ref="AS5:AT5"/>
    <mergeCell ref="S6:T6"/>
    <mergeCell ref="U6:V6"/>
    <mergeCell ref="W6:X6"/>
    <mergeCell ref="Z6:AA6"/>
    <mergeCell ref="AC6:AE6"/>
    <mergeCell ref="AF6:AG6"/>
    <mergeCell ref="AI6:AJ6"/>
    <mergeCell ref="AO5:AP5"/>
    <mergeCell ref="AQ5:AR5"/>
    <mergeCell ref="AU5:AV5"/>
    <mergeCell ref="AW5:AX5"/>
    <mergeCell ref="AY5:AZ5"/>
    <mergeCell ref="AY6:AZ6"/>
    <mergeCell ref="BA6:BB6"/>
    <mergeCell ref="BC6:BD6"/>
    <mergeCell ref="BE6:BF6"/>
    <mergeCell ref="S7:T7"/>
    <mergeCell ref="U7:V7"/>
    <mergeCell ref="W7:X7"/>
    <mergeCell ref="Z7:AA7"/>
    <mergeCell ref="AC7:AE7"/>
    <mergeCell ref="AF7:AG7"/>
    <mergeCell ref="AL6:AN6"/>
    <mergeCell ref="AO6:AP6"/>
    <mergeCell ref="AQ6:AR6"/>
    <mergeCell ref="AS6:AT6"/>
    <mergeCell ref="AU6:AV6"/>
    <mergeCell ref="AW6:AX6"/>
    <mergeCell ref="AW7:AX7"/>
    <mergeCell ref="AY7:AZ7"/>
    <mergeCell ref="BA7:BB7"/>
    <mergeCell ref="BC7:BD7"/>
    <mergeCell ref="BE7:BF7"/>
    <mergeCell ref="J8:K8"/>
    <mergeCell ref="S8:T8"/>
    <mergeCell ref="U8:V8"/>
    <mergeCell ref="W8:X8"/>
    <mergeCell ref="Z8:AA8"/>
    <mergeCell ref="AI7:AJ7"/>
    <mergeCell ref="AL7:AN7"/>
    <mergeCell ref="AO7:AP7"/>
    <mergeCell ref="AQ7:AR7"/>
    <mergeCell ref="AS7:AT7"/>
    <mergeCell ref="AU7:AV7"/>
    <mergeCell ref="BE8:BF8"/>
    <mergeCell ref="S9:T9"/>
    <mergeCell ref="U9:V9"/>
    <mergeCell ref="W9:X9"/>
    <mergeCell ref="Z9:AA9"/>
    <mergeCell ref="AC9:AE9"/>
    <mergeCell ref="AF9:AG9"/>
    <mergeCell ref="AI9:AJ9"/>
    <mergeCell ref="AL9:AN9"/>
    <mergeCell ref="AO9:AP9"/>
    <mergeCell ref="AS8:AT8"/>
    <mergeCell ref="AU8:AV8"/>
    <mergeCell ref="AW8:AX8"/>
    <mergeCell ref="AY8:AZ8"/>
    <mergeCell ref="BA8:BB8"/>
    <mergeCell ref="BC8:BD8"/>
    <mergeCell ref="AC8:AE8"/>
    <mergeCell ref="AF8:AG8"/>
    <mergeCell ref="AI8:AJ8"/>
    <mergeCell ref="AL8:AN8"/>
    <mergeCell ref="AO8:AP8"/>
    <mergeCell ref="AQ8:AR8"/>
    <mergeCell ref="BE9:BF9"/>
    <mergeCell ref="S10:T10"/>
    <mergeCell ref="U10:V10"/>
    <mergeCell ref="W10:X10"/>
    <mergeCell ref="Z10:AA10"/>
    <mergeCell ref="AC10:AE10"/>
    <mergeCell ref="AF10:AG10"/>
    <mergeCell ref="AI10:AJ10"/>
    <mergeCell ref="AL10:AN10"/>
    <mergeCell ref="AQ9:AR9"/>
    <mergeCell ref="AS9:AT9"/>
    <mergeCell ref="AU9:AV9"/>
    <mergeCell ref="AW9:AX9"/>
    <mergeCell ref="AY9:AZ9"/>
    <mergeCell ref="BA9:BB9"/>
    <mergeCell ref="BA10:BB10"/>
    <mergeCell ref="BC10:BD10"/>
    <mergeCell ref="BE10:BF10"/>
    <mergeCell ref="AS10:AT10"/>
    <mergeCell ref="AU10:AV10"/>
    <mergeCell ref="AW10:AX10"/>
    <mergeCell ref="AY10:AZ10"/>
    <mergeCell ref="AC11:AE11"/>
    <mergeCell ref="AF11:AG11"/>
    <mergeCell ref="AI11:AJ11"/>
    <mergeCell ref="AO10:AP10"/>
    <mergeCell ref="AQ10:AR10"/>
    <mergeCell ref="BC9:BD9"/>
    <mergeCell ref="AY11:AZ11"/>
    <mergeCell ref="BA11:BB11"/>
    <mergeCell ref="BC11:BD11"/>
    <mergeCell ref="BE11:BF11"/>
    <mergeCell ref="S12:T12"/>
    <mergeCell ref="U12:V12"/>
    <mergeCell ref="W12:X12"/>
    <mergeCell ref="Z12:AA12"/>
    <mergeCell ref="AC12:AE12"/>
    <mergeCell ref="AF12:AG12"/>
    <mergeCell ref="AL11:AN11"/>
    <mergeCell ref="AO11:AP11"/>
    <mergeCell ref="AQ11:AR11"/>
    <mergeCell ref="AS11:AT11"/>
    <mergeCell ref="AU11:AV11"/>
    <mergeCell ref="AW11:AX11"/>
    <mergeCell ref="AW12:AX12"/>
    <mergeCell ref="AY12:AZ12"/>
    <mergeCell ref="BA12:BB12"/>
    <mergeCell ref="BC12:BD12"/>
    <mergeCell ref="BE12:BF12"/>
    <mergeCell ref="AS12:AT12"/>
    <mergeCell ref="AU12:AV12"/>
    <mergeCell ref="S11:T11"/>
    <mergeCell ref="U11:V11"/>
    <mergeCell ref="W11:X11"/>
    <mergeCell ref="Z11:AA11"/>
    <mergeCell ref="U13:V13"/>
    <mergeCell ref="W13:X13"/>
    <mergeCell ref="Z13:AA13"/>
    <mergeCell ref="AC13:AE13"/>
    <mergeCell ref="AF13:AG13"/>
    <mergeCell ref="AI12:AJ12"/>
    <mergeCell ref="AL12:AN12"/>
    <mergeCell ref="AO12:AP12"/>
    <mergeCell ref="AQ12:AR12"/>
    <mergeCell ref="AW13:AX13"/>
    <mergeCell ref="AY13:AZ13"/>
    <mergeCell ref="BA13:BB13"/>
    <mergeCell ref="BC13:BD13"/>
    <mergeCell ref="BE13:BF13"/>
    <mergeCell ref="AI13:AJ13"/>
    <mergeCell ref="AL13:AN13"/>
    <mergeCell ref="AO13:AP13"/>
    <mergeCell ref="AQ13:AR13"/>
    <mergeCell ref="AS13:AT13"/>
    <mergeCell ref="AU13:AV1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5620-6E8A-4B07-862A-8C39F302A6D4}">
  <dimension ref="A1:BN143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hidden="1" customWidth="1" collapsed="1"/>
    <col min="13" max="13" width="11.33203125" hidden="1" customWidth="1"/>
    <col min="14" max="14" width="28" bestFit="1" customWidth="1"/>
    <col min="15" max="15" width="28" customWidth="1"/>
    <col min="16" max="17" width="13.6640625" hidden="1" customWidth="1"/>
    <col min="18" max="18" width="13" hidden="1" customWidth="1"/>
    <col min="19" max="19" width="12.33203125" hidden="1" customWidth="1" outlineLevel="1"/>
    <col min="20" max="20" width="13" hidden="1" customWidth="1" outlineLevel="1"/>
    <col min="21" max="22" width="9.44140625" hidden="1" customWidth="1" outlineLevel="1"/>
    <col min="23" max="23" width="9.5546875" hidden="1" customWidth="1" outlineLevel="1" collapsed="1"/>
    <col min="24" max="24" width="9.5546875" hidden="1" customWidth="1" outlineLevel="1"/>
    <col min="25" max="25" width="9.5546875" customWidth="1" collapsed="1"/>
    <col min="26" max="26" width="13.33203125" hidden="1" customWidth="1" outlineLevel="1"/>
    <col min="27" max="28" width="11.5546875" hidden="1" customWidth="1" outlineLevel="1"/>
    <col min="29" max="29" width="8.33203125" hidden="1" customWidth="1" outlineLevel="1" collapsed="1"/>
    <col min="30" max="30" width="9" hidden="1" customWidth="1" outlineLevel="1"/>
    <col min="31" max="31" width="20.33203125" customWidth="1" collapsed="1"/>
    <col min="32" max="32" width="9" hidden="1" customWidth="1" outlineLevel="1"/>
    <col min="33" max="33" width="9.88671875" style="25" hidden="1" customWidth="1" outlineLevel="1"/>
    <col min="34" max="34" width="9.88671875" style="25" customWidth="1" collapsed="1"/>
    <col min="35" max="35" width="9.6640625" hidden="1" customWidth="1" outlineLevel="1"/>
    <col min="36" max="36" width="12.109375" hidden="1" customWidth="1" outlineLevel="1" collapsed="1"/>
    <col min="37" max="37" width="12.109375" hidden="1" customWidth="1" outlineLevel="1"/>
    <col min="38" max="38" width="8.109375" hidden="1" customWidth="1" outlineLevel="1" collapsed="1"/>
    <col min="39" max="39" width="8.109375" hidden="1" customWidth="1" outlineLevel="1"/>
    <col min="40" max="40" width="21" customWidth="1" collapsed="1"/>
    <col min="41" max="41" width="7.44140625" customWidth="1" outlineLevel="1"/>
    <col min="42" max="42" width="9.44140625" customWidth="1" outlineLevel="1"/>
    <col min="43" max="43" width="10.33203125" customWidth="1" outlineLevel="1"/>
    <col min="44" max="44" width="9.5546875" customWidth="1" outlineLevel="1"/>
    <col min="45" max="50" width="9.88671875" customWidth="1" outlineLevel="1"/>
    <col min="51" max="51" width="9.88671875" style="8" customWidth="1" outlineLevel="1"/>
    <col min="52" max="58" width="9.88671875" customWidth="1" outlineLevel="1"/>
    <col min="59" max="59" width="15.5546875" customWidth="1"/>
    <col min="60" max="60" width="13.33203125" customWidth="1"/>
    <col min="61" max="63" width="9.88671875" customWidth="1"/>
    <col min="64" max="64" width="16.109375" customWidth="1"/>
    <col min="65" max="65" width="17" customWidth="1"/>
    <col min="66" max="76" width="11.33203125" customWidth="1"/>
    <col min="77" max="77" width="12.5546875" customWidth="1"/>
    <col min="78" max="78" width="13.44140625" customWidth="1"/>
    <col min="79" max="79" width="13.109375" customWidth="1"/>
    <col min="80" max="80" width="14" customWidth="1"/>
    <col min="81" max="86" width="17.33203125" customWidth="1"/>
    <col min="87" max="87" width="18.109375" customWidth="1"/>
    <col min="88" max="88" width="17.5546875" customWidth="1"/>
  </cols>
  <sheetData>
    <row r="1" spans="1:62" ht="21" x14ac:dyDescent="0.4">
      <c r="A1" s="85"/>
      <c r="B1" s="85"/>
      <c r="C1" s="85"/>
      <c r="D1" s="85"/>
      <c r="E1" s="85"/>
      <c r="F1" s="85"/>
      <c r="J1" s="32" t="s">
        <v>569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7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85"/>
      <c r="BJ1" s="85"/>
    </row>
    <row r="2" spans="1:62" x14ac:dyDescent="0.3">
      <c r="J2" s="189" t="s">
        <v>562</v>
      </c>
      <c r="K2" s="190"/>
      <c r="Q2" s="314"/>
      <c r="R2" s="314"/>
      <c r="S2" s="25"/>
      <c r="T2" s="25"/>
      <c r="U2" s="25"/>
      <c r="V2" s="8"/>
      <c r="AG2"/>
      <c r="AH2"/>
      <c r="AY2"/>
    </row>
    <row r="3" spans="1:62" ht="26.4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188"/>
      <c r="Z3" s="297" t="s">
        <v>553</v>
      </c>
      <c r="AA3" s="298"/>
      <c r="AB3" s="200"/>
      <c r="AC3" s="311" t="s">
        <v>554</v>
      </c>
      <c r="AD3" s="312"/>
      <c r="AE3" s="313"/>
      <c r="AF3" s="300" t="s">
        <v>266</v>
      </c>
      <c r="AG3" s="300"/>
      <c r="AH3" s="188"/>
      <c r="AI3" s="297" t="s">
        <v>557</v>
      </c>
      <c r="AJ3" s="298"/>
      <c r="AK3" s="200"/>
      <c r="AL3" s="308" t="s">
        <v>558</v>
      </c>
      <c r="AM3" s="309"/>
      <c r="AN3" s="310"/>
      <c r="AO3" s="300">
        <v>2027</v>
      </c>
      <c r="AP3" s="294"/>
      <c r="AQ3" s="293">
        <v>2028</v>
      </c>
      <c r="AR3" s="294"/>
      <c r="AS3" s="293">
        <v>2029</v>
      </c>
      <c r="AT3" s="294"/>
      <c r="AU3" s="293">
        <v>2030</v>
      </c>
      <c r="AV3" s="294"/>
      <c r="AW3" s="293">
        <v>2031</v>
      </c>
      <c r="AX3" s="294"/>
      <c r="AY3" s="293">
        <v>2032</v>
      </c>
      <c r="AZ3" s="294"/>
      <c r="BA3" s="293">
        <v>2033</v>
      </c>
      <c r="BB3" s="294"/>
      <c r="BC3" s="293">
        <v>2034</v>
      </c>
      <c r="BD3" s="294"/>
      <c r="BE3" s="293">
        <v>2035</v>
      </c>
      <c r="BF3" s="294"/>
      <c r="BG3" s="26" t="s">
        <v>269</v>
      </c>
      <c r="BH3" s="26" t="s">
        <v>8</v>
      </c>
    </row>
    <row r="4" spans="1:62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SUMIFS(Travaux_202625[AC 2024],Travaux_202625[DES_COMPL_NATR_COMPB],"=Fonctionnement")+SUMIFS(Travaux_202625[TR 2024],Travaux_202625[DES_COMPL_NATR_COMPB],"=Fonctionnement")</f>
        <v>0</v>
      </c>
      <c r="V4" s="260"/>
      <c r="W4" s="295">
        <f>SUMIFS(Travaux_202625[AC 2025],Travaux_202625[DES_COMPL_NATR_COMPB],"=Fonctionnement")+SUMIFS(Travaux_202625[TR 2025],Travaux_202625[DES_COMPL_NATR_COMPB],"=Fonctionnement")</f>
        <v>0</v>
      </c>
      <c r="X4" s="296"/>
      <c r="Y4" s="187"/>
      <c r="Z4" s="334">
        <f>SUMIFS(Travaux_202625[AC 2025 Initiale],Travaux_202625[DES_COMPL_NATR_COMPB],"=Fonctionnement")+SUMIFS(Travaux_202625[TR 2025 Initiale],Travaux_202625[DES_COMPL_NATR_COMPB],"=Fonctionnement")</f>
        <v>0</v>
      </c>
      <c r="AA4" s="296"/>
      <c r="AB4" s="78"/>
      <c r="AC4" s="279"/>
      <c r="AD4" s="260"/>
      <c r="AE4" s="280"/>
      <c r="AF4" s="334">
        <f>SUMIFS(Travaux_202625[AC 2026],Travaux_202625[DES_COMPL_NATR_COMPB],"=Fonctionnement")+SUMIFS(Travaux_202625[TR 2026],Travaux_202625[DES_COMPL_NATR_COMPB],"=Fonctionnement")</f>
        <v>0</v>
      </c>
      <c r="AG4" s="295"/>
      <c r="AH4" s="187"/>
      <c r="AI4" s="295">
        <f>SUMIFS(Travaux_202625[AC 2026 Initiale],Travaux_202625[DES_COMPL_NATR_COMPB],"=Fonctionnement")+SUMIFS(Travaux_202625[TR 2026 Initiale],Travaux_202625[DES_COMPL_NATR_COMPB],"=Fonctionnement")</f>
        <v>0</v>
      </c>
      <c r="AJ4" s="296"/>
      <c r="AK4" s="78"/>
      <c r="AL4" s="279"/>
      <c r="AM4" s="260"/>
      <c r="AN4" s="280"/>
      <c r="AO4" s="334">
        <f>SUMIFS(Travaux_202625[AC 2027],Travaux_202625[DES_COMPL_NATR_COMPB],"=Fonctionnement")+SUMIFS(Travaux_202625[TR 2027],Travaux_202625[DES_COMPL_NATR_COMPB],"=Fonctionnement")</f>
        <v>0</v>
      </c>
      <c r="AP4" s="295"/>
      <c r="AQ4" s="295">
        <f>SUMIFS(Travaux_202625[AC 2028],Travaux_202625[DES_COMPL_NATR_COMPB],"=Fonctionnement")+SUMIFS(Travaux_202625[TR 2028],Travaux_202625[DES_COMPL_NATR_COMPB],"=Fonctionnement")</f>
        <v>0</v>
      </c>
      <c r="AR4" s="295"/>
      <c r="AS4" s="295">
        <f>SUMIFS(Travaux_202625[AC 2029],Travaux_202625[DES_COMPL_NATR_COMPB],"=Fonctionnement")+SUMIFS(Travaux_202625[TR 2029],Travaux_202625[DES_COMPL_NATR_COMPB],"=Fonctionnement")</f>
        <v>0</v>
      </c>
      <c r="AT4" s="295"/>
      <c r="AU4" s="295">
        <f>SUMIFS(Travaux_202625[AC 2030],Travaux_202625[DES_COMPL_NATR_COMPB],"=Fonctionnement")+SUMIFS(Travaux_202625[TR 2030],Travaux_202625[DES_COMPL_NATR_COMPB],"=Fonctionnement")</f>
        <v>0</v>
      </c>
      <c r="AV4" s="295"/>
      <c r="AW4" s="295">
        <f>SUMIFS(Travaux_202625[AC 2031],Travaux_202625[DES_COMPL_NATR_COMPB],"=Fonctionnement")+SUMIFS(Travaux_202625[TR 2031],Travaux_202625[DES_COMPL_NATR_COMPB],"=Fonctionnement")</f>
        <v>0</v>
      </c>
      <c r="AX4" s="295"/>
      <c r="AY4" s="295">
        <f>SUMIFS(Travaux_202625[AC 2032],Travaux_202625[DES_COMPL_NATR_COMPB],"=Fonctionnement")+SUMIFS(Travaux_202625[TR 2032],Travaux_202625[DES_COMPL_NATR_COMPB],"=Fonctionnement")</f>
        <v>0</v>
      </c>
      <c r="AZ4" s="295"/>
      <c r="BA4" s="295">
        <f>SUMIFS(Travaux_202625[AC 2033],Travaux_202625[DES_COMPL_NATR_COMPB],"=Fonctionnement")+SUMIFS(Travaux_202625[TR 2033],Travaux_202625[DES_COMPL_NATR_COMPB],"=Fonctionnement")</f>
        <v>0</v>
      </c>
      <c r="BB4" s="295"/>
      <c r="BC4" s="295">
        <f>SUMIFS(Travaux_202625[AC 2034],Travaux_202625[DES_COMPL_NATR_COMPB],"=Fonctionnement")+SUMIFS(Travaux_202625[TR 2034],Travaux_202625[DES_COMPL_NATR_COMPB],"=Fonctionnement")</f>
        <v>0</v>
      </c>
      <c r="BD4" s="295"/>
      <c r="BE4" s="295">
        <f>SUMIFS(Travaux_202625[AC 2035],Travaux_202625[DES_COMPL_NATR_COMPB],"=Fonctionnement")+SUMIFS(Travaux_202625[TR 2035],Travaux_202625[DES_COMPL_NATR_COMPB],"=Fonctionnement")</f>
        <v>0</v>
      </c>
      <c r="BF4" s="295"/>
      <c r="BG4" s="16">
        <f t="shared" ref="BG4:BG12" si="0">SUM(W4,AF4)</f>
        <v>0</v>
      </c>
      <c r="BH4" s="16">
        <f t="shared" ref="BH4:BH11" si="1">SUM(W4,AF4,AO4:BD4)</f>
        <v>0</v>
      </c>
    </row>
    <row r="5" spans="1:62" x14ac:dyDescent="0.3">
      <c r="J5" s="27" t="s">
        <v>12</v>
      </c>
      <c r="K5" s="28" t="s">
        <v>13</v>
      </c>
      <c r="R5" s="104" t="s">
        <v>15</v>
      </c>
      <c r="S5" s="279">
        <f>SUMIFS(Travaux_202625[AC ANT],Travaux_202625[État Composante AC],"=PR")</f>
        <v>801</v>
      </c>
      <c r="T5" s="260"/>
      <c r="U5" s="260">
        <f>SUMIFS(Travaux_202625[AC 2024],Travaux_202625[État Composante AC],"=PR")</f>
        <v>869</v>
      </c>
      <c r="V5" s="260"/>
      <c r="W5" s="260">
        <f>SUMIFS(Travaux_202625[AC 2025],Travaux_202625[État Composante AC],"=PR")</f>
        <v>1128</v>
      </c>
      <c r="X5" s="280"/>
      <c r="Y5" s="78"/>
      <c r="Z5" s="279">
        <f>SUMIFS(Travaux_202625[AC 2025 Initiale],Travaux_202625[État Composante AC],"=PR")</f>
        <v>1028</v>
      </c>
      <c r="AA5" s="280"/>
      <c r="AB5" s="78"/>
      <c r="AC5" s="279">
        <f>SUMIFS(Travaux_202625[Écart AC 2025],Travaux_202625[État Composante AC],"=PR")</f>
        <v>100</v>
      </c>
      <c r="AD5" s="260"/>
      <c r="AE5" s="280"/>
      <c r="AF5" s="279">
        <f>SUMIFS(Travaux_202625[AC 2026],Travaux_202625[État Composante AC],"=PR")</f>
        <v>3807</v>
      </c>
      <c r="AG5" s="260"/>
      <c r="AH5" s="78"/>
      <c r="AI5" s="260">
        <f>SUMIFS(Travaux_202625[AC 2026 Initiale],Travaux_202625[État Composante AC],"=PR")</f>
        <v>3977</v>
      </c>
      <c r="AJ5" s="280"/>
      <c r="AK5" s="78"/>
      <c r="AL5" s="279">
        <f>SUMIFS(Travaux_202625[Écart AC 2026],Travaux_202625[État Composante AC],"=PR")</f>
        <v>-170</v>
      </c>
      <c r="AM5" s="260"/>
      <c r="AN5" s="280"/>
      <c r="AO5" s="279">
        <f>SUMIFS(Travaux_202625[AC 2027],Travaux_202625[État Composante AC],"=PR")</f>
        <v>95.000000000000014</v>
      </c>
      <c r="AP5" s="260"/>
      <c r="AQ5" s="260">
        <f>SUMIFS(Travaux_202625[AC 2028],Travaux_202625[État Composante AC],"=PR")</f>
        <v>159</v>
      </c>
      <c r="AR5" s="260"/>
      <c r="AS5" s="260">
        <f>SUMIFS(Travaux_202625[AC 2029],Travaux_202625[État Composante AC],"=PR")</f>
        <v>212.00000000000003</v>
      </c>
      <c r="AT5" s="260"/>
      <c r="AU5" s="260">
        <f>SUMIFS(Travaux_202625[AC 2030],Travaux_202625[État Composante AC],"=PR")</f>
        <v>261</v>
      </c>
      <c r="AV5" s="260"/>
      <c r="AW5" s="260">
        <f>SUMIFS(Travaux_202625[AC 2031],Travaux_202625[État Composante AC],"=PR")</f>
        <v>0</v>
      </c>
      <c r="AX5" s="260"/>
      <c r="AY5" s="260">
        <f>SUMIFS(Travaux_202625[AC 2032],Travaux_202625[État Composante AC],"=PR")</f>
        <v>0</v>
      </c>
      <c r="AZ5" s="260"/>
      <c r="BA5" s="260">
        <f>SUMIFS(Travaux_202625[AC 2033],Travaux_202625[État Composante AC],"=PR")</f>
        <v>0</v>
      </c>
      <c r="BB5" s="260"/>
      <c r="BC5" s="260">
        <f>SUMIFS(Travaux_202625[AC 2034],Travaux_202625[État Composante AC],"=PR")</f>
        <v>0</v>
      </c>
      <c r="BD5" s="260"/>
      <c r="BE5" s="260">
        <f>SUMIFS(Travaux_202625[AC 2035],Travaux_202625[État Composante AC],"=PR")</f>
        <v>0</v>
      </c>
      <c r="BF5" s="260"/>
      <c r="BG5" s="16">
        <f t="shared" si="0"/>
        <v>4935</v>
      </c>
      <c r="BH5" s="16">
        <f t="shared" si="1"/>
        <v>5662</v>
      </c>
    </row>
    <row r="6" spans="1:62" ht="15" thickBot="1" x14ac:dyDescent="0.35">
      <c r="J6" s="29" t="s">
        <v>16</v>
      </c>
      <c r="K6" s="28" t="s">
        <v>17</v>
      </c>
      <c r="R6" s="83" t="s">
        <v>19</v>
      </c>
      <c r="S6" s="279">
        <f>SUMIFS(Travaux_202625[TR ANT],Travaux_202625[État Composante TR],"=PR")</f>
        <v>41</v>
      </c>
      <c r="T6" s="260"/>
      <c r="U6" s="260">
        <f>SUMIFS(Travaux_202625[TR 2024],Travaux_202625[État Composante TR],"=PR")</f>
        <v>0</v>
      </c>
      <c r="V6" s="260"/>
      <c r="W6" s="260">
        <f>SUMIFS(Travaux_202625[TR 2025],Travaux_202625[État Composante TR],"=PR")</f>
        <v>0</v>
      </c>
      <c r="X6" s="280"/>
      <c r="Y6" s="78"/>
      <c r="Z6" s="279">
        <f>SUMIFS(Travaux_202625[TR 2025 Initiale],Travaux_202625[État Composante TR],"=PR")</f>
        <v>0</v>
      </c>
      <c r="AA6" s="280"/>
      <c r="AB6" s="78"/>
      <c r="AC6" s="279">
        <f>SUMIFS(Travaux_202625[Écart TR 2025],Travaux_202625[État Composante TR],"=PR")</f>
        <v>0</v>
      </c>
      <c r="AD6" s="260"/>
      <c r="AE6" s="280"/>
      <c r="AF6" s="279">
        <f>SUMIFS(Travaux_202625[TR 2026],Travaux_202625[État Composante TR],"=PR")</f>
        <v>66462</v>
      </c>
      <c r="AG6" s="260"/>
      <c r="AH6" s="78"/>
      <c r="AI6" s="260">
        <f>SUMIFS(Travaux_202625[TR 2026 Initiale],Travaux_202625[État Composante TR],"=PR")</f>
        <v>66512</v>
      </c>
      <c r="AJ6" s="280"/>
      <c r="AK6" s="78"/>
      <c r="AL6" s="279">
        <f>SUMIFS(Travaux_202625[Écart TR 2026],Travaux_202625[État Composante TR],"=PR")</f>
        <v>-50</v>
      </c>
      <c r="AM6" s="260"/>
      <c r="AN6" s="280"/>
      <c r="AO6" s="279">
        <f>SUMIFS(Travaux_202625[TR 2027],Travaux_202625[État Composante TR],"=PR")</f>
        <v>5749</v>
      </c>
      <c r="AP6" s="260"/>
      <c r="AQ6" s="331">
        <f>SUMIFS(Travaux_202625[TR 2028],Travaux_202625[État Composante TR],"=PR")</f>
        <v>4929</v>
      </c>
      <c r="AR6" s="331"/>
      <c r="AS6" s="331">
        <f>SUMIFS(Travaux_202625[TR 2029],Travaux_202625[État Composante TR],"=PR")</f>
        <v>6707.0000000000018</v>
      </c>
      <c r="AT6" s="331"/>
      <c r="AU6" s="331">
        <f>SUMIFS(Travaux_202625[TR 2030],Travaux_202625[État Composante TR],"=PR")</f>
        <v>6846.0000000000018</v>
      </c>
      <c r="AV6" s="331"/>
      <c r="AW6" s="331">
        <f>SUMIFS(Travaux_202625[TR 2031],Travaux_202625[État Composante TR],"=PR")</f>
        <v>0</v>
      </c>
      <c r="AX6" s="331"/>
      <c r="AY6" s="331">
        <f>SUMIFS(Travaux_202625[TR 2032],Travaux_202625[État Composante TR],"=PR")</f>
        <v>0</v>
      </c>
      <c r="AZ6" s="331"/>
      <c r="BA6" s="331">
        <f>SUMIFS(Travaux_202625[TR 2033],Travaux_202625[État Composante TR],"=PR")</f>
        <v>0</v>
      </c>
      <c r="BB6" s="331"/>
      <c r="BC6" s="331">
        <f>SUMIFS(Travaux_202625[TR 2034],Travaux_202625[État Composante TR],"=PR")</f>
        <v>0</v>
      </c>
      <c r="BD6" s="331"/>
      <c r="BE6" s="331">
        <f>SUMIFS(Travaux_202625[TR 2035],Travaux_202625[État Composante TR],"=PR")</f>
        <v>0</v>
      </c>
      <c r="BF6" s="331"/>
      <c r="BG6" s="16">
        <f t="shared" si="0"/>
        <v>66462</v>
      </c>
      <c r="BH6" s="16">
        <f t="shared" si="1"/>
        <v>90693</v>
      </c>
    </row>
    <row r="7" spans="1:62" ht="15" thickTop="1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842</v>
      </c>
      <c r="T7" s="262"/>
      <c r="U7" s="262">
        <f>U5+U6</f>
        <v>869</v>
      </c>
      <c r="V7" s="262"/>
      <c r="W7" s="262">
        <f>W5+W6</f>
        <v>1128</v>
      </c>
      <c r="X7" s="289"/>
      <c r="Y7" s="20"/>
      <c r="Z7" s="288">
        <f>Z5+Z6</f>
        <v>1028</v>
      </c>
      <c r="AA7" s="289"/>
      <c r="AB7" s="20"/>
      <c r="AC7" s="290">
        <f>AC5+AC6</f>
        <v>100</v>
      </c>
      <c r="AD7" s="292"/>
      <c r="AE7" s="291"/>
      <c r="AF7" s="290">
        <f>AF5+AF6</f>
        <v>70269</v>
      </c>
      <c r="AG7" s="291"/>
      <c r="AH7" s="20"/>
      <c r="AI7" s="288">
        <f>AI5+AI6</f>
        <v>70489</v>
      </c>
      <c r="AJ7" s="289"/>
      <c r="AK7" s="20"/>
      <c r="AL7" s="290">
        <f>AL5+AL6</f>
        <v>-220</v>
      </c>
      <c r="AM7" s="292"/>
      <c r="AN7" s="291"/>
      <c r="AO7" s="288">
        <f>AO5+AO6</f>
        <v>5844</v>
      </c>
      <c r="AP7" s="262"/>
      <c r="AQ7" s="325">
        <f>AQ5+AQ6</f>
        <v>5088</v>
      </c>
      <c r="AR7" s="325"/>
      <c r="AS7" s="325">
        <f>AS5+AS6</f>
        <v>6919.0000000000018</v>
      </c>
      <c r="AT7" s="325"/>
      <c r="AU7" s="325">
        <f>AU5+AU6</f>
        <v>7107.0000000000018</v>
      </c>
      <c r="AV7" s="325"/>
      <c r="AW7" s="325">
        <f>AW5+AW6</f>
        <v>0</v>
      </c>
      <c r="AX7" s="325"/>
      <c r="AY7" s="325">
        <f>AY5+AY6</f>
        <v>0</v>
      </c>
      <c r="AZ7" s="325"/>
      <c r="BA7" s="325">
        <f>BA5+BA6</f>
        <v>0</v>
      </c>
      <c r="BB7" s="325"/>
      <c r="BC7" s="325">
        <f>BC5+BC6</f>
        <v>0</v>
      </c>
      <c r="BD7" s="325"/>
      <c r="BE7" s="325">
        <f>BE5+BE6</f>
        <v>0</v>
      </c>
      <c r="BF7" s="325"/>
      <c r="BG7" s="20">
        <f t="shared" si="0"/>
        <v>71397</v>
      </c>
      <c r="BH7" s="20">
        <f t="shared" si="1"/>
        <v>96355</v>
      </c>
    </row>
    <row r="8" spans="1:62" x14ac:dyDescent="0.3">
      <c r="J8" s="329" t="s">
        <v>563</v>
      </c>
      <c r="K8" s="330"/>
      <c r="R8" s="83" t="s">
        <v>25</v>
      </c>
      <c r="S8" s="279">
        <f>SUMIFS(Travaux_202625[AC ANT],Travaux_202625[État Composante AC],"&lt;&gt;PR")</f>
        <v>0</v>
      </c>
      <c r="T8" s="260"/>
      <c r="U8" s="260">
        <f>SUMIFS(Travaux_202625[AC 2024],Travaux_202625[État Composante AC],"&lt;&gt;PR")</f>
        <v>0</v>
      </c>
      <c r="V8" s="260"/>
      <c r="W8" s="260">
        <f>SUMIFS(Travaux_202625[AC 2025],Travaux_202625[État Composante AC],"&lt;&gt;PR")</f>
        <v>0</v>
      </c>
      <c r="X8" s="280"/>
      <c r="Y8" s="78"/>
      <c r="Z8" s="279">
        <f>SUMIFS(Travaux_202625[AC 2025 Initiale],Travaux_202625[État Composante AC],"&lt;&gt;PR")</f>
        <v>0</v>
      </c>
      <c r="AA8" s="280"/>
      <c r="AB8" s="78"/>
      <c r="AC8" s="326">
        <f>SUMIFS(Travaux_202625[Écart AC 2025],Travaux_202625[État Composante AC],"&lt;&gt;PR")</f>
        <v>0</v>
      </c>
      <c r="AD8" s="327"/>
      <c r="AE8" s="328"/>
      <c r="AF8" s="326">
        <f>SUMIFS(Travaux_202625[AC 2026],Travaux_202625[État Composante AC],"&lt;&gt;PR")</f>
        <v>0</v>
      </c>
      <c r="AG8" s="327"/>
      <c r="AH8" s="78"/>
      <c r="AI8" s="260">
        <f>SUMIFS(Travaux_202625[AC 2026 Initiale],Travaux_202625[État Composante AC],"&lt;&gt;PR")</f>
        <v>0</v>
      </c>
      <c r="AJ8" s="280"/>
      <c r="AK8" s="78"/>
      <c r="AL8" s="326">
        <f>SUMIFS(Travaux_202625[Écart AC 2026],Travaux_202625[État Composante AC],"&lt;&gt;PR")</f>
        <v>0</v>
      </c>
      <c r="AM8" s="327"/>
      <c r="AN8" s="328"/>
      <c r="AO8" s="279">
        <f>SUMIFS(Travaux_202625[AC 2027],Travaux_202625[État Composante AC],"&lt;&gt;PR")</f>
        <v>0</v>
      </c>
      <c r="AP8" s="260"/>
      <c r="AQ8" s="260">
        <f>SUMIFS(Travaux_202625[AC 2028],Travaux_202625[État Composante AC],"&lt;&gt;PR")</f>
        <v>0</v>
      </c>
      <c r="AR8" s="260"/>
      <c r="AS8" s="260">
        <f>SUMIFS(Travaux_202625[AC 2029],Travaux_202625[État Composante AC],"&lt;&gt;PR")</f>
        <v>0</v>
      </c>
      <c r="AT8" s="260"/>
      <c r="AU8" s="260">
        <f>SUMIFS(Travaux_202625[AC 2030],Travaux_202625[État Composante AC],"&lt;&gt;PR")</f>
        <v>0</v>
      </c>
      <c r="AV8" s="260"/>
      <c r="AW8" s="260">
        <f>SUMIFS(Travaux_202625[AC 2031],Travaux_202625[État Composante AC],"&lt;&gt;PR")</f>
        <v>0</v>
      </c>
      <c r="AX8" s="260"/>
      <c r="AY8" s="260">
        <f>SUMIFS(Travaux_202625[AC 2032],Travaux_202625[État Composante AC],"&lt;&gt;PR")</f>
        <v>0</v>
      </c>
      <c r="AZ8" s="260"/>
      <c r="BA8" s="260">
        <f>SUMIFS(Travaux_202625[AC 2033],Travaux_202625[État Composante AC],"&lt;&gt;PR")</f>
        <v>0</v>
      </c>
      <c r="BB8" s="260"/>
      <c r="BC8" s="260">
        <f>SUMIFS(Travaux_202625[AC 2034],Travaux_202625[État Composante AC],"&lt;&gt;PR")</f>
        <v>0</v>
      </c>
      <c r="BD8" s="260"/>
      <c r="BE8" s="260">
        <f>SUMIFS(Travaux_202625[AC 2035],Travaux_202625[État Composante AC],"&lt;&gt;PR")</f>
        <v>0</v>
      </c>
      <c r="BF8" s="260"/>
      <c r="BG8" s="16">
        <f t="shared" si="0"/>
        <v>0</v>
      </c>
      <c r="BH8" s="16">
        <f t="shared" si="1"/>
        <v>0</v>
      </c>
    </row>
    <row r="9" spans="1:62" x14ac:dyDescent="0.3">
      <c r="J9" s="191"/>
      <c r="K9" s="28" t="s">
        <v>564</v>
      </c>
      <c r="R9" s="83" t="s">
        <v>27</v>
      </c>
      <c r="S9" s="279">
        <f>SUMIFS(Travaux_202625[TR ANT],Travaux_202625[État Composante TR],"&lt;&gt;PR")</f>
        <v>0</v>
      </c>
      <c r="T9" s="260"/>
      <c r="U9" s="260">
        <f>SUMIFS(Travaux_202625[TR 2024],Travaux_202625[État Composante TR],"&lt;&gt;PR")</f>
        <v>0</v>
      </c>
      <c r="V9" s="260"/>
      <c r="W9" s="260">
        <f>SUMIFS(Travaux_202625[TR 2025],Travaux_202625[État Composante TR],"&lt;&gt;PR")</f>
        <v>0</v>
      </c>
      <c r="X9" s="280"/>
      <c r="Y9" s="78"/>
      <c r="Z9" s="279">
        <f>SUMIFS(Travaux_202625[TR 2025 Initiale],Travaux_202625[État Composante TR],"&lt;&gt;PR")</f>
        <v>0</v>
      </c>
      <c r="AA9" s="280"/>
      <c r="AB9" s="78"/>
      <c r="AC9" s="279">
        <f>SUMIFS(Travaux_202625[Écart TR 2025],Travaux_202625[État Composante TR],"&lt;&gt;PR")</f>
        <v>0</v>
      </c>
      <c r="AD9" s="260"/>
      <c r="AE9" s="280"/>
      <c r="AF9" s="279">
        <f>SUMIFS(Travaux_202625[TR 2026],Travaux_202625[État Composante TR],"&lt;&gt;PR")</f>
        <v>0</v>
      </c>
      <c r="AG9" s="260"/>
      <c r="AH9" s="78"/>
      <c r="AI9" s="260">
        <f>SUMIFS(Travaux_202625[TR 2026 Initiale],Travaux_202625[État Composante TR],"&lt;&gt;PR")</f>
        <v>0</v>
      </c>
      <c r="AJ9" s="280"/>
      <c r="AK9" s="78"/>
      <c r="AL9" s="279">
        <f>SUMIFS(Travaux_202625[Écart TR 2026],Travaux_202625[État Composante TR],"&lt;&gt;PR")</f>
        <v>0</v>
      </c>
      <c r="AM9" s="260"/>
      <c r="AN9" s="280"/>
      <c r="AO9" s="279">
        <f>SUMIFS(Travaux_202625[TR 2027],Travaux_202625[État Composante TR],"&lt;&gt;PR")</f>
        <v>0</v>
      </c>
      <c r="AP9" s="260"/>
      <c r="AQ9" s="260">
        <f>SUMIFS(Travaux_202625[TR 2028],Travaux_202625[État Composante TR],"&lt;&gt;PR")</f>
        <v>0</v>
      </c>
      <c r="AR9" s="260"/>
      <c r="AS9" s="260">
        <f>SUMIFS(Travaux_202625[TR 2029],Travaux_202625[État Composante TR],"&lt;&gt;PR")</f>
        <v>0</v>
      </c>
      <c r="AT9" s="260"/>
      <c r="AU9" s="260">
        <f>SUMIFS(Travaux_202625[TR 2030],Travaux_202625[État Composante TR],"&lt;&gt;PR")</f>
        <v>0</v>
      </c>
      <c r="AV9" s="260"/>
      <c r="AW9" s="260">
        <f>SUMIFS(Travaux_202625[TR 2031],Travaux_202625[État Composante TR],"&lt;&gt;PR")</f>
        <v>0</v>
      </c>
      <c r="AX9" s="260"/>
      <c r="AY9" s="260">
        <f>SUMIFS(Travaux_202625[TR 2032],Travaux_202625[État Composante TR],"&lt;&gt;PR")</f>
        <v>0</v>
      </c>
      <c r="AZ9" s="260"/>
      <c r="BA9" s="260">
        <f>SUMIFS(Travaux_202625[TR 2033],Travaux_202625[État Composante TR],"&lt;&gt;PR")</f>
        <v>0</v>
      </c>
      <c r="BB9" s="260"/>
      <c r="BC9" s="260">
        <f>SUMIFS(Travaux_202625[TR 2034],Travaux_202625[État Composante TR],"&lt;&gt;PR")</f>
        <v>0</v>
      </c>
      <c r="BD9" s="260"/>
      <c r="BE9" s="260">
        <f>SUMIFS(Travaux_202625[TR 2035],Travaux_202625[État Composante TR],"&lt;&gt;PR")</f>
        <v>0</v>
      </c>
      <c r="BF9" s="260"/>
      <c r="BG9" s="16">
        <f t="shared" si="0"/>
        <v>0</v>
      </c>
      <c r="BH9" s="16">
        <f t="shared" si="1"/>
        <v>0</v>
      </c>
    </row>
    <row r="10" spans="1:62" x14ac:dyDescent="0.3">
      <c r="J10" s="192"/>
      <c r="K10" s="28" t="s">
        <v>565</v>
      </c>
      <c r="Q10" s="127"/>
      <c r="R10" s="117" t="s">
        <v>29</v>
      </c>
      <c r="S10" s="288">
        <f>S8+S9</f>
        <v>0</v>
      </c>
      <c r="T10" s="262"/>
      <c r="U10" s="262">
        <f>U8+U9</f>
        <v>0</v>
      </c>
      <c r="V10" s="262"/>
      <c r="W10" s="262">
        <f>W8+W9</f>
        <v>0</v>
      </c>
      <c r="X10" s="289"/>
      <c r="Y10" s="20"/>
      <c r="Z10" s="288">
        <f>Z8+Z9</f>
        <v>0</v>
      </c>
      <c r="AA10" s="289"/>
      <c r="AB10" s="20"/>
      <c r="AC10" s="288">
        <f>AC9+AC8</f>
        <v>0</v>
      </c>
      <c r="AD10" s="262"/>
      <c r="AE10" s="289"/>
      <c r="AF10" s="288">
        <f>AF8+AF9</f>
        <v>0</v>
      </c>
      <c r="AG10" s="262"/>
      <c r="AH10" s="20"/>
      <c r="AI10" s="262">
        <f>AI8+AI9</f>
        <v>0</v>
      </c>
      <c r="AJ10" s="289"/>
      <c r="AK10" s="20"/>
      <c r="AL10" s="288">
        <f>AL9+AL8</f>
        <v>0</v>
      </c>
      <c r="AM10" s="262"/>
      <c r="AN10" s="289"/>
      <c r="AO10" s="288">
        <f>AO8+AO9</f>
        <v>0</v>
      </c>
      <c r="AP10" s="262"/>
      <c r="AQ10" s="262">
        <f>AQ8+AQ9</f>
        <v>0</v>
      </c>
      <c r="AR10" s="262"/>
      <c r="AS10" s="262">
        <f>AS8+AS9</f>
        <v>0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62">
        <f>BC8+BC9</f>
        <v>0</v>
      </c>
      <c r="BD10" s="262"/>
      <c r="BE10" s="262">
        <f>BE8+BE9</f>
        <v>0</v>
      </c>
      <c r="BF10" s="262"/>
      <c r="BG10" s="20">
        <f t="shared" si="0"/>
        <v>0</v>
      </c>
      <c r="BH10" s="20">
        <f t="shared" si="1"/>
        <v>0</v>
      </c>
    </row>
    <row r="11" spans="1:62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842</v>
      </c>
      <c r="T11" s="284"/>
      <c r="U11" s="285">
        <f>U10+U7</f>
        <v>869</v>
      </c>
      <c r="V11" s="284"/>
      <c r="W11" s="285">
        <f>W10+W7</f>
        <v>1128</v>
      </c>
      <c r="X11" s="284"/>
      <c r="Y11" s="105"/>
      <c r="Z11" s="285">
        <f>Z10+Z7</f>
        <v>1028</v>
      </c>
      <c r="AA11" s="287"/>
      <c r="AB11" s="105"/>
      <c r="AC11" s="286">
        <f>AC10+AC7</f>
        <v>100</v>
      </c>
      <c r="AD11" s="283"/>
      <c r="AE11" s="287"/>
      <c r="AF11" s="286">
        <f>AF10+AF7</f>
        <v>70269</v>
      </c>
      <c r="AG11" s="284"/>
      <c r="AH11" s="105"/>
      <c r="AI11" s="285">
        <f>AI10+AI7</f>
        <v>70489</v>
      </c>
      <c r="AJ11" s="287"/>
      <c r="AK11" s="105"/>
      <c r="AL11" s="286">
        <f>AL10+AL7</f>
        <v>-220</v>
      </c>
      <c r="AM11" s="283"/>
      <c r="AN11" s="287"/>
      <c r="AO11" s="286">
        <f>AO10+AO7</f>
        <v>5844</v>
      </c>
      <c r="AP11" s="284"/>
      <c r="AQ11" s="285">
        <f>AQ10+AQ7</f>
        <v>5088</v>
      </c>
      <c r="AR11" s="284"/>
      <c r="AS11" s="285">
        <f>AS10+AS7</f>
        <v>6919.0000000000018</v>
      </c>
      <c r="AT11" s="284"/>
      <c r="AU11" s="285">
        <f>AU10+AU7</f>
        <v>7107.0000000000018</v>
      </c>
      <c r="AV11" s="284"/>
      <c r="AW11" s="285">
        <f>AW10+AW7</f>
        <v>0</v>
      </c>
      <c r="AX11" s="284"/>
      <c r="AY11" s="285">
        <f>AY10+AY7</f>
        <v>0</v>
      </c>
      <c r="AZ11" s="284"/>
      <c r="BA11" s="285">
        <f>BA10+BA7</f>
        <v>0</v>
      </c>
      <c r="BB11" s="284"/>
      <c r="BC11" s="285">
        <f>BC10+BC7</f>
        <v>0</v>
      </c>
      <c r="BD11" s="284"/>
      <c r="BE11" s="285">
        <f>BE10+BE7</f>
        <v>0</v>
      </c>
      <c r="BF11" s="284"/>
      <c r="BG11" s="105">
        <f t="shared" si="0"/>
        <v>71397</v>
      </c>
      <c r="BH11" s="105">
        <f t="shared" si="1"/>
        <v>96355</v>
      </c>
    </row>
    <row r="12" spans="1:62" ht="15" customHeight="1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80"/>
      <c r="Y12" s="78"/>
      <c r="Z12" s="279"/>
      <c r="AA12" s="280"/>
      <c r="AB12" s="78"/>
      <c r="AC12" s="322"/>
      <c r="AD12" s="323"/>
      <c r="AE12" s="324"/>
      <c r="AF12" s="279"/>
      <c r="AG12" s="260"/>
      <c r="AH12" s="78"/>
      <c r="AI12" s="260"/>
      <c r="AJ12" s="280"/>
      <c r="AK12" s="78"/>
      <c r="AL12" s="322"/>
      <c r="AM12" s="323"/>
      <c r="AN12" s="324"/>
      <c r="AO12" s="279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78">
        <f t="shared" si="0"/>
        <v>0</v>
      </c>
      <c r="BH12" s="78">
        <f>SUM(AO12:BD12,W12,AF12)</f>
        <v>0</v>
      </c>
    </row>
    <row r="13" spans="1:62" ht="16.2" thickBot="1" x14ac:dyDescent="0.35">
      <c r="J13" s="195"/>
      <c r="K13" s="31" t="s">
        <v>568</v>
      </c>
      <c r="Q13" s="126"/>
      <c r="R13" s="118" t="s">
        <v>33</v>
      </c>
      <c r="S13" s="120"/>
      <c r="T13" s="64"/>
      <c r="U13" s="319">
        <f>U12+U11</f>
        <v>869</v>
      </c>
      <c r="V13" s="321"/>
      <c r="W13" s="258">
        <f>W12+W11</f>
        <v>1128</v>
      </c>
      <c r="X13" s="259"/>
      <c r="Y13" s="167"/>
      <c r="Z13" s="258">
        <f>Z12+Z11</f>
        <v>1028</v>
      </c>
      <c r="AA13" s="259"/>
      <c r="AB13" s="167"/>
      <c r="AC13" s="258">
        <f>AC12+AC11</f>
        <v>100</v>
      </c>
      <c r="AD13" s="261"/>
      <c r="AE13" s="261"/>
      <c r="AF13" s="261">
        <f>AF12+AF11</f>
        <v>70269</v>
      </c>
      <c r="AG13" s="259"/>
      <c r="AH13" s="167"/>
      <c r="AI13" s="258">
        <f>AI12+AI11</f>
        <v>70489</v>
      </c>
      <c r="AJ13" s="259"/>
      <c r="AK13" s="167"/>
      <c r="AL13" s="319">
        <f>AL12+AL11</f>
        <v>-220</v>
      </c>
      <c r="AM13" s="320"/>
      <c r="AN13" s="320"/>
      <c r="AO13" s="261">
        <f>AO12+AO11</f>
        <v>5844</v>
      </c>
      <c r="AP13" s="259"/>
      <c r="AQ13" s="258">
        <f>AQ12+AQ11</f>
        <v>5088</v>
      </c>
      <c r="AR13" s="259"/>
      <c r="AS13" s="258">
        <f>AS12+AS11</f>
        <v>6919.0000000000018</v>
      </c>
      <c r="AT13" s="259"/>
      <c r="AU13" s="258">
        <f>AU12+AU11</f>
        <v>7107.0000000000018</v>
      </c>
      <c r="AV13" s="259"/>
      <c r="AW13" s="258">
        <f>AW12+AW11</f>
        <v>0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58">
        <f>BE12+BE11</f>
        <v>0</v>
      </c>
      <c r="BF13" s="259"/>
      <c r="BG13" s="21">
        <f>BG12+BG11</f>
        <v>71397</v>
      </c>
      <c r="BH13" s="21">
        <f>BH12+BH11</f>
        <v>96355</v>
      </c>
    </row>
    <row r="14" spans="1:62" s="11" customFormat="1" ht="64.95" customHeight="1" x14ac:dyDescent="0.3">
      <c r="A14" s="11" t="s">
        <v>273</v>
      </c>
      <c r="B14" s="11" t="s">
        <v>274</v>
      </c>
      <c r="C14" s="11" t="s">
        <v>37</v>
      </c>
      <c r="D14" s="11" t="s">
        <v>38</v>
      </c>
      <c r="E14" s="11" t="s">
        <v>39</v>
      </c>
      <c r="F14" s="11" t="s">
        <v>40</v>
      </c>
      <c r="G14" s="11" t="s">
        <v>41</v>
      </c>
      <c r="H14" s="11" t="s">
        <v>42</v>
      </c>
      <c r="I14" s="11" t="s">
        <v>44</v>
      </c>
      <c r="J14" s="11" t="s">
        <v>45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625</v>
      </c>
      <c r="P14" s="11" t="s">
        <v>50</v>
      </c>
      <c r="Q14" s="11" t="s">
        <v>51</v>
      </c>
      <c r="R14" s="11" t="s">
        <v>52</v>
      </c>
      <c r="S14" s="9" t="s">
        <v>76</v>
      </c>
      <c r="T14" s="9" t="s">
        <v>77</v>
      </c>
      <c r="U14" s="9" t="s">
        <v>78</v>
      </c>
      <c r="V14" s="9" t="s">
        <v>79</v>
      </c>
      <c r="W14" s="11" t="s">
        <v>80</v>
      </c>
      <c r="X14" s="11" t="s">
        <v>81</v>
      </c>
      <c r="Y14" s="11" t="s">
        <v>579</v>
      </c>
      <c r="Z14" s="11" t="s">
        <v>549</v>
      </c>
      <c r="AA14" s="11" t="s">
        <v>550</v>
      </c>
      <c r="AB14" s="11" t="s">
        <v>577</v>
      </c>
      <c r="AC14" s="99" t="s">
        <v>277</v>
      </c>
      <c r="AD14" s="99" t="s">
        <v>278</v>
      </c>
      <c r="AE14" s="99" t="s">
        <v>279</v>
      </c>
      <c r="AF14" s="11" t="s">
        <v>82</v>
      </c>
      <c r="AG14" s="11" t="s">
        <v>83</v>
      </c>
      <c r="AH14" s="11" t="s">
        <v>578</v>
      </c>
      <c r="AI14" s="11" t="s">
        <v>551</v>
      </c>
      <c r="AJ14" s="11" t="s">
        <v>552</v>
      </c>
      <c r="AK14" s="11" t="s">
        <v>580</v>
      </c>
      <c r="AL14" s="93" t="s">
        <v>283</v>
      </c>
      <c r="AM14" s="93" t="s">
        <v>284</v>
      </c>
      <c r="AN14" s="93" t="s">
        <v>285</v>
      </c>
      <c r="AO14" s="11" t="s">
        <v>84</v>
      </c>
      <c r="AP14" s="11" t="s">
        <v>85</v>
      </c>
      <c r="AQ14" s="11" t="s">
        <v>86</v>
      </c>
      <c r="AR14" s="11" t="s">
        <v>87</v>
      </c>
      <c r="AS14" s="11" t="s">
        <v>88</v>
      </c>
      <c r="AT14" s="11" t="s">
        <v>89</v>
      </c>
      <c r="AU14" s="11" t="s">
        <v>90</v>
      </c>
      <c r="AV14" s="11" t="s">
        <v>91</v>
      </c>
      <c r="AW14" s="11" t="s">
        <v>92</v>
      </c>
      <c r="AX14" s="11" t="s">
        <v>93</v>
      </c>
      <c r="AY14" s="11" t="s">
        <v>94</v>
      </c>
      <c r="AZ14" s="11" t="s">
        <v>95</v>
      </c>
      <c r="BA14" s="11" t="s">
        <v>96</v>
      </c>
      <c r="BB14" s="11" t="s">
        <v>97</v>
      </c>
      <c r="BC14" s="11" t="s">
        <v>98</v>
      </c>
      <c r="BD14" s="11" t="s">
        <v>99</v>
      </c>
      <c r="BE14" s="11" t="s">
        <v>593</v>
      </c>
      <c r="BF14" s="11" t="s">
        <v>594</v>
      </c>
      <c r="BG14" s="11" t="s">
        <v>100</v>
      </c>
    </row>
    <row r="15" spans="1:62" x14ac:dyDescent="0.3">
      <c r="A15" t="s">
        <v>286</v>
      </c>
      <c r="C15" t="s">
        <v>101</v>
      </c>
      <c r="D15" t="s">
        <v>102</v>
      </c>
      <c r="E15" t="s">
        <v>136</v>
      </c>
      <c r="F15" t="s">
        <v>113</v>
      </c>
      <c r="G15" t="s">
        <v>16</v>
      </c>
      <c r="H15" t="s">
        <v>16</v>
      </c>
      <c r="I15" t="s">
        <v>131</v>
      </c>
      <c r="J15" t="s">
        <v>137</v>
      </c>
      <c r="K15" t="s">
        <v>138</v>
      </c>
      <c r="L15" t="s">
        <v>139</v>
      </c>
      <c r="M15" t="s">
        <v>109</v>
      </c>
      <c r="N15" s="217" t="s">
        <v>123</v>
      </c>
      <c r="P15" s="1">
        <v>45062</v>
      </c>
      <c r="Q15" s="1">
        <v>45754</v>
      </c>
      <c r="R15" s="1">
        <v>45945</v>
      </c>
      <c r="S15">
        <v>337</v>
      </c>
      <c r="T15">
        <v>41</v>
      </c>
      <c r="U15">
        <v>327</v>
      </c>
      <c r="W15">
        <v>363</v>
      </c>
      <c r="Y15">
        <f>Travaux_202625[[#This Row],[AC 2025]]+Travaux_202625[[#This Row],[TR 2025]]</f>
        <v>363</v>
      </c>
      <c r="Z15">
        <v>355</v>
      </c>
      <c r="AB15">
        <f>Travaux_202625[[#This Row],[AC 2025 Initiale]]+Travaux_202625[[#This Row],[TR 2025 Initiale]]</f>
        <v>355</v>
      </c>
      <c r="AC15">
        <f>Travaux_202625[[#This Row],[AC 2025]]-Travaux_202625[[#This Row],[AC 2025 Initiale]]</f>
        <v>8</v>
      </c>
      <c r="AD15">
        <f>Travaux_202625[[#This Row],[TR 2025]]-Travaux_202625[[#This Row],[TR 2025 Initiale]]</f>
        <v>0</v>
      </c>
      <c r="AE15">
        <f>Travaux_202625[[#This Row],[Écart AC 2025]]+Travaux_202625[[#This Row],[Écart TR 2025]]</f>
        <v>8</v>
      </c>
      <c r="AF15">
        <v>1006</v>
      </c>
      <c r="AG15">
        <v>5870</v>
      </c>
      <c r="AH15">
        <f>Travaux_202625[[#This Row],[AC 2026]]+Travaux_202625[[#This Row],[TR 2026]]</f>
        <v>6876</v>
      </c>
      <c r="AI15">
        <v>1006</v>
      </c>
      <c r="AJ15">
        <v>5870</v>
      </c>
      <c r="AK15">
        <f>Travaux_202625[[#This Row],[AC 2026 Initiale]]+Travaux_202625[[#This Row],[TR 2026 Initiale]]</f>
        <v>6876</v>
      </c>
      <c r="AL15">
        <f>Travaux_202625[[#This Row],[AC 2026]]-Travaux_202625[[#This Row],[AC 2026 Initiale]]</f>
        <v>0</v>
      </c>
      <c r="AM15">
        <f>Travaux_202625[[#This Row],[TR 2026]]-Travaux_202625[[#This Row],[TR 2026 Initiale]]</f>
        <v>0</v>
      </c>
      <c r="AN15">
        <f>Travaux_202625[[#This Row],[Écart AC 2026]]+Travaux_202625[[#This Row],[Écart TR 2026]]</f>
        <v>0</v>
      </c>
      <c r="AY15"/>
      <c r="BG15" s="14">
        <f>SUM(Travaux_202625[[#This Row],[AC ANT]:[TR 2025]],Travaux_202625[[#This Row],[AC 2026]:[TR 2026]],Travaux_202625[[#This Row],[AC 2027]:[TR 2034]])</f>
        <v>7944</v>
      </c>
    </row>
    <row r="16" spans="1:62" ht="43.2" x14ac:dyDescent="0.3">
      <c r="A16" t="s">
        <v>286</v>
      </c>
      <c r="C16" t="s">
        <v>101</v>
      </c>
      <c r="D16" t="s">
        <v>102</v>
      </c>
      <c r="E16" t="s">
        <v>103</v>
      </c>
      <c r="F16" t="s">
        <v>129</v>
      </c>
      <c r="G16" t="s">
        <v>16</v>
      </c>
      <c r="H16" t="s">
        <v>16</v>
      </c>
      <c r="I16" t="s">
        <v>131</v>
      </c>
      <c r="J16" t="s">
        <v>132</v>
      </c>
      <c r="K16" t="s">
        <v>288</v>
      </c>
      <c r="L16" t="s">
        <v>134</v>
      </c>
      <c r="M16" t="s">
        <v>109</v>
      </c>
      <c r="N16" s="103" t="s">
        <v>123</v>
      </c>
      <c r="O16" s="203" t="s">
        <v>629</v>
      </c>
      <c r="P16" s="1">
        <v>45218</v>
      </c>
      <c r="Q16" s="1">
        <v>45722</v>
      </c>
      <c r="R16" s="1">
        <v>45945</v>
      </c>
      <c r="U16">
        <v>12</v>
      </c>
      <c r="W16">
        <v>10</v>
      </c>
      <c r="Y16">
        <f>Travaux_202625[[#This Row],[AC 2025]]+Travaux_202625[[#This Row],[TR 2025]]</f>
        <v>10</v>
      </c>
      <c r="Z16">
        <v>10</v>
      </c>
      <c r="AB16">
        <f>Travaux_202625[[#This Row],[AC 2025 Initiale]]+Travaux_202625[[#This Row],[TR 2025 Initiale]]</f>
        <v>10</v>
      </c>
      <c r="AC16">
        <f>Travaux_202625[[#This Row],[AC 2025]]-Travaux_202625[[#This Row],[AC 2025 Initiale]]</f>
        <v>0</v>
      </c>
      <c r="AD16">
        <f>Travaux_202625[[#This Row],[TR 2025]]-Travaux_202625[[#This Row],[TR 2025 Initiale]]</f>
        <v>0</v>
      </c>
      <c r="AE16">
        <f>Travaux_202625[[#This Row],[Écart AC 2025]]+Travaux_202625[[#This Row],[Écart TR 2025]]</f>
        <v>0</v>
      </c>
      <c r="AF16">
        <v>350</v>
      </c>
      <c r="AG16">
        <v>4669</v>
      </c>
      <c r="AH16">
        <f>Travaux_202625[[#This Row],[AC 2026]]+Travaux_202625[[#This Row],[TR 2026]]</f>
        <v>5019</v>
      </c>
      <c r="AI16">
        <v>350</v>
      </c>
      <c r="AJ16">
        <v>4669</v>
      </c>
      <c r="AK16">
        <f>Travaux_202625[[#This Row],[AC 2026 Initiale]]+Travaux_202625[[#This Row],[TR 2026 Initiale]]</f>
        <v>5019</v>
      </c>
      <c r="AL16">
        <f>Travaux_202625[[#This Row],[AC 2026]]-Travaux_202625[[#This Row],[AC 2026 Initiale]]</f>
        <v>0</v>
      </c>
      <c r="AM16">
        <f>Travaux_202625[[#This Row],[TR 2026]]-Travaux_202625[[#This Row],[TR 2026 Initiale]]</f>
        <v>0</v>
      </c>
      <c r="AN16">
        <f>Travaux_202625[[#This Row],[Écart AC 2026]]+Travaux_202625[[#This Row],[Écart TR 2026]]</f>
        <v>0</v>
      </c>
      <c r="AY16"/>
      <c r="BG16" s="14">
        <f>SUM(Travaux_202625[[#This Row],[AC ANT]:[TR 2025]],Travaux_202625[[#This Row],[AC 2026]:[TR 2026]],Travaux_202625[[#This Row],[AC 2027]:[TR 2034]])</f>
        <v>5041</v>
      </c>
    </row>
    <row r="17" spans="1:59" x14ac:dyDescent="0.3">
      <c r="A17" t="s">
        <v>286</v>
      </c>
      <c r="C17" t="s">
        <v>101</v>
      </c>
      <c r="D17" t="s">
        <v>102</v>
      </c>
      <c r="E17" t="s">
        <v>128</v>
      </c>
      <c r="F17" t="s">
        <v>140</v>
      </c>
      <c r="G17" t="s">
        <v>16</v>
      </c>
      <c r="H17" t="s">
        <v>16</v>
      </c>
      <c r="I17" t="s">
        <v>105</v>
      </c>
      <c r="J17" t="s">
        <v>141</v>
      </c>
      <c r="K17" t="s">
        <v>142</v>
      </c>
      <c r="L17" t="s">
        <v>143</v>
      </c>
      <c r="M17" t="s">
        <v>109</v>
      </c>
      <c r="N17" s="217" t="s">
        <v>123</v>
      </c>
      <c r="P17" s="1">
        <v>42900</v>
      </c>
      <c r="Q17" s="1">
        <v>45323</v>
      </c>
      <c r="R17" s="1">
        <v>45889</v>
      </c>
      <c r="S17">
        <v>61</v>
      </c>
      <c r="Y17">
        <f>Travaux_202625[[#This Row],[AC 2025]]+Travaux_202625[[#This Row],[TR 2025]]</f>
        <v>0</v>
      </c>
      <c r="AB17">
        <f>Travaux_202625[[#This Row],[AC 2025 Initiale]]+Travaux_202625[[#This Row],[TR 2025 Initiale]]</f>
        <v>0</v>
      </c>
      <c r="AC17">
        <f>Travaux_202625[[#This Row],[AC 2025]]-Travaux_202625[[#This Row],[AC 2025 Initiale]]</f>
        <v>0</v>
      </c>
      <c r="AD17">
        <f>Travaux_202625[[#This Row],[TR 2025]]-Travaux_202625[[#This Row],[TR 2025 Initiale]]</f>
        <v>0</v>
      </c>
      <c r="AE17">
        <f>Travaux_202625[[#This Row],[Écart AC 2025]]+Travaux_202625[[#This Row],[Écart TR 2025]]</f>
        <v>0</v>
      </c>
      <c r="AF17">
        <v>370</v>
      </c>
      <c r="AG17">
        <v>4948</v>
      </c>
      <c r="AH17">
        <f>Travaux_202625[[#This Row],[AC 2026]]+Travaux_202625[[#This Row],[TR 2026]]</f>
        <v>5318</v>
      </c>
      <c r="AI17">
        <v>370</v>
      </c>
      <c r="AJ17">
        <v>4948</v>
      </c>
      <c r="AK17">
        <f>Travaux_202625[[#This Row],[AC 2026 Initiale]]+Travaux_202625[[#This Row],[TR 2026 Initiale]]</f>
        <v>5318</v>
      </c>
      <c r="AL17">
        <f>Travaux_202625[[#This Row],[AC 2026]]-Travaux_202625[[#This Row],[AC 2026 Initiale]]</f>
        <v>0</v>
      </c>
      <c r="AM17">
        <f>Travaux_202625[[#This Row],[TR 2026]]-Travaux_202625[[#This Row],[TR 2026 Initiale]]</f>
        <v>0</v>
      </c>
      <c r="AN17">
        <f>Travaux_202625[[#This Row],[Écart AC 2026]]+Travaux_202625[[#This Row],[Écart TR 2026]]</f>
        <v>0</v>
      </c>
      <c r="AY17"/>
      <c r="BG17" s="14">
        <f>SUM(Travaux_202625[[#This Row],[AC ANT]:[TR 2025]],Travaux_202625[[#This Row],[AC 2026]:[TR 2026]],Travaux_202625[[#This Row],[AC 2027]:[TR 2034]])</f>
        <v>5379</v>
      </c>
    </row>
    <row r="18" spans="1:59" x14ac:dyDescent="0.3">
      <c r="A18" t="s">
        <v>286</v>
      </c>
      <c r="C18" t="s">
        <v>101</v>
      </c>
      <c r="D18" t="s">
        <v>102</v>
      </c>
      <c r="E18" t="s">
        <v>103</v>
      </c>
      <c r="F18" t="s">
        <v>113</v>
      </c>
      <c r="G18" t="s">
        <v>16</v>
      </c>
      <c r="H18" t="s">
        <v>16</v>
      </c>
      <c r="I18" t="s">
        <v>105</v>
      </c>
      <c r="J18" t="s">
        <v>114</v>
      </c>
      <c r="K18" t="s">
        <v>115</v>
      </c>
      <c r="L18" t="s">
        <v>116</v>
      </c>
      <c r="M18" t="s">
        <v>109</v>
      </c>
      <c r="N18" s="217" t="s">
        <v>123</v>
      </c>
      <c r="O18" t="s">
        <v>627</v>
      </c>
      <c r="P18" s="1">
        <v>45105</v>
      </c>
      <c r="Q18" s="1">
        <v>45789</v>
      </c>
      <c r="R18" s="1">
        <v>45925</v>
      </c>
      <c r="S18">
        <v>25</v>
      </c>
      <c r="U18">
        <v>17</v>
      </c>
      <c r="W18">
        <v>48</v>
      </c>
      <c r="Y18">
        <f>Travaux_202625[[#This Row],[AC 2025]]+Travaux_202625[[#This Row],[TR 2025]]</f>
        <v>48</v>
      </c>
      <c r="Z18">
        <v>48</v>
      </c>
      <c r="AB18">
        <f>Travaux_202625[[#This Row],[AC 2025 Initiale]]+Travaux_202625[[#This Row],[TR 2025 Initiale]]</f>
        <v>48</v>
      </c>
      <c r="AC18">
        <f>Travaux_202625[[#This Row],[AC 2025]]-Travaux_202625[[#This Row],[AC 2025 Initiale]]</f>
        <v>0</v>
      </c>
      <c r="AD18">
        <f>Travaux_202625[[#This Row],[TR 2025]]-Travaux_202625[[#This Row],[TR 2025 Initiale]]</f>
        <v>0</v>
      </c>
      <c r="AE18">
        <f>Travaux_202625[[#This Row],[Écart AC 2025]]+Travaux_202625[[#This Row],[Écart TR 2025]]</f>
        <v>0</v>
      </c>
      <c r="AF18">
        <v>520</v>
      </c>
      <c r="AG18">
        <v>19125</v>
      </c>
      <c r="AH18">
        <f>Travaux_202625[[#This Row],[AC 2026]]+Travaux_202625[[#This Row],[TR 2026]]</f>
        <v>19645</v>
      </c>
      <c r="AI18">
        <v>520</v>
      </c>
      <c r="AJ18">
        <v>19125</v>
      </c>
      <c r="AK18">
        <f>Travaux_202625[[#This Row],[AC 2026 Initiale]]+Travaux_202625[[#This Row],[TR 2026 Initiale]]</f>
        <v>19645</v>
      </c>
      <c r="AL18">
        <f>Travaux_202625[[#This Row],[AC 2026]]-Travaux_202625[[#This Row],[AC 2026 Initiale]]</f>
        <v>0</v>
      </c>
      <c r="AM18">
        <f>Travaux_202625[[#This Row],[TR 2026]]-Travaux_202625[[#This Row],[TR 2026 Initiale]]</f>
        <v>0</v>
      </c>
      <c r="AN18">
        <f>Travaux_202625[[#This Row],[Écart AC 2026]]+Travaux_202625[[#This Row],[Écart TR 2026]]</f>
        <v>0</v>
      </c>
      <c r="AY18"/>
      <c r="BG18" s="14">
        <f>SUM(Travaux_202625[[#This Row],[AC ANT]:[TR 2025]],Travaux_202625[[#This Row],[AC 2026]:[TR 2026]],Travaux_202625[[#This Row],[AC 2027]:[TR 2034]])</f>
        <v>19735</v>
      </c>
    </row>
    <row r="19" spans="1:59" ht="43.2" x14ac:dyDescent="0.3">
      <c r="A19" t="s">
        <v>286</v>
      </c>
      <c r="C19" t="s">
        <v>126</v>
      </c>
      <c r="D19" t="s">
        <v>127</v>
      </c>
      <c r="E19" t="s">
        <v>177</v>
      </c>
      <c r="F19" t="s">
        <v>206</v>
      </c>
      <c r="G19" t="s">
        <v>16</v>
      </c>
      <c r="H19" t="s">
        <v>16</v>
      </c>
      <c r="I19" t="s">
        <v>223</v>
      </c>
      <c r="J19" t="s">
        <v>224</v>
      </c>
      <c r="K19" t="s">
        <v>520</v>
      </c>
      <c r="L19" t="s">
        <v>180</v>
      </c>
      <c r="M19" t="s">
        <v>109</v>
      </c>
      <c r="N19" s="205" t="s">
        <v>123</v>
      </c>
      <c r="O19" s="203" t="s">
        <v>634</v>
      </c>
      <c r="P19" s="1">
        <v>44623</v>
      </c>
      <c r="Q19" s="1">
        <v>45698</v>
      </c>
      <c r="R19" s="1">
        <v>46218</v>
      </c>
      <c r="S19">
        <v>179.99999999999997</v>
      </c>
      <c r="U19">
        <v>53.000000000000007</v>
      </c>
      <c r="W19">
        <v>150</v>
      </c>
      <c r="Y19">
        <f>Travaux_202625[[#This Row],[AC 2025]]+Travaux_202625[[#This Row],[TR 2025]]</f>
        <v>150</v>
      </c>
      <c r="Z19">
        <v>150</v>
      </c>
      <c r="AB19">
        <f>Travaux_202625[[#This Row],[AC 2025 Initiale]]+Travaux_202625[[#This Row],[TR 2025 Initiale]]</f>
        <v>150</v>
      </c>
      <c r="AC19">
        <f>Travaux_202625[[#This Row],[AC 2025]]-Travaux_202625[[#This Row],[AC 2025 Initiale]]</f>
        <v>0</v>
      </c>
      <c r="AD19">
        <f>Travaux_202625[[#This Row],[TR 2025]]-Travaux_202625[[#This Row],[TR 2025 Initiale]]</f>
        <v>0</v>
      </c>
      <c r="AE19">
        <f>Travaux_202625[[#This Row],[Écart AC 2025]]+Travaux_202625[[#This Row],[Écart TR 2025]]</f>
        <v>0</v>
      </c>
      <c r="AF19">
        <v>133</v>
      </c>
      <c r="AG19">
        <v>354.99999999999994</v>
      </c>
      <c r="AH19">
        <f>Travaux_202625[[#This Row],[AC 2026]]+Travaux_202625[[#This Row],[TR 2026]]</f>
        <v>487.99999999999994</v>
      </c>
      <c r="AI19">
        <v>133</v>
      </c>
      <c r="AJ19">
        <v>355</v>
      </c>
      <c r="AK19">
        <f>Travaux_202625[[#This Row],[AC 2026 Initiale]]+Travaux_202625[[#This Row],[TR 2026 Initiale]]</f>
        <v>488</v>
      </c>
      <c r="AL19">
        <f>Travaux_202625[[#This Row],[AC 2026]]-Travaux_202625[[#This Row],[AC 2026 Initiale]]</f>
        <v>0</v>
      </c>
      <c r="AM19">
        <f>Travaux_202625[[#This Row],[TR 2026]]-Travaux_202625[[#This Row],[TR 2026 Initiale]]</f>
        <v>0</v>
      </c>
      <c r="AN19">
        <f>Travaux_202625[[#This Row],[Écart AC 2026]]+Travaux_202625[[#This Row],[Écart TR 2026]]</f>
        <v>0</v>
      </c>
      <c r="AO19">
        <v>53.000000000000014</v>
      </c>
      <c r="AP19">
        <v>1610</v>
      </c>
      <c r="AQ19">
        <v>159</v>
      </c>
      <c r="AR19">
        <v>4929</v>
      </c>
      <c r="AS19">
        <v>212.00000000000003</v>
      </c>
      <c r="AT19">
        <v>6707.0000000000018</v>
      </c>
      <c r="AU19">
        <v>261</v>
      </c>
      <c r="AV19">
        <v>6846.0000000000018</v>
      </c>
      <c r="AY19"/>
      <c r="BG19" s="14">
        <f>SUM(Travaux_202625[[#This Row],[AC ANT]:[TR 2025]],Travaux_202625[[#This Row],[AC 2026]:[TR 2026]],Travaux_202625[[#This Row],[AC 2027]:[TR 2034]])</f>
        <v>21648.000000000004</v>
      </c>
    </row>
    <row r="20" spans="1:59" ht="43.2" x14ac:dyDescent="0.3">
      <c r="A20" t="s">
        <v>286</v>
      </c>
      <c r="C20" t="s">
        <v>101</v>
      </c>
      <c r="D20" t="s">
        <v>102</v>
      </c>
      <c r="E20" t="s">
        <v>103</v>
      </c>
      <c r="F20" t="s">
        <v>104</v>
      </c>
      <c r="G20" t="s">
        <v>16</v>
      </c>
      <c r="H20" t="s">
        <v>16</v>
      </c>
      <c r="I20" t="s">
        <v>105</v>
      </c>
      <c r="J20" t="s">
        <v>106</v>
      </c>
      <c r="K20" t="s">
        <v>107</v>
      </c>
      <c r="L20" t="s">
        <v>108</v>
      </c>
      <c r="M20" t="s">
        <v>109</v>
      </c>
      <c r="N20" s="103" t="s">
        <v>123</v>
      </c>
      <c r="O20" s="203" t="s">
        <v>626</v>
      </c>
      <c r="P20" s="1">
        <v>45014</v>
      </c>
      <c r="Q20" s="1">
        <v>45799</v>
      </c>
      <c r="R20" s="1">
        <v>45991</v>
      </c>
      <c r="S20">
        <v>69</v>
      </c>
      <c r="U20">
        <v>213</v>
      </c>
      <c r="W20">
        <v>272</v>
      </c>
      <c r="Y20">
        <f>Travaux_202625[[#This Row],[AC 2025]]+Travaux_202625[[#This Row],[TR 2025]]</f>
        <v>272</v>
      </c>
      <c r="Z20">
        <v>180</v>
      </c>
      <c r="AB20">
        <f>Travaux_202625[[#This Row],[AC 2025 Initiale]]+Travaux_202625[[#This Row],[TR 2025 Initiale]]</f>
        <v>180</v>
      </c>
      <c r="AC20">
        <f>Travaux_202625[[#This Row],[AC 2025]]-Travaux_202625[[#This Row],[AC 2025 Initiale]]</f>
        <v>92</v>
      </c>
      <c r="AD20">
        <f>Travaux_202625[[#This Row],[TR 2025]]-Travaux_202625[[#This Row],[TR 2025 Initiale]]</f>
        <v>0</v>
      </c>
      <c r="AE20">
        <f>Travaux_202625[[#This Row],[Écart AC 2025]]+Travaux_202625[[#This Row],[Écart TR 2025]]</f>
        <v>92</v>
      </c>
      <c r="AF20">
        <v>636</v>
      </c>
      <c r="AG20">
        <v>16507</v>
      </c>
      <c r="AH20">
        <f>Travaux_202625[[#This Row],[AC 2026]]+Travaux_202625[[#This Row],[TR 2026]]</f>
        <v>17143</v>
      </c>
      <c r="AI20">
        <v>881</v>
      </c>
      <c r="AJ20">
        <v>16557</v>
      </c>
      <c r="AK20">
        <f>Travaux_202625[[#This Row],[AC 2026 Initiale]]+Travaux_202625[[#This Row],[TR 2026 Initiale]]</f>
        <v>17438</v>
      </c>
      <c r="AL20">
        <f>Travaux_202625[[#This Row],[AC 2026]]-Travaux_202625[[#This Row],[AC 2026 Initiale]]</f>
        <v>-245</v>
      </c>
      <c r="AM20">
        <f>Travaux_202625[[#This Row],[TR 2026]]-Travaux_202625[[#This Row],[TR 2026 Initiale]]</f>
        <v>-50</v>
      </c>
      <c r="AN20">
        <f>Travaux_202625[[#This Row],[Écart AC 2026]]+Travaux_202625[[#This Row],[Écart TR 2026]]</f>
        <v>-295</v>
      </c>
      <c r="AY20"/>
      <c r="BG20" s="14">
        <f>SUM(Travaux_202625[[#This Row],[AC ANT]:[TR 2025]],Travaux_202625[[#This Row],[AC 2026]:[TR 2026]],Travaux_202625[[#This Row],[AC 2027]:[TR 2034]])</f>
        <v>17697</v>
      </c>
    </row>
    <row r="21" spans="1:59" x14ac:dyDescent="0.3">
      <c r="A21" t="s">
        <v>286</v>
      </c>
      <c r="C21" t="s">
        <v>101</v>
      </c>
      <c r="D21" t="s">
        <v>102</v>
      </c>
      <c r="E21" t="s">
        <v>119</v>
      </c>
      <c r="F21" t="s">
        <v>129</v>
      </c>
      <c r="G21" t="s">
        <v>16</v>
      </c>
      <c r="H21" t="s">
        <v>16</v>
      </c>
      <c r="I21" t="s">
        <v>131</v>
      </c>
      <c r="J21" t="s">
        <v>153</v>
      </c>
      <c r="K21" t="s">
        <v>154</v>
      </c>
      <c r="L21" t="s">
        <v>134</v>
      </c>
      <c r="M21" t="s">
        <v>109</v>
      </c>
      <c r="N21" s="217" t="s">
        <v>123</v>
      </c>
      <c r="P21" s="1">
        <v>45601</v>
      </c>
      <c r="Q21" s="1">
        <v>45731</v>
      </c>
      <c r="R21" s="1">
        <v>45976</v>
      </c>
      <c r="W21">
        <v>20</v>
      </c>
      <c r="Y21">
        <f>Travaux_202625[[#This Row],[AC 2025]]+Travaux_202625[[#This Row],[TR 2025]]</f>
        <v>20</v>
      </c>
      <c r="Z21">
        <v>20</v>
      </c>
      <c r="AB21">
        <f>Travaux_202625[[#This Row],[AC 2025 Initiale]]+Travaux_202625[[#This Row],[TR 2025 Initiale]]</f>
        <v>20</v>
      </c>
      <c r="AC21">
        <f>Travaux_202625[[#This Row],[AC 2025]]-Travaux_202625[[#This Row],[AC 2025 Initiale]]</f>
        <v>0</v>
      </c>
      <c r="AD21">
        <f>Travaux_202625[[#This Row],[TR 2025]]-Travaux_202625[[#This Row],[TR 2025 Initiale]]</f>
        <v>0</v>
      </c>
      <c r="AE21">
        <f>Travaux_202625[[#This Row],[Écart AC 2025]]+Travaux_202625[[#This Row],[Écart TR 2025]]</f>
        <v>0</v>
      </c>
      <c r="AF21">
        <v>55</v>
      </c>
      <c r="AG21">
        <v>543</v>
      </c>
      <c r="AH21">
        <f>Travaux_202625[[#This Row],[AC 2026]]+Travaux_202625[[#This Row],[TR 2026]]</f>
        <v>598</v>
      </c>
      <c r="AI21">
        <v>55</v>
      </c>
      <c r="AJ21">
        <v>543</v>
      </c>
      <c r="AK21">
        <f>Travaux_202625[[#This Row],[AC 2026 Initiale]]+Travaux_202625[[#This Row],[TR 2026 Initiale]]</f>
        <v>598</v>
      </c>
      <c r="AL21">
        <f>Travaux_202625[[#This Row],[AC 2026]]-Travaux_202625[[#This Row],[AC 2026 Initiale]]</f>
        <v>0</v>
      </c>
      <c r="AM21">
        <f>Travaux_202625[[#This Row],[TR 2026]]-Travaux_202625[[#This Row],[TR 2026 Initiale]]</f>
        <v>0</v>
      </c>
      <c r="AN21">
        <f>Travaux_202625[[#This Row],[Écart AC 2026]]+Travaux_202625[[#This Row],[Écart TR 2026]]</f>
        <v>0</v>
      </c>
      <c r="AY21"/>
      <c r="BG21" s="14">
        <f>SUM(Travaux_202625[[#This Row],[AC ANT]:[TR 2025]],Travaux_202625[[#This Row],[AC 2026]:[TR 2026]],Travaux_202625[[#This Row],[AC 2027]:[TR 2034]])</f>
        <v>618</v>
      </c>
    </row>
    <row r="22" spans="1:59" ht="43.2" x14ac:dyDescent="0.3">
      <c r="A22" t="s">
        <v>286</v>
      </c>
      <c r="C22" t="s">
        <v>101</v>
      </c>
      <c r="D22" t="s">
        <v>102</v>
      </c>
      <c r="E22" t="s">
        <v>128</v>
      </c>
      <c r="F22" t="s">
        <v>149</v>
      </c>
      <c r="G22" t="s">
        <v>16</v>
      </c>
      <c r="H22" t="s">
        <v>16</v>
      </c>
      <c r="I22" t="s">
        <v>131</v>
      </c>
      <c r="J22" t="s">
        <v>150</v>
      </c>
      <c r="K22" t="s">
        <v>151</v>
      </c>
      <c r="L22" t="s">
        <v>152</v>
      </c>
      <c r="M22" s="2" t="s">
        <v>109</v>
      </c>
      <c r="N22" s="103" t="s">
        <v>123</v>
      </c>
      <c r="O22" s="203" t="s">
        <v>628</v>
      </c>
      <c r="P22" s="1">
        <v>45079</v>
      </c>
      <c r="Q22" s="1">
        <v>45685</v>
      </c>
      <c r="R22" s="1">
        <v>46142</v>
      </c>
      <c r="S22">
        <v>12</v>
      </c>
      <c r="U22">
        <v>163</v>
      </c>
      <c r="W22">
        <v>100</v>
      </c>
      <c r="Y22">
        <f>Travaux_202625[[#This Row],[AC 2025]]+Travaux_202625[[#This Row],[TR 2025]]</f>
        <v>100</v>
      </c>
      <c r="Z22">
        <v>100</v>
      </c>
      <c r="AB22">
        <f>Travaux_202625[[#This Row],[AC 2025 Initiale]]+Travaux_202625[[#This Row],[TR 2025 Initiale]]</f>
        <v>100</v>
      </c>
      <c r="AC22">
        <f>Travaux_202625[[#This Row],[AC 2025]]-Travaux_202625[[#This Row],[AC 2025 Initiale]]</f>
        <v>0</v>
      </c>
      <c r="AD22">
        <f>Travaux_202625[[#This Row],[TR 2025]]-Travaux_202625[[#This Row],[TR 2025 Initiale]]</f>
        <v>0</v>
      </c>
      <c r="AE22">
        <f>Travaux_202625[[#This Row],[Écart AC 2025]]+Travaux_202625[[#This Row],[Écart TR 2025]]</f>
        <v>0</v>
      </c>
      <c r="AF22">
        <v>300</v>
      </c>
      <c r="AG22">
        <v>4221</v>
      </c>
      <c r="AH22">
        <f>Travaux_202625[[#This Row],[AC 2026]]+Travaux_202625[[#This Row],[TR 2026]]</f>
        <v>4521</v>
      </c>
      <c r="AI22">
        <v>300</v>
      </c>
      <c r="AJ22">
        <v>4221</v>
      </c>
      <c r="AK22">
        <f>Travaux_202625[[#This Row],[AC 2026 Initiale]]+Travaux_202625[[#This Row],[TR 2026 Initiale]]</f>
        <v>4521</v>
      </c>
      <c r="AL22">
        <f>Travaux_202625[[#This Row],[AC 2026]]-Travaux_202625[[#This Row],[AC 2026 Initiale]]</f>
        <v>0</v>
      </c>
      <c r="AM22">
        <f>Travaux_202625[[#This Row],[TR 2026]]-Travaux_202625[[#This Row],[TR 2026 Initiale]]</f>
        <v>0</v>
      </c>
      <c r="AN22">
        <f>Travaux_202625[[#This Row],[Écart AC 2026]]+Travaux_202625[[#This Row],[Écart TR 2026]]</f>
        <v>0</v>
      </c>
      <c r="AO22">
        <v>42</v>
      </c>
      <c r="AP22">
        <v>4139</v>
      </c>
      <c r="AY22"/>
      <c r="BG22" s="14">
        <f>SUM(Travaux_202625[[#This Row],[AC ANT]:[TR 2025]],Travaux_202625[[#This Row],[AC 2026]:[TR 2026]],Travaux_202625[[#This Row],[AC 2027]:[TR 2034]])</f>
        <v>8977</v>
      </c>
    </row>
    <row r="23" spans="1:59" ht="28.8" x14ac:dyDescent="0.3">
      <c r="A23" t="s">
        <v>286</v>
      </c>
      <c r="C23" t="s">
        <v>126</v>
      </c>
      <c r="D23" t="s">
        <v>127</v>
      </c>
      <c r="E23" t="s">
        <v>103</v>
      </c>
      <c r="F23" t="s">
        <v>144</v>
      </c>
      <c r="G23" t="s">
        <v>16</v>
      </c>
      <c r="H23" t="s">
        <v>16</v>
      </c>
      <c r="I23" t="s">
        <v>131</v>
      </c>
      <c r="J23" t="s">
        <v>145</v>
      </c>
      <c r="K23" t="s">
        <v>146</v>
      </c>
      <c r="L23" t="s">
        <v>147</v>
      </c>
      <c r="M23" t="s">
        <v>109</v>
      </c>
      <c r="N23" s="205" t="s">
        <v>110</v>
      </c>
      <c r="O23" s="203" t="s">
        <v>630</v>
      </c>
      <c r="P23" s="1">
        <v>44609</v>
      </c>
      <c r="Q23" s="1">
        <v>45905</v>
      </c>
      <c r="R23" s="1">
        <v>46045</v>
      </c>
      <c r="S23">
        <v>117</v>
      </c>
      <c r="U23">
        <v>84</v>
      </c>
      <c r="W23">
        <v>105</v>
      </c>
      <c r="Y23">
        <f>Travaux_202625[[#This Row],[AC 2025]]+Travaux_202625[[#This Row],[TR 2025]]</f>
        <v>105</v>
      </c>
      <c r="Z23">
        <v>105</v>
      </c>
      <c r="AB23">
        <f>Travaux_202625[[#This Row],[AC 2025 Initiale]]+Travaux_202625[[#This Row],[TR 2025 Initiale]]</f>
        <v>105</v>
      </c>
      <c r="AC23">
        <f>Travaux_202625[[#This Row],[AC 2025]]-Travaux_202625[[#This Row],[AC 2025 Initiale]]</f>
        <v>0</v>
      </c>
      <c r="AD23">
        <f>Travaux_202625[[#This Row],[TR 2025]]-Travaux_202625[[#This Row],[TR 2025 Initiale]]</f>
        <v>0</v>
      </c>
      <c r="AE23">
        <f>Travaux_202625[[#This Row],[Écart AC 2025]]+Travaux_202625[[#This Row],[Écart TR 2025]]</f>
        <v>0</v>
      </c>
      <c r="AF23">
        <v>417</v>
      </c>
      <c r="AG23">
        <v>9684</v>
      </c>
      <c r="AH23">
        <f>Travaux_202625[[#This Row],[AC 2026]]+Travaux_202625[[#This Row],[TR 2026]]</f>
        <v>10101</v>
      </c>
      <c r="AI23">
        <v>342</v>
      </c>
      <c r="AJ23">
        <v>9684</v>
      </c>
      <c r="AK23">
        <f>Travaux_202625[[#This Row],[AC 2026 Initiale]]+Travaux_202625[[#This Row],[TR 2026 Initiale]]</f>
        <v>10026</v>
      </c>
      <c r="AL23">
        <f>Travaux_202625[[#This Row],[AC 2026]]-Travaux_202625[[#This Row],[AC 2026 Initiale]]</f>
        <v>75</v>
      </c>
      <c r="AM23">
        <f>Travaux_202625[[#This Row],[TR 2026]]-Travaux_202625[[#This Row],[TR 2026 Initiale]]</f>
        <v>0</v>
      </c>
      <c r="AN23">
        <f>Travaux_202625[[#This Row],[Écart AC 2026]]+Travaux_202625[[#This Row],[Écart TR 2026]]</f>
        <v>75</v>
      </c>
      <c r="AY23"/>
      <c r="BG23" s="14">
        <f>SUM(Travaux_202625[[#This Row],[AC ANT]:[TR 2025]],Travaux_202625[[#This Row],[AC 2026]:[TR 2026]],Travaux_202625[[#This Row],[AC 2027]:[TR 2034]])</f>
        <v>10407</v>
      </c>
    </row>
    <row r="24" spans="1:59" x14ac:dyDescent="0.3">
      <c r="A24" t="s">
        <v>286</v>
      </c>
      <c r="C24" t="s">
        <v>118</v>
      </c>
      <c r="D24" t="s">
        <v>102</v>
      </c>
      <c r="E24" t="s">
        <v>136</v>
      </c>
      <c r="F24" t="s">
        <v>252</v>
      </c>
      <c r="G24" t="s">
        <v>16</v>
      </c>
      <c r="H24" t="s">
        <v>16</v>
      </c>
      <c r="I24" t="s">
        <v>131</v>
      </c>
      <c r="J24" t="s">
        <v>255</v>
      </c>
      <c r="K24" t="s">
        <v>529</v>
      </c>
      <c r="L24" t="s">
        <v>209</v>
      </c>
      <c r="M24" t="s">
        <v>109</v>
      </c>
      <c r="O24" t="s">
        <v>633</v>
      </c>
      <c r="P24" s="1"/>
      <c r="Q24" s="1"/>
      <c r="R24" s="1"/>
      <c r="W24">
        <v>60</v>
      </c>
      <c r="Y24">
        <f>Travaux_202625[[#This Row],[AC 2025]]+Travaux_202625[[#This Row],[TR 2025]]</f>
        <v>60</v>
      </c>
      <c r="Z24">
        <v>60</v>
      </c>
      <c r="AB24">
        <f>Travaux_202625[[#This Row],[AC 2025 Initiale]]+Travaux_202625[[#This Row],[TR 2025 Initiale]]</f>
        <v>60</v>
      </c>
      <c r="AC24">
        <f>Travaux_202625[[#This Row],[AC 2025]]-Travaux_202625[[#This Row],[AC 2025 Initiale]]</f>
        <v>0</v>
      </c>
      <c r="AD24">
        <f>Travaux_202625[[#This Row],[TR 2025]]-Travaux_202625[[#This Row],[TR 2025 Initiale]]</f>
        <v>0</v>
      </c>
      <c r="AE24">
        <f>Travaux_202625[[#This Row],[Écart AC 2025]]+Travaux_202625[[#This Row],[Écart TR 2025]]</f>
        <v>0</v>
      </c>
      <c r="AF24">
        <v>20</v>
      </c>
      <c r="AG24">
        <v>540</v>
      </c>
      <c r="AH24">
        <f>Travaux_202625[[#This Row],[AC 2026]]+Travaux_202625[[#This Row],[TR 2026]]</f>
        <v>560</v>
      </c>
      <c r="AI24">
        <v>20</v>
      </c>
      <c r="AJ24">
        <v>540</v>
      </c>
      <c r="AK24">
        <f>Travaux_202625[[#This Row],[AC 2026 Initiale]]+Travaux_202625[[#This Row],[TR 2026 Initiale]]</f>
        <v>560</v>
      </c>
      <c r="AL24">
        <f>Travaux_202625[[#This Row],[AC 2026]]-Travaux_202625[[#This Row],[AC 2026 Initiale]]</f>
        <v>0</v>
      </c>
      <c r="AM24">
        <f>Travaux_202625[[#This Row],[TR 2026]]-Travaux_202625[[#This Row],[TR 2026 Initiale]]</f>
        <v>0</v>
      </c>
      <c r="AN24">
        <f>Travaux_202625[[#This Row],[Écart AC 2026]]+Travaux_202625[[#This Row],[Écart TR 2026]]</f>
        <v>0</v>
      </c>
      <c r="AY24"/>
      <c r="BG24" s="14">
        <f>SUM(Travaux_202625[[#This Row],[AC ANT]:[TR 2025]],Travaux_202625[[#This Row],[AC 2026]:[TR 2026]],Travaux_202625[[#This Row],[AC 2027]:[TR 2034]])</f>
        <v>620</v>
      </c>
    </row>
    <row r="25" spans="1:59" x14ac:dyDescent="0.3">
      <c r="J25">
        <f>SUBTOTAL(103,Travaux_202625[Numéro projet])</f>
        <v>10</v>
      </c>
      <c r="S25" s="14">
        <f>SUBTOTAL(109,Travaux_202625[AC ANT])</f>
        <v>801</v>
      </c>
      <c r="T25" s="14">
        <f>SUBTOTAL(109,Travaux_202625[TR ANT])</f>
        <v>41</v>
      </c>
      <c r="U25" s="14">
        <f>SUBTOTAL(109,Travaux_202625[AC 2024])</f>
        <v>869</v>
      </c>
      <c r="V25" s="14">
        <f>SUBTOTAL(109,Travaux_202625[TR 2024])</f>
        <v>0</v>
      </c>
      <c r="W25" s="14">
        <f>SUBTOTAL(109,Travaux_202625[AC 2025])</f>
        <v>1128</v>
      </c>
      <c r="X25" s="14">
        <f>SUBTOTAL(109,Travaux_202625[TR 2025])</f>
        <v>0</v>
      </c>
      <c r="Y25" s="14">
        <f>SUBTOTAL(109,Travaux_202625[Actuel 2025])</f>
        <v>1128</v>
      </c>
      <c r="Z25" s="14">
        <f>SUBTOTAL(109,Travaux_202625[AC 2025 Initiale])</f>
        <v>1028</v>
      </c>
      <c r="AA25" s="14">
        <f>SUBTOTAL(109,Travaux_202625[TR 2025 Initiale])</f>
        <v>0</v>
      </c>
      <c r="AB25" s="14">
        <f>SUBTOTAL(109,Travaux_202625[Initiale 2025])</f>
        <v>1028</v>
      </c>
      <c r="AC25" s="14">
        <f>SUBTOTAL(109,Travaux_202625[Écart AC 2025])</f>
        <v>100</v>
      </c>
      <c r="AD25" s="14">
        <f>SUBTOTAL(109,Travaux_202625[Écart TR 2025])</f>
        <v>0</v>
      </c>
      <c r="AE25" s="14">
        <f>SUBTOTAL(109,Travaux_202625[Écart 2025 Total])</f>
        <v>100</v>
      </c>
      <c r="AF25" s="14">
        <f>SUBTOTAL(109,Travaux_202625[AC 2026])</f>
        <v>3807</v>
      </c>
      <c r="AG25" s="14">
        <f>SUBTOTAL(109,Travaux_202625[TR 2026])</f>
        <v>66462</v>
      </c>
      <c r="AH25" s="14">
        <f>SUBTOTAL(109,Travaux_202625[Actuel 2026])</f>
        <v>70269</v>
      </c>
      <c r="AI25" s="14">
        <f>SUBTOTAL(109,Travaux_202625[AC 2026 Initiale])</f>
        <v>3977</v>
      </c>
      <c r="AJ25" s="14">
        <f>SUBTOTAL(109,Travaux_202625[TR 2026 Initiale])</f>
        <v>66512</v>
      </c>
      <c r="AK25" s="14">
        <f>SUBTOTAL(109,Travaux_202625[Initiale 2026])</f>
        <v>70489</v>
      </c>
      <c r="AL25" s="14">
        <f>SUBTOTAL(109,Travaux_202625[Écart AC 2026])</f>
        <v>-170</v>
      </c>
      <c r="AM25" s="14">
        <f>SUBTOTAL(109,Travaux_202625[Écart TR 2026])</f>
        <v>-50</v>
      </c>
      <c r="AN25" s="14">
        <f>SUBTOTAL(109,Travaux_202625[Écart 2026 Total])</f>
        <v>-220</v>
      </c>
      <c r="AO25" s="14">
        <f>SUBTOTAL(109,Travaux_202625[AC 2027])</f>
        <v>95.000000000000014</v>
      </c>
      <c r="AP25" s="14">
        <f>SUBTOTAL(109,Travaux_202625[TR 2027])</f>
        <v>5749</v>
      </c>
      <c r="AQ25" s="14">
        <f>SUBTOTAL(109,Travaux_202625[AC 2028])</f>
        <v>159</v>
      </c>
      <c r="AR25" s="14">
        <f>SUBTOTAL(109,Travaux_202625[TR 2028])</f>
        <v>4929</v>
      </c>
      <c r="AS25" s="14">
        <f>SUBTOTAL(109,Travaux_202625[AC 2029])</f>
        <v>212.00000000000003</v>
      </c>
      <c r="AT25" s="14">
        <f>SUBTOTAL(109,Travaux_202625[TR 2029])</f>
        <v>6707.0000000000018</v>
      </c>
      <c r="AU25" s="14">
        <f>SUBTOTAL(109,Travaux_202625[AC 2030])</f>
        <v>261</v>
      </c>
      <c r="AV25" s="14">
        <f>SUBTOTAL(109,Travaux_202625[TR 2030])</f>
        <v>6846.0000000000018</v>
      </c>
      <c r="AW25" s="14">
        <f>SUBTOTAL(109,Travaux_202625[AC 2031])</f>
        <v>0</v>
      </c>
      <c r="AX25" s="14">
        <f>SUBTOTAL(109,Travaux_202625[TR 2031])</f>
        <v>0</v>
      </c>
      <c r="AY25" s="14">
        <f>SUBTOTAL(109,Travaux_202625[AC 2032])</f>
        <v>0</v>
      </c>
      <c r="AZ25" s="14">
        <f>SUBTOTAL(109,Travaux_202625[TR 2032])</f>
        <v>0</v>
      </c>
      <c r="BA25" s="14">
        <f>SUBTOTAL(109,Travaux_202625[AC 2033])</f>
        <v>0</v>
      </c>
      <c r="BB25" s="14">
        <f>SUBTOTAL(109,Travaux_202625[TR 2033])</f>
        <v>0</v>
      </c>
      <c r="BC25" s="14">
        <f>SUBTOTAL(109,Travaux_202625[AC 2034])</f>
        <v>0</v>
      </c>
      <c r="BD25" s="14">
        <f>SUBTOTAL(109,Travaux_202625[TR 2034])</f>
        <v>0</v>
      </c>
      <c r="BG25" s="14">
        <f>SUBTOTAL(109,Travaux_202625[Total Projet])</f>
        <v>98066</v>
      </c>
    </row>
    <row r="27" spans="1:59" x14ac:dyDescent="0.3">
      <c r="BA27" s="57"/>
      <c r="BB27" s="57"/>
      <c r="BC27" s="57"/>
      <c r="BD27" s="57"/>
      <c r="BE27" s="57"/>
      <c r="BF27" s="57"/>
      <c r="BG27" s="57"/>
    </row>
    <row r="63" spans="60:60" x14ac:dyDescent="0.3">
      <c r="BH63" s="57"/>
    </row>
    <row r="67" spans="60:60" x14ac:dyDescent="0.3">
      <c r="BH67" s="57"/>
    </row>
    <row r="143" spans="65:66" x14ac:dyDescent="0.3">
      <c r="BM143" s="57"/>
      <c r="BN143" s="57"/>
    </row>
  </sheetData>
  <mergeCells count="189">
    <mergeCell ref="AW13:AX13"/>
    <mergeCell ref="AY13:AZ13"/>
    <mergeCell ref="BA13:BB13"/>
    <mergeCell ref="BC13:BD13"/>
    <mergeCell ref="BE13:BF13"/>
    <mergeCell ref="AI13:AJ13"/>
    <mergeCell ref="AL13:AN13"/>
    <mergeCell ref="AO13:AP13"/>
    <mergeCell ref="AQ13:AR13"/>
    <mergeCell ref="AS13:AT13"/>
    <mergeCell ref="AU13:AV13"/>
    <mergeCell ref="U13:V13"/>
    <mergeCell ref="W13:X13"/>
    <mergeCell ref="Z13:AA13"/>
    <mergeCell ref="AC13:AE13"/>
    <mergeCell ref="AF13:AG13"/>
    <mergeCell ref="AI12:AJ12"/>
    <mergeCell ref="AL12:AN12"/>
    <mergeCell ref="AO12:AP12"/>
    <mergeCell ref="AQ12:AR12"/>
    <mergeCell ref="BE11:BF11"/>
    <mergeCell ref="S12:T12"/>
    <mergeCell ref="U12:V12"/>
    <mergeCell ref="W12:X12"/>
    <mergeCell ref="Z12:AA12"/>
    <mergeCell ref="AC12:AE12"/>
    <mergeCell ref="AF12:AG12"/>
    <mergeCell ref="AL11:AN11"/>
    <mergeCell ref="AO11:AP11"/>
    <mergeCell ref="AQ11:AR11"/>
    <mergeCell ref="AS11:AT11"/>
    <mergeCell ref="AU11:AV11"/>
    <mergeCell ref="AW11:AX11"/>
    <mergeCell ref="AW12:AX12"/>
    <mergeCell ref="AY12:AZ12"/>
    <mergeCell ref="BA12:BB12"/>
    <mergeCell ref="BC12:BD12"/>
    <mergeCell ref="BE12:BF12"/>
    <mergeCell ref="AS12:AT12"/>
    <mergeCell ref="AU12:AV12"/>
    <mergeCell ref="S11:T11"/>
    <mergeCell ref="U11:V11"/>
    <mergeCell ref="W11:X11"/>
    <mergeCell ref="Z11:AA11"/>
    <mergeCell ref="AC11:AE11"/>
    <mergeCell ref="AF11:AG11"/>
    <mergeCell ref="AI11:AJ11"/>
    <mergeCell ref="AO10:AP10"/>
    <mergeCell ref="AQ10:AR10"/>
    <mergeCell ref="BC9:BD9"/>
    <mergeCell ref="AY11:AZ11"/>
    <mergeCell ref="BA11:BB11"/>
    <mergeCell ref="BC11:BD11"/>
    <mergeCell ref="BE9:BF9"/>
    <mergeCell ref="S10:T10"/>
    <mergeCell ref="U10:V10"/>
    <mergeCell ref="W10:X10"/>
    <mergeCell ref="Z10:AA10"/>
    <mergeCell ref="AC10:AE10"/>
    <mergeCell ref="AF10:AG10"/>
    <mergeCell ref="AI10:AJ10"/>
    <mergeCell ref="AL10:AN10"/>
    <mergeCell ref="AQ9:AR9"/>
    <mergeCell ref="AS9:AT9"/>
    <mergeCell ref="AU9:AV9"/>
    <mergeCell ref="AW9:AX9"/>
    <mergeCell ref="AY9:AZ9"/>
    <mergeCell ref="BA9:BB9"/>
    <mergeCell ref="BA10:BB10"/>
    <mergeCell ref="BC10:BD10"/>
    <mergeCell ref="BE10:BF10"/>
    <mergeCell ref="AS10:AT10"/>
    <mergeCell ref="AU10:AV10"/>
    <mergeCell ref="AW10:AX10"/>
    <mergeCell ref="AY10:AZ10"/>
    <mergeCell ref="AS7:AT7"/>
    <mergeCell ref="AU7:AV7"/>
    <mergeCell ref="BE8:BF8"/>
    <mergeCell ref="S9:T9"/>
    <mergeCell ref="U9:V9"/>
    <mergeCell ref="W9:X9"/>
    <mergeCell ref="Z9:AA9"/>
    <mergeCell ref="AC9:AE9"/>
    <mergeCell ref="AF9:AG9"/>
    <mergeCell ref="AI9:AJ9"/>
    <mergeCell ref="AL9:AN9"/>
    <mergeCell ref="AO9:AP9"/>
    <mergeCell ref="AS8:AT8"/>
    <mergeCell ref="AU8:AV8"/>
    <mergeCell ref="AW8:AX8"/>
    <mergeCell ref="AY8:AZ8"/>
    <mergeCell ref="BA8:BB8"/>
    <mergeCell ref="BC8:BD8"/>
    <mergeCell ref="AC8:AE8"/>
    <mergeCell ref="AF8:AG8"/>
    <mergeCell ref="AI8:AJ8"/>
    <mergeCell ref="AL8:AN8"/>
    <mergeCell ref="AO8:AP8"/>
    <mergeCell ref="AQ8:AR8"/>
    <mergeCell ref="J8:K8"/>
    <mergeCell ref="S8:T8"/>
    <mergeCell ref="U8:V8"/>
    <mergeCell ref="W8:X8"/>
    <mergeCell ref="Z8:AA8"/>
    <mergeCell ref="AI7:AJ7"/>
    <mergeCell ref="AL7:AN7"/>
    <mergeCell ref="AO7:AP7"/>
    <mergeCell ref="AQ7:AR7"/>
    <mergeCell ref="AU5:AV5"/>
    <mergeCell ref="AW5:AX5"/>
    <mergeCell ref="AY5:AZ5"/>
    <mergeCell ref="AY6:AZ6"/>
    <mergeCell ref="BA6:BB6"/>
    <mergeCell ref="BC6:BD6"/>
    <mergeCell ref="BE6:BF6"/>
    <mergeCell ref="S7:T7"/>
    <mergeCell ref="U7:V7"/>
    <mergeCell ref="W7:X7"/>
    <mergeCell ref="Z7:AA7"/>
    <mergeCell ref="AC7:AE7"/>
    <mergeCell ref="AF7:AG7"/>
    <mergeCell ref="AL6:AN6"/>
    <mergeCell ref="AO6:AP6"/>
    <mergeCell ref="AQ6:AR6"/>
    <mergeCell ref="AS6:AT6"/>
    <mergeCell ref="AU6:AV6"/>
    <mergeCell ref="AW6:AX6"/>
    <mergeCell ref="AW7:AX7"/>
    <mergeCell ref="AY7:AZ7"/>
    <mergeCell ref="BA7:BB7"/>
    <mergeCell ref="BC7:BD7"/>
    <mergeCell ref="BE7:BF7"/>
    <mergeCell ref="S6:T6"/>
    <mergeCell ref="U6:V6"/>
    <mergeCell ref="W6:X6"/>
    <mergeCell ref="Z6:AA6"/>
    <mergeCell ref="AC6:AE6"/>
    <mergeCell ref="AF6:AG6"/>
    <mergeCell ref="AI6:AJ6"/>
    <mergeCell ref="AO5:AP5"/>
    <mergeCell ref="AQ5:AR5"/>
    <mergeCell ref="AI3:AJ3"/>
    <mergeCell ref="AL3:AN3"/>
    <mergeCell ref="AO3:AP3"/>
    <mergeCell ref="AQ3:AR3"/>
    <mergeCell ref="BC4:BD4"/>
    <mergeCell ref="BE4:BF4"/>
    <mergeCell ref="S5:T5"/>
    <mergeCell ref="U5:V5"/>
    <mergeCell ref="W5:X5"/>
    <mergeCell ref="Z5:AA5"/>
    <mergeCell ref="AC5:AE5"/>
    <mergeCell ref="AF5:AG5"/>
    <mergeCell ref="AI5:AJ5"/>
    <mergeCell ref="AL5:AN5"/>
    <mergeCell ref="AQ4:AR4"/>
    <mergeCell ref="AS4:AT4"/>
    <mergeCell ref="AU4:AV4"/>
    <mergeCell ref="AW4:AX4"/>
    <mergeCell ref="AY4:AZ4"/>
    <mergeCell ref="BA4:BB4"/>
    <mergeCell ref="BA5:BB5"/>
    <mergeCell ref="BC5:BD5"/>
    <mergeCell ref="BE5:BF5"/>
    <mergeCell ref="AS5:AT5"/>
    <mergeCell ref="Q2:R2"/>
    <mergeCell ref="Q3:R3"/>
    <mergeCell ref="S3:T3"/>
    <mergeCell ref="U3:V3"/>
    <mergeCell ref="W3:X3"/>
    <mergeCell ref="Z3:AA3"/>
    <mergeCell ref="BE3:BF3"/>
    <mergeCell ref="S4:T4"/>
    <mergeCell ref="U4:V4"/>
    <mergeCell ref="W4:X4"/>
    <mergeCell ref="Z4:AA4"/>
    <mergeCell ref="AC4:AE4"/>
    <mergeCell ref="AF4:AG4"/>
    <mergeCell ref="AI4:AJ4"/>
    <mergeCell ref="AL4:AN4"/>
    <mergeCell ref="AO4:AP4"/>
    <mergeCell ref="AS3:AT3"/>
    <mergeCell ref="AU3:AV3"/>
    <mergeCell ref="AW3:AX3"/>
    <mergeCell ref="AY3:AZ3"/>
    <mergeCell ref="BA3:BB3"/>
    <mergeCell ref="BC3:BD3"/>
    <mergeCell ref="AC3:AE3"/>
    <mergeCell ref="AF3:AG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399D-C073-4156-9FFF-2760785CDEAC}">
  <dimension ref="A1:BL144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9" bestFit="1" customWidth="1"/>
    <col min="14" max="15" width="27.44140625" customWidth="1"/>
    <col min="16" max="17" width="13.6640625" hidden="1" customWidth="1"/>
    <col min="18" max="18" width="13" hidden="1" customWidth="1"/>
    <col min="19" max="19" width="12.33203125" hidden="1" customWidth="1" outlineLevel="1"/>
    <col min="20" max="20" width="13" hidden="1" customWidth="1" outlineLevel="1"/>
    <col min="21" max="22" width="9.44140625" hidden="1" customWidth="1" outlineLevel="1"/>
    <col min="23" max="23" width="9.5546875" hidden="1" customWidth="1" outlineLevel="1" collapsed="1"/>
    <col min="24" max="24" width="9.5546875" hidden="1" customWidth="1" outlineLevel="1"/>
    <col min="25" max="25" width="9.5546875" customWidth="1" collapsed="1"/>
    <col min="26" max="26" width="13.33203125" hidden="1" customWidth="1" outlineLevel="1"/>
    <col min="27" max="28" width="11.5546875" hidden="1" customWidth="1" outlineLevel="1"/>
    <col min="29" max="29" width="8.33203125" hidden="1" customWidth="1" outlineLevel="1" collapsed="1"/>
    <col min="30" max="30" width="9" hidden="1" customWidth="1" outlineLevel="1"/>
    <col min="31" max="31" width="8.6640625" customWidth="1" collapsed="1"/>
    <col min="32" max="32" width="9" hidden="1" customWidth="1" outlineLevel="1"/>
    <col min="33" max="33" width="9.88671875" style="25" hidden="1" customWidth="1" outlineLevel="1"/>
    <col min="34" max="34" width="9.88671875" style="25" customWidth="1" collapsed="1"/>
    <col min="35" max="35" width="9.6640625" hidden="1" customWidth="1" outlineLevel="1"/>
    <col min="36" max="36" width="12.109375" hidden="1" customWidth="1" outlineLevel="1" collapsed="1"/>
    <col min="37" max="37" width="12.109375" hidden="1" customWidth="1" outlineLevel="1"/>
    <col min="38" max="38" width="8.109375" hidden="1" customWidth="1" outlineLevel="1" collapsed="1"/>
    <col min="39" max="39" width="8.109375" hidden="1" customWidth="1" outlineLevel="1"/>
    <col min="40" max="40" width="8.109375" customWidth="1" collapsed="1"/>
    <col min="41" max="41" width="7.44140625" hidden="1" customWidth="1" outlineLevel="1"/>
    <col min="42" max="42" width="9.44140625" hidden="1" customWidth="1" outlineLevel="1"/>
    <col min="43" max="43" width="10.33203125" hidden="1" customWidth="1" outlineLevel="1"/>
    <col min="44" max="44" width="9.5546875" hidden="1" customWidth="1" outlineLevel="1"/>
    <col min="45" max="50" width="9.88671875" hidden="1" customWidth="1" outlineLevel="1"/>
    <col min="51" max="51" width="9.88671875" style="8" hidden="1" customWidth="1" outlineLevel="1"/>
    <col min="52" max="56" width="9.88671875" hidden="1" customWidth="1" outlineLevel="1"/>
    <col min="57" max="57" width="15.5546875" customWidth="1" collapsed="1"/>
    <col min="58" max="58" width="13.33203125" hidden="1" customWidth="1"/>
    <col min="59" max="61" width="9.88671875" customWidth="1"/>
    <col min="62" max="62" width="16.109375" customWidth="1"/>
    <col min="63" max="63" width="17" customWidth="1"/>
    <col min="64" max="74" width="11.33203125" customWidth="1"/>
    <col min="75" max="75" width="12.5546875" customWidth="1"/>
    <col min="76" max="76" width="13.44140625" customWidth="1"/>
    <col min="77" max="77" width="13.109375" customWidth="1"/>
    <col min="78" max="78" width="14" customWidth="1"/>
    <col min="79" max="84" width="17.33203125" customWidth="1"/>
    <col min="85" max="85" width="18.109375" customWidth="1"/>
    <col min="86" max="86" width="17.5546875" customWidth="1"/>
  </cols>
  <sheetData>
    <row r="1" spans="1:60" ht="21" x14ac:dyDescent="0.4">
      <c r="A1" s="85"/>
      <c r="B1" s="85"/>
      <c r="C1" s="85"/>
      <c r="D1" s="85"/>
      <c r="E1" s="85"/>
      <c r="F1" s="85"/>
      <c r="J1" s="32" t="s">
        <v>561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7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85"/>
      <c r="BH1" s="85"/>
    </row>
    <row r="2" spans="1:60" x14ac:dyDescent="0.3">
      <c r="J2" s="189" t="s">
        <v>562</v>
      </c>
      <c r="K2" s="190"/>
      <c r="Q2" s="314"/>
      <c r="R2" s="314"/>
      <c r="S2" s="25"/>
      <c r="T2" s="25"/>
      <c r="U2" s="25"/>
      <c r="V2" s="8"/>
      <c r="AG2"/>
      <c r="AH2"/>
      <c r="AY2"/>
    </row>
    <row r="3" spans="1:60" ht="26.4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188"/>
      <c r="Z3" s="297" t="s">
        <v>553</v>
      </c>
      <c r="AA3" s="298"/>
      <c r="AB3" s="200"/>
      <c r="AC3" s="311" t="s">
        <v>554</v>
      </c>
      <c r="AD3" s="312"/>
      <c r="AE3" s="313"/>
      <c r="AF3" s="300" t="s">
        <v>266</v>
      </c>
      <c r="AG3" s="300"/>
      <c r="AH3" s="188"/>
      <c r="AI3" s="297" t="s">
        <v>557</v>
      </c>
      <c r="AJ3" s="298"/>
      <c r="AK3" s="200"/>
      <c r="AL3" s="308" t="s">
        <v>558</v>
      </c>
      <c r="AM3" s="309"/>
      <c r="AN3" s="310"/>
      <c r="AO3" s="300">
        <v>2027</v>
      </c>
      <c r="AP3" s="294"/>
      <c r="AQ3" s="293">
        <v>2028</v>
      </c>
      <c r="AR3" s="294"/>
      <c r="AS3" s="293">
        <v>2029</v>
      </c>
      <c r="AT3" s="294"/>
      <c r="AU3" s="293">
        <v>2030</v>
      </c>
      <c r="AV3" s="294"/>
      <c r="AW3" s="293">
        <v>2031</v>
      </c>
      <c r="AX3" s="294"/>
      <c r="AY3" s="293">
        <v>2032</v>
      </c>
      <c r="AZ3" s="294"/>
      <c r="BA3" s="293">
        <v>2033</v>
      </c>
      <c r="BB3" s="294"/>
      <c r="BC3" s="293">
        <v>2034</v>
      </c>
      <c r="BD3" s="294"/>
      <c r="BE3" s="26" t="s">
        <v>269</v>
      </c>
      <c r="BF3" s="26" t="s">
        <v>8</v>
      </c>
    </row>
    <row r="4" spans="1:60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SUMIFS(Travaux_202521[AC 2024],Travaux_202521[DES_COMPL_NATR_COMPB],"=Fonctionnement")+SUMIFS(Travaux_202521[TR 2024],Travaux_202521[DES_COMPL_NATR_COMPB],"=Fonctionnement")</f>
        <v>0</v>
      </c>
      <c r="V4" s="260"/>
      <c r="W4" s="295">
        <f>SUMIFS(Travaux_202521[AC 2025],Travaux_202521[DES_COMPL_NATR_COMPB],"=Fonctionnement")+SUMIFS(Travaux_202521[TR 2025],Travaux_202521[DES_COMPL_NATR_COMPB],"=Fonctionnement")</f>
        <v>300</v>
      </c>
      <c r="X4" s="296"/>
      <c r="Y4" s="187"/>
      <c r="Z4" s="334">
        <f>SUMIFS(Travaux_202521[AC 2025 Initiale],Travaux_202521[DES_COMPL_NATR_COMPB],"=Fonctionnement")+SUMIFS(Travaux_202521[TR 2025 Initiale],Travaux_202521[DES_COMPL_NATR_COMPB],"=Fonctionnement")</f>
        <v>300</v>
      </c>
      <c r="AA4" s="296"/>
      <c r="AB4" s="78"/>
      <c r="AC4" s="279"/>
      <c r="AD4" s="260"/>
      <c r="AE4" s="280"/>
      <c r="AF4" s="334">
        <f>SUMIFS(Travaux_202521[AC 2026],Travaux_202521[DES_COMPL_NATR_COMPB],"=Fonctionnement")+SUMIFS(Travaux_202521[TR 2026],Travaux_202521[DES_COMPL_NATR_COMPB],"=Fonctionnement")</f>
        <v>0</v>
      </c>
      <c r="AG4" s="295"/>
      <c r="AH4" s="187"/>
      <c r="AI4" s="295">
        <f>SUMIFS(Travaux_202521[AC 2026 Initiale],Travaux_202521[DES_COMPL_NATR_COMPB],"=Fonctionnement")+SUMIFS(Travaux_202521[TR 2026 Initiale],Travaux_202521[DES_COMPL_NATR_COMPB],"=Fonctionnement")</f>
        <v>0</v>
      </c>
      <c r="AJ4" s="296"/>
      <c r="AK4" s="78"/>
      <c r="AL4" s="279"/>
      <c r="AM4" s="260"/>
      <c r="AN4" s="280"/>
      <c r="AO4" s="334">
        <f>SUMIFS(Travaux_202521[AC 2027],Travaux_202521[DES_COMPL_NATR_COMPB],"=Fonctionnement")+SUMIFS(Travaux_202521[TR 2027],Travaux_202521[DES_COMPL_NATR_COMPB],"=Fonctionnement")</f>
        <v>0</v>
      </c>
      <c r="AP4" s="295"/>
      <c r="AQ4" s="295">
        <f>SUMIFS(Travaux_202521[AC 2028],Travaux_202521[DES_COMPL_NATR_COMPB],"=Fonctionnement")+SUMIFS(Travaux_202521[TR 2028],Travaux_202521[DES_COMPL_NATR_COMPB],"=Fonctionnement")</f>
        <v>0</v>
      </c>
      <c r="AR4" s="295"/>
      <c r="AS4" s="295">
        <f>SUMIFS(Travaux_202521[AC 2029],Travaux_202521[DES_COMPL_NATR_COMPB],"=Fonctionnement")+SUMIFS(Travaux_202521[TR 2029],Travaux_202521[DES_COMPL_NATR_COMPB],"=Fonctionnement")</f>
        <v>0</v>
      </c>
      <c r="AT4" s="295"/>
      <c r="AU4" s="295">
        <f>SUMIFS(Travaux_202521[AC 2030],Travaux_202521[DES_COMPL_NATR_COMPB],"=Fonctionnement")+SUMIFS(Travaux_202521[TR 2030],Travaux_202521[DES_COMPL_NATR_COMPB],"=Fonctionnement")</f>
        <v>0</v>
      </c>
      <c r="AV4" s="295"/>
      <c r="AW4" s="295">
        <f>SUMIFS(Travaux_202521[AC 2031],Travaux_202521[DES_COMPL_NATR_COMPB],"=Fonctionnement")+SUMIFS(Travaux_202521[TR 2031],Travaux_202521[DES_COMPL_NATR_COMPB],"=Fonctionnement")</f>
        <v>0</v>
      </c>
      <c r="AX4" s="295"/>
      <c r="AY4" s="295">
        <f>SUMIFS(Travaux_202521[AC 2032],Travaux_202521[DES_COMPL_NATR_COMPB],"=Fonctionnement")+SUMIFS(Travaux_202521[TR 2032],Travaux_202521[DES_COMPL_NATR_COMPB],"=Fonctionnement")</f>
        <v>0</v>
      </c>
      <c r="AZ4" s="295"/>
      <c r="BA4" s="295">
        <f>SUMIFS(Travaux_202521[AC 2033],Travaux_202521[DES_COMPL_NATR_COMPB],"=Fonctionnement")+SUMIFS(Travaux_202521[TR 2033],Travaux_202521[DES_COMPL_NATR_COMPB],"=Fonctionnement")</f>
        <v>0</v>
      </c>
      <c r="BB4" s="295"/>
      <c r="BC4" s="295">
        <f>SUMIFS(Travaux_202521[AC 2034],Travaux_202521[DES_COMPL_NATR_COMPB],"=Fonctionnement")+SUMIFS(Travaux_202521[TR 2034],Travaux_202521[DES_COMPL_NATR_COMPB],"=Fonctionnement")</f>
        <v>0</v>
      </c>
      <c r="BD4" s="295"/>
      <c r="BE4" s="16">
        <f t="shared" ref="BE4:BE12" si="0">SUM(W4,AF4)</f>
        <v>300</v>
      </c>
      <c r="BF4" s="16">
        <f t="shared" ref="BF4:BF11" si="1">SUM(W4,AF4,AO4:BD4)</f>
        <v>300</v>
      </c>
    </row>
    <row r="5" spans="1:60" x14ac:dyDescent="0.3">
      <c r="J5" s="27" t="s">
        <v>12</v>
      </c>
      <c r="K5" s="28" t="s">
        <v>13</v>
      </c>
      <c r="R5" s="104" t="s">
        <v>15</v>
      </c>
      <c r="S5" s="279">
        <f>SUMIFS(Travaux_202521[AC ANT],Travaux_202521[État Composante AC],"=PR")</f>
        <v>6160</v>
      </c>
      <c r="T5" s="260"/>
      <c r="U5" s="260">
        <f>SUMIFS(Travaux_202521[AC 2024],Travaux_202521[État Composante AC],"=PR")</f>
        <v>1111</v>
      </c>
      <c r="V5" s="260"/>
      <c r="W5" s="260">
        <f>SUMIFS(Travaux_202521[AC 2025],Travaux_202521[État Composante AC],"=PR")</f>
        <v>2716</v>
      </c>
      <c r="X5" s="280"/>
      <c r="Y5" s="78"/>
      <c r="Z5" s="279">
        <f>SUMIFS(Travaux_202521[AC 2025 Initiale],Travaux_202521[État Composante AC],"=PR")</f>
        <v>2716</v>
      </c>
      <c r="AA5" s="280"/>
      <c r="AB5" s="78"/>
      <c r="AC5" s="279">
        <f>SUMIFS(Travaux_202521[Écart AC 2025],Travaux_202521[État Composante AC],"=PR")</f>
        <v>0</v>
      </c>
      <c r="AD5" s="260"/>
      <c r="AE5" s="280"/>
      <c r="AF5" s="279">
        <f>SUMIFS(Travaux_202521[AC 2026],Travaux_202521[État Composante AC],"=PR")</f>
        <v>60</v>
      </c>
      <c r="AG5" s="260"/>
      <c r="AH5" s="78"/>
      <c r="AI5" s="260">
        <f>SUMIFS(Travaux_202521[AC 2026 Initiale],Travaux_202521[État Composante AC],"=PR")</f>
        <v>60</v>
      </c>
      <c r="AJ5" s="280"/>
      <c r="AK5" s="78"/>
      <c r="AL5" s="279">
        <f>SUMIFS(Travaux_202521[Écart AC 2026],Travaux_202521[État Composante AC],"=PR")</f>
        <v>0</v>
      </c>
      <c r="AM5" s="260"/>
      <c r="AN5" s="280"/>
      <c r="AO5" s="279">
        <f>SUMIFS(Travaux_202521[AC 2027],Travaux_202521[État Composante AC],"=PR")</f>
        <v>0</v>
      </c>
      <c r="AP5" s="260"/>
      <c r="AQ5" s="260">
        <f>SUMIFS(Travaux_202521[AC 2028],Travaux_202521[État Composante AC],"=PR")</f>
        <v>0</v>
      </c>
      <c r="AR5" s="260"/>
      <c r="AS5" s="260">
        <f>SUMIFS(Travaux_202521[AC 2029],Travaux_202521[État Composante AC],"=PR")</f>
        <v>0</v>
      </c>
      <c r="AT5" s="260"/>
      <c r="AU5" s="260">
        <f>SUMIFS(Travaux_202521[AC 2030],Travaux_202521[État Composante AC],"=PR")</f>
        <v>0</v>
      </c>
      <c r="AV5" s="260"/>
      <c r="AW5" s="260">
        <f>SUMIFS(Travaux_202521[AC 2031],Travaux_202521[État Composante AC],"=PR")</f>
        <v>0</v>
      </c>
      <c r="AX5" s="260"/>
      <c r="AY5" s="260">
        <f>SUMIFS(Travaux_202521[AC 2032],Travaux_202521[État Composante AC],"=PR")</f>
        <v>0</v>
      </c>
      <c r="AZ5" s="260"/>
      <c r="BA5" s="260">
        <f>SUMIFS(Travaux_202521[AC 2033],Travaux_202521[État Composante AC],"=PR")</f>
        <v>0</v>
      </c>
      <c r="BB5" s="260"/>
      <c r="BC5" s="260">
        <f>SUMIFS(Travaux_202521[AC 2034],Travaux_202521[État Composante AC],"=PR")</f>
        <v>0</v>
      </c>
      <c r="BD5" s="260"/>
      <c r="BE5" s="16">
        <f t="shared" si="0"/>
        <v>2776</v>
      </c>
      <c r="BF5" s="16">
        <f t="shared" si="1"/>
        <v>2776</v>
      </c>
    </row>
    <row r="6" spans="1:60" ht="15" thickBot="1" x14ac:dyDescent="0.35">
      <c r="J6" s="29" t="s">
        <v>16</v>
      </c>
      <c r="K6" s="28" t="s">
        <v>17</v>
      </c>
      <c r="R6" s="83" t="s">
        <v>19</v>
      </c>
      <c r="S6" s="279">
        <f>SUMIFS(Travaux_202521[TR ANT],Travaux_202521[État Composante TR],"=PR")</f>
        <v>33242</v>
      </c>
      <c r="T6" s="260"/>
      <c r="U6" s="260">
        <f>SUMIFS(Travaux_202521[TR 2024],Travaux_202521[État Composante TR],"=PR")</f>
        <v>32184</v>
      </c>
      <c r="V6" s="260"/>
      <c r="W6" s="260">
        <f>SUMIFS(Travaux_202521[TR 2025],Travaux_202521[État Composante TR],"=PR")</f>
        <v>50278</v>
      </c>
      <c r="X6" s="280"/>
      <c r="Y6" s="78"/>
      <c r="Z6" s="279">
        <f>SUMIFS(Travaux_202521[TR 2025 Initiale],Travaux_202521[État Composante TR],"=PR")</f>
        <v>50278</v>
      </c>
      <c r="AA6" s="280"/>
      <c r="AB6" s="78"/>
      <c r="AC6" s="279">
        <f>SUMIFS(Travaux_202521[Écart TR 2025],Travaux_202521[État Composante TR],"=PR")</f>
        <v>0</v>
      </c>
      <c r="AD6" s="260"/>
      <c r="AE6" s="280"/>
      <c r="AF6" s="279">
        <f>SUMIFS(Travaux_202521[TR 2026],Travaux_202521[État Composante TR],"=PR")</f>
        <v>0</v>
      </c>
      <c r="AG6" s="260"/>
      <c r="AH6" s="78"/>
      <c r="AI6" s="260">
        <f>SUMIFS(Travaux_202521[TR 2026 Initiale],Travaux_202521[État Composante TR],"=PR")</f>
        <v>0</v>
      </c>
      <c r="AJ6" s="280"/>
      <c r="AK6" s="78"/>
      <c r="AL6" s="279">
        <f>SUMIFS(Travaux_202521[Écart TR 2026],Travaux_202521[État Composante TR],"=PR")</f>
        <v>0</v>
      </c>
      <c r="AM6" s="260"/>
      <c r="AN6" s="280"/>
      <c r="AO6" s="279">
        <f>SUMIFS(Travaux_202521[TR 2027],Travaux_202521[État Composante TR],"=PR")</f>
        <v>0</v>
      </c>
      <c r="AP6" s="260"/>
      <c r="AQ6" s="331">
        <f>SUMIFS(Travaux_202521[TR 2028],Travaux_202521[État Composante TR],"=PR")</f>
        <v>0</v>
      </c>
      <c r="AR6" s="331"/>
      <c r="AS6" s="331">
        <f>SUMIFS(Travaux_202521[TR 2029],Travaux_202521[État Composante TR],"=PR")</f>
        <v>0</v>
      </c>
      <c r="AT6" s="331"/>
      <c r="AU6" s="331">
        <f>SUMIFS(Travaux_202521[TR 2030],Travaux_202521[État Composante TR],"=PR")</f>
        <v>0</v>
      </c>
      <c r="AV6" s="331"/>
      <c r="AW6" s="331">
        <f>SUMIFS(Travaux_202521[TR 2031],Travaux_202521[État Composante TR],"=PR")</f>
        <v>0</v>
      </c>
      <c r="AX6" s="331"/>
      <c r="AY6" s="331">
        <f>SUMIFS(Travaux_202521[TR 2032],Travaux_202521[État Composante TR],"=PR")</f>
        <v>0</v>
      </c>
      <c r="AZ6" s="331"/>
      <c r="BA6" s="331">
        <f>SUMIFS(Travaux_202521[TR 2033],Travaux_202521[État Composante TR],"=PR")</f>
        <v>0</v>
      </c>
      <c r="BB6" s="331"/>
      <c r="BC6" s="331">
        <f>SUMIFS(Travaux_202521[TR 2034],Travaux_202521[État Composante TR],"=PR")</f>
        <v>0</v>
      </c>
      <c r="BD6" s="331"/>
      <c r="BE6" s="16">
        <f t="shared" si="0"/>
        <v>50278</v>
      </c>
      <c r="BF6" s="16">
        <f t="shared" si="1"/>
        <v>50278</v>
      </c>
    </row>
    <row r="7" spans="1:60" ht="15" thickTop="1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39402</v>
      </c>
      <c r="T7" s="262"/>
      <c r="U7" s="262">
        <f>U5+U6</f>
        <v>33295</v>
      </c>
      <c r="V7" s="262"/>
      <c r="W7" s="262">
        <f>W5+W6</f>
        <v>52994</v>
      </c>
      <c r="X7" s="289"/>
      <c r="Y7" s="20"/>
      <c r="Z7" s="288">
        <f>Z5+Z6</f>
        <v>52994</v>
      </c>
      <c r="AA7" s="289"/>
      <c r="AB7" s="20"/>
      <c r="AC7" s="290">
        <f>AC5+AC6</f>
        <v>0</v>
      </c>
      <c r="AD7" s="292"/>
      <c r="AE7" s="291"/>
      <c r="AF7" s="290">
        <f>AF5+AF6</f>
        <v>60</v>
      </c>
      <c r="AG7" s="291"/>
      <c r="AH7" s="20"/>
      <c r="AI7" s="288">
        <f>AI5+AI6</f>
        <v>60</v>
      </c>
      <c r="AJ7" s="289"/>
      <c r="AK7" s="20"/>
      <c r="AL7" s="290">
        <f>AL5+AL6</f>
        <v>0</v>
      </c>
      <c r="AM7" s="292"/>
      <c r="AN7" s="291"/>
      <c r="AO7" s="288">
        <f>AO5+AO6</f>
        <v>0</v>
      </c>
      <c r="AP7" s="262"/>
      <c r="AQ7" s="325">
        <f>AQ5+AQ6</f>
        <v>0</v>
      </c>
      <c r="AR7" s="325"/>
      <c r="AS7" s="325">
        <f>AS5+AS6</f>
        <v>0</v>
      </c>
      <c r="AT7" s="325"/>
      <c r="AU7" s="325">
        <f>AU5+AU6</f>
        <v>0</v>
      </c>
      <c r="AV7" s="325"/>
      <c r="AW7" s="325">
        <f>AW5+AW6</f>
        <v>0</v>
      </c>
      <c r="AX7" s="325"/>
      <c r="AY7" s="325">
        <f>AY5+AY6</f>
        <v>0</v>
      </c>
      <c r="AZ7" s="325"/>
      <c r="BA7" s="325">
        <f>BA5+BA6</f>
        <v>0</v>
      </c>
      <c r="BB7" s="325"/>
      <c r="BC7" s="325">
        <f>BC5+BC6</f>
        <v>0</v>
      </c>
      <c r="BD7" s="325"/>
      <c r="BE7" s="20">
        <f t="shared" si="0"/>
        <v>53054</v>
      </c>
      <c r="BF7" s="20">
        <f t="shared" si="1"/>
        <v>53054</v>
      </c>
    </row>
    <row r="8" spans="1:60" x14ac:dyDescent="0.3">
      <c r="J8" s="329" t="s">
        <v>563</v>
      </c>
      <c r="K8" s="330"/>
      <c r="R8" s="83" t="s">
        <v>25</v>
      </c>
      <c r="S8" s="279">
        <f>SUMIFS(Travaux_202521[AC ANT],Travaux_202521[État Composante AC],"&lt;&gt;PR")</f>
        <v>0</v>
      </c>
      <c r="T8" s="260"/>
      <c r="U8" s="260">
        <f>SUMIFS(Travaux_202521[AC 2024],Travaux_202521[État Composante AC],"&lt;&gt;PR")</f>
        <v>0</v>
      </c>
      <c r="V8" s="260"/>
      <c r="W8" s="260">
        <f>SUMIFS(Travaux_202521[AC 2025],Travaux_202521[État Composante AC],"&lt;&gt;PR")</f>
        <v>0</v>
      </c>
      <c r="X8" s="280"/>
      <c r="Y8" s="78"/>
      <c r="Z8" s="279">
        <f>SUMIFS(Travaux_202521[AC 2025 Initiale],Travaux_202521[État Composante AC],"&lt;&gt;PR")</f>
        <v>0</v>
      </c>
      <c r="AA8" s="280"/>
      <c r="AB8" s="78"/>
      <c r="AC8" s="326">
        <f>SUMIFS(Travaux_202521[Écart AC 2025],Travaux_202521[État Composante AC],"&lt;&gt;PR")</f>
        <v>0</v>
      </c>
      <c r="AD8" s="327"/>
      <c r="AE8" s="328"/>
      <c r="AF8" s="326">
        <f>SUMIFS(Travaux_202521[AC 2026],Travaux_202521[État Composante AC],"&lt;&gt;PR")</f>
        <v>0</v>
      </c>
      <c r="AG8" s="327"/>
      <c r="AH8" s="78"/>
      <c r="AI8" s="260">
        <f>SUMIFS(Travaux_202521[AC 2026 Initiale],Travaux_202521[État Composante AC],"&lt;&gt;PR")</f>
        <v>0</v>
      </c>
      <c r="AJ8" s="280"/>
      <c r="AK8" s="78"/>
      <c r="AL8" s="326">
        <f>SUMIFS(Travaux_202521[Écart AC 2026],Travaux_202521[État Composante AC],"&lt;&gt;PR")</f>
        <v>0</v>
      </c>
      <c r="AM8" s="327"/>
      <c r="AN8" s="328"/>
      <c r="AO8" s="279">
        <f>SUMIFS(Travaux_202521[AC 2027],Travaux_202521[État Composante AC],"&lt;&gt;PR")</f>
        <v>0</v>
      </c>
      <c r="AP8" s="260"/>
      <c r="AQ8" s="260">
        <f>SUMIFS(Travaux_202521[AC 2028],Travaux_202521[État Composante AC],"&lt;&gt;PR")</f>
        <v>0</v>
      </c>
      <c r="AR8" s="260"/>
      <c r="AS8" s="260">
        <f>SUMIFS(Travaux_202521[AC 2029],Travaux_202521[État Composante AC],"&lt;&gt;PR")</f>
        <v>0</v>
      </c>
      <c r="AT8" s="260"/>
      <c r="AU8" s="260">
        <f>SUMIFS(Travaux_202521[AC 2030],Travaux_202521[État Composante AC],"&lt;&gt;PR")</f>
        <v>0</v>
      </c>
      <c r="AV8" s="260"/>
      <c r="AW8" s="260">
        <f>SUMIFS(Travaux_202521[AC 2031],Travaux_202521[État Composante AC],"&lt;&gt;PR")</f>
        <v>0</v>
      </c>
      <c r="AX8" s="260"/>
      <c r="AY8" s="260">
        <f>SUMIFS(Travaux_202521[AC 2032],Travaux_202521[État Composante AC],"&lt;&gt;PR")</f>
        <v>0</v>
      </c>
      <c r="AZ8" s="260"/>
      <c r="BA8" s="260">
        <f>SUMIFS(Travaux_202521[AC 2033],Travaux_202521[État Composante AC],"&lt;&gt;PR")</f>
        <v>0</v>
      </c>
      <c r="BB8" s="260"/>
      <c r="BC8" s="260">
        <f>SUMIFS(Travaux_202521[AC 2034],Travaux_202521[État Composante AC],"&lt;&gt;PR")</f>
        <v>0</v>
      </c>
      <c r="BD8" s="260"/>
      <c r="BE8" s="16">
        <f t="shared" si="0"/>
        <v>0</v>
      </c>
      <c r="BF8" s="16">
        <f t="shared" si="1"/>
        <v>0</v>
      </c>
    </row>
    <row r="9" spans="1:60" x14ac:dyDescent="0.3">
      <c r="J9" s="191"/>
      <c r="K9" s="28" t="s">
        <v>564</v>
      </c>
      <c r="R9" s="83" t="s">
        <v>27</v>
      </c>
      <c r="S9" s="279">
        <f>SUMIFS(Travaux_202521[TR ANT],Travaux_202521[État Composante TR],"&lt;&gt;PR")</f>
        <v>0</v>
      </c>
      <c r="T9" s="260"/>
      <c r="U9" s="260">
        <f>SUMIFS(Travaux_202521[TR 2024],Travaux_202521[État Composante TR],"&lt;&gt;PR")</f>
        <v>0</v>
      </c>
      <c r="V9" s="260"/>
      <c r="W9" s="260">
        <f>SUMIFS(Travaux_202521[TR 2025],Travaux_202521[État Composante TR],"&lt;&gt;PR")</f>
        <v>0</v>
      </c>
      <c r="X9" s="280"/>
      <c r="Y9" s="78"/>
      <c r="Z9" s="279">
        <f>SUMIFS(Travaux_202521[TR 2025 Initiale],Travaux_202521[État Composante TR],"&lt;&gt;PR")</f>
        <v>0</v>
      </c>
      <c r="AA9" s="280"/>
      <c r="AB9" s="78"/>
      <c r="AC9" s="279">
        <f>SUMIFS(Travaux_202521[Écart TR 2025],Travaux_202521[État Composante TR],"&lt;&gt;PR")</f>
        <v>0</v>
      </c>
      <c r="AD9" s="260"/>
      <c r="AE9" s="280"/>
      <c r="AF9" s="279">
        <f>SUMIFS(Travaux_202521[TR 2026],Travaux_202521[État Composante TR],"&lt;&gt;PR")</f>
        <v>0</v>
      </c>
      <c r="AG9" s="260"/>
      <c r="AH9" s="78"/>
      <c r="AI9" s="260">
        <f>SUMIFS(Travaux_202521[TR 2026 Initiale],Travaux_202521[État Composante TR],"&lt;&gt;PR")</f>
        <v>0</v>
      </c>
      <c r="AJ9" s="280"/>
      <c r="AK9" s="78"/>
      <c r="AL9" s="279">
        <f>SUMIFS(Travaux_202521[Écart TR 2026],Travaux_202521[État Composante TR],"&lt;&gt;PR")</f>
        <v>0</v>
      </c>
      <c r="AM9" s="260"/>
      <c r="AN9" s="280"/>
      <c r="AO9" s="279">
        <f>SUMIFS(Travaux_202521[TR 2027],Travaux_202521[État Composante TR],"&lt;&gt;PR")</f>
        <v>0</v>
      </c>
      <c r="AP9" s="260"/>
      <c r="AQ9" s="260">
        <f>SUMIFS(Travaux_202521[TR 2028],Travaux_202521[État Composante TR],"&lt;&gt;PR")</f>
        <v>0</v>
      </c>
      <c r="AR9" s="260"/>
      <c r="AS9" s="260">
        <f>SUMIFS(Travaux_202521[TR 2029],Travaux_202521[État Composante TR],"&lt;&gt;PR")</f>
        <v>0</v>
      </c>
      <c r="AT9" s="260"/>
      <c r="AU9" s="260">
        <f>SUMIFS(Travaux_202521[TR 2030],Travaux_202521[État Composante TR],"&lt;&gt;PR")</f>
        <v>0</v>
      </c>
      <c r="AV9" s="260"/>
      <c r="AW9" s="260">
        <f>SUMIFS(Travaux_202521[TR 2031],Travaux_202521[État Composante TR],"&lt;&gt;PR")</f>
        <v>0</v>
      </c>
      <c r="AX9" s="260"/>
      <c r="AY9" s="260">
        <f>SUMIFS(Travaux_202521[TR 2032],Travaux_202521[État Composante TR],"&lt;&gt;PR")</f>
        <v>0</v>
      </c>
      <c r="AZ9" s="260"/>
      <c r="BA9" s="260">
        <f>SUMIFS(Travaux_202521[TR 2033],Travaux_202521[État Composante TR],"&lt;&gt;PR")</f>
        <v>0</v>
      </c>
      <c r="BB9" s="260"/>
      <c r="BC9" s="260">
        <f>SUMIFS(Travaux_202521[TR 2034],Travaux_202521[État Composante TR],"&lt;&gt;PR")</f>
        <v>0</v>
      </c>
      <c r="BD9" s="260"/>
      <c r="BE9" s="16">
        <f t="shared" si="0"/>
        <v>0</v>
      </c>
      <c r="BF9" s="16">
        <f t="shared" si="1"/>
        <v>0</v>
      </c>
    </row>
    <row r="10" spans="1:60" x14ac:dyDescent="0.3">
      <c r="J10" s="192"/>
      <c r="K10" s="28" t="s">
        <v>565</v>
      </c>
      <c r="Q10" s="127"/>
      <c r="R10" s="117" t="s">
        <v>29</v>
      </c>
      <c r="S10" s="288">
        <f>S8+S9</f>
        <v>0</v>
      </c>
      <c r="T10" s="262"/>
      <c r="U10" s="262">
        <f>U8+U9</f>
        <v>0</v>
      </c>
      <c r="V10" s="262"/>
      <c r="W10" s="262">
        <f>W8+W9</f>
        <v>0</v>
      </c>
      <c r="X10" s="289"/>
      <c r="Y10" s="20"/>
      <c r="Z10" s="288">
        <f>Z8+Z9</f>
        <v>0</v>
      </c>
      <c r="AA10" s="289"/>
      <c r="AB10" s="20"/>
      <c r="AC10" s="288">
        <f>AC9+AC8</f>
        <v>0</v>
      </c>
      <c r="AD10" s="262"/>
      <c r="AE10" s="289"/>
      <c r="AF10" s="288">
        <f>AF8+AF9</f>
        <v>0</v>
      </c>
      <c r="AG10" s="262"/>
      <c r="AH10" s="20"/>
      <c r="AI10" s="262">
        <f>AI8+AI9</f>
        <v>0</v>
      </c>
      <c r="AJ10" s="289"/>
      <c r="AK10" s="20"/>
      <c r="AL10" s="288">
        <f>AL9+AL8</f>
        <v>0</v>
      </c>
      <c r="AM10" s="262"/>
      <c r="AN10" s="289"/>
      <c r="AO10" s="288">
        <f>AO8+AO9</f>
        <v>0</v>
      </c>
      <c r="AP10" s="262"/>
      <c r="AQ10" s="262">
        <f>AQ8+AQ9</f>
        <v>0</v>
      </c>
      <c r="AR10" s="262"/>
      <c r="AS10" s="262">
        <f>AS8+AS9</f>
        <v>0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62">
        <f>BC8+BC9</f>
        <v>0</v>
      </c>
      <c r="BD10" s="262"/>
      <c r="BE10" s="20">
        <f t="shared" si="0"/>
        <v>0</v>
      </c>
      <c r="BF10" s="20">
        <f t="shared" si="1"/>
        <v>0</v>
      </c>
    </row>
    <row r="11" spans="1:60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39402</v>
      </c>
      <c r="T11" s="284"/>
      <c r="U11" s="285">
        <f>U10+U7</f>
        <v>33295</v>
      </c>
      <c r="V11" s="284"/>
      <c r="W11" s="285">
        <f>W10+W7</f>
        <v>52994</v>
      </c>
      <c r="X11" s="284"/>
      <c r="Y11" s="105"/>
      <c r="Z11" s="285">
        <f>Z10+Z7</f>
        <v>52994</v>
      </c>
      <c r="AA11" s="287"/>
      <c r="AB11" s="105"/>
      <c r="AC11" s="286">
        <f>AC10+AC7</f>
        <v>0</v>
      </c>
      <c r="AD11" s="283"/>
      <c r="AE11" s="287"/>
      <c r="AF11" s="286">
        <f>AF10+AF7-AF4</f>
        <v>60</v>
      </c>
      <c r="AG11" s="284"/>
      <c r="AH11" s="105"/>
      <c r="AI11" s="285">
        <f>AI10+AI7</f>
        <v>60</v>
      </c>
      <c r="AJ11" s="287"/>
      <c r="AK11" s="105"/>
      <c r="AL11" s="286">
        <f>AL10+AL7</f>
        <v>0</v>
      </c>
      <c r="AM11" s="283"/>
      <c r="AN11" s="287"/>
      <c r="AO11" s="286">
        <f>AO10+AO7-AO4</f>
        <v>0</v>
      </c>
      <c r="AP11" s="284"/>
      <c r="AQ11" s="285">
        <f>AQ10+AQ7-AQ4</f>
        <v>0</v>
      </c>
      <c r="AR11" s="284"/>
      <c r="AS11" s="285">
        <f>AS10+AS7-AS4</f>
        <v>0</v>
      </c>
      <c r="AT11" s="284"/>
      <c r="AU11" s="285">
        <f>AU10+AU7-AU4</f>
        <v>0</v>
      </c>
      <c r="AV11" s="284"/>
      <c r="AW11" s="285">
        <f>AW10+AW7-AW4</f>
        <v>0</v>
      </c>
      <c r="AX11" s="284"/>
      <c r="AY11" s="285">
        <f>AY10+AY7-AY4</f>
        <v>0</v>
      </c>
      <c r="AZ11" s="284"/>
      <c r="BA11" s="285">
        <f>BA10+BA7-BA4</f>
        <v>0</v>
      </c>
      <c r="BB11" s="284"/>
      <c r="BC11" s="285">
        <f>BC10+BC7-BC4</f>
        <v>0</v>
      </c>
      <c r="BD11" s="284"/>
      <c r="BE11" s="105">
        <f t="shared" si="0"/>
        <v>53054</v>
      </c>
      <c r="BF11" s="105">
        <f t="shared" si="1"/>
        <v>53054</v>
      </c>
    </row>
    <row r="12" spans="1:60" ht="15" customHeight="1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80"/>
      <c r="Y12" s="78"/>
      <c r="Z12" s="279"/>
      <c r="AA12" s="280"/>
      <c r="AB12" s="78"/>
      <c r="AC12" s="322"/>
      <c r="AD12" s="323"/>
      <c r="AE12" s="324"/>
      <c r="AF12" s="279"/>
      <c r="AG12" s="260"/>
      <c r="AH12" s="78"/>
      <c r="AI12" s="260"/>
      <c r="AJ12" s="280"/>
      <c r="AK12" s="78"/>
      <c r="AL12" s="322"/>
      <c r="AM12" s="323"/>
      <c r="AN12" s="324"/>
      <c r="AO12" s="279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78">
        <f t="shared" si="0"/>
        <v>0</v>
      </c>
      <c r="BF12" s="78">
        <f>SUM(AO12:BD12,W12,AF12)</f>
        <v>0</v>
      </c>
    </row>
    <row r="13" spans="1:60" ht="16.2" thickBot="1" x14ac:dyDescent="0.35">
      <c r="J13" s="195"/>
      <c r="K13" s="31" t="s">
        <v>568</v>
      </c>
      <c r="Q13" s="126"/>
      <c r="R13" s="118" t="s">
        <v>33</v>
      </c>
      <c r="S13" s="120"/>
      <c r="T13" s="64"/>
      <c r="U13" s="319">
        <f>U12+U11</f>
        <v>33295</v>
      </c>
      <c r="V13" s="321"/>
      <c r="W13" s="258">
        <f>W12+W11</f>
        <v>52994</v>
      </c>
      <c r="X13" s="259"/>
      <c r="Y13" s="167"/>
      <c r="Z13" s="258">
        <f>Z12+Z11</f>
        <v>52994</v>
      </c>
      <c r="AA13" s="259"/>
      <c r="AB13" s="167"/>
      <c r="AC13" s="258">
        <f>AC12+AC11</f>
        <v>0</v>
      </c>
      <c r="AD13" s="261"/>
      <c r="AE13" s="261"/>
      <c r="AF13" s="261">
        <f>AF12+AF11</f>
        <v>60</v>
      </c>
      <c r="AG13" s="259"/>
      <c r="AH13" s="167"/>
      <c r="AI13" s="258">
        <f>AI12+AI11</f>
        <v>60</v>
      </c>
      <c r="AJ13" s="259"/>
      <c r="AK13" s="167"/>
      <c r="AL13" s="319">
        <f>AL12+AL11</f>
        <v>0</v>
      </c>
      <c r="AM13" s="320"/>
      <c r="AN13" s="320"/>
      <c r="AO13" s="261">
        <f>AO12+AO11</f>
        <v>0</v>
      </c>
      <c r="AP13" s="259"/>
      <c r="AQ13" s="258">
        <f>AQ12+AQ11</f>
        <v>0</v>
      </c>
      <c r="AR13" s="259"/>
      <c r="AS13" s="258">
        <f>AS12+AS11</f>
        <v>0</v>
      </c>
      <c r="AT13" s="259"/>
      <c r="AU13" s="258">
        <f>AU12+AU11</f>
        <v>0</v>
      </c>
      <c r="AV13" s="259"/>
      <c r="AW13" s="258">
        <f>AW12+AW11</f>
        <v>0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1">
        <f>BE12+BE11</f>
        <v>53054</v>
      </c>
      <c r="BF13" s="21">
        <f>BF12+BF11</f>
        <v>53054</v>
      </c>
    </row>
    <row r="14" spans="1:60" s="11" customFormat="1" ht="42" customHeight="1" x14ac:dyDescent="0.3">
      <c r="A14" s="11" t="s">
        <v>273</v>
      </c>
      <c r="B14" s="11" t="s">
        <v>274</v>
      </c>
      <c r="C14" s="11" t="s">
        <v>37</v>
      </c>
      <c r="D14" s="11" t="s">
        <v>38</v>
      </c>
      <c r="E14" s="11" t="s">
        <v>39</v>
      </c>
      <c r="F14" s="11" t="s">
        <v>40</v>
      </c>
      <c r="G14" s="11" t="s">
        <v>41</v>
      </c>
      <c r="H14" s="11" t="s">
        <v>42</v>
      </c>
      <c r="I14" s="11" t="s">
        <v>44</v>
      </c>
      <c r="J14" s="11" t="s">
        <v>45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582</v>
      </c>
      <c r="P14" s="11" t="s">
        <v>50</v>
      </c>
      <c r="Q14" s="11" t="s">
        <v>51</v>
      </c>
      <c r="R14" s="11" t="s">
        <v>52</v>
      </c>
      <c r="S14" s="9" t="s">
        <v>76</v>
      </c>
      <c r="T14" s="9" t="s">
        <v>77</v>
      </c>
      <c r="U14" s="9" t="s">
        <v>78</v>
      </c>
      <c r="V14" s="9" t="s">
        <v>79</v>
      </c>
      <c r="W14" s="11" t="s">
        <v>80</v>
      </c>
      <c r="X14" s="11" t="s">
        <v>81</v>
      </c>
      <c r="Y14" s="11" t="s">
        <v>579</v>
      </c>
      <c r="Z14" s="11" t="s">
        <v>549</v>
      </c>
      <c r="AA14" s="11" t="s">
        <v>550</v>
      </c>
      <c r="AB14" s="11" t="s">
        <v>577</v>
      </c>
      <c r="AC14" s="99" t="s">
        <v>277</v>
      </c>
      <c r="AD14" s="99" t="s">
        <v>278</v>
      </c>
      <c r="AE14" s="99" t="s">
        <v>279</v>
      </c>
      <c r="AF14" s="11" t="s">
        <v>82</v>
      </c>
      <c r="AG14" s="11" t="s">
        <v>83</v>
      </c>
      <c r="AH14" s="11" t="s">
        <v>578</v>
      </c>
      <c r="AI14" s="11" t="s">
        <v>551</v>
      </c>
      <c r="AJ14" s="11" t="s">
        <v>552</v>
      </c>
      <c r="AK14" s="11" t="s">
        <v>580</v>
      </c>
      <c r="AL14" s="93" t="s">
        <v>283</v>
      </c>
      <c r="AM14" s="93" t="s">
        <v>284</v>
      </c>
      <c r="AN14" s="93" t="s">
        <v>285</v>
      </c>
      <c r="AO14" s="11" t="s">
        <v>84</v>
      </c>
      <c r="AP14" s="11" t="s">
        <v>85</v>
      </c>
      <c r="AQ14" s="11" t="s">
        <v>86</v>
      </c>
      <c r="AR14" s="11" t="s">
        <v>87</v>
      </c>
      <c r="AS14" s="11" t="s">
        <v>88</v>
      </c>
      <c r="AT14" s="11" t="s">
        <v>89</v>
      </c>
      <c r="AU14" s="11" t="s">
        <v>90</v>
      </c>
      <c r="AV14" s="11" t="s">
        <v>91</v>
      </c>
      <c r="AW14" s="11" t="s">
        <v>92</v>
      </c>
      <c r="AX14" s="11" t="s">
        <v>93</v>
      </c>
      <c r="AY14" s="11" t="s">
        <v>94</v>
      </c>
      <c r="AZ14" s="11" t="s">
        <v>95</v>
      </c>
      <c r="BA14" s="11" t="s">
        <v>96</v>
      </c>
      <c r="BB14" s="11" t="s">
        <v>97</v>
      </c>
      <c r="BC14" s="11" t="s">
        <v>98</v>
      </c>
      <c r="BD14" s="11" t="s">
        <v>99</v>
      </c>
      <c r="BE14" s="11" t="s">
        <v>100</v>
      </c>
    </row>
    <row r="15" spans="1:60" ht="43.2" x14ac:dyDescent="0.3">
      <c r="A15" t="s">
        <v>286</v>
      </c>
      <c r="C15" t="s">
        <v>126</v>
      </c>
      <c r="D15" t="s">
        <v>127</v>
      </c>
      <c r="E15" t="s">
        <v>136</v>
      </c>
      <c r="F15" t="s">
        <v>104</v>
      </c>
      <c r="G15" t="s">
        <v>16</v>
      </c>
      <c r="H15" t="s">
        <v>16</v>
      </c>
      <c r="I15" t="s">
        <v>105</v>
      </c>
      <c r="J15" t="s">
        <v>162</v>
      </c>
      <c r="K15" t="s">
        <v>163</v>
      </c>
      <c r="L15" t="s">
        <v>122</v>
      </c>
      <c r="M15" s="2" t="s">
        <v>176</v>
      </c>
      <c r="N15" s="197" t="s">
        <v>571</v>
      </c>
      <c r="O15" s="201" t="s">
        <v>583</v>
      </c>
      <c r="P15" s="1"/>
      <c r="Q15" s="1"/>
      <c r="R15" s="1"/>
      <c r="S15">
        <v>5398</v>
      </c>
      <c r="T15">
        <v>28152</v>
      </c>
      <c r="U15">
        <v>79</v>
      </c>
      <c r="V15">
        <v>891</v>
      </c>
      <c r="W15">
        <v>399</v>
      </c>
      <c r="X15">
        <v>67</v>
      </c>
      <c r="Y15">
        <f>Travaux_202521[[#This Row],[AC 2025]]+Travaux_202521[[#This Row],[TR 2025]]</f>
        <v>466</v>
      </c>
      <c r="Z15">
        <v>399</v>
      </c>
      <c r="AA15">
        <v>67</v>
      </c>
      <c r="AB15">
        <f>Travaux_202521[[#This Row],[AC 2025 Initiale]]+Travaux_202521[[#This Row],[TR 2025 Initiale]]</f>
        <v>466</v>
      </c>
      <c r="AC15">
        <f>Travaux_202521[[#This Row],[AC 2025]]-Travaux_202521[[#This Row],[AC 2025 Initiale]]</f>
        <v>0</v>
      </c>
      <c r="AD15">
        <f>Travaux_202521[[#This Row],[TR 2025]]-Travaux_202521[[#This Row],[TR 2025 Initiale]]</f>
        <v>0</v>
      </c>
      <c r="AE15">
        <f>Travaux_202521[[#This Row],[Écart AC 2025]]+Travaux_202521[[#This Row],[Écart TR 2025]]</f>
        <v>0</v>
      </c>
      <c r="AF15">
        <v>60</v>
      </c>
      <c r="AG15"/>
      <c r="AH15">
        <f>Travaux_202521[[#This Row],[AC 2026]]+Travaux_202521[[#This Row],[TR 2026]]</f>
        <v>60</v>
      </c>
      <c r="AI15">
        <v>60</v>
      </c>
      <c r="AK15">
        <f>Travaux_202521[[#This Row],[AC 2026 Initiale]]+Travaux_202521[[#This Row],[TR 2026 Initiale]]</f>
        <v>60</v>
      </c>
      <c r="AL15">
        <f>Travaux_202521[[#This Row],[AC 2026]]-Travaux_202521[[#This Row],[AC 2026 Initiale]]</f>
        <v>0</v>
      </c>
      <c r="AM15">
        <f>Travaux_202521[[#This Row],[TR 2026]]-Travaux_202521[[#This Row],[TR 2026 Initiale]]</f>
        <v>0</v>
      </c>
      <c r="AN15">
        <f>Travaux_202521[[#This Row],[Écart AC 2026]]+Travaux_202521[[#This Row],[Écart TR 2026]]</f>
        <v>0</v>
      </c>
      <c r="AY15"/>
      <c r="BE15" s="14">
        <f>SUM(Travaux_202521[[#This Row],[AC ANT]:[TR 2025]],Travaux_202521[[#This Row],[AC 2026]:[TR 2026]],Travaux_202521[[#This Row],[AC 2027]:[TR 2034]])</f>
        <v>35046</v>
      </c>
    </row>
    <row r="16" spans="1:60" x14ac:dyDescent="0.3">
      <c r="A16" t="s">
        <v>286</v>
      </c>
      <c r="C16" t="s">
        <v>101</v>
      </c>
      <c r="D16" t="s">
        <v>102</v>
      </c>
      <c r="E16" t="s">
        <v>103</v>
      </c>
      <c r="F16" t="s">
        <v>140</v>
      </c>
      <c r="G16" t="s">
        <v>16</v>
      </c>
      <c r="H16" t="s">
        <v>16</v>
      </c>
      <c r="I16" t="s">
        <v>105</v>
      </c>
      <c r="J16" t="s">
        <v>174</v>
      </c>
      <c r="K16" t="s">
        <v>175</v>
      </c>
      <c r="L16" t="s">
        <v>143</v>
      </c>
      <c r="M16" t="s">
        <v>176</v>
      </c>
      <c r="N16" s="196" t="s">
        <v>564</v>
      </c>
      <c r="O16" s="202"/>
      <c r="P16" s="1">
        <v>44014</v>
      </c>
      <c r="Q16" s="1">
        <v>44294</v>
      </c>
      <c r="R16" s="1">
        <v>45239</v>
      </c>
      <c r="S16">
        <v>389</v>
      </c>
      <c r="T16">
        <v>4986</v>
      </c>
      <c r="U16">
        <v>729</v>
      </c>
      <c r="V16">
        <v>28833</v>
      </c>
      <c r="W16">
        <v>399</v>
      </c>
      <c r="X16">
        <v>11768</v>
      </c>
      <c r="Y16">
        <f>Travaux_202521[[#This Row],[AC 2025]]+Travaux_202521[[#This Row],[TR 2025]]</f>
        <v>12167</v>
      </c>
      <c r="Z16">
        <v>399</v>
      </c>
      <c r="AA16">
        <v>11768</v>
      </c>
      <c r="AB16">
        <f>Travaux_202521[[#This Row],[AC 2025 Initiale]]+Travaux_202521[[#This Row],[TR 2025 Initiale]]</f>
        <v>12167</v>
      </c>
      <c r="AC16">
        <f>Travaux_202521[[#This Row],[AC 2025]]-Travaux_202521[[#This Row],[AC 2025 Initiale]]</f>
        <v>0</v>
      </c>
      <c r="AD16">
        <f>Travaux_202521[[#This Row],[TR 2025]]-Travaux_202521[[#This Row],[TR 2025 Initiale]]</f>
        <v>0</v>
      </c>
      <c r="AE16">
        <f>Travaux_202521[[#This Row],[Écart AC 2025]]+Travaux_202521[[#This Row],[Écart TR 2025]]</f>
        <v>0</v>
      </c>
      <c r="AG16"/>
      <c r="AH16">
        <f>Travaux_202521[[#This Row],[AC 2026]]+Travaux_202521[[#This Row],[TR 2026]]</f>
        <v>0</v>
      </c>
      <c r="AK16">
        <f>Travaux_202521[[#This Row],[AC 2026 Initiale]]+Travaux_202521[[#This Row],[TR 2026 Initiale]]</f>
        <v>0</v>
      </c>
      <c r="AL16">
        <f>Travaux_202521[[#This Row],[AC 2026]]-Travaux_202521[[#This Row],[AC 2026 Initiale]]</f>
        <v>0</v>
      </c>
      <c r="AM16">
        <f>Travaux_202521[[#This Row],[TR 2026]]-Travaux_202521[[#This Row],[TR 2026 Initiale]]</f>
        <v>0</v>
      </c>
      <c r="AN16">
        <f>Travaux_202521[[#This Row],[Écart AC 2026]]+Travaux_202521[[#This Row],[Écart TR 2026]]</f>
        <v>0</v>
      </c>
      <c r="AY16"/>
      <c r="BE16" s="14">
        <f>SUM(Travaux_202521[[#This Row],[AC ANT]:[TR 2025]],Travaux_202521[[#This Row],[AC 2026]:[TR 2026]],Travaux_202521[[#This Row],[AC 2027]:[TR 2034]])</f>
        <v>47104</v>
      </c>
    </row>
    <row r="17" spans="1:57" x14ac:dyDescent="0.3">
      <c r="A17" t="s">
        <v>286</v>
      </c>
      <c r="C17" t="s">
        <v>101</v>
      </c>
      <c r="D17" t="s">
        <v>102</v>
      </c>
      <c r="E17" t="s">
        <v>177</v>
      </c>
      <c r="F17" t="s">
        <v>129</v>
      </c>
      <c r="G17" t="s">
        <v>16</v>
      </c>
      <c r="H17" t="s">
        <v>16</v>
      </c>
      <c r="I17" t="s">
        <v>131</v>
      </c>
      <c r="J17" t="s">
        <v>178</v>
      </c>
      <c r="K17" t="s">
        <v>179</v>
      </c>
      <c r="L17" t="s">
        <v>180</v>
      </c>
      <c r="M17" t="s">
        <v>176</v>
      </c>
      <c r="N17" s="196" t="s">
        <v>564</v>
      </c>
      <c r="O17" s="202"/>
      <c r="P17" s="1"/>
      <c r="Q17" s="1"/>
      <c r="R17" s="1">
        <v>45195</v>
      </c>
      <c r="S17">
        <v>75</v>
      </c>
      <c r="T17">
        <v>101.00000000000001</v>
      </c>
      <c r="U17">
        <v>25</v>
      </c>
      <c r="V17">
        <v>1110</v>
      </c>
      <c r="W17">
        <v>73</v>
      </c>
      <c r="X17">
        <v>580</v>
      </c>
      <c r="Y17">
        <f>Travaux_202521[[#This Row],[AC 2025]]+Travaux_202521[[#This Row],[TR 2025]]</f>
        <v>653</v>
      </c>
      <c r="Z17">
        <v>73</v>
      </c>
      <c r="AA17">
        <v>580</v>
      </c>
      <c r="AB17">
        <f>Travaux_202521[[#This Row],[AC 2025 Initiale]]+Travaux_202521[[#This Row],[TR 2025 Initiale]]</f>
        <v>653</v>
      </c>
      <c r="AC17">
        <f>Travaux_202521[[#This Row],[AC 2025]]-Travaux_202521[[#This Row],[AC 2025 Initiale]]</f>
        <v>0</v>
      </c>
      <c r="AD17">
        <f>Travaux_202521[[#This Row],[TR 2025]]-Travaux_202521[[#This Row],[TR 2025 Initiale]]</f>
        <v>0</v>
      </c>
      <c r="AE17">
        <f>Travaux_202521[[#This Row],[Écart AC 2025]]+Travaux_202521[[#This Row],[Écart TR 2025]]</f>
        <v>0</v>
      </c>
      <c r="AG17"/>
      <c r="AH17">
        <f>Travaux_202521[[#This Row],[AC 2026]]+Travaux_202521[[#This Row],[TR 2026]]</f>
        <v>0</v>
      </c>
      <c r="AK17">
        <f>Travaux_202521[[#This Row],[AC 2026 Initiale]]+Travaux_202521[[#This Row],[TR 2026 Initiale]]</f>
        <v>0</v>
      </c>
      <c r="AL17">
        <f>Travaux_202521[[#This Row],[AC 2026]]-Travaux_202521[[#This Row],[AC 2026 Initiale]]</f>
        <v>0</v>
      </c>
      <c r="AM17">
        <f>Travaux_202521[[#This Row],[TR 2026]]-Travaux_202521[[#This Row],[TR 2026 Initiale]]</f>
        <v>0</v>
      </c>
      <c r="AN17">
        <f>Travaux_202521[[#This Row],[Écart AC 2026]]+Travaux_202521[[#This Row],[Écart TR 2026]]</f>
        <v>0</v>
      </c>
      <c r="AY17"/>
      <c r="BE17" s="14">
        <f>SUM(Travaux_202521[[#This Row],[AC ANT]:[TR 2025]],Travaux_202521[[#This Row],[AC 2026]:[TR 2026]],Travaux_202521[[#This Row],[AC 2027]:[TR 2034]])</f>
        <v>1964</v>
      </c>
    </row>
    <row r="18" spans="1:57" x14ac:dyDescent="0.3">
      <c r="A18" t="s">
        <v>286</v>
      </c>
      <c r="C18" t="s">
        <v>118</v>
      </c>
      <c r="D18" t="s">
        <v>102</v>
      </c>
      <c r="E18" t="s">
        <v>103</v>
      </c>
      <c r="F18" t="s">
        <v>149</v>
      </c>
      <c r="G18" t="s">
        <v>16</v>
      </c>
      <c r="H18" t="s">
        <v>16</v>
      </c>
      <c r="I18" t="s">
        <v>131</v>
      </c>
      <c r="J18" t="s">
        <v>192</v>
      </c>
      <c r="K18" t="s">
        <v>193</v>
      </c>
      <c r="L18" t="s">
        <v>194</v>
      </c>
      <c r="M18" t="s">
        <v>176</v>
      </c>
      <c r="N18" s="196" t="s">
        <v>564</v>
      </c>
      <c r="O18" s="202"/>
      <c r="P18" s="1">
        <v>44547</v>
      </c>
      <c r="Q18" s="1">
        <v>45091</v>
      </c>
      <c r="R18" s="1">
        <v>45375</v>
      </c>
      <c r="S18">
        <v>7</v>
      </c>
      <c r="U18">
        <v>81</v>
      </c>
      <c r="V18">
        <v>1350</v>
      </c>
      <c r="W18">
        <v>185</v>
      </c>
      <c r="X18">
        <v>4398</v>
      </c>
      <c r="Y18">
        <f>Travaux_202521[[#This Row],[AC 2025]]+Travaux_202521[[#This Row],[TR 2025]]</f>
        <v>4583</v>
      </c>
      <c r="Z18">
        <v>185</v>
      </c>
      <c r="AA18">
        <v>4398</v>
      </c>
      <c r="AB18">
        <f>Travaux_202521[[#This Row],[AC 2025 Initiale]]+Travaux_202521[[#This Row],[TR 2025 Initiale]]</f>
        <v>4583</v>
      </c>
      <c r="AC18">
        <f>Travaux_202521[[#This Row],[AC 2025]]-Travaux_202521[[#This Row],[AC 2025 Initiale]]</f>
        <v>0</v>
      </c>
      <c r="AD18">
        <f>Travaux_202521[[#This Row],[TR 2025]]-Travaux_202521[[#This Row],[TR 2025 Initiale]]</f>
        <v>0</v>
      </c>
      <c r="AE18">
        <f>Travaux_202521[[#This Row],[Écart AC 2025]]+Travaux_202521[[#This Row],[Écart TR 2025]]</f>
        <v>0</v>
      </c>
      <c r="AG18"/>
      <c r="AH18">
        <f>Travaux_202521[[#This Row],[AC 2026]]+Travaux_202521[[#This Row],[TR 2026]]</f>
        <v>0</v>
      </c>
      <c r="AK18">
        <f>Travaux_202521[[#This Row],[AC 2026 Initiale]]+Travaux_202521[[#This Row],[TR 2026 Initiale]]</f>
        <v>0</v>
      </c>
      <c r="AL18">
        <f>Travaux_202521[[#This Row],[AC 2026]]-Travaux_202521[[#This Row],[AC 2026 Initiale]]</f>
        <v>0</v>
      </c>
      <c r="AM18">
        <f>Travaux_202521[[#This Row],[TR 2026]]-Travaux_202521[[#This Row],[TR 2026 Initiale]]</f>
        <v>0</v>
      </c>
      <c r="AN18">
        <f>Travaux_202521[[#This Row],[Écart AC 2026]]+Travaux_202521[[#This Row],[Écart TR 2026]]</f>
        <v>0</v>
      </c>
      <c r="AY18"/>
      <c r="BE18" s="14">
        <f>SUM(Travaux_202521[[#This Row],[AC ANT]:[TR 2025]],Travaux_202521[[#This Row],[AC 2026]:[TR 2026]],Travaux_202521[[#This Row],[AC 2027]:[TR 2034]])</f>
        <v>6021</v>
      </c>
    </row>
    <row r="19" spans="1:57" ht="43.2" x14ac:dyDescent="0.3">
      <c r="A19" t="s">
        <v>286</v>
      </c>
      <c r="C19" t="s">
        <v>101</v>
      </c>
      <c r="D19" t="s">
        <v>102</v>
      </c>
      <c r="E19" t="s">
        <v>103</v>
      </c>
      <c r="F19" t="s">
        <v>104</v>
      </c>
      <c r="G19" t="s">
        <v>16</v>
      </c>
      <c r="H19" t="s">
        <v>16</v>
      </c>
      <c r="I19" t="s">
        <v>105</v>
      </c>
      <c r="J19" t="s">
        <v>215</v>
      </c>
      <c r="K19" t="s">
        <v>216</v>
      </c>
      <c r="L19" t="s">
        <v>217</v>
      </c>
      <c r="M19" t="s">
        <v>148</v>
      </c>
      <c r="N19" s="198" t="s">
        <v>581</v>
      </c>
      <c r="O19" s="201" t="s">
        <v>585</v>
      </c>
      <c r="P19" s="1">
        <v>44838</v>
      </c>
      <c r="Q19" s="1">
        <v>45441</v>
      </c>
      <c r="R19" s="1">
        <v>45623</v>
      </c>
      <c r="S19">
        <v>218</v>
      </c>
      <c r="T19">
        <v>3</v>
      </c>
      <c r="U19">
        <v>98</v>
      </c>
      <c r="W19">
        <v>641</v>
      </c>
      <c r="X19">
        <v>12563</v>
      </c>
      <c r="Y19">
        <f>Travaux_202521[[#This Row],[AC 2025]]+Travaux_202521[[#This Row],[TR 2025]]</f>
        <v>13204</v>
      </c>
      <c r="Z19">
        <v>641</v>
      </c>
      <c r="AA19">
        <v>12563</v>
      </c>
      <c r="AB19">
        <f>Travaux_202521[[#This Row],[AC 2025 Initiale]]+Travaux_202521[[#This Row],[TR 2025 Initiale]]</f>
        <v>13204</v>
      </c>
      <c r="AC19">
        <f>Travaux_202521[[#This Row],[AC 2025]]-Travaux_202521[[#This Row],[AC 2025 Initiale]]</f>
        <v>0</v>
      </c>
      <c r="AD19">
        <f>Travaux_202521[[#This Row],[TR 2025]]-Travaux_202521[[#This Row],[TR 2025 Initiale]]</f>
        <v>0</v>
      </c>
      <c r="AE19">
        <f>Travaux_202521[[#This Row],[Écart AC 2025]]+Travaux_202521[[#This Row],[Écart TR 2025]]</f>
        <v>0</v>
      </c>
      <c r="AG19"/>
      <c r="AH19">
        <f>Travaux_202521[[#This Row],[AC 2026]]+Travaux_202521[[#This Row],[TR 2026]]</f>
        <v>0</v>
      </c>
      <c r="AK19">
        <f>Travaux_202521[[#This Row],[AC 2026 Initiale]]+Travaux_202521[[#This Row],[TR 2026 Initiale]]</f>
        <v>0</v>
      </c>
      <c r="AL19">
        <f>Travaux_202521[[#This Row],[AC 2026]]-Travaux_202521[[#This Row],[AC 2026 Initiale]]</f>
        <v>0</v>
      </c>
      <c r="AM19">
        <f>Travaux_202521[[#This Row],[TR 2026]]-Travaux_202521[[#This Row],[TR 2026 Initiale]]</f>
        <v>0</v>
      </c>
      <c r="AN19">
        <f>Travaux_202521[[#This Row],[Écart AC 2026]]+Travaux_202521[[#This Row],[Écart TR 2026]]</f>
        <v>0</v>
      </c>
      <c r="AY19"/>
      <c r="BE19" s="14">
        <f>SUM(Travaux_202521[[#This Row],[AC ANT]:[TR 2025]],Travaux_202521[[#This Row],[AC 2026]:[TR 2026]],Travaux_202521[[#This Row],[AC 2027]:[TR 2034]])</f>
        <v>13523</v>
      </c>
    </row>
    <row r="20" spans="1:57" ht="43.2" x14ac:dyDescent="0.3">
      <c r="A20" t="s">
        <v>286</v>
      </c>
      <c r="C20" t="s">
        <v>101</v>
      </c>
      <c r="D20" t="s">
        <v>102</v>
      </c>
      <c r="E20" t="s">
        <v>103</v>
      </c>
      <c r="F20" t="s">
        <v>149</v>
      </c>
      <c r="G20" t="s">
        <v>16</v>
      </c>
      <c r="H20" t="s">
        <v>16</v>
      </c>
      <c r="I20" t="s">
        <v>105</v>
      </c>
      <c r="J20" t="s">
        <v>228</v>
      </c>
      <c r="K20" t="s">
        <v>229</v>
      </c>
      <c r="L20" t="s">
        <v>230</v>
      </c>
      <c r="M20" t="s">
        <v>148</v>
      </c>
      <c r="N20" s="198" t="s">
        <v>572</v>
      </c>
      <c r="O20" s="203" t="s">
        <v>584</v>
      </c>
      <c r="P20" s="1">
        <v>45022</v>
      </c>
      <c r="Q20" s="1">
        <v>45463</v>
      </c>
      <c r="R20" s="1">
        <v>45590</v>
      </c>
      <c r="S20">
        <v>61</v>
      </c>
      <c r="U20">
        <v>21</v>
      </c>
      <c r="W20">
        <v>580</v>
      </c>
      <c r="X20">
        <v>11581</v>
      </c>
      <c r="Y20">
        <f>Travaux_202521[[#This Row],[AC 2025]]+Travaux_202521[[#This Row],[TR 2025]]</f>
        <v>12161</v>
      </c>
      <c r="Z20">
        <v>580</v>
      </c>
      <c r="AA20">
        <v>11581</v>
      </c>
      <c r="AB20">
        <f>Travaux_202521[[#This Row],[AC 2025 Initiale]]+Travaux_202521[[#This Row],[TR 2025 Initiale]]</f>
        <v>12161</v>
      </c>
      <c r="AC20">
        <f>Travaux_202521[[#This Row],[AC 2025]]-Travaux_202521[[#This Row],[AC 2025 Initiale]]</f>
        <v>0</v>
      </c>
      <c r="AD20">
        <f>Travaux_202521[[#This Row],[TR 2025]]-Travaux_202521[[#This Row],[TR 2025 Initiale]]</f>
        <v>0</v>
      </c>
      <c r="AE20">
        <f>Travaux_202521[[#This Row],[Écart AC 2025]]+Travaux_202521[[#This Row],[Écart TR 2025]]</f>
        <v>0</v>
      </c>
      <c r="AG20"/>
      <c r="AH20">
        <f>Travaux_202521[[#This Row],[AC 2026]]+Travaux_202521[[#This Row],[TR 2026]]</f>
        <v>0</v>
      </c>
      <c r="AK20">
        <f>Travaux_202521[[#This Row],[AC 2026 Initiale]]+Travaux_202521[[#This Row],[TR 2026 Initiale]]</f>
        <v>0</v>
      </c>
      <c r="AL20">
        <f>Travaux_202521[[#This Row],[AC 2026]]-Travaux_202521[[#This Row],[AC 2026 Initiale]]</f>
        <v>0</v>
      </c>
      <c r="AM20">
        <f>Travaux_202521[[#This Row],[TR 2026]]-Travaux_202521[[#This Row],[TR 2026 Initiale]]</f>
        <v>0</v>
      </c>
      <c r="AN20">
        <f>Travaux_202521[[#This Row],[Écart AC 2026]]+Travaux_202521[[#This Row],[Écart TR 2026]]</f>
        <v>0</v>
      </c>
      <c r="AY20"/>
      <c r="BE20" s="14">
        <f>SUM(Travaux_202521[[#This Row],[AC ANT]:[TR 2025]],Travaux_202521[[#This Row],[AC 2026]:[TR 2026]],Travaux_202521[[#This Row],[AC 2027]:[TR 2034]])</f>
        <v>12243</v>
      </c>
    </row>
    <row r="21" spans="1:57" ht="57.6" x14ac:dyDescent="0.3">
      <c r="A21" t="s">
        <v>286</v>
      </c>
      <c r="C21" t="s">
        <v>101</v>
      </c>
      <c r="D21" t="s">
        <v>102</v>
      </c>
      <c r="E21" t="s">
        <v>128</v>
      </c>
      <c r="F21" t="s">
        <v>113</v>
      </c>
      <c r="G21" t="s">
        <v>16</v>
      </c>
      <c r="H21" t="s">
        <v>16</v>
      </c>
      <c r="I21" t="s">
        <v>105</v>
      </c>
      <c r="J21" t="s">
        <v>160</v>
      </c>
      <c r="K21" t="s">
        <v>161</v>
      </c>
      <c r="L21" t="s">
        <v>122</v>
      </c>
      <c r="M21" t="s">
        <v>148</v>
      </c>
      <c r="N21" s="199" t="s">
        <v>573</v>
      </c>
      <c r="O21" s="203" t="s">
        <v>586</v>
      </c>
      <c r="P21" s="1">
        <v>44956</v>
      </c>
      <c r="Q21" s="1">
        <v>45321</v>
      </c>
      <c r="R21" s="1">
        <v>45687</v>
      </c>
      <c r="S21">
        <v>6</v>
      </c>
      <c r="U21">
        <v>19</v>
      </c>
      <c r="W21">
        <v>320</v>
      </c>
      <c r="X21">
        <v>4503</v>
      </c>
      <c r="Y21">
        <f>Travaux_202521[[#This Row],[AC 2025]]+Travaux_202521[[#This Row],[TR 2025]]</f>
        <v>4823</v>
      </c>
      <c r="Z21">
        <v>320</v>
      </c>
      <c r="AA21">
        <v>4503</v>
      </c>
      <c r="AB21">
        <f>Travaux_202521[[#This Row],[AC 2025 Initiale]]+Travaux_202521[[#This Row],[TR 2025 Initiale]]</f>
        <v>4823</v>
      </c>
      <c r="AC21">
        <f>Travaux_202521[[#This Row],[AC 2025]]-Travaux_202521[[#This Row],[AC 2025 Initiale]]</f>
        <v>0</v>
      </c>
      <c r="AD21">
        <f>Travaux_202521[[#This Row],[TR 2025]]-Travaux_202521[[#This Row],[TR 2025 Initiale]]</f>
        <v>0</v>
      </c>
      <c r="AE21">
        <f>Travaux_202521[[#This Row],[Écart AC 2025]]+Travaux_202521[[#This Row],[Écart TR 2025]]</f>
        <v>0</v>
      </c>
      <c r="AG21"/>
      <c r="AH21">
        <f>Travaux_202521[[#This Row],[AC 2026]]+Travaux_202521[[#This Row],[TR 2026]]</f>
        <v>0</v>
      </c>
      <c r="AK21">
        <f>Travaux_202521[[#This Row],[AC 2026 Initiale]]+Travaux_202521[[#This Row],[TR 2026 Initiale]]</f>
        <v>0</v>
      </c>
      <c r="AL21">
        <f>Travaux_202521[[#This Row],[AC 2026]]-Travaux_202521[[#This Row],[AC 2026 Initiale]]</f>
        <v>0</v>
      </c>
      <c r="AM21">
        <f>Travaux_202521[[#This Row],[TR 2026]]-Travaux_202521[[#This Row],[TR 2026 Initiale]]</f>
        <v>0</v>
      </c>
      <c r="AN21">
        <f>Travaux_202521[[#This Row],[Écart AC 2026]]+Travaux_202521[[#This Row],[Écart TR 2026]]</f>
        <v>0</v>
      </c>
      <c r="AY21"/>
      <c r="BE21" s="14">
        <f>SUM(Travaux_202521[[#This Row],[AC ANT]:[TR 2025]],Travaux_202521[[#This Row],[AC 2026]:[TR 2026]],Travaux_202521[[#This Row],[AC 2027]:[TR 2034]])</f>
        <v>4848</v>
      </c>
    </row>
    <row r="22" spans="1:57" ht="28.8" x14ac:dyDescent="0.3">
      <c r="A22" t="s">
        <v>286</v>
      </c>
      <c r="C22" t="s">
        <v>118</v>
      </c>
      <c r="D22" t="s">
        <v>102</v>
      </c>
      <c r="E22" t="s">
        <v>119</v>
      </c>
      <c r="F22" t="s">
        <v>113</v>
      </c>
      <c r="G22" t="s">
        <v>16</v>
      </c>
      <c r="H22" t="s">
        <v>16</v>
      </c>
      <c r="I22" t="s">
        <v>105</v>
      </c>
      <c r="J22" t="s">
        <v>120</v>
      </c>
      <c r="K22" t="s">
        <v>289</v>
      </c>
      <c r="L22" t="s">
        <v>122</v>
      </c>
      <c r="M22" t="s">
        <v>148</v>
      </c>
      <c r="N22" s="199" t="s">
        <v>575</v>
      </c>
      <c r="O22" s="203"/>
      <c r="P22" s="1"/>
      <c r="Q22" s="1"/>
      <c r="R22" s="1">
        <v>45712</v>
      </c>
      <c r="W22">
        <v>20</v>
      </c>
      <c r="X22">
        <v>895</v>
      </c>
      <c r="Y22">
        <f>Travaux_202521[[#This Row],[AC 2025]]+Travaux_202521[[#This Row],[TR 2025]]</f>
        <v>915</v>
      </c>
      <c r="Z22">
        <v>20</v>
      </c>
      <c r="AA22">
        <v>895</v>
      </c>
      <c r="AB22">
        <f>Travaux_202521[[#This Row],[AC 2025 Initiale]]+Travaux_202521[[#This Row],[TR 2025 Initiale]]</f>
        <v>915</v>
      </c>
      <c r="AC22">
        <f>Travaux_202521[[#This Row],[AC 2025]]-Travaux_202521[[#This Row],[AC 2025 Initiale]]</f>
        <v>0</v>
      </c>
      <c r="AD22">
        <f>Travaux_202521[[#This Row],[TR 2025]]-Travaux_202521[[#This Row],[TR 2025 Initiale]]</f>
        <v>0</v>
      </c>
      <c r="AE22">
        <f>Travaux_202521[[#This Row],[Écart AC 2025]]+Travaux_202521[[#This Row],[Écart TR 2025]]</f>
        <v>0</v>
      </c>
      <c r="AG22"/>
      <c r="AH22">
        <f>Travaux_202521[[#This Row],[AC 2026]]+Travaux_202521[[#This Row],[TR 2026]]</f>
        <v>0</v>
      </c>
      <c r="AK22">
        <f>Travaux_202521[[#This Row],[AC 2026 Initiale]]+Travaux_202521[[#This Row],[TR 2026 Initiale]]</f>
        <v>0</v>
      </c>
      <c r="AL22">
        <f>Travaux_202521[[#This Row],[AC 2026]]-Travaux_202521[[#This Row],[AC 2026 Initiale]]</f>
        <v>0</v>
      </c>
      <c r="AM22">
        <f>Travaux_202521[[#This Row],[TR 2026]]-Travaux_202521[[#This Row],[TR 2026 Initiale]]</f>
        <v>0</v>
      </c>
      <c r="AN22">
        <f>Travaux_202521[[#This Row],[Écart AC 2026]]+Travaux_202521[[#This Row],[Écart TR 2026]]</f>
        <v>0</v>
      </c>
      <c r="AY22"/>
      <c r="BE22" s="14">
        <f>SUM(Travaux_202521[[#This Row],[AC ANT]:[TR 2025]],Travaux_202521[[#This Row],[AC 2026]:[TR 2026]],Travaux_202521[[#This Row],[AC 2027]:[TR 2034]])</f>
        <v>915</v>
      </c>
    </row>
    <row r="23" spans="1:57" ht="28.8" x14ac:dyDescent="0.3">
      <c r="A23" t="s">
        <v>286</v>
      </c>
      <c r="C23" t="s">
        <v>118</v>
      </c>
      <c r="D23" t="s">
        <v>102</v>
      </c>
      <c r="E23" t="s">
        <v>177</v>
      </c>
      <c r="F23" t="s">
        <v>129</v>
      </c>
      <c r="G23" t="s">
        <v>16</v>
      </c>
      <c r="H23" t="s">
        <v>16</v>
      </c>
      <c r="I23" t="s">
        <v>131</v>
      </c>
      <c r="J23" t="s">
        <v>293</v>
      </c>
      <c r="K23" t="s">
        <v>294</v>
      </c>
      <c r="L23" t="s">
        <v>134</v>
      </c>
      <c r="M23" t="s">
        <v>148</v>
      </c>
      <c r="N23" s="199" t="s">
        <v>576</v>
      </c>
      <c r="O23" s="203"/>
      <c r="P23" s="1">
        <v>45702</v>
      </c>
      <c r="Q23" s="1">
        <v>45702</v>
      </c>
      <c r="R23" s="1">
        <v>45702</v>
      </c>
      <c r="W23">
        <v>50</v>
      </c>
      <c r="X23">
        <v>2894</v>
      </c>
      <c r="Y23">
        <f>Travaux_202521[[#This Row],[AC 2025]]+Travaux_202521[[#This Row],[TR 2025]]</f>
        <v>2944</v>
      </c>
      <c r="Z23">
        <v>50</v>
      </c>
      <c r="AA23">
        <v>2894</v>
      </c>
      <c r="AB23">
        <f>Travaux_202521[[#This Row],[AC 2025 Initiale]]+Travaux_202521[[#This Row],[TR 2025 Initiale]]</f>
        <v>2944</v>
      </c>
      <c r="AC23">
        <f>Travaux_202521[[#This Row],[AC 2025]]-Travaux_202521[[#This Row],[AC 2025 Initiale]]</f>
        <v>0</v>
      </c>
      <c r="AD23">
        <f>Travaux_202521[[#This Row],[TR 2025]]-Travaux_202521[[#This Row],[TR 2025 Initiale]]</f>
        <v>0</v>
      </c>
      <c r="AE23">
        <f>Travaux_202521[[#This Row],[Écart AC 2025]]+Travaux_202521[[#This Row],[Écart TR 2025]]</f>
        <v>0</v>
      </c>
      <c r="AG23"/>
      <c r="AH23">
        <f>Travaux_202521[[#This Row],[AC 2026]]+Travaux_202521[[#This Row],[TR 2026]]</f>
        <v>0</v>
      </c>
      <c r="AK23">
        <f>Travaux_202521[[#This Row],[AC 2026 Initiale]]+Travaux_202521[[#This Row],[TR 2026 Initiale]]</f>
        <v>0</v>
      </c>
      <c r="AL23">
        <f>Travaux_202521[[#This Row],[AC 2026]]-Travaux_202521[[#This Row],[AC 2026 Initiale]]</f>
        <v>0</v>
      </c>
      <c r="AM23">
        <f>Travaux_202521[[#This Row],[TR 2026]]-Travaux_202521[[#This Row],[TR 2026 Initiale]]</f>
        <v>0</v>
      </c>
      <c r="AN23">
        <f>Travaux_202521[[#This Row],[Écart AC 2026]]+Travaux_202521[[#This Row],[Écart TR 2026]]</f>
        <v>0</v>
      </c>
      <c r="AY23"/>
      <c r="BE23" s="14">
        <f>SUM(Travaux_202521[[#This Row],[AC ANT]:[TR 2025]],Travaux_202521[[#This Row],[AC 2026]:[TR 2026]],Travaux_202521[[#This Row],[AC 2027]:[TR 2034]])</f>
        <v>2944</v>
      </c>
    </row>
    <row r="24" spans="1:57" ht="28.8" x14ac:dyDescent="0.3">
      <c r="A24" t="s">
        <v>286</v>
      </c>
      <c r="C24" t="s">
        <v>118</v>
      </c>
      <c r="D24" t="s">
        <v>102</v>
      </c>
      <c r="E24" t="s">
        <v>136</v>
      </c>
      <c r="F24" t="s">
        <v>129</v>
      </c>
      <c r="G24" t="s">
        <v>16</v>
      </c>
      <c r="H24" t="s">
        <v>16</v>
      </c>
      <c r="I24" t="s">
        <v>131</v>
      </c>
      <c r="J24" t="s">
        <v>218</v>
      </c>
      <c r="K24" t="s">
        <v>219</v>
      </c>
      <c r="L24" t="s">
        <v>152</v>
      </c>
      <c r="M24" t="s">
        <v>148</v>
      </c>
      <c r="N24" s="199" t="s">
        <v>574</v>
      </c>
      <c r="O24" s="201" t="s">
        <v>587</v>
      </c>
      <c r="P24" s="1">
        <v>45370</v>
      </c>
      <c r="Q24" s="1"/>
      <c r="R24" s="1">
        <v>45706</v>
      </c>
      <c r="S24">
        <v>6</v>
      </c>
      <c r="U24">
        <v>59</v>
      </c>
      <c r="W24">
        <v>24</v>
      </c>
      <c r="X24">
        <v>605</v>
      </c>
      <c r="Y24">
        <f>Travaux_202521[[#This Row],[AC 2025]]+Travaux_202521[[#This Row],[TR 2025]]</f>
        <v>629</v>
      </c>
      <c r="Z24">
        <v>24</v>
      </c>
      <c r="AA24">
        <v>605</v>
      </c>
      <c r="AB24">
        <f>Travaux_202521[[#This Row],[AC 2025 Initiale]]+Travaux_202521[[#This Row],[TR 2025 Initiale]]</f>
        <v>629</v>
      </c>
      <c r="AC24">
        <f>Travaux_202521[[#This Row],[AC 2025]]-Travaux_202521[[#This Row],[AC 2025 Initiale]]</f>
        <v>0</v>
      </c>
      <c r="AD24">
        <f>Travaux_202521[[#This Row],[TR 2025]]-Travaux_202521[[#This Row],[TR 2025 Initiale]]</f>
        <v>0</v>
      </c>
      <c r="AE24">
        <f>Travaux_202521[[#This Row],[Écart AC 2025]]+Travaux_202521[[#This Row],[Écart TR 2025]]</f>
        <v>0</v>
      </c>
      <c r="AG24"/>
      <c r="AH24">
        <f>Travaux_202521[[#This Row],[AC 2026]]+Travaux_202521[[#This Row],[TR 2026]]</f>
        <v>0</v>
      </c>
      <c r="AK24">
        <f>Travaux_202521[[#This Row],[AC 2026 Initiale]]+Travaux_202521[[#This Row],[TR 2026 Initiale]]</f>
        <v>0</v>
      </c>
      <c r="AL24">
        <f>Travaux_202521[[#This Row],[AC 2026]]-Travaux_202521[[#This Row],[AC 2026 Initiale]]</f>
        <v>0</v>
      </c>
      <c r="AM24">
        <f>Travaux_202521[[#This Row],[TR 2026]]-Travaux_202521[[#This Row],[TR 2026 Initiale]]</f>
        <v>0</v>
      </c>
      <c r="AN24">
        <f>Travaux_202521[[#This Row],[Écart AC 2026]]+Travaux_202521[[#This Row],[Écart TR 2026]]</f>
        <v>0</v>
      </c>
      <c r="AY24"/>
      <c r="BE24" s="14">
        <f>SUM(Travaux_202521[[#This Row],[AC ANT]:[TR 2025]],Travaux_202521[[#This Row],[AC 2026]:[TR 2026]],Travaux_202521[[#This Row],[AC 2027]:[TR 2034]])</f>
        <v>694</v>
      </c>
    </row>
    <row r="25" spans="1:57" x14ac:dyDescent="0.3">
      <c r="A25" t="s">
        <v>286</v>
      </c>
      <c r="C25" t="s">
        <v>126</v>
      </c>
      <c r="D25" t="s">
        <v>127</v>
      </c>
      <c r="E25" t="s">
        <v>128</v>
      </c>
      <c r="F25" t="s">
        <v>252</v>
      </c>
      <c r="G25" t="s">
        <v>16</v>
      </c>
      <c r="H25" t="s">
        <v>16</v>
      </c>
      <c r="I25" t="s">
        <v>131</v>
      </c>
      <c r="J25" t="s">
        <v>253</v>
      </c>
      <c r="K25" t="s">
        <v>254</v>
      </c>
      <c r="L25" t="s">
        <v>147</v>
      </c>
      <c r="M25" t="s">
        <v>148</v>
      </c>
      <c r="P25" s="1"/>
      <c r="Q25" s="1"/>
      <c r="R25" s="1"/>
      <c r="W25">
        <v>10</v>
      </c>
      <c r="X25">
        <v>39</v>
      </c>
      <c r="Y25">
        <f>Travaux_202521[[#This Row],[AC 2025]]+Travaux_202521[[#This Row],[TR 2025]]</f>
        <v>49</v>
      </c>
      <c r="Z25">
        <v>10</v>
      </c>
      <c r="AA25">
        <v>39</v>
      </c>
      <c r="AB25">
        <f>Travaux_202521[[#This Row],[AC 2025 Initiale]]+Travaux_202521[[#This Row],[TR 2025 Initiale]]</f>
        <v>49</v>
      </c>
      <c r="AC25">
        <f>Travaux_202521[[#This Row],[AC 2025]]-Travaux_202521[[#This Row],[AC 2025 Initiale]]</f>
        <v>0</v>
      </c>
      <c r="AD25">
        <f>Travaux_202521[[#This Row],[TR 2025]]-Travaux_202521[[#This Row],[TR 2025 Initiale]]</f>
        <v>0</v>
      </c>
      <c r="AE25">
        <f>Travaux_202521[[#This Row],[Écart AC 2025]]+Travaux_202521[[#This Row],[Écart TR 2025]]</f>
        <v>0</v>
      </c>
      <c r="AG25"/>
      <c r="AH25">
        <f>Travaux_202521[[#This Row],[AC 2026]]+Travaux_202521[[#This Row],[TR 2026]]</f>
        <v>0</v>
      </c>
      <c r="AK25">
        <f>Travaux_202521[[#This Row],[AC 2026 Initiale]]+Travaux_202521[[#This Row],[TR 2026 Initiale]]</f>
        <v>0</v>
      </c>
      <c r="AL25">
        <f>Travaux_202521[[#This Row],[AC 2026]]-Travaux_202521[[#This Row],[AC 2026 Initiale]]</f>
        <v>0</v>
      </c>
      <c r="AM25">
        <f>Travaux_202521[[#This Row],[TR 2026]]-Travaux_202521[[#This Row],[TR 2026 Initiale]]</f>
        <v>0</v>
      </c>
      <c r="AN25">
        <f>Travaux_202521[[#This Row],[Écart AC 2026]]+Travaux_202521[[#This Row],[Écart TR 2026]]</f>
        <v>0</v>
      </c>
      <c r="AY25"/>
      <c r="BE25" s="14">
        <f>SUM(Travaux_202521[[#This Row],[AC ANT]:[TR 2025]],Travaux_202521[[#This Row],[AC 2026]:[TR 2026]],Travaux_202521[[#This Row],[AC 2027]:[TR 2034]])</f>
        <v>49</v>
      </c>
    </row>
    <row r="26" spans="1:57" x14ac:dyDescent="0.3">
      <c r="A26" t="s">
        <v>11</v>
      </c>
      <c r="C26" t="s">
        <v>118</v>
      </c>
      <c r="D26" t="s">
        <v>102</v>
      </c>
      <c r="E26" t="s">
        <v>103</v>
      </c>
      <c r="F26" t="s">
        <v>252</v>
      </c>
      <c r="G26" t="s">
        <v>20</v>
      </c>
      <c r="H26" t="s">
        <v>16</v>
      </c>
      <c r="I26" t="s">
        <v>131</v>
      </c>
      <c r="J26" t="s">
        <v>257</v>
      </c>
      <c r="K26" t="s">
        <v>258</v>
      </c>
      <c r="L26" t="s">
        <v>180</v>
      </c>
      <c r="M26" t="s">
        <v>148</v>
      </c>
      <c r="P26" s="1"/>
      <c r="Q26" s="1"/>
      <c r="R26" s="1"/>
      <c r="X26">
        <v>300</v>
      </c>
      <c r="Y26">
        <f>Travaux_202521[[#This Row],[AC 2025]]+Travaux_202521[[#This Row],[TR 2025]]</f>
        <v>300</v>
      </c>
      <c r="AA26">
        <v>300</v>
      </c>
      <c r="AB26">
        <f>Travaux_202521[[#This Row],[AC 2025 Initiale]]+Travaux_202521[[#This Row],[TR 2025 Initiale]]</f>
        <v>300</v>
      </c>
      <c r="AC26">
        <f>Travaux_202521[[#This Row],[AC 2025]]-Travaux_202521[[#This Row],[AC 2025 Initiale]]</f>
        <v>0</v>
      </c>
      <c r="AD26">
        <f>Travaux_202521[[#This Row],[TR 2025]]-Travaux_202521[[#This Row],[TR 2025 Initiale]]</f>
        <v>0</v>
      </c>
      <c r="AE26">
        <f>Travaux_202521[[#This Row],[Écart AC 2025]]+Travaux_202521[[#This Row],[Écart TR 2025]]</f>
        <v>0</v>
      </c>
      <c r="AG26"/>
      <c r="AH26">
        <f>Travaux_202521[[#This Row],[AC 2026]]+Travaux_202521[[#This Row],[TR 2026]]</f>
        <v>0</v>
      </c>
      <c r="AK26">
        <f>Travaux_202521[[#This Row],[AC 2026 Initiale]]+Travaux_202521[[#This Row],[TR 2026 Initiale]]</f>
        <v>0</v>
      </c>
      <c r="AL26">
        <f>Travaux_202521[[#This Row],[AC 2026]]-Travaux_202521[[#This Row],[AC 2026 Initiale]]</f>
        <v>0</v>
      </c>
      <c r="AM26">
        <f>Travaux_202521[[#This Row],[TR 2026]]-Travaux_202521[[#This Row],[TR 2026 Initiale]]</f>
        <v>0</v>
      </c>
      <c r="AN26">
        <f>Travaux_202521[[#This Row],[Écart AC 2026]]+Travaux_202521[[#This Row],[Écart TR 2026]]</f>
        <v>0</v>
      </c>
      <c r="AY26"/>
      <c r="BE26" s="14">
        <f>SUM(Travaux_202521[[#This Row],[AC ANT]:[TR 2025]],Travaux_202521[[#This Row],[AC 2026]:[TR 2026]],Travaux_202521[[#This Row],[AC 2027]:[TR 2034]])</f>
        <v>300</v>
      </c>
    </row>
    <row r="27" spans="1:57" x14ac:dyDescent="0.3">
      <c r="A27" t="s">
        <v>286</v>
      </c>
      <c r="C27" t="s">
        <v>126</v>
      </c>
      <c r="D27" t="s">
        <v>127</v>
      </c>
      <c r="E27" t="s">
        <v>128</v>
      </c>
      <c r="F27" t="s">
        <v>252</v>
      </c>
      <c r="G27" t="s">
        <v>16</v>
      </c>
      <c r="H27" t="s">
        <v>16</v>
      </c>
      <c r="I27" t="s">
        <v>131</v>
      </c>
      <c r="J27" t="s">
        <v>259</v>
      </c>
      <c r="K27" t="s">
        <v>260</v>
      </c>
      <c r="L27" t="s">
        <v>159</v>
      </c>
      <c r="M27" t="s">
        <v>148</v>
      </c>
      <c r="P27" s="1"/>
      <c r="Q27" s="1"/>
      <c r="R27" s="1"/>
      <c r="W27">
        <v>15</v>
      </c>
      <c r="X27">
        <v>85</v>
      </c>
      <c r="Y27">
        <f>Travaux_202521[[#This Row],[AC 2025]]+Travaux_202521[[#This Row],[TR 2025]]</f>
        <v>100</v>
      </c>
      <c r="Z27">
        <v>15</v>
      </c>
      <c r="AA27">
        <v>85</v>
      </c>
      <c r="AB27">
        <f>Travaux_202521[[#This Row],[AC 2025 Initiale]]+Travaux_202521[[#This Row],[TR 2025 Initiale]]</f>
        <v>100</v>
      </c>
      <c r="AC27">
        <f>Travaux_202521[[#This Row],[AC 2025]]-Travaux_202521[[#This Row],[AC 2025 Initiale]]</f>
        <v>0</v>
      </c>
      <c r="AD27">
        <f>Travaux_202521[[#This Row],[TR 2025]]-Travaux_202521[[#This Row],[TR 2025 Initiale]]</f>
        <v>0</v>
      </c>
      <c r="AE27">
        <f>Travaux_202521[[#This Row],[Écart AC 2025]]+Travaux_202521[[#This Row],[Écart TR 2025]]</f>
        <v>0</v>
      </c>
      <c r="AG27"/>
      <c r="AH27">
        <f>Travaux_202521[[#This Row],[AC 2026]]+Travaux_202521[[#This Row],[TR 2026]]</f>
        <v>0</v>
      </c>
      <c r="AK27">
        <f>Travaux_202521[[#This Row],[AC 2026 Initiale]]+Travaux_202521[[#This Row],[TR 2026 Initiale]]</f>
        <v>0</v>
      </c>
      <c r="AL27">
        <f>Travaux_202521[[#This Row],[AC 2026]]-Travaux_202521[[#This Row],[AC 2026 Initiale]]</f>
        <v>0</v>
      </c>
      <c r="AM27">
        <f>Travaux_202521[[#This Row],[TR 2026]]-Travaux_202521[[#This Row],[TR 2026 Initiale]]</f>
        <v>0</v>
      </c>
      <c r="AN27">
        <f>Travaux_202521[[#This Row],[Écart AC 2026]]+Travaux_202521[[#This Row],[Écart TR 2026]]</f>
        <v>0</v>
      </c>
      <c r="AY27"/>
      <c r="BE27" s="14">
        <f>SUM(Travaux_202521[[#This Row],[AC ANT]:[TR 2025]],Travaux_202521[[#This Row],[AC 2026]:[TR 2026]],Travaux_202521[[#This Row],[AC 2027]:[TR 2034]])</f>
        <v>100</v>
      </c>
    </row>
    <row r="28" spans="1:57" x14ac:dyDescent="0.3">
      <c r="J28">
        <f>SUBTOTAL(103,Travaux_202521[Numéro projet])</f>
        <v>13</v>
      </c>
      <c r="S28" s="14">
        <f>SUBTOTAL(109,Travaux_202521[AC ANT])</f>
        <v>6160</v>
      </c>
      <c r="T28" s="14">
        <f>SUBTOTAL(109,Travaux_202521[TR ANT])</f>
        <v>33242</v>
      </c>
      <c r="U28" s="14">
        <f>SUBTOTAL(109,Travaux_202521[AC 2024])</f>
        <v>1111</v>
      </c>
      <c r="V28" s="14">
        <f>SUBTOTAL(109,Travaux_202521[TR 2024])</f>
        <v>32184</v>
      </c>
      <c r="W28" s="14">
        <f>SUBTOTAL(109,Travaux_202521[AC 2025])</f>
        <v>2716</v>
      </c>
      <c r="X28" s="14">
        <f>SUBTOTAL(109,Travaux_202521[TR 2025])</f>
        <v>50278</v>
      </c>
      <c r="Y28" s="14">
        <f>SUBTOTAL(109,Travaux_202521[Actuel 2025])</f>
        <v>52994</v>
      </c>
      <c r="Z28" s="14">
        <f>SUBTOTAL(109,Travaux_202521[AC 2025 Initiale])</f>
        <v>2716</v>
      </c>
      <c r="AA28" s="14">
        <f>SUBTOTAL(109,Travaux_202521[TR 2025 Initiale])</f>
        <v>50278</v>
      </c>
      <c r="AB28" s="14">
        <f>SUBTOTAL(109,Travaux_202521[Initiale 2025])</f>
        <v>52994</v>
      </c>
      <c r="AC28" s="14">
        <f>SUBTOTAL(109,Travaux_202521[Écart AC 2025])</f>
        <v>0</v>
      </c>
      <c r="AD28" s="14">
        <f>SUBTOTAL(109,Travaux_202521[Écart TR 2025])</f>
        <v>0</v>
      </c>
      <c r="AE28" s="14">
        <f>SUBTOTAL(109,Travaux_202521[Écart 2025 Total])</f>
        <v>0</v>
      </c>
      <c r="AF28" s="14">
        <f>SUBTOTAL(109,Travaux_202521[AC 2026])</f>
        <v>60</v>
      </c>
      <c r="AG28" s="14">
        <f>SUBTOTAL(109,Travaux_202521[TR 2026])</f>
        <v>0</v>
      </c>
      <c r="AH28" s="14">
        <f>SUBTOTAL(109,Travaux_202521[Actuel 2026])</f>
        <v>60</v>
      </c>
      <c r="AI28" s="14">
        <f>SUBTOTAL(109,Travaux_202521[AC 2026 Initiale])</f>
        <v>60</v>
      </c>
      <c r="AJ28" s="14">
        <f>SUBTOTAL(109,Travaux_202521[TR 2026 Initiale])</f>
        <v>0</v>
      </c>
      <c r="AK28" s="14">
        <f>SUBTOTAL(109,Travaux_202521[Initiale 2026])</f>
        <v>60</v>
      </c>
      <c r="AL28" s="14">
        <f>SUBTOTAL(109,Travaux_202521[Écart AC 2026])</f>
        <v>0</v>
      </c>
      <c r="AM28" s="14">
        <f>SUBTOTAL(109,Travaux_202521[Écart TR 2026])</f>
        <v>0</v>
      </c>
      <c r="AN28" s="14">
        <f>SUBTOTAL(109,Travaux_202521[Écart 2026 Total])</f>
        <v>0</v>
      </c>
      <c r="AO28" s="14">
        <f>SUBTOTAL(109,Travaux_202521[AC 2027])</f>
        <v>0</v>
      </c>
      <c r="AP28" s="14">
        <f>SUBTOTAL(109,Travaux_202521[TR 2027])</f>
        <v>0</v>
      </c>
      <c r="AQ28" s="14">
        <f>SUBTOTAL(109,Travaux_202521[AC 2028])</f>
        <v>0</v>
      </c>
      <c r="AR28" s="14">
        <f>SUBTOTAL(109,Travaux_202521[TR 2028])</f>
        <v>0</v>
      </c>
      <c r="AS28" s="14">
        <f>SUBTOTAL(109,Travaux_202521[AC 2029])</f>
        <v>0</v>
      </c>
      <c r="AT28" s="14">
        <f>SUBTOTAL(109,Travaux_202521[TR 2029])</f>
        <v>0</v>
      </c>
      <c r="AU28" s="14">
        <f>SUBTOTAL(109,Travaux_202521[AC 2030])</f>
        <v>0</v>
      </c>
      <c r="AV28" s="14">
        <f>SUBTOTAL(109,Travaux_202521[TR 2030])</f>
        <v>0</v>
      </c>
      <c r="AW28" s="14">
        <f>SUBTOTAL(109,Travaux_202521[AC 2031])</f>
        <v>0</v>
      </c>
      <c r="AX28" s="14">
        <f>SUBTOTAL(109,Travaux_202521[TR 2031])</f>
        <v>0</v>
      </c>
      <c r="AY28" s="14">
        <f>SUBTOTAL(109,Travaux_202521[AC 2032])</f>
        <v>0</v>
      </c>
      <c r="AZ28" s="14">
        <f>SUBTOTAL(109,Travaux_202521[TR 2032])</f>
        <v>0</v>
      </c>
      <c r="BA28" s="14">
        <f>SUBTOTAL(109,Travaux_202521[AC 2033])</f>
        <v>0</v>
      </c>
      <c r="BB28" s="14">
        <f>SUBTOTAL(109,Travaux_202521[TR 2033])</f>
        <v>0</v>
      </c>
      <c r="BC28" s="14">
        <f>SUBTOTAL(109,Travaux_202521[AC 2034])</f>
        <v>0</v>
      </c>
      <c r="BD28" s="14">
        <f>SUBTOTAL(109,Travaux_202521[TR 2034])</f>
        <v>0</v>
      </c>
      <c r="BE28" s="14">
        <f>SUBTOTAL(109,Travaux_202521[Total Projet])</f>
        <v>125751</v>
      </c>
    </row>
    <row r="30" spans="1:57" x14ac:dyDescent="0.3">
      <c r="BA30" s="57"/>
      <c r="BB30" s="57"/>
      <c r="BC30" s="57"/>
      <c r="BD30" s="57"/>
      <c r="BE30" s="57"/>
    </row>
    <row r="64" spans="58:58" x14ac:dyDescent="0.3">
      <c r="BF64" s="57"/>
    </row>
    <row r="68" spans="58:58" x14ac:dyDescent="0.3">
      <c r="BF68" s="57"/>
    </row>
    <row r="144" spans="63:64" x14ac:dyDescent="0.3">
      <c r="BK144" s="57"/>
      <c r="BL144" s="57"/>
    </row>
  </sheetData>
  <mergeCells count="178">
    <mergeCell ref="AW13:AX13"/>
    <mergeCell ref="AY13:AZ13"/>
    <mergeCell ref="BA13:BB13"/>
    <mergeCell ref="BC13:BD13"/>
    <mergeCell ref="AI13:AJ13"/>
    <mergeCell ref="AL13:AN13"/>
    <mergeCell ref="AO13:AP13"/>
    <mergeCell ref="AQ13:AR13"/>
    <mergeCell ref="AS13:AT13"/>
    <mergeCell ref="AU13:AV13"/>
    <mergeCell ref="U13:V13"/>
    <mergeCell ref="W13:X13"/>
    <mergeCell ref="Z13:AA13"/>
    <mergeCell ref="AC13:AE13"/>
    <mergeCell ref="AF13:AG13"/>
    <mergeCell ref="AF12:AG12"/>
    <mergeCell ref="AI12:AJ12"/>
    <mergeCell ref="AL12:AN12"/>
    <mergeCell ref="AO12:AP12"/>
    <mergeCell ref="AW11:AX11"/>
    <mergeCell ref="AY11:AZ11"/>
    <mergeCell ref="BA11:BB11"/>
    <mergeCell ref="BC11:BD11"/>
    <mergeCell ref="S12:T12"/>
    <mergeCell ref="U12:V12"/>
    <mergeCell ref="W12:X12"/>
    <mergeCell ref="Z12:AA12"/>
    <mergeCell ref="AC12:AE12"/>
    <mergeCell ref="AF11:AG11"/>
    <mergeCell ref="AI11:AJ11"/>
    <mergeCell ref="AL11:AN11"/>
    <mergeCell ref="AO11:AP11"/>
    <mergeCell ref="AQ11:AR11"/>
    <mergeCell ref="AS11:AT11"/>
    <mergeCell ref="AU12:AV12"/>
    <mergeCell ref="AW12:AX12"/>
    <mergeCell ref="AY12:AZ12"/>
    <mergeCell ref="BA12:BB12"/>
    <mergeCell ref="BC12:BD12"/>
    <mergeCell ref="AQ12:AR12"/>
    <mergeCell ref="AS12:AT12"/>
    <mergeCell ref="S11:T11"/>
    <mergeCell ref="U11:V11"/>
    <mergeCell ref="W11:X11"/>
    <mergeCell ref="Z11:AA11"/>
    <mergeCell ref="AC11:AE11"/>
    <mergeCell ref="AF10:AG10"/>
    <mergeCell ref="AI10:AJ10"/>
    <mergeCell ref="AL10:AN10"/>
    <mergeCell ref="AO10:AP10"/>
    <mergeCell ref="AU9:AV9"/>
    <mergeCell ref="W9:X9"/>
    <mergeCell ref="Z9:AA9"/>
    <mergeCell ref="AC9:AE9"/>
    <mergeCell ref="AU11:AV11"/>
    <mergeCell ref="AW9:AX9"/>
    <mergeCell ref="AY9:AZ9"/>
    <mergeCell ref="BA9:BB9"/>
    <mergeCell ref="BC9:BD9"/>
    <mergeCell ref="S10:T10"/>
    <mergeCell ref="U10:V10"/>
    <mergeCell ref="W10:X10"/>
    <mergeCell ref="Z10:AA10"/>
    <mergeCell ref="AC10:AE10"/>
    <mergeCell ref="AF9:AG9"/>
    <mergeCell ref="AI9:AJ9"/>
    <mergeCell ref="AL9:AN9"/>
    <mergeCell ref="AO9:AP9"/>
    <mergeCell ref="AQ9:AR9"/>
    <mergeCell ref="AS9:AT9"/>
    <mergeCell ref="AU10:AV10"/>
    <mergeCell ref="AW10:AX10"/>
    <mergeCell ref="AY10:AZ10"/>
    <mergeCell ref="BA10:BB10"/>
    <mergeCell ref="BC10:BD10"/>
    <mergeCell ref="AQ10:AR10"/>
    <mergeCell ref="AS10:AT10"/>
    <mergeCell ref="S9:T9"/>
    <mergeCell ref="U9:V9"/>
    <mergeCell ref="J8:K8"/>
    <mergeCell ref="S8:T8"/>
    <mergeCell ref="U8:V8"/>
    <mergeCell ref="W8:X8"/>
    <mergeCell ref="Z8:AA8"/>
    <mergeCell ref="AC8:AE8"/>
    <mergeCell ref="AI7:AJ7"/>
    <mergeCell ref="AL7:AN7"/>
    <mergeCell ref="AO7:AP7"/>
    <mergeCell ref="BC8:BD8"/>
    <mergeCell ref="AQ8:AR8"/>
    <mergeCell ref="AS8:AT8"/>
    <mergeCell ref="S7:T7"/>
    <mergeCell ref="U7:V7"/>
    <mergeCell ref="W7:X7"/>
    <mergeCell ref="Z7:AA7"/>
    <mergeCell ref="AC7:AE7"/>
    <mergeCell ref="AF7:AG7"/>
    <mergeCell ref="AF8:AG8"/>
    <mergeCell ref="AI8:AJ8"/>
    <mergeCell ref="AL8:AN8"/>
    <mergeCell ref="AO8:AP8"/>
    <mergeCell ref="AW7:AX7"/>
    <mergeCell ref="AY7:AZ7"/>
    <mergeCell ref="BA7:BB7"/>
    <mergeCell ref="BC7:BD7"/>
    <mergeCell ref="AQ7:AR7"/>
    <mergeCell ref="AS7:AT7"/>
    <mergeCell ref="AU7:AV7"/>
    <mergeCell ref="AU8:AV8"/>
    <mergeCell ref="AW8:AX8"/>
    <mergeCell ref="AY8:AZ8"/>
    <mergeCell ref="BA8:BB8"/>
    <mergeCell ref="AI6:AJ6"/>
    <mergeCell ref="AL6:AN6"/>
    <mergeCell ref="AO6:AP6"/>
    <mergeCell ref="BA5:BB5"/>
    <mergeCell ref="BC5:BD5"/>
    <mergeCell ref="S6:T6"/>
    <mergeCell ref="U6:V6"/>
    <mergeCell ref="W6:X6"/>
    <mergeCell ref="Z6:AA6"/>
    <mergeCell ref="AC6:AE6"/>
    <mergeCell ref="AF6:AG6"/>
    <mergeCell ref="AI5:AJ5"/>
    <mergeCell ref="AL5:AN5"/>
    <mergeCell ref="AO5:AP5"/>
    <mergeCell ref="AQ5:AR5"/>
    <mergeCell ref="AS5:AT5"/>
    <mergeCell ref="AU5:AV5"/>
    <mergeCell ref="AW6:AX6"/>
    <mergeCell ref="AY6:AZ6"/>
    <mergeCell ref="BA6:BB6"/>
    <mergeCell ref="BC6:BD6"/>
    <mergeCell ref="AQ6:AR6"/>
    <mergeCell ref="AS6:AT6"/>
    <mergeCell ref="AU6:AV6"/>
    <mergeCell ref="AW4:AX4"/>
    <mergeCell ref="AY4:AZ4"/>
    <mergeCell ref="BA4:BB4"/>
    <mergeCell ref="BC4:BD4"/>
    <mergeCell ref="S5:T5"/>
    <mergeCell ref="U5:V5"/>
    <mergeCell ref="W5:X5"/>
    <mergeCell ref="Z5:AA5"/>
    <mergeCell ref="AC5:AE5"/>
    <mergeCell ref="AF5:AG5"/>
    <mergeCell ref="AI4:AJ4"/>
    <mergeCell ref="AL4:AN4"/>
    <mergeCell ref="AO4:AP4"/>
    <mergeCell ref="AQ4:AR4"/>
    <mergeCell ref="AS4:AT4"/>
    <mergeCell ref="AU4:AV4"/>
    <mergeCell ref="S4:T4"/>
    <mergeCell ref="U4:V4"/>
    <mergeCell ref="W4:X4"/>
    <mergeCell ref="Z4:AA4"/>
    <mergeCell ref="AC4:AE4"/>
    <mergeCell ref="AF4:AG4"/>
    <mergeCell ref="AW5:AX5"/>
    <mergeCell ref="AY5:AZ5"/>
    <mergeCell ref="AY3:AZ3"/>
    <mergeCell ref="BA3:BB3"/>
    <mergeCell ref="BC3:BD3"/>
    <mergeCell ref="AC3:AE3"/>
    <mergeCell ref="AF3:AG3"/>
    <mergeCell ref="AI3:AJ3"/>
    <mergeCell ref="AL3:AN3"/>
    <mergeCell ref="AO3:AP3"/>
    <mergeCell ref="AQ3:AR3"/>
    <mergeCell ref="Q2:R2"/>
    <mergeCell ref="Q3:R3"/>
    <mergeCell ref="S3:T3"/>
    <mergeCell ref="U3:V3"/>
    <mergeCell ref="W3:X3"/>
    <mergeCell ref="Z3:AA3"/>
    <mergeCell ref="AS3:AT3"/>
    <mergeCell ref="AU3:AV3"/>
    <mergeCell ref="AW3:AX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A75B-9FF0-4F6D-81D0-D59F1CD4B25C}">
  <dimension ref="A1:BL144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customWidth="1"/>
    <col min="14" max="14" width="31.88671875" customWidth="1"/>
    <col min="15" max="15" width="32.88671875" customWidth="1"/>
    <col min="16" max="17" width="13.6640625" hidden="1" customWidth="1" outlineLevel="1"/>
    <col min="18" max="18" width="13" hidden="1" customWidth="1" outlineLevel="1"/>
    <col min="19" max="19" width="12.33203125" hidden="1" customWidth="1" outlineLevel="1"/>
    <col min="20" max="20" width="13" hidden="1" customWidth="1" outlineLevel="1"/>
    <col min="21" max="22" width="9.44140625" hidden="1" customWidth="1" outlineLevel="1"/>
    <col min="23" max="23" width="9.5546875" hidden="1" customWidth="1" outlineLevel="1" collapsed="1"/>
    <col min="24" max="24" width="9.5546875" hidden="1" customWidth="1" outlineLevel="1"/>
    <col min="25" max="25" width="9.5546875" customWidth="1" collapsed="1"/>
    <col min="26" max="26" width="13.33203125" hidden="1" customWidth="1" outlineLevel="1"/>
    <col min="27" max="28" width="11.5546875" hidden="1" customWidth="1" outlineLevel="1"/>
    <col min="29" max="29" width="8.33203125" hidden="1" customWidth="1" outlineLevel="1" collapsed="1"/>
    <col min="30" max="30" width="9" hidden="1" customWidth="1" outlineLevel="1"/>
    <col min="31" max="31" width="8.6640625" customWidth="1" collapsed="1"/>
    <col min="32" max="32" width="9" hidden="1" customWidth="1" outlineLevel="1"/>
    <col min="33" max="33" width="9.88671875" style="25" hidden="1" customWidth="1" outlineLevel="1"/>
    <col min="34" max="34" width="9.88671875" style="25" customWidth="1" collapsed="1"/>
    <col min="35" max="35" width="9.6640625" hidden="1" customWidth="1" outlineLevel="1"/>
    <col min="36" max="36" width="12.109375" hidden="1" customWidth="1" outlineLevel="1" collapsed="1"/>
    <col min="37" max="37" width="12.109375" hidden="1" customWidth="1" outlineLevel="1"/>
    <col min="38" max="38" width="8.109375" hidden="1" customWidth="1" outlineLevel="1" collapsed="1"/>
    <col min="39" max="39" width="8.109375" hidden="1" customWidth="1" outlineLevel="1"/>
    <col min="40" max="40" width="8.109375" customWidth="1" collapsed="1"/>
    <col min="41" max="41" width="7.44140625" hidden="1" customWidth="1" outlineLevel="1"/>
    <col min="42" max="42" width="9.44140625" hidden="1" customWidth="1" outlineLevel="1"/>
    <col min="43" max="43" width="10.33203125" hidden="1" customWidth="1" outlineLevel="1"/>
    <col min="44" max="44" width="9.5546875" hidden="1" customWidth="1" outlineLevel="1"/>
    <col min="45" max="50" width="9.88671875" hidden="1" customWidth="1" outlineLevel="1"/>
    <col min="51" max="51" width="9.88671875" style="8" hidden="1" customWidth="1" outlineLevel="1"/>
    <col min="52" max="56" width="9.88671875" hidden="1" customWidth="1" outlineLevel="1"/>
    <col min="57" max="57" width="15.5546875" customWidth="1" collapsed="1"/>
    <col min="58" max="58" width="13.33203125" hidden="1" customWidth="1"/>
    <col min="59" max="61" width="9.88671875" customWidth="1"/>
    <col min="62" max="62" width="16.109375" customWidth="1"/>
    <col min="63" max="63" width="17" customWidth="1"/>
    <col min="64" max="74" width="11.33203125" customWidth="1"/>
    <col min="75" max="75" width="12.5546875" customWidth="1"/>
    <col min="76" max="76" width="13.44140625" customWidth="1"/>
    <col min="77" max="77" width="13.109375" customWidth="1"/>
    <col min="78" max="78" width="14" customWidth="1"/>
    <col min="79" max="84" width="17.33203125" customWidth="1"/>
    <col min="85" max="85" width="18.109375" customWidth="1"/>
    <col min="86" max="86" width="17.5546875" customWidth="1"/>
  </cols>
  <sheetData>
    <row r="1" spans="1:60" ht="21" x14ac:dyDescent="0.4">
      <c r="A1" s="85"/>
      <c r="B1" s="85"/>
      <c r="C1" s="85"/>
      <c r="D1" s="85"/>
      <c r="E1" s="85"/>
      <c r="F1" s="85"/>
      <c r="J1" s="32" t="s">
        <v>569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7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85"/>
      <c r="BH1" s="85"/>
    </row>
    <row r="2" spans="1:60" x14ac:dyDescent="0.3">
      <c r="J2" s="189" t="s">
        <v>562</v>
      </c>
      <c r="K2" s="190"/>
      <c r="Q2" s="314"/>
      <c r="R2" s="314"/>
      <c r="S2" s="25"/>
      <c r="T2" s="25"/>
      <c r="U2" s="25"/>
      <c r="V2" s="8"/>
      <c r="AG2"/>
      <c r="AH2"/>
      <c r="AY2"/>
    </row>
    <row r="3" spans="1:60" ht="26.4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188"/>
      <c r="Z3" s="297" t="s">
        <v>553</v>
      </c>
      <c r="AA3" s="298"/>
      <c r="AB3" s="200"/>
      <c r="AC3" s="311" t="s">
        <v>554</v>
      </c>
      <c r="AD3" s="312"/>
      <c r="AE3" s="313"/>
      <c r="AF3" s="300" t="s">
        <v>266</v>
      </c>
      <c r="AG3" s="300"/>
      <c r="AH3" s="188"/>
      <c r="AI3" s="297" t="s">
        <v>557</v>
      </c>
      <c r="AJ3" s="298"/>
      <c r="AK3" s="200"/>
      <c r="AL3" s="308" t="s">
        <v>558</v>
      </c>
      <c r="AM3" s="309"/>
      <c r="AN3" s="310"/>
      <c r="AO3" s="300">
        <v>2027</v>
      </c>
      <c r="AP3" s="294"/>
      <c r="AQ3" s="293">
        <v>2028</v>
      </c>
      <c r="AR3" s="294"/>
      <c r="AS3" s="293">
        <v>2029</v>
      </c>
      <c r="AT3" s="294"/>
      <c r="AU3" s="293">
        <v>2030</v>
      </c>
      <c r="AV3" s="294"/>
      <c r="AW3" s="293">
        <v>2031</v>
      </c>
      <c r="AX3" s="294"/>
      <c r="AY3" s="293">
        <v>2032</v>
      </c>
      <c r="AZ3" s="294"/>
      <c r="BA3" s="293">
        <v>2033</v>
      </c>
      <c r="BB3" s="294"/>
      <c r="BC3" s="293">
        <v>2034</v>
      </c>
      <c r="BD3" s="294"/>
      <c r="BE3" s="26" t="s">
        <v>269</v>
      </c>
      <c r="BF3" s="26" t="s">
        <v>8</v>
      </c>
    </row>
    <row r="4" spans="1:60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SUMIFS(Travaux_202619[AC 2024],Travaux_202619[DES_COMPL_NATR_COMPB],"=Fonctionnement")+SUMIFS(Travaux_202619[TR 2024],Travaux_202619[DES_COMPL_NATR_COMPB],"=Fonctionnement")</f>
        <v>0</v>
      </c>
      <c r="V4" s="260"/>
      <c r="W4" s="295">
        <f>SUMIFS(Travaux_202619[AC 2025],Travaux_202619[DES_COMPL_NATR_COMPB],"=Fonctionnement")+SUMIFS(Travaux_202619[TR 2025],Travaux_202619[DES_COMPL_NATR_COMPB],"=Fonctionnement")</f>
        <v>0</v>
      </c>
      <c r="X4" s="296"/>
      <c r="Y4" s="187"/>
      <c r="Z4" s="334">
        <f>SUMIFS(Travaux_202619[AC 2025 Initiale],Travaux_202619[DES_COMPL_NATR_COMPB],"=Fonctionnement")+SUMIFS(Travaux_202619[TR 2025 Initiale],Travaux_202619[DES_COMPL_NATR_COMPB],"=Fonctionnement")</f>
        <v>0</v>
      </c>
      <c r="AA4" s="296"/>
      <c r="AB4" s="78"/>
      <c r="AC4" s="279"/>
      <c r="AD4" s="260"/>
      <c r="AE4" s="280"/>
      <c r="AF4" s="334">
        <f>SUMIFS(Travaux_202619[AC 2026],Travaux_202619[DES_COMPL_NATR_COMPB],"=Fonctionnement")+SUMIFS(Travaux_202619[TR 2026],Travaux_202619[DES_COMPL_NATR_COMPB],"=Fonctionnement")</f>
        <v>0</v>
      </c>
      <c r="AG4" s="295"/>
      <c r="AH4" s="187"/>
      <c r="AI4" s="295">
        <f>SUMIFS(Travaux_202619[AC 2026 Initiale],Travaux_202619[DES_COMPL_NATR_COMPB],"=Fonctionnement")+SUMIFS(Travaux_202619[TR 2026 Initiale],Travaux_202619[DES_COMPL_NATR_COMPB],"=Fonctionnement")</f>
        <v>0</v>
      </c>
      <c r="AJ4" s="296"/>
      <c r="AK4" s="78"/>
      <c r="AL4" s="279"/>
      <c r="AM4" s="260"/>
      <c r="AN4" s="280"/>
      <c r="AO4" s="334">
        <f>SUMIFS(Travaux_202619[AC 2027],Travaux_202619[DES_COMPL_NATR_COMPB],"=Fonctionnement")+SUMIFS(Travaux_202619[TR 2027],Travaux_202619[DES_COMPL_NATR_COMPB],"=Fonctionnement")</f>
        <v>0</v>
      </c>
      <c r="AP4" s="295"/>
      <c r="AQ4" s="295">
        <f>SUMIFS(Travaux_202619[AC 2028],Travaux_202619[DES_COMPL_NATR_COMPB],"=Fonctionnement")+SUMIFS(Travaux_202619[TR 2028],Travaux_202619[DES_COMPL_NATR_COMPB],"=Fonctionnement")</f>
        <v>0</v>
      </c>
      <c r="AR4" s="295"/>
      <c r="AS4" s="295">
        <f>SUMIFS(Travaux_202619[AC 2029],Travaux_202619[DES_COMPL_NATR_COMPB],"=Fonctionnement")+SUMIFS(Travaux_202619[TR 2029],Travaux_202619[DES_COMPL_NATR_COMPB],"=Fonctionnement")</f>
        <v>0</v>
      </c>
      <c r="AT4" s="295"/>
      <c r="AU4" s="295">
        <f>SUMIFS(Travaux_202619[AC 2030],Travaux_202619[DES_COMPL_NATR_COMPB],"=Fonctionnement")+SUMIFS(Travaux_202619[TR 2030],Travaux_202619[DES_COMPL_NATR_COMPB],"=Fonctionnement")</f>
        <v>0</v>
      </c>
      <c r="AV4" s="295"/>
      <c r="AW4" s="295">
        <f>SUMIFS(Travaux_202619[AC 2031],Travaux_202619[DES_COMPL_NATR_COMPB],"=Fonctionnement")+SUMIFS(Travaux_202619[TR 2031],Travaux_202619[DES_COMPL_NATR_COMPB],"=Fonctionnement")</f>
        <v>0</v>
      </c>
      <c r="AX4" s="295"/>
      <c r="AY4" s="295">
        <f>SUMIFS(Travaux_202619[AC 2032],Travaux_202619[DES_COMPL_NATR_COMPB],"=Fonctionnement")+SUMIFS(Travaux_202619[TR 2032],Travaux_202619[DES_COMPL_NATR_COMPB],"=Fonctionnement")</f>
        <v>0</v>
      </c>
      <c r="AZ4" s="295"/>
      <c r="BA4" s="295">
        <f>SUMIFS(Travaux_202619[AC 2033],Travaux_202619[DES_COMPL_NATR_COMPB],"=Fonctionnement")+SUMIFS(Travaux_202619[TR 2033],Travaux_202619[DES_COMPL_NATR_COMPB],"=Fonctionnement")</f>
        <v>0</v>
      </c>
      <c r="BB4" s="295"/>
      <c r="BC4" s="295">
        <f>SUMIFS(Travaux_202619[AC 2034],Travaux_202619[DES_COMPL_NATR_COMPB],"=Fonctionnement")+SUMIFS(Travaux_202619[TR 2034],Travaux_202619[DES_COMPL_NATR_COMPB],"=Fonctionnement")</f>
        <v>0</v>
      </c>
      <c r="BD4" s="295"/>
      <c r="BE4" s="16">
        <f t="shared" ref="BE4:BE12" si="0">SUM(W4,AF4)</f>
        <v>0</v>
      </c>
      <c r="BF4" s="16">
        <f t="shared" ref="BF4:BF11" si="1">SUM(W4,AF4,AO4:BD4)</f>
        <v>0</v>
      </c>
    </row>
    <row r="5" spans="1:60" x14ac:dyDescent="0.3">
      <c r="J5" s="27" t="s">
        <v>12</v>
      </c>
      <c r="K5" s="28" t="s">
        <v>13</v>
      </c>
      <c r="R5" s="104" t="s">
        <v>15</v>
      </c>
      <c r="S5" s="279">
        <f>SUMIFS(Travaux_202619[AC ANT],Travaux_202619[État Composante AC],"=PR")</f>
        <v>801</v>
      </c>
      <c r="T5" s="260"/>
      <c r="U5" s="260">
        <f>SUMIFS(Travaux_202619[AC 2024],Travaux_202619[État Composante AC],"=PR")</f>
        <v>1009</v>
      </c>
      <c r="V5" s="260"/>
      <c r="W5" s="260">
        <f>SUMIFS(Travaux_202619[AC 2025],Travaux_202619[État Composante AC],"=PR")</f>
        <v>1028</v>
      </c>
      <c r="X5" s="280"/>
      <c r="Y5" s="78"/>
      <c r="Z5" s="279">
        <f>SUMIFS(Travaux_202619[AC 2025 Initiale],Travaux_202619[État Composante AC],"=PR")</f>
        <v>1028</v>
      </c>
      <c r="AA5" s="280"/>
      <c r="AB5" s="78"/>
      <c r="AC5" s="279">
        <f>SUMIFS(Travaux_202619[Écart AC 2025],Travaux_202619[État Composante AC],"=PR")</f>
        <v>0</v>
      </c>
      <c r="AD5" s="260"/>
      <c r="AE5" s="280"/>
      <c r="AF5" s="279">
        <f>SUMIFS(Travaux_202619[AC 2026],Travaux_202619[État Composante AC],"=PR")</f>
        <v>3977</v>
      </c>
      <c r="AG5" s="260"/>
      <c r="AH5" s="78"/>
      <c r="AI5" s="260">
        <f>SUMIFS(Travaux_202619[AC 2026 Initiale],Travaux_202619[État Composante AC],"=PR")</f>
        <v>3977</v>
      </c>
      <c r="AJ5" s="280"/>
      <c r="AK5" s="78"/>
      <c r="AL5" s="279">
        <f>SUMIFS(Travaux_202619[Écart AC 2026],Travaux_202619[État Composante AC],"=PR")</f>
        <v>0</v>
      </c>
      <c r="AM5" s="260"/>
      <c r="AN5" s="280"/>
      <c r="AO5" s="279">
        <f>SUMIFS(Travaux_202619[AC 2027],Travaux_202619[État Composante AC],"=PR")</f>
        <v>96</v>
      </c>
      <c r="AP5" s="260"/>
      <c r="AQ5" s="260">
        <f>SUMIFS(Travaux_202619[AC 2028],Travaux_202619[État Composante AC],"=PR")</f>
        <v>159</v>
      </c>
      <c r="AR5" s="260"/>
      <c r="AS5" s="260">
        <f>SUMIFS(Travaux_202619[AC 2029],Travaux_202619[État Composante AC],"=PR")</f>
        <v>212.00000000000003</v>
      </c>
      <c r="AT5" s="260"/>
      <c r="AU5" s="260">
        <f>SUMIFS(Travaux_202619[AC 2030],Travaux_202619[État Composante AC],"=PR")</f>
        <v>212</v>
      </c>
      <c r="AV5" s="260"/>
      <c r="AW5" s="260">
        <f>SUMIFS(Travaux_202619[AC 2031],Travaux_202619[État Composante AC],"=PR")</f>
        <v>0</v>
      </c>
      <c r="AX5" s="260"/>
      <c r="AY5" s="260">
        <f>SUMIFS(Travaux_202619[AC 2032],Travaux_202619[État Composante AC],"=PR")</f>
        <v>0</v>
      </c>
      <c r="AZ5" s="260"/>
      <c r="BA5" s="260">
        <f>SUMIFS(Travaux_202619[AC 2033],Travaux_202619[État Composante AC],"=PR")</f>
        <v>0</v>
      </c>
      <c r="BB5" s="260"/>
      <c r="BC5" s="260">
        <f>SUMIFS(Travaux_202619[AC 2034],Travaux_202619[État Composante AC],"=PR")</f>
        <v>0</v>
      </c>
      <c r="BD5" s="260"/>
      <c r="BE5" s="16">
        <f t="shared" si="0"/>
        <v>5005</v>
      </c>
      <c r="BF5" s="16">
        <f t="shared" si="1"/>
        <v>5684</v>
      </c>
    </row>
    <row r="6" spans="1:60" ht="15" thickBot="1" x14ac:dyDescent="0.35">
      <c r="J6" s="29" t="s">
        <v>16</v>
      </c>
      <c r="K6" s="28" t="s">
        <v>17</v>
      </c>
      <c r="R6" s="83" t="s">
        <v>19</v>
      </c>
      <c r="S6" s="279">
        <f>SUMIFS(Travaux_202619[TR ANT],Travaux_202619[État Composante TR],"=PR")</f>
        <v>41</v>
      </c>
      <c r="T6" s="260"/>
      <c r="U6" s="260">
        <f>SUMIFS(Travaux_202619[TR 2024],Travaux_202619[État Composante TR],"=PR")</f>
        <v>0</v>
      </c>
      <c r="V6" s="260"/>
      <c r="W6" s="260">
        <f>SUMIFS(Travaux_202619[TR 2025],Travaux_202619[État Composante TR],"=PR")</f>
        <v>0</v>
      </c>
      <c r="X6" s="280"/>
      <c r="Y6" s="78"/>
      <c r="Z6" s="279">
        <f>SUMIFS(Travaux_202619[TR 2025 Initiale],Travaux_202619[État Composante TR],"=PR")</f>
        <v>0</v>
      </c>
      <c r="AA6" s="280"/>
      <c r="AB6" s="78"/>
      <c r="AC6" s="279">
        <f>SUMIFS(Travaux_202619[Écart TR 2025],Travaux_202619[État Composante TR],"=PR")</f>
        <v>0</v>
      </c>
      <c r="AD6" s="260"/>
      <c r="AE6" s="280"/>
      <c r="AF6" s="279">
        <f>SUMIFS(Travaux_202619[TR 2026],Travaux_202619[État Composante TR],"=PR")</f>
        <v>66512</v>
      </c>
      <c r="AG6" s="260"/>
      <c r="AH6" s="78"/>
      <c r="AI6" s="260">
        <f>SUMIFS(Travaux_202619[TR 2026 Initiale],Travaux_202619[État Composante TR],"=PR")</f>
        <v>66512</v>
      </c>
      <c r="AJ6" s="280"/>
      <c r="AK6" s="78"/>
      <c r="AL6" s="279">
        <f>SUMIFS(Travaux_202619[Écart TR 2026],Travaux_202619[État Composante TR],"=PR")</f>
        <v>0</v>
      </c>
      <c r="AM6" s="260"/>
      <c r="AN6" s="280"/>
      <c r="AO6" s="279">
        <f>SUMIFS(Travaux_202619[TR 2027],Travaux_202619[État Composante TR],"=PR")</f>
        <v>5749</v>
      </c>
      <c r="AP6" s="260"/>
      <c r="AQ6" s="331">
        <f>SUMIFS(Travaux_202619[TR 2028],Travaux_202619[État Composante TR],"=PR")</f>
        <v>4929</v>
      </c>
      <c r="AR6" s="331"/>
      <c r="AS6" s="331">
        <f>SUMIFS(Travaux_202619[TR 2029],Travaux_202619[État Composante TR],"=PR")</f>
        <v>6707.0000000000009</v>
      </c>
      <c r="AT6" s="331"/>
      <c r="AU6" s="331">
        <f>SUMIFS(Travaux_202619[TR 2030],Travaux_202619[État Composante TR],"=PR")</f>
        <v>6846.0000000000018</v>
      </c>
      <c r="AV6" s="331"/>
      <c r="AW6" s="331">
        <f>SUMIFS(Travaux_202619[TR 2031],Travaux_202619[État Composante TR],"=PR")</f>
        <v>0</v>
      </c>
      <c r="AX6" s="331"/>
      <c r="AY6" s="331">
        <f>SUMIFS(Travaux_202619[TR 2032],Travaux_202619[État Composante TR],"=PR")</f>
        <v>0</v>
      </c>
      <c r="AZ6" s="331"/>
      <c r="BA6" s="331">
        <f>SUMIFS(Travaux_202619[TR 2033],Travaux_202619[État Composante TR],"=PR")</f>
        <v>0</v>
      </c>
      <c r="BB6" s="331"/>
      <c r="BC6" s="331">
        <f>SUMIFS(Travaux_202619[TR 2034],Travaux_202619[État Composante TR],"=PR")</f>
        <v>0</v>
      </c>
      <c r="BD6" s="331"/>
      <c r="BE6" s="16">
        <f t="shared" si="0"/>
        <v>66512</v>
      </c>
      <c r="BF6" s="16">
        <f t="shared" si="1"/>
        <v>90743</v>
      </c>
    </row>
    <row r="7" spans="1:60" ht="15" thickTop="1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842</v>
      </c>
      <c r="T7" s="262"/>
      <c r="U7" s="262">
        <f>U5+U6</f>
        <v>1009</v>
      </c>
      <c r="V7" s="262"/>
      <c r="W7" s="262">
        <f>W5+W6</f>
        <v>1028</v>
      </c>
      <c r="X7" s="289"/>
      <c r="Y7" s="20"/>
      <c r="Z7" s="288">
        <f>Z5+Z6</f>
        <v>1028</v>
      </c>
      <c r="AA7" s="289"/>
      <c r="AB7" s="20"/>
      <c r="AC7" s="290">
        <f>AC5+AC6</f>
        <v>0</v>
      </c>
      <c r="AD7" s="292"/>
      <c r="AE7" s="291"/>
      <c r="AF7" s="290">
        <f>AF5+AF6</f>
        <v>70489</v>
      </c>
      <c r="AG7" s="291"/>
      <c r="AH7" s="20"/>
      <c r="AI7" s="288">
        <f>AI5+AI6</f>
        <v>70489</v>
      </c>
      <c r="AJ7" s="289"/>
      <c r="AK7" s="20"/>
      <c r="AL7" s="290">
        <f>AL5+AL6</f>
        <v>0</v>
      </c>
      <c r="AM7" s="292"/>
      <c r="AN7" s="291"/>
      <c r="AO7" s="288">
        <f>AO5+AO6</f>
        <v>5845</v>
      </c>
      <c r="AP7" s="262"/>
      <c r="AQ7" s="325">
        <f>AQ5+AQ6</f>
        <v>5088</v>
      </c>
      <c r="AR7" s="325"/>
      <c r="AS7" s="325">
        <f>AS5+AS6</f>
        <v>6919.0000000000009</v>
      </c>
      <c r="AT7" s="325"/>
      <c r="AU7" s="325">
        <f>AU5+AU6</f>
        <v>7058.0000000000018</v>
      </c>
      <c r="AV7" s="325"/>
      <c r="AW7" s="325">
        <f>AW5+AW6</f>
        <v>0</v>
      </c>
      <c r="AX7" s="325"/>
      <c r="AY7" s="325">
        <f>AY5+AY6</f>
        <v>0</v>
      </c>
      <c r="AZ7" s="325"/>
      <c r="BA7" s="325">
        <f>BA5+BA6</f>
        <v>0</v>
      </c>
      <c r="BB7" s="325"/>
      <c r="BC7" s="325">
        <f>BC5+BC6</f>
        <v>0</v>
      </c>
      <c r="BD7" s="325"/>
      <c r="BE7" s="20">
        <f t="shared" si="0"/>
        <v>71517</v>
      </c>
      <c r="BF7" s="20">
        <f t="shared" si="1"/>
        <v>96427</v>
      </c>
    </row>
    <row r="8" spans="1:60" x14ac:dyDescent="0.3">
      <c r="J8" s="329" t="s">
        <v>563</v>
      </c>
      <c r="K8" s="330"/>
      <c r="R8" s="83" t="s">
        <v>25</v>
      </c>
      <c r="S8" s="279">
        <f>SUMIFS(Travaux_202619[AC ANT],Travaux_202619[État Composante AC],"&lt;&gt;PR")</f>
        <v>0</v>
      </c>
      <c r="T8" s="260"/>
      <c r="U8" s="260">
        <f>SUMIFS(Travaux_202619[AC 2024],Travaux_202619[État Composante AC],"&lt;&gt;PR")</f>
        <v>0</v>
      </c>
      <c r="V8" s="260"/>
      <c r="W8" s="260">
        <f>SUMIFS(Travaux_202619[AC 2025],Travaux_202619[État Composante AC],"&lt;&gt;PR")</f>
        <v>0</v>
      </c>
      <c r="X8" s="280"/>
      <c r="Y8" s="78"/>
      <c r="Z8" s="279">
        <f>SUMIFS(Travaux_202619[AC 2025 Initiale],Travaux_202619[État Composante AC],"&lt;&gt;PR")</f>
        <v>0</v>
      </c>
      <c r="AA8" s="280"/>
      <c r="AB8" s="78"/>
      <c r="AC8" s="326">
        <f>SUMIFS(Travaux_202619[Écart AC 2025],Travaux_202619[État Composante AC],"&lt;&gt;PR")</f>
        <v>0</v>
      </c>
      <c r="AD8" s="327"/>
      <c r="AE8" s="328"/>
      <c r="AF8" s="326">
        <f>SUMIFS(Travaux_202619[AC 2026],Travaux_202619[État Composante AC],"&lt;&gt;PR")</f>
        <v>0</v>
      </c>
      <c r="AG8" s="327"/>
      <c r="AH8" s="78"/>
      <c r="AI8" s="260">
        <f>SUMIFS(Travaux_202619[AC 2026 Initiale],Travaux_202619[État Composante AC],"&lt;&gt;PR")</f>
        <v>0</v>
      </c>
      <c r="AJ8" s="280"/>
      <c r="AK8" s="78"/>
      <c r="AL8" s="326">
        <f>SUMIFS(Travaux_202619[Écart AC 2026],Travaux_202619[État Composante AC],"&lt;&gt;PR")</f>
        <v>0</v>
      </c>
      <c r="AM8" s="327"/>
      <c r="AN8" s="328"/>
      <c r="AO8" s="279">
        <f>SUMIFS(Travaux_202619[AC 2027],Travaux_202619[État Composante AC],"&lt;&gt;PR")</f>
        <v>0</v>
      </c>
      <c r="AP8" s="260"/>
      <c r="AQ8" s="260">
        <f>SUMIFS(Travaux_202619[AC 2028],Travaux_202619[État Composante AC],"&lt;&gt;PR")</f>
        <v>0</v>
      </c>
      <c r="AR8" s="260"/>
      <c r="AS8" s="260">
        <f>SUMIFS(Travaux_202619[AC 2029],Travaux_202619[État Composante AC],"&lt;&gt;PR")</f>
        <v>0</v>
      </c>
      <c r="AT8" s="260"/>
      <c r="AU8" s="260">
        <f>SUMIFS(Travaux_202619[AC 2030],Travaux_202619[État Composante AC],"&lt;&gt;PR")</f>
        <v>0</v>
      </c>
      <c r="AV8" s="260"/>
      <c r="AW8" s="260">
        <f>SUMIFS(Travaux_202619[AC 2031],Travaux_202619[État Composante AC],"&lt;&gt;PR")</f>
        <v>0</v>
      </c>
      <c r="AX8" s="260"/>
      <c r="AY8" s="260">
        <f>SUMIFS(Travaux_202619[AC 2032],Travaux_202619[État Composante AC],"&lt;&gt;PR")</f>
        <v>0</v>
      </c>
      <c r="AZ8" s="260"/>
      <c r="BA8" s="260">
        <f>SUMIFS(Travaux_202619[AC 2033],Travaux_202619[État Composante AC],"&lt;&gt;PR")</f>
        <v>0</v>
      </c>
      <c r="BB8" s="260"/>
      <c r="BC8" s="260">
        <f>SUMIFS(Travaux_202619[AC 2034],Travaux_202619[État Composante AC],"&lt;&gt;PR")</f>
        <v>0</v>
      </c>
      <c r="BD8" s="260"/>
      <c r="BE8" s="16">
        <f t="shared" si="0"/>
        <v>0</v>
      </c>
      <c r="BF8" s="16">
        <f t="shared" si="1"/>
        <v>0</v>
      </c>
    </row>
    <row r="9" spans="1:60" x14ac:dyDescent="0.3">
      <c r="J9" s="191"/>
      <c r="K9" s="28" t="s">
        <v>564</v>
      </c>
      <c r="R9" s="83" t="s">
        <v>27</v>
      </c>
      <c r="S9" s="279">
        <f>SUMIFS(Travaux_202619[TR ANT],Travaux_202619[État Composante TR],"&lt;&gt;PR")</f>
        <v>0</v>
      </c>
      <c r="T9" s="260"/>
      <c r="U9" s="260">
        <f>SUMIFS(Travaux_202619[TR 2024],Travaux_202619[État Composante TR],"&lt;&gt;PR")</f>
        <v>0</v>
      </c>
      <c r="V9" s="260"/>
      <c r="W9" s="260">
        <f>SUMIFS(Travaux_202619[TR 2025],Travaux_202619[État Composante TR],"&lt;&gt;PR")</f>
        <v>0</v>
      </c>
      <c r="X9" s="280"/>
      <c r="Y9" s="78"/>
      <c r="Z9" s="279">
        <f>SUMIFS(Travaux_202619[TR 2025 Initiale],Travaux_202619[État Composante TR],"&lt;&gt;PR")</f>
        <v>0</v>
      </c>
      <c r="AA9" s="280"/>
      <c r="AB9" s="78"/>
      <c r="AC9" s="279">
        <f>SUMIFS(Travaux_202619[Écart TR 2025],Travaux_202619[État Composante TR],"&lt;&gt;PR")</f>
        <v>0</v>
      </c>
      <c r="AD9" s="260"/>
      <c r="AE9" s="280"/>
      <c r="AF9" s="279">
        <f>SUMIFS(Travaux_202619[TR 2026],Travaux_202619[État Composante TR],"&lt;&gt;PR")</f>
        <v>0</v>
      </c>
      <c r="AG9" s="260"/>
      <c r="AH9" s="78"/>
      <c r="AI9" s="260">
        <f>SUMIFS(Travaux_202619[TR 2026 Initiale],Travaux_202619[État Composante TR],"&lt;&gt;PR")</f>
        <v>0</v>
      </c>
      <c r="AJ9" s="280"/>
      <c r="AK9" s="78"/>
      <c r="AL9" s="279">
        <f>SUMIFS(Travaux_202619[Écart TR 2026],Travaux_202619[État Composante TR],"&lt;&gt;PR")</f>
        <v>0</v>
      </c>
      <c r="AM9" s="260"/>
      <c r="AN9" s="280"/>
      <c r="AO9" s="279">
        <f>SUMIFS(Travaux_202619[TR 2027],Travaux_202619[État Composante TR],"&lt;&gt;PR")</f>
        <v>0</v>
      </c>
      <c r="AP9" s="260"/>
      <c r="AQ9" s="260">
        <f>SUMIFS(Travaux_202619[TR 2028],Travaux_202619[État Composante TR],"&lt;&gt;PR")</f>
        <v>0</v>
      </c>
      <c r="AR9" s="260"/>
      <c r="AS9" s="260">
        <f>SUMIFS(Travaux_202619[TR 2029],Travaux_202619[État Composante TR],"&lt;&gt;PR")</f>
        <v>0</v>
      </c>
      <c r="AT9" s="260"/>
      <c r="AU9" s="260">
        <f>SUMIFS(Travaux_202619[TR 2030],Travaux_202619[État Composante TR],"&lt;&gt;PR")</f>
        <v>0</v>
      </c>
      <c r="AV9" s="260"/>
      <c r="AW9" s="260">
        <f>SUMIFS(Travaux_202619[TR 2031],Travaux_202619[État Composante TR],"&lt;&gt;PR")</f>
        <v>0</v>
      </c>
      <c r="AX9" s="260"/>
      <c r="AY9" s="260">
        <f>SUMIFS(Travaux_202619[TR 2032],Travaux_202619[État Composante TR],"&lt;&gt;PR")</f>
        <v>0</v>
      </c>
      <c r="AZ9" s="260"/>
      <c r="BA9" s="260">
        <f>SUMIFS(Travaux_202619[TR 2033],Travaux_202619[État Composante TR],"&lt;&gt;PR")</f>
        <v>0</v>
      </c>
      <c r="BB9" s="260"/>
      <c r="BC9" s="260">
        <f>SUMIFS(Travaux_202619[TR 2034],Travaux_202619[État Composante TR],"&lt;&gt;PR")</f>
        <v>0</v>
      </c>
      <c r="BD9" s="260"/>
      <c r="BE9" s="16">
        <f t="shared" si="0"/>
        <v>0</v>
      </c>
      <c r="BF9" s="16">
        <f t="shared" si="1"/>
        <v>0</v>
      </c>
    </row>
    <row r="10" spans="1:60" x14ac:dyDescent="0.3">
      <c r="J10" s="192"/>
      <c r="K10" s="28" t="s">
        <v>565</v>
      </c>
      <c r="Q10" s="127"/>
      <c r="R10" s="117" t="s">
        <v>29</v>
      </c>
      <c r="S10" s="288">
        <f>S8+S9</f>
        <v>0</v>
      </c>
      <c r="T10" s="262"/>
      <c r="U10" s="262">
        <f>U8+U9</f>
        <v>0</v>
      </c>
      <c r="V10" s="262"/>
      <c r="W10" s="262">
        <f>W8+W9</f>
        <v>0</v>
      </c>
      <c r="X10" s="289"/>
      <c r="Y10" s="20"/>
      <c r="Z10" s="288">
        <f>Z8+Z9</f>
        <v>0</v>
      </c>
      <c r="AA10" s="289"/>
      <c r="AB10" s="20"/>
      <c r="AC10" s="288">
        <f>AC9+AC8</f>
        <v>0</v>
      </c>
      <c r="AD10" s="262"/>
      <c r="AE10" s="289"/>
      <c r="AF10" s="288">
        <f>AF8+AF9</f>
        <v>0</v>
      </c>
      <c r="AG10" s="262"/>
      <c r="AH10" s="20"/>
      <c r="AI10" s="262">
        <f>AI8+AI9</f>
        <v>0</v>
      </c>
      <c r="AJ10" s="289"/>
      <c r="AK10" s="20"/>
      <c r="AL10" s="288">
        <f>AL9+AL8</f>
        <v>0</v>
      </c>
      <c r="AM10" s="262"/>
      <c r="AN10" s="289"/>
      <c r="AO10" s="288">
        <f>AO8+AO9</f>
        <v>0</v>
      </c>
      <c r="AP10" s="262"/>
      <c r="AQ10" s="262">
        <f>AQ8+AQ9</f>
        <v>0</v>
      </c>
      <c r="AR10" s="262"/>
      <c r="AS10" s="262">
        <f>AS8+AS9</f>
        <v>0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62">
        <f>BC8+BC9</f>
        <v>0</v>
      </c>
      <c r="BD10" s="262"/>
      <c r="BE10" s="20">
        <f t="shared" si="0"/>
        <v>0</v>
      </c>
      <c r="BF10" s="20">
        <f t="shared" si="1"/>
        <v>0</v>
      </c>
    </row>
    <row r="11" spans="1:60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842</v>
      </c>
      <c r="T11" s="284"/>
      <c r="U11" s="285">
        <f>U10+U7</f>
        <v>1009</v>
      </c>
      <c r="V11" s="284"/>
      <c r="W11" s="285">
        <f>W10+W7</f>
        <v>1028</v>
      </c>
      <c r="X11" s="284"/>
      <c r="Y11" s="105"/>
      <c r="Z11" s="285">
        <f>Z10+Z7</f>
        <v>1028</v>
      </c>
      <c r="AA11" s="287"/>
      <c r="AB11" s="105"/>
      <c r="AC11" s="286">
        <f>AC10+AC7</f>
        <v>0</v>
      </c>
      <c r="AD11" s="283"/>
      <c r="AE11" s="287"/>
      <c r="AF11" s="286">
        <f>AF10+AF7-AF4</f>
        <v>70489</v>
      </c>
      <c r="AG11" s="284"/>
      <c r="AH11" s="105"/>
      <c r="AI11" s="285">
        <f>AI10+AI7</f>
        <v>70489</v>
      </c>
      <c r="AJ11" s="287"/>
      <c r="AK11" s="105"/>
      <c r="AL11" s="286">
        <f>AL10+AL7</f>
        <v>0</v>
      </c>
      <c r="AM11" s="283"/>
      <c r="AN11" s="287"/>
      <c r="AO11" s="286">
        <f>AO10+AO7-AO4</f>
        <v>5845</v>
      </c>
      <c r="AP11" s="284"/>
      <c r="AQ11" s="285">
        <f>AQ10+AQ7-AQ4</f>
        <v>5088</v>
      </c>
      <c r="AR11" s="284"/>
      <c r="AS11" s="285">
        <f>AS10+AS7-AS4</f>
        <v>6919.0000000000009</v>
      </c>
      <c r="AT11" s="284"/>
      <c r="AU11" s="285">
        <f>AU10+AU7-AU4</f>
        <v>7058.0000000000018</v>
      </c>
      <c r="AV11" s="284"/>
      <c r="AW11" s="285">
        <f>AW10+AW7-AW4</f>
        <v>0</v>
      </c>
      <c r="AX11" s="284"/>
      <c r="AY11" s="285">
        <f>AY10+AY7-AY4</f>
        <v>0</v>
      </c>
      <c r="AZ11" s="284"/>
      <c r="BA11" s="285">
        <f>BA10+BA7-BA4</f>
        <v>0</v>
      </c>
      <c r="BB11" s="284"/>
      <c r="BC11" s="285">
        <f>BC10+BC7-BC4</f>
        <v>0</v>
      </c>
      <c r="BD11" s="284"/>
      <c r="BE11" s="105">
        <f t="shared" si="0"/>
        <v>71517</v>
      </c>
      <c r="BF11" s="105">
        <f t="shared" si="1"/>
        <v>96427</v>
      </c>
    </row>
    <row r="12" spans="1:60" ht="15" customHeight="1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80"/>
      <c r="Y12" s="78"/>
      <c r="Z12" s="279"/>
      <c r="AA12" s="280"/>
      <c r="AB12" s="78"/>
      <c r="AC12" s="322"/>
      <c r="AD12" s="323"/>
      <c r="AE12" s="324"/>
      <c r="AF12" s="279"/>
      <c r="AG12" s="260"/>
      <c r="AH12" s="78"/>
      <c r="AI12" s="260"/>
      <c r="AJ12" s="280"/>
      <c r="AK12" s="78"/>
      <c r="AL12" s="322"/>
      <c r="AM12" s="323"/>
      <c r="AN12" s="324"/>
      <c r="AO12" s="279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78">
        <f t="shared" si="0"/>
        <v>0</v>
      </c>
      <c r="BF12" s="78">
        <f>SUM(AO12:BD12,W12,AF12)</f>
        <v>0</v>
      </c>
    </row>
    <row r="13" spans="1:60" ht="16.2" thickBot="1" x14ac:dyDescent="0.35">
      <c r="J13" s="195"/>
      <c r="K13" s="31" t="s">
        <v>568</v>
      </c>
      <c r="Q13" s="126"/>
      <c r="R13" s="118" t="s">
        <v>33</v>
      </c>
      <c r="S13" s="120"/>
      <c r="T13" s="64"/>
      <c r="U13" s="319">
        <f>U12+U11</f>
        <v>1009</v>
      </c>
      <c r="V13" s="321"/>
      <c r="W13" s="258">
        <f>W12+W11</f>
        <v>1028</v>
      </c>
      <c r="X13" s="259"/>
      <c r="Y13" s="167"/>
      <c r="Z13" s="258">
        <f>Z12+Z11</f>
        <v>1028</v>
      </c>
      <c r="AA13" s="259"/>
      <c r="AB13" s="167"/>
      <c r="AC13" s="258">
        <f>AC12+AC11</f>
        <v>0</v>
      </c>
      <c r="AD13" s="261"/>
      <c r="AE13" s="261"/>
      <c r="AF13" s="261">
        <f>AF12+AF11</f>
        <v>70489</v>
      </c>
      <c r="AG13" s="259"/>
      <c r="AH13" s="167"/>
      <c r="AI13" s="258">
        <f>AI12+AI11</f>
        <v>70489</v>
      </c>
      <c r="AJ13" s="259"/>
      <c r="AK13" s="167"/>
      <c r="AL13" s="319">
        <f>AL12+AL11</f>
        <v>0</v>
      </c>
      <c r="AM13" s="320"/>
      <c r="AN13" s="320"/>
      <c r="AO13" s="261">
        <f>AO12+AO11</f>
        <v>5845</v>
      </c>
      <c r="AP13" s="259"/>
      <c r="AQ13" s="258">
        <f>AQ12+AQ11</f>
        <v>5088</v>
      </c>
      <c r="AR13" s="259"/>
      <c r="AS13" s="258">
        <f>AS12+AS11</f>
        <v>6919.0000000000009</v>
      </c>
      <c r="AT13" s="259"/>
      <c r="AU13" s="258">
        <f>AU12+AU11</f>
        <v>7058.0000000000018</v>
      </c>
      <c r="AV13" s="259"/>
      <c r="AW13" s="258">
        <f>AW12+AW11</f>
        <v>0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1">
        <f>BE12+BE11</f>
        <v>71517</v>
      </c>
      <c r="BF13" s="21">
        <f>BF12+BF11</f>
        <v>96427</v>
      </c>
    </row>
    <row r="14" spans="1:60" s="11" customFormat="1" ht="75.599999999999994" customHeight="1" x14ac:dyDescent="0.3">
      <c r="A14" s="11" t="s">
        <v>273</v>
      </c>
      <c r="B14" s="11" t="s">
        <v>274</v>
      </c>
      <c r="C14" s="11" t="s">
        <v>37</v>
      </c>
      <c r="D14" s="11" t="s">
        <v>38</v>
      </c>
      <c r="E14" s="11" t="s">
        <v>39</v>
      </c>
      <c r="F14" s="11" t="s">
        <v>40</v>
      </c>
      <c r="G14" s="11" t="s">
        <v>41</v>
      </c>
      <c r="H14" s="11" t="s">
        <v>42</v>
      </c>
      <c r="I14" s="11" t="s">
        <v>44</v>
      </c>
      <c r="J14" s="11" t="s">
        <v>45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582</v>
      </c>
      <c r="P14" s="11" t="s">
        <v>50</v>
      </c>
      <c r="Q14" s="11" t="s">
        <v>51</v>
      </c>
      <c r="R14" s="11" t="s">
        <v>52</v>
      </c>
      <c r="S14" s="9" t="s">
        <v>76</v>
      </c>
      <c r="T14" s="9" t="s">
        <v>77</v>
      </c>
      <c r="U14" s="9" t="s">
        <v>78</v>
      </c>
      <c r="V14" s="9" t="s">
        <v>79</v>
      </c>
      <c r="W14" s="11" t="s">
        <v>80</v>
      </c>
      <c r="X14" s="11" t="s">
        <v>81</v>
      </c>
      <c r="Y14" s="11" t="s">
        <v>579</v>
      </c>
      <c r="Z14" s="11" t="s">
        <v>549</v>
      </c>
      <c r="AA14" s="11" t="s">
        <v>550</v>
      </c>
      <c r="AB14" s="11" t="s">
        <v>577</v>
      </c>
      <c r="AC14" s="99" t="s">
        <v>277</v>
      </c>
      <c r="AD14" s="99" t="s">
        <v>278</v>
      </c>
      <c r="AE14" s="99" t="s">
        <v>279</v>
      </c>
      <c r="AF14" s="11" t="s">
        <v>82</v>
      </c>
      <c r="AG14" s="11" t="s">
        <v>83</v>
      </c>
      <c r="AH14" s="11" t="s">
        <v>578</v>
      </c>
      <c r="AI14" s="11" t="s">
        <v>551</v>
      </c>
      <c r="AJ14" s="11" t="s">
        <v>552</v>
      </c>
      <c r="AK14" s="11" t="s">
        <v>580</v>
      </c>
      <c r="AL14" s="93" t="s">
        <v>283</v>
      </c>
      <c r="AM14" s="93" t="s">
        <v>284</v>
      </c>
      <c r="AN14" s="93" t="s">
        <v>285</v>
      </c>
      <c r="AO14" s="11" t="s">
        <v>84</v>
      </c>
      <c r="AP14" s="11" t="s">
        <v>85</v>
      </c>
      <c r="AQ14" s="11" t="s">
        <v>86</v>
      </c>
      <c r="AR14" s="11" t="s">
        <v>87</v>
      </c>
      <c r="AS14" s="11" t="s">
        <v>88</v>
      </c>
      <c r="AT14" s="11" t="s">
        <v>89</v>
      </c>
      <c r="AU14" s="11" t="s">
        <v>90</v>
      </c>
      <c r="AV14" s="11" t="s">
        <v>91</v>
      </c>
      <c r="AW14" s="11" t="s">
        <v>92</v>
      </c>
      <c r="AX14" s="11" t="s">
        <v>93</v>
      </c>
      <c r="AY14" s="11" t="s">
        <v>94</v>
      </c>
      <c r="AZ14" s="11" t="s">
        <v>95</v>
      </c>
      <c r="BA14" s="11" t="s">
        <v>96</v>
      </c>
      <c r="BB14" s="11" t="s">
        <v>97</v>
      </c>
      <c r="BC14" s="11" t="s">
        <v>98</v>
      </c>
      <c r="BD14" s="11" t="s">
        <v>99</v>
      </c>
      <c r="BE14" s="11" t="s">
        <v>100</v>
      </c>
    </row>
    <row r="15" spans="1:60" x14ac:dyDescent="0.3">
      <c r="A15" t="s">
        <v>286</v>
      </c>
      <c r="C15" t="s">
        <v>101</v>
      </c>
      <c r="D15" t="s">
        <v>102</v>
      </c>
      <c r="E15" t="s">
        <v>136</v>
      </c>
      <c r="F15" t="s">
        <v>113</v>
      </c>
      <c r="G15" t="s">
        <v>16</v>
      </c>
      <c r="H15" t="s">
        <v>16</v>
      </c>
      <c r="I15" t="s">
        <v>131</v>
      </c>
      <c r="J15" t="s">
        <v>137</v>
      </c>
      <c r="K15" t="s">
        <v>138</v>
      </c>
      <c r="L15" t="s">
        <v>139</v>
      </c>
      <c r="M15" s="2" t="s">
        <v>109</v>
      </c>
      <c r="N15" s="198" t="s">
        <v>123</v>
      </c>
      <c r="O15" s="207"/>
      <c r="P15" s="1">
        <v>45062</v>
      </c>
      <c r="Q15" s="1">
        <v>45698</v>
      </c>
      <c r="R15" s="1">
        <v>45962</v>
      </c>
      <c r="S15">
        <v>337</v>
      </c>
      <c r="T15">
        <v>41</v>
      </c>
      <c r="U15">
        <v>336</v>
      </c>
      <c r="W15">
        <v>355</v>
      </c>
      <c r="Y15">
        <f>Travaux_202619[[#This Row],[AC 2025]]+Travaux_202619[[#This Row],[TR 2025]]</f>
        <v>355</v>
      </c>
      <c r="Z15">
        <v>355</v>
      </c>
      <c r="AB15">
        <f>Travaux_202619[[#This Row],[AC 2025 Initiale]]+Travaux_202619[[#This Row],[TR 2025 Initiale]]</f>
        <v>355</v>
      </c>
      <c r="AC15">
        <f>Travaux_202619[[#This Row],[AC 2025]]-Travaux_202619[[#This Row],[AC 2025 Initiale]]</f>
        <v>0</v>
      </c>
      <c r="AD15">
        <f>Travaux_202619[[#This Row],[TR 2025]]-Travaux_202619[[#This Row],[TR 2025 Initiale]]</f>
        <v>0</v>
      </c>
      <c r="AE15">
        <f>Travaux_202619[[#This Row],[Écart AC 2025]]+Travaux_202619[[#This Row],[Écart TR 2025]]</f>
        <v>0</v>
      </c>
      <c r="AF15">
        <v>1006</v>
      </c>
      <c r="AG15">
        <v>5870</v>
      </c>
      <c r="AH15">
        <f>Travaux_202619[[#This Row],[AC 2026]]+Travaux_202619[[#This Row],[TR 2026]]</f>
        <v>6876</v>
      </c>
      <c r="AI15">
        <v>1006</v>
      </c>
      <c r="AJ15">
        <v>5870</v>
      </c>
      <c r="AK15">
        <f>Travaux_202619[[#This Row],[AC 2026 Initiale]]+Travaux_202619[[#This Row],[TR 2026 Initiale]]</f>
        <v>6876</v>
      </c>
      <c r="AL15">
        <f>Travaux_202619[[#This Row],[AC 2026]]-Travaux_202619[[#This Row],[AC 2026 Initiale]]</f>
        <v>0</v>
      </c>
      <c r="AM15">
        <f>Travaux_202619[[#This Row],[TR 2026]]-Travaux_202619[[#This Row],[TR 2026 Initiale]]</f>
        <v>0</v>
      </c>
      <c r="AN15">
        <f>Travaux_202619[[#This Row],[Écart AC 2026]]+Travaux_202619[[#This Row],[Écart TR 2026]]</f>
        <v>0</v>
      </c>
      <c r="AY15"/>
      <c r="BE15" s="14">
        <f>SUM(Travaux_202619[[#This Row],[AC ANT]:[TR 2025]],Travaux_202619[[#This Row],[AC 2026]:[TR 2026]],Travaux_202619[[#This Row],[AC 2027]:[TR 2034]])</f>
        <v>7945</v>
      </c>
    </row>
    <row r="16" spans="1:60" x14ac:dyDescent="0.3">
      <c r="A16" t="s">
        <v>286</v>
      </c>
      <c r="C16" t="s">
        <v>101</v>
      </c>
      <c r="D16" t="s">
        <v>102</v>
      </c>
      <c r="E16" t="s">
        <v>103</v>
      </c>
      <c r="F16" t="s">
        <v>129</v>
      </c>
      <c r="G16" t="s">
        <v>16</v>
      </c>
      <c r="H16" t="s">
        <v>16</v>
      </c>
      <c r="I16" t="s">
        <v>131</v>
      </c>
      <c r="J16" t="s">
        <v>132</v>
      </c>
      <c r="K16" t="s">
        <v>288</v>
      </c>
      <c r="L16" t="s">
        <v>134</v>
      </c>
      <c r="M16" t="s">
        <v>109</v>
      </c>
      <c r="N16" s="198" t="s">
        <v>123</v>
      </c>
      <c r="O16" s="203"/>
      <c r="P16" s="1">
        <v>45218</v>
      </c>
      <c r="Q16" s="1">
        <v>45722</v>
      </c>
      <c r="R16" s="1">
        <v>45945</v>
      </c>
      <c r="U16">
        <v>12</v>
      </c>
      <c r="W16">
        <v>10</v>
      </c>
      <c r="Y16">
        <f>Travaux_202619[[#This Row],[AC 2025]]+Travaux_202619[[#This Row],[TR 2025]]</f>
        <v>10</v>
      </c>
      <c r="Z16">
        <v>10</v>
      </c>
      <c r="AB16">
        <f>Travaux_202619[[#This Row],[AC 2025 Initiale]]+Travaux_202619[[#This Row],[TR 2025 Initiale]]</f>
        <v>10</v>
      </c>
      <c r="AC16">
        <f>Travaux_202619[[#This Row],[AC 2025]]-Travaux_202619[[#This Row],[AC 2025 Initiale]]</f>
        <v>0</v>
      </c>
      <c r="AD16">
        <f>Travaux_202619[[#This Row],[TR 2025]]-Travaux_202619[[#This Row],[TR 2025 Initiale]]</f>
        <v>0</v>
      </c>
      <c r="AE16">
        <f>Travaux_202619[[#This Row],[Écart AC 2025]]+Travaux_202619[[#This Row],[Écart TR 2025]]</f>
        <v>0</v>
      </c>
      <c r="AF16">
        <v>350</v>
      </c>
      <c r="AG16">
        <v>4669</v>
      </c>
      <c r="AH16">
        <f>Travaux_202619[[#This Row],[AC 2026]]+Travaux_202619[[#This Row],[TR 2026]]</f>
        <v>5019</v>
      </c>
      <c r="AI16">
        <v>350</v>
      </c>
      <c r="AJ16">
        <v>4669</v>
      </c>
      <c r="AK16">
        <f>Travaux_202619[[#This Row],[AC 2026 Initiale]]+Travaux_202619[[#This Row],[TR 2026 Initiale]]</f>
        <v>5019</v>
      </c>
      <c r="AL16">
        <f>Travaux_202619[[#This Row],[AC 2026]]-Travaux_202619[[#This Row],[AC 2026 Initiale]]</f>
        <v>0</v>
      </c>
      <c r="AM16">
        <f>Travaux_202619[[#This Row],[TR 2026]]-Travaux_202619[[#This Row],[TR 2026 Initiale]]</f>
        <v>0</v>
      </c>
      <c r="AN16">
        <f>Travaux_202619[[#This Row],[Écart AC 2026]]+Travaux_202619[[#This Row],[Écart TR 2026]]</f>
        <v>0</v>
      </c>
      <c r="AY16"/>
      <c r="BE16" s="14">
        <f>SUM(Travaux_202619[[#This Row],[AC ANT]:[TR 2025]],Travaux_202619[[#This Row],[AC 2026]:[TR 2026]],Travaux_202619[[#This Row],[AC 2027]:[TR 2034]])</f>
        <v>5041</v>
      </c>
    </row>
    <row r="17" spans="1:57" x14ac:dyDescent="0.3">
      <c r="A17" t="s">
        <v>286</v>
      </c>
      <c r="C17" t="s">
        <v>101</v>
      </c>
      <c r="D17" t="s">
        <v>102</v>
      </c>
      <c r="E17" t="s">
        <v>128</v>
      </c>
      <c r="F17" t="s">
        <v>140</v>
      </c>
      <c r="G17" t="s">
        <v>16</v>
      </c>
      <c r="H17" t="s">
        <v>16</v>
      </c>
      <c r="I17" t="s">
        <v>105</v>
      </c>
      <c r="J17" t="s">
        <v>141</v>
      </c>
      <c r="K17" t="s">
        <v>142</v>
      </c>
      <c r="L17" t="s">
        <v>143</v>
      </c>
      <c r="M17" t="s">
        <v>109</v>
      </c>
      <c r="N17" s="198" t="s">
        <v>123</v>
      </c>
      <c r="O17" s="207"/>
      <c r="P17" s="1">
        <v>42900</v>
      </c>
      <c r="Q17" s="1">
        <v>45323</v>
      </c>
      <c r="R17" s="1">
        <v>45884</v>
      </c>
      <c r="S17">
        <v>61</v>
      </c>
      <c r="Y17">
        <f>Travaux_202619[[#This Row],[AC 2025]]+Travaux_202619[[#This Row],[TR 2025]]</f>
        <v>0</v>
      </c>
      <c r="AB17">
        <f>Travaux_202619[[#This Row],[AC 2025 Initiale]]+Travaux_202619[[#This Row],[TR 2025 Initiale]]</f>
        <v>0</v>
      </c>
      <c r="AC17">
        <f>Travaux_202619[[#This Row],[AC 2025]]-Travaux_202619[[#This Row],[AC 2025 Initiale]]</f>
        <v>0</v>
      </c>
      <c r="AD17">
        <f>Travaux_202619[[#This Row],[TR 2025]]-Travaux_202619[[#This Row],[TR 2025 Initiale]]</f>
        <v>0</v>
      </c>
      <c r="AE17">
        <f>Travaux_202619[[#This Row],[Écart AC 2025]]+Travaux_202619[[#This Row],[Écart TR 2025]]</f>
        <v>0</v>
      </c>
      <c r="AF17">
        <v>370</v>
      </c>
      <c r="AG17">
        <v>4948</v>
      </c>
      <c r="AH17">
        <f>Travaux_202619[[#This Row],[AC 2026]]+Travaux_202619[[#This Row],[TR 2026]]</f>
        <v>5318</v>
      </c>
      <c r="AI17">
        <v>370</v>
      </c>
      <c r="AJ17">
        <v>4948</v>
      </c>
      <c r="AK17">
        <f>Travaux_202619[[#This Row],[AC 2026 Initiale]]+Travaux_202619[[#This Row],[TR 2026 Initiale]]</f>
        <v>5318</v>
      </c>
      <c r="AL17">
        <f>Travaux_202619[[#This Row],[AC 2026]]-Travaux_202619[[#This Row],[AC 2026 Initiale]]</f>
        <v>0</v>
      </c>
      <c r="AM17">
        <f>Travaux_202619[[#This Row],[TR 2026]]-Travaux_202619[[#This Row],[TR 2026 Initiale]]</f>
        <v>0</v>
      </c>
      <c r="AN17">
        <f>Travaux_202619[[#This Row],[Écart AC 2026]]+Travaux_202619[[#This Row],[Écart TR 2026]]</f>
        <v>0</v>
      </c>
      <c r="AY17"/>
      <c r="BE17" s="14">
        <f>SUM(Travaux_202619[[#This Row],[AC ANT]:[TR 2025]],Travaux_202619[[#This Row],[AC 2026]:[TR 2026]],Travaux_202619[[#This Row],[AC 2027]:[TR 2034]])</f>
        <v>5379</v>
      </c>
    </row>
    <row r="18" spans="1:57" x14ac:dyDescent="0.3">
      <c r="A18" t="s">
        <v>286</v>
      </c>
      <c r="C18" t="s">
        <v>101</v>
      </c>
      <c r="D18" t="s">
        <v>102</v>
      </c>
      <c r="E18" t="s">
        <v>103</v>
      </c>
      <c r="F18" t="s">
        <v>113</v>
      </c>
      <c r="G18" t="s">
        <v>16</v>
      </c>
      <c r="H18" t="s">
        <v>16</v>
      </c>
      <c r="I18" t="s">
        <v>105</v>
      </c>
      <c r="J18" t="s">
        <v>114</v>
      </c>
      <c r="K18" t="s">
        <v>115</v>
      </c>
      <c r="L18" t="s">
        <v>116</v>
      </c>
      <c r="M18" t="s">
        <v>109</v>
      </c>
      <c r="N18" s="198" t="s">
        <v>123</v>
      </c>
      <c r="O18" s="207"/>
      <c r="P18" s="1">
        <v>45105</v>
      </c>
      <c r="Q18" s="1">
        <v>45733</v>
      </c>
      <c r="R18" s="1">
        <v>45940</v>
      </c>
      <c r="S18">
        <v>25</v>
      </c>
      <c r="U18">
        <v>13</v>
      </c>
      <c r="W18">
        <v>48</v>
      </c>
      <c r="Y18">
        <f>Travaux_202619[[#This Row],[AC 2025]]+Travaux_202619[[#This Row],[TR 2025]]</f>
        <v>48</v>
      </c>
      <c r="Z18">
        <v>48</v>
      </c>
      <c r="AB18">
        <f>Travaux_202619[[#This Row],[AC 2025 Initiale]]+Travaux_202619[[#This Row],[TR 2025 Initiale]]</f>
        <v>48</v>
      </c>
      <c r="AC18">
        <f>Travaux_202619[[#This Row],[AC 2025]]-Travaux_202619[[#This Row],[AC 2025 Initiale]]</f>
        <v>0</v>
      </c>
      <c r="AD18">
        <f>Travaux_202619[[#This Row],[TR 2025]]-Travaux_202619[[#This Row],[TR 2025 Initiale]]</f>
        <v>0</v>
      </c>
      <c r="AE18">
        <f>Travaux_202619[[#This Row],[Écart AC 2025]]+Travaux_202619[[#This Row],[Écart TR 2025]]</f>
        <v>0</v>
      </c>
      <c r="AF18">
        <v>520</v>
      </c>
      <c r="AG18">
        <v>19125</v>
      </c>
      <c r="AH18">
        <f>Travaux_202619[[#This Row],[AC 2026]]+Travaux_202619[[#This Row],[TR 2026]]</f>
        <v>19645</v>
      </c>
      <c r="AI18">
        <v>520</v>
      </c>
      <c r="AJ18">
        <v>19125</v>
      </c>
      <c r="AK18">
        <f>Travaux_202619[[#This Row],[AC 2026 Initiale]]+Travaux_202619[[#This Row],[TR 2026 Initiale]]</f>
        <v>19645</v>
      </c>
      <c r="AL18">
        <f>Travaux_202619[[#This Row],[AC 2026]]-Travaux_202619[[#This Row],[AC 2026 Initiale]]</f>
        <v>0</v>
      </c>
      <c r="AM18">
        <f>Travaux_202619[[#This Row],[TR 2026]]-Travaux_202619[[#This Row],[TR 2026 Initiale]]</f>
        <v>0</v>
      </c>
      <c r="AN18">
        <f>Travaux_202619[[#This Row],[Écart AC 2026]]+Travaux_202619[[#This Row],[Écart TR 2026]]</f>
        <v>0</v>
      </c>
      <c r="AY18"/>
      <c r="BE18" s="14">
        <f>SUM(Travaux_202619[[#This Row],[AC ANT]:[TR 2025]],Travaux_202619[[#This Row],[AC 2026]:[TR 2026]],Travaux_202619[[#This Row],[AC 2027]:[TR 2034]])</f>
        <v>19731</v>
      </c>
    </row>
    <row r="19" spans="1:57" x14ac:dyDescent="0.3">
      <c r="A19" t="s">
        <v>286</v>
      </c>
      <c r="C19" t="s">
        <v>126</v>
      </c>
      <c r="D19" t="s">
        <v>127</v>
      </c>
      <c r="E19" t="s">
        <v>177</v>
      </c>
      <c r="F19" t="s">
        <v>206</v>
      </c>
      <c r="G19" t="s">
        <v>16</v>
      </c>
      <c r="H19" t="s">
        <v>16</v>
      </c>
      <c r="I19" t="s">
        <v>223</v>
      </c>
      <c r="J19" t="s">
        <v>224</v>
      </c>
      <c r="K19" t="s">
        <v>520</v>
      </c>
      <c r="L19" t="s">
        <v>180</v>
      </c>
      <c r="M19" t="s">
        <v>109</v>
      </c>
      <c r="N19" s="199" t="s">
        <v>123</v>
      </c>
      <c r="O19" s="206" t="s">
        <v>588</v>
      </c>
      <c r="P19" s="1">
        <v>44623</v>
      </c>
      <c r="Q19" s="1">
        <v>45698</v>
      </c>
      <c r="R19" s="1">
        <v>46006</v>
      </c>
      <c r="S19">
        <v>180.00000000000003</v>
      </c>
      <c r="U19">
        <v>102</v>
      </c>
      <c r="W19">
        <v>150</v>
      </c>
      <c r="Y19">
        <f>Travaux_202619[[#This Row],[AC 2025]]+Travaux_202619[[#This Row],[TR 2025]]</f>
        <v>150</v>
      </c>
      <c r="Z19">
        <v>150</v>
      </c>
      <c r="AB19">
        <f>Travaux_202619[[#This Row],[AC 2025 Initiale]]+Travaux_202619[[#This Row],[TR 2025 Initiale]]</f>
        <v>150</v>
      </c>
      <c r="AC19">
        <f>Travaux_202619[[#This Row],[AC 2025]]-Travaux_202619[[#This Row],[AC 2025 Initiale]]</f>
        <v>0</v>
      </c>
      <c r="AD19">
        <f>Travaux_202619[[#This Row],[TR 2025]]-Travaux_202619[[#This Row],[TR 2025 Initiale]]</f>
        <v>0</v>
      </c>
      <c r="AE19">
        <f>Travaux_202619[[#This Row],[Écart AC 2025]]+Travaux_202619[[#This Row],[Écart TR 2025]]</f>
        <v>0</v>
      </c>
      <c r="AF19">
        <v>133</v>
      </c>
      <c r="AG19">
        <v>354.99999999999994</v>
      </c>
      <c r="AH19">
        <f>Travaux_202619[[#This Row],[AC 2026]]+Travaux_202619[[#This Row],[TR 2026]]</f>
        <v>487.99999999999994</v>
      </c>
      <c r="AI19">
        <v>133</v>
      </c>
      <c r="AJ19">
        <v>355</v>
      </c>
      <c r="AK19">
        <f>Travaux_202619[[#This Row],[AC 2026 Initiale]]+Travaux_202619[[#This Row],[TR 2026 Initiale]]</f>
        <v>488</v>
      </c>
      <c r="AL19">
        <f>Travaux_202619[[#This Row],[AC 2026]]-Travaux_202619[[#This Row],[AC 2026 Initiale]]</f>
        <v>0</v>
      </c>
      <c r="AM19">
        <f>Travaux_202619[[#This Row],[TR 2026]]-Travaux_202619[[#This Row],[TR 2026 Initiale]]</f>
        <v>0</v>
      </c>
      <c r="AN19">
        <f>Travaux_202619[[#This Row],[Écart AC 2026]]+Travaux_202619[[#This Row],[Écart TR 2026]]</f>
        <v>0</v>
      </c>
      <c r="AO19">
        <v>53.000000000000007</v>
      </c>
      <c r="AP19">
        <v>1610</v>
      </c>
      <c r="AQ19">
        <v>159</v>
      </c>
      <c r="AR19">
        <v>4929</v>
      </c>
      <c r="AS19">
        <v>212.00000000000003</v>
      </c>
      <c r="AT19">
        <v>6707.0000000000009</v>
      </c>
      <c r="AU19">
        <v>212</v>
      </c>
      <c r="AV19">
        <v>6846.0000000000018</v>
      </c>
      <c r="AY19"/>
      <c r="BE19" s="14">
        <f>SUM(Travaux_202619[[#This Row],[AC ANT]:[TR 2025]],Travaux_202619[[#This Row],[AC 2026]:[TR 2026]],Travaux_202619[[#This Row],[AC 2027]:[TR 2034]])</f>
        <v>21648</v>
      </c>
    </row>
    <row r="20" spans="1:57" x14ac:dyDescent="0.3">
      <c r="A20" t="s">
        <v>286</v>
      </c>
      <c r="C20" t="s">
        <v>126</v>
      </c>
      <c r="D20" t="s">
        <v>127</v>
      </c>
      <c r="E20" t="s">
        <v>103</v>
      </c>
      <c r="F20" t="s">
        <v>144</v>
      </c>
      <c r="G20" t="s">
        <v>16</v>
      </c>
      <c r="H20" t="s">
        <v>16</v>
      </c>
      <c r="I20" t="s">
        <v>131</v>
      </c>
      <c r="J20" t="s">
        <v>145</v>
      </c>
      <c r="K20" t="s">
        <v>146</v>
      </c>
      <c r="L20" t="s">
        <v>147</v>
      </c>
      <c r="M20" t="s">
        <v>109</v>
      </c>
      <c r="N20" s="205" t="s">
        <v>110</v>
      </c>
      <c r="P20" s="1">
        <v>44609</v>
      </c>
      <c r="Q20" s="1">
        <v>45839</v>
      </c>
      <c r="R20" s="1">
        <v>45945</v>
      </c>
      <c r="S20">
        <v>117</v>
      </c>
      <c r="U20">
        <v>159</v>
      </c>
      <c r="W20">
        <v>105</v>
      </c>
      <c r="Y20">
        <f>Travaux_202619[[#This Row],[AC 2025]]+Travaux_202619[[#This Row],[TR 2025]]</f>
        <v>105</v>
      </c>
      <c r="Z20">
        <v>105</v>
      </c>
      <c r="AB20">
        <f>Travaux_202619[[#This Row],[AC 2025 Initiale]]+Travaux_202619[[#This Row],[TR 2025 Initiale]]</f>
        <v>105</v>
      </c>
      <c r="AC20">
        <f>Travaux_202619[[#This Row],[AC 2025]]-Travaux_202619[[#This Row],[AC 2025 Initiale]]</f>
        <v>0</v>
      </c>
      <c r="AD20">
        <f>Travaux_202619[[#This Row],[TR 2025]]-Travaux_202619[[#This Row],[TR 2025 Initiale]]</f>
        <v>0</v>
      </c>
      <c r="AE20">
        <f>Travaux_202619[[#This Row],[Écart AC 2025]]+Travaux_202619[[#This Row],[Écart TR 2025]]</f>
        <v>0</v>
      </c>
      <c r="AF20">
        <v>342</v>
      </c>
      <c r="AG20">
        <v>9684</v>
      </c>
      <c r="AH20">
        <f>Travaux_202619[[#This Row],[AC 2026]]+Travaux_202619[[#This Row],[TR 2026]]</f>
        <v>10026</v>
      </c>
      <c r="AI20">
        <v>342</v>
      </c>
      <c r="AJ20">
        <v>9684</v>
      </c>
      <c r="AK20">
        <f>Travaux_202619[[#This Row],[AC 2026 Initiale]]+Travaux_202619[[#This Row],[TR 2026 Initiale]]</f>
        <v>10026</v>
      </c>
      <c r="AL20">
        <f>Travaux_202619[[#This Row],[AC 2026]]-Travaux_202619[[#This Row],[AC 2026 Initiale]]</f>
        <v>0</v>
      </c>
      <c r="AM20">
        <f>Travaux_202619[[#This Row],[TR 2026]]-Travaux_202619[[#This Row],[TR 2026 Initiale]]</f>
        <v>0</v>
      </c>
      <c r="AN20">
        <f>Travaux_202619[[#This Row],[Écart AC 2026]]+Travaux_202619[[#This Row],[Écart TR 2026]]</f>
        <v>0</v>
      </c>
      <c r="AY20"/>
      <c r="BE20" s="14">
        <f>SUM(Travaux_202619[[#This Row],[AC ANT]:[TR 2025]],Travaux_202619[[#This Row],[AC 2026]:[TR 2026]],Travaux_202619[[#This Row],[AC 2027]:[TR 2034]])</f>
        <v>10407</v>
      </c>
    </row>
    <row r="21" spans="1:57" ht="28.8" x14ac:dyDescent="0.3">
      <c r="A21" t="s">
        <v>286</v>
      </c>
      <c r="C21" t="s">
        <v>101</v>
      </c>
      <c r="D21" t="s">
        <v>102</v>
      </c>
      <c r="E21" t="s">
        <v>103</v>
      </c>
      <c r="F21" t="s">
        <v>104</v>
      </c>
      <c r="G21" t="s">
        <v>16</v>
      </c>
      <c r="H21" t="s">
        <v>16</v>
      </c>
      <c r="I21" t="s">
        <v>105</v>
      </c>
      <c r="J21" t="s">
        <v>106</v>
      </c>
      <c r="K21" t="s">
        <v>107</v>
      </c>
      <c r="L21" t="s">
        <v>108</v>
      </c>
      <c r="M21" t="s">
        <v>109</v>
      </c>
      <c r="N21" s="199" t="s">
        <v>110</v>
      </c>
      <c r="O21" s="207" t="s">
        <v>590</v>
      </c>
      <c r="P21" s="1">
        <v>45014</v>
      </c>
      <c r="Q21" s="1">
        <v>45778</v>
      </c>
      <c r="R21" s="1">
        <v>45960</v>
      </c>
      <c r="S21">
        <v>69</v>
      </c>
      <c r="U21">
        <v>225</v>
      </c>
      <c r="W21">
        <v>180</v>
      </c>
      <c r="Y21">
        <f>Travaux_202619[[#This Row],[AC 2025]]+Travaux_202619[[#This Row],[TR 2025]]</f>
        <v>180</v>
      </c>
      <c r="Z21">
        <v>180</v>
      </c>
      <c r="AB21">
        <f>Travaux_202619[[#This Row],[AC 2025 Initiale]]+Travaux_202619[[#This Row],[TR 2025 Initiale]]</f>
        <v>180</v>
      </c>
      <c r="AC21">
        <f>Travaux_202619[[#This Row],[AC 2025]]-Travaux_202619[[#This Row],[AC 2025 Initiale]]</f>
        <v>0</v>
      </c>
      <c r="AD21">
        <f>Travaux_202619[[#This Row],[TR 2025]]-Travaux_202619[[#This Row],[TR 2025 Initiale]]</f>
        <v>0</v>
      </c>
      <c r="AE21">
        <f>Travaux_202619[[#This Row],[Écart AC 2025]]+Travaux_202619[[#This Row],[Écart TR 2025]]</f>
        <v>0</v>
      </c>
      <c r="AF21">
        <v>881</v>
      </c>
      <c r="AG21">
        <v>16557</v>
      </c>
      <c r="AH21">
        <f>Travaux_202619[[#This Row],[AC 2026]]+Travaux_202619[[#This Row],[TR 2026]]</f>
        <v>17438</v>
      </c>
      <c r="AI21">
        <v>881</v>
      </c>
      <c r="AJ21">
        <v>16557</v>
      </c>
      <c r="AK21">
        <f>Travaux_202619[[#This Row],[AC 2026 Initiale]]+Travaux_202619[[#This Row],[TR 2026 Initiale]]</f>
        <v>17438</v>
      </c>
      <c r="AL21">
        <f>Travaux_202619[[#This Row],[AC 2026]]-Travaux_202619[[#This Row],[AC 2026 Initiale]]</f>
        <v>0</v>
      </c>
      <c r="AM21">
        <f>Travaux_202619[[#This Row],[TR 2026]]-Travaux_202619[[#This Row],[TR 2026 Initiale]]</f>
        <v>0</v>
      </c>
      <c r="AN21">
        <f>Travaux_202619[[#This Row],[Écart AC 2026]]+Travaux_202619[[#This Row],[Écart TR 2026]]</f>
        <v>0</v>
      </c>
      <c r="AY21"/>
      <c r="BE21" s="14">
        <f>SUM(Travaux_202619[[#This Row],[AC ANT]:[TR 2025]],Travaux_202619[[#This Row],[AC 2026]:[TR 2026]],Travaux_202619[[#This Row],[AC 2027]:[TR 2034]])</f>
        <v>17912</v>
      </c>
    </row>
    <row r="22" spans="1:57" x14ac:dyDescent="0.3">
      <c r="A22" t="s">
        <v>286</v>
      </c>
      <c r="C22" t="s">
        <v>101</v>
      </c>
      <c r="D22" t="s">
        <v>102</v>
      </c>
      <c r="E22" t="s">
        <v>119</v>
      </c>
      <c r="F22" t="s">
        <v>129</v>
      </c>
      <c r="G22" t="s">
        <v>16</v>
      </c>
      <c r="H22" t="s">
        <v>16</v>
      </c>
      <c r="I22" t="s">
        <v>131</v>
      </c>
      <c r="J22" t="s">
        <v>153</v>
      </c>
      <c r="K22" t="s">
        <v>154</v>
      </c>
      <c r="L22" t="s">
        <v>134</v>
      </c>
      <c r="M22" t="s">
        <v>109</v>
      </c>
      <c r="N22" s="198" t="s">
        <v>123</v>
      </c>
      <c r="O22" s="203"/>
      <c r="P22" s="1">
        <v>45601</v>
      </c>
      <c r="Q22" s="1">
        <v>45731</v>
      </c>
      <c r="R22" s="1">
        <v>45976</v>
      </c>
      <c r="W22">
        <v>20</v>
      </c>
      <c r="Y22">
        <f>Travaux_202619[[#This Row],[AC 2025]]+Travaux_202619[[#This Row],[TR 2025]]</f>
        <v>20</v>
      </c>
      <c r="Z22">
        <v>20</v>
      </c>
      <c r="AB22">
        <f>Travaux_202619[[#This Row],[AC 2025 Initiale]]+Travaux_202619[[#This Row],[TR 2025 Initiale]]</f>
        <v>20</v>
      </c>
      <c r="AC22">
        <f>Travaux_202619[[#This Row],[AC 2025]]-Travaux_202619[[#This Row],[AC 2025 Initiale]]</f>
        <v>0</v>
      </c>
      <c r="AD22">
        <f>Travaux_202619[[#This Row],[TR 2025]]-Travaux_202619[[#This Row],[TR 2025 Initiale]]</f>
        <v>0</v>
      </c>
      <c r="AE22">
        <f>Travaux_202619[[#This Row],[Écart AC 2025]]+Travaux_202619[[#This Row],[Écart TR 2025]]</f>
        <v>0</v>
      </c>
      <c r="AF22">
        <v>55</v>
      </c>
      <c r="AG22">
        <v>543</v>
      </c>
      <c r="AH22">
        <f>Travaux_202619[[#This Row],[AC 2026]]+Travaux_202619[[#This Row],[TR 2026]]</f>
        <v>598</v>
      </c>
      <c r="AI22">
        <v>55</v>
      </c>
      <c r="AJ22">
        <v>543</v>
      </c>
      <c r="AK22">
        <f>Travaux_202619[[#This Row],[AC 2026 Initiale]]+Travaux_202619[[#This Row],[TR 2026 Initiale]]</f>
        <v>598</v>
      </c>
      <c r="AL22">
        <f>Travaux_202619[[#This Row],[AC 2026]]-Travaux_202619[[#This Row],[AC 2026 Initiale]]</f>
        <v>0</v>
      </c>
      <c r="AM22">
        <f>Travaux_202619[[#This Row],[TR 2026]]-Travaux_202619[[#This Row],[TR 2026 Initiale]]</f>
        <v>0</v>
      </c>
      <c r="AN22">
        <f>Travaux_202619[[#This Row],[Écart AC 2026]]+Travaux_202619[[#This Row],[Écart TR 2026]]</f>
        <v>0</v>
      </c>
      <c r="AY22"/>
      <c r="BE22" s="14">
        <f>SUM(Travaux_202619[[#This Row],[AC ANT]:[TR 2025]],Travaux_202619[[#This Row],[AC 2026]:[TR 2026]],Travaux_202619[[#This Row],[AC 2027]:[TR 2034]])</f>
        <v>618</v>
      </c>
    </row>
    <row r="23" spans="1:57" x14ac:dyDescent="0.3">
      <c r="A23" t="s">
        <v>286</v>
      </c>
      <c r="C23" t="s">
        <v>101</v>
      </c>
      <c r="D23" t="s">
        <v>102</v>
      </c>
      <c r="E23" t="s">
        <v>128</v>
      </c>
      <c r="F23" t="s">
        <v>149</v>
      </c>
      <c r="G23" t="s">
        <v>16</v>
      </c>
      <c r="H23" t="s">
        <v>16</v>
      </c>
      <c r="I23" t="s">
        <v>131</v>
      </c>
      <c r="J23" t="s">
        <v>150</v>
      </c>
      <c r="K23" t="s">
        <v>151</v>
      </c>
      <c r="L23" t="s">
        <v>152</v>
      </c>
      <c r="M23" t="s">
        <v>109</v>
      </c>
      <c r="N23" s="204" t="s">
        <v>123</v>
      </c>
      <c r="O23" s="207"/>
      <c r="P23" s="1">
        <v>45079</v>
      </c>
      <c r="Q23" s="1">
        <v>45685</v>
      </c>
      <c r="R23" s="1">
        <v>46142</v>
      </c>
      <c r="S23">
        <v>12</v>
      </c>
      <c r="U23">
        <v>162</v>
      </c>
      <c r="W23">
        <v>100</v>
      </c>
      <c r="Y23">
        <f>Travaux_202619[[#This Row],[AC 2025]]+Travaux_202619[[#This Row],[TR 2025]]</f>
        <v>100</v>
      </c>
      <c r="Z23">
        <v>100</v>
      </c>
      <c r="AB23">
        <f>Travaux_202619[[#This Row],[AC 2025 Initiale]]+Travaux_202619[[#This Row],[TR 2025 Initiale]]</f>
        <v>100</v>
      </c>
      <c r="AC23">
        <f>Travaux_202619[[#This Row],[AC 2025]]-Travaux_202619[[#This Row],[AC 2025 Initiale]]</f>
        <v>0</v>
      </c>
      <c r="AD23">
        <f>Travaux_202619[[#This Row],[TR 2025]]-Travaux_202619[[#This Row],[TR 2025 Initiale]]</f>
        <v>0</v>
      </c>
      <c r="AE23">
        <f>Travaux_202619[[#This Row],[Écart AC 2025]]+Travaux_202619[[#This Row],[Écart TR 2025]]</f>
        <v>0</v>
      </c>
      <c r="AF23">
        <v>300</v>
      </c>
      <c r="AG23">
        <v>4221</v>
      </c>
      <c r="AH23">
        <f>Travaux_202619[[#This Row],[AC 2026]]+Travaux_202619[[#This Row],[TR 2026]]</f>
        <v>4521</v>
      </c>
      <c r="AI23">
        <v>300</v>
      </c>
      <c r="AJ23">
        <v>4221</v>
      </c>
      <c r="AK23">
        <f>Travaux_202619[[#This Row],[AC 2026 Initiale]]+Travaux_202619[[#This Row],[TR 2026 Initiale]]</f>
        <v>4521</v>
      </c>
      <c r="AL23">
        <f>Travaux_202619[[#This Row],[AC 2026]]-Travaux_202619[[#This Row],[AC 2026 Initiale]]</f>
        <v>0</v>
      </c>
      <c r="AM23">
        <f>Travaux_202619[[#This Row],[TR 2026]]-Travaux_202619[[#This Row],[TR 2026 Initiale]]</f>
        <v>0</v>
      </c>
      <c r="AN23">
        <f>Travaux_202619[[#This Row],[Écart AC 2026]]+Travaux_202619[[#This Row],[Écart TR 2026]]</f>
        <v>0</v>
      </c>
      <c r="AO23">
        <v>43</v>
      </c>
      <c r="AP23">
        <v>4139</v>
      </c>
      <c r="AY23"/>
      <c r="BE23" s="14">
        <f>SUM(Travaux_202619[[#This Row],[AC ANT]:[TR 2025]],Travaux_202619[[#This Row],[AC 2026]:[TR 2026]],Travaux_202619[[#This Row],[AC 2027]:[TR 2034]])</f>
        <v>8977</v>
      </c>
    </row>
    <row r="24" spans="1:57" x14ac:dyDescent="0.3">
      <c r="A24" t="s">
        <v>286</v>
      </c>
      <c r="C24" t="s">
        <v>118</v>
      </c>
      <c r="D24" t="s">
        <v>102</v>
      </c>
      <c r="E24" t="s">
        <v>136</v>
      </c>
      <c r="F24" t="s">
        <v>252</v>
      </c>
      <c r="G24" t="s">
        <v>16</v>
      </c>
      <c r="H24" t="s">
        <v>16</v>
      </c>
      <c r="I24" t="s">
        <v>131</v>
      </c>
      <c r="J24" t="s">
        <v>255</v>
      </c>
      <c r="K24" t="s">
        <v>529</v>
      </c>
      <c r="L24" t="s">
        <v>209</v>
      </c>
      <c r="M24" t="s">
        <v>109</v>
      </c>
      <c r="N24" t="s">
        <v>291</v>
      </c>
      <c r="O24" t="s">
        <v>589</v>
      </c>
      <c r="P24" s="1"/>
      <c r="Q24" s="1"/>
      <c r="R24" s="1"/>
      <c r="W24">
        <v>60</v>
      </c>
      <c r="Y24">
        <f>Travaux_202619[[#This Row],[AC 2025]]+Travaux_202619[[#This Row],[TR 2025]]</f>
        <v>60</v>
      </c>
      <c r="Z24">
        <v>60</v>
      </c>
      <c r="AB24">
        <f>Travaux_202619[[#This Row],[AC 2025 Initiale]]+Travaux_202619[[#This Row],[TR 2025 Initiale]]</f>
        <v>60</v>
      </c>
      <c r="AC24">
        <f>Travaux_202619[[#This Row],[AC 2025]]-Travaux_202619[[#This Row],[AC 2025 Initiale]]</f>
        <v>0</v>
      </c>
      <c r="AD24">
        <f>Travaux_202619[[#This Row],[TR 2025]]-Travaux_202619[[#This Row],[TR 2025 Initiale]]</f>
        <v>0</v>
      </c>
      <c r="AE24">
        <f>Travaux_202619[[#This Row],[Écart AC 2025]]+Travaux_202619[[#This Row],[Écart TR 2025]]</f>
        <v>0</v>
      </c>
      <c r="AF24">
        <v>20</v>
      </c>
      <c r="AG24">
        <v>540</v>
      </c>
      <c r="AH24">
        <f>Travaux_202619[[#This Row],[AC 2026]]+Travaux_202619[[#This Row],[TR 2026]]</f>
        <v>560</v>
      </c>
      <c r="AI24">
        <v>20</v>
      </c>
      <c r="AJ24">
        <v>540</v>
      </c>
      <c r="AK24">
        <f>Travaux_202619[[#This Row],[AC 2026 Initiale]]+Travaux_202619[[#This Row],[TR 2026 Initiale]]</f>
        <v>560</v>
      </c>
      <c r="AL24">
        <f>Travaux_202619[[#This Row],[AC 2026]]-Travaux_202619[[#This Row],[AC 2026 Initiale]]</f>
        <v>0</v>
      </c>
      <c r="AM24">
        <f>Travaux_202619[[#This Row],[TR 2026]]-Travaux_202619[[#This Row],[TR 2026 Initiale]]</f>
        <v>0</v>
      </c>
      <c r="AN24">
        <f>Travaux_202619[[#This Row],[Écart AC 2026]]+Travaux_202619[[#This Row],[Écart TR 2026]]</f>
        <v>0</v>
      </c>
      <c r="AY24"/>
      <c r="BE24" s="14">
        <f>SUM(Travaux_202619[[#This Row],[AC ANT]:[TR 2025]],Travaux_202619[[#This Row],[AC 2026]:[TR 2026]],Travaux_202619[[#This Row],[AC 2027]:[TR 2034]])</f>
        <v>620</v>
      </c>
    </row>
    <row r="25" spans="1:57" x14ac:dyDescent="0.3">
      <c r="J25">
        <f>SUBTOTAL(103,Travaux_202619[Numéro projet])</f>
        <v>10</v>
      </c>
      <c r="S25" s="14">
        <f>SUBTOTAL(109,Travaux_202619[AC ANT])</f>
        <v>801</v>
      </c>
      <c r="T25" s="14">
        <f>SUBTOTAL(109,Travaux_202619[TR ANT])</f>
        <v>41</v>
      </c>
      <c r="U25" s="14">
        <f>SUBTOTAL(109,Travaux_202619[AC 2024])</f>
        <v>1009</v>
      </c>
      <c r="V25" s="14">
        <f>SUBTOTAL(109,Travaux_202619[TR 2024])</f>
        <v>0</v>
      </c>
      <c r="W25" s="14">
        <f>SUBTOTAL(109,Travaux_202619[AC 2025])</f>
        <v>1028</v>
      </c>
      <c r="X25" s="14">
        <f>SUBTOTAL(109,Travaux_202619[TR 2025])</f>
        <v>0</v>
      </c>
      <c r="Y25" s="14">
        <f>SUBTOTAL(109,Travaux_202619[Actuel 2025])</f>
        <v>1028</v>
      </c>
      <c r="Z25" s="14">
        <f>SUBTOTAL(109,Travaux_202619[AC 2025 Initiale])</f>
        <v>1028</v>
      </c>
      <c r="AA25" s="14">
        <f>SUBTOTAL(109,Travaux_202619[TR 2025 Initiale])</f>
        <v>0</v>
      </c>
      <c r="AB25" s="14">
        <f>SUBTOTAL(109,Travaux_202619[Initiale 2025])</f>
        <v>1028</v>
      </c>
      <c r="AC25" s="14">
        <f>SUBTOTAL(109,Travaux_202619[Écart AC 2025])</f>
        <v>0</v>
      </c>
      <c r="AD25" s="14">
        <f>SUBTOTAL(109,Travaux_202619[Écart TR 2025])</f>
        <v>0</v>
      </c>
      <c r="AE25" s="14">
        <f>SUBTOTAL(109,Travaux_202619[Écart 2025 Total])</f>
        <v>0</v>
      </c>
      <c r="AF25" s="14">
        <f>SUBTOTAL(109,Travaux_202619[AC 2026])</f>
        <v>3977</v>
      </c>
      <c r="AG25" s="14">
        <f>SUBTOTAL(109,Travaux_202619[TR 2026])</f>
        <v>66512</v>
      </c>
      <c r="AH25" s="14">
        <f>SUBTOTAL(109,Travaux_202619[Actuel 2026])</f>
        <v>70489</v>
      </c>
      <c r="AI25" s="14">
        <f>SUBTOTAL(109,Travaux_202619[AC 2026 Initiale])</f>
        <v>3977</v>
      </c>
      <c r="AJ25" s="14">
        <f>SUBTOTAL(109,Travaux_202619[TR 2026 Initiale])</f>
        <v>66512</v>
      </c>
      <c r="AK25" s="14">
        <f>SUBTOTAL(109,Travaux_202619[Initiale 2026])</f>
        <v>70489</v>
      </c>
      <c r="AL25" s="14">
        <f>SUBTOTAL(109,Travaux_202619[Écart AC 2026])</f>
        <v>0</v>
      </c>
      <c r="AM25" s="14">
        <f>SUBTOTAL(109,Travaux_202619[Écart TR 2026])</f>
        <v>0</v>
      </c>
      <c r="AN25" s="14">
        <f>SUBTOTAL(109,Travaux_202619[Écart 2026 Total])</f>
        <v>0</v>
      </c>
      <c r="AO25" s="14">
        <f>SUBTOTAL(109,Travaux_202619[AC 2027])</f>
        <v>96</v>
      </c>
      <c r="AP25" s="14">
        <f>SUBTOTAL(109,Travaux_202619[TR 2027])</f>
        <v>5749</v>
      </c>
      <c r="AQ25" s="14">
        <f>SUBTOTAL(109,Travaux_202619[AC 2028])</f>
        <v>159</v>
      </c>
      <c r="AR25" s="14">
        <f>SUBTOTAL(109,Travaux_202619[TR 2028])</f>
        <v>4929</v>
      </c>
      <c r="AS25" s="14">
        <f>SUBTOTAL(109,Travaux_202619[AC 2029])</f>
        <v>212.00000000000003</v>
      </c>
      <c r="AT25" s="14">
        <f>SUBTOTAL(109,Travaux_202619[TR 2029])</f>
        <v>6707.0000000000009</v>
      </c>
      <c r="AU25" s="14">
        <f>SUBTOTAL(109,Travaux_202619[AC 2030])</f>
        <v>212</v>
      </c>
      <c r="AV25" s="14">
        <f>SUBTOTAL(109,Travaux_202619[TR 2030])</f>
        <v>6846.0000000000018</v>
      </c>
      <c r="AW25" s="14">
        <f>SUBTOTAL(109,Travaux_202619[AC 2031])</f>
        <v>0</v>
      </c>
      <c r="AX25" s="14">
        <f>SUBTOTAL(109,Travaux_202619[TR 2031])</f>
        <v>0</v>
      </c>
      <c r="AY25" s="14">
        <f>SUBTOTAL(109,Travaux_202619[AC 2032])</f>
        <v>0</v>
      </c>
      <c r="AZ25" s="14">
        <f>SUBTOTAL(109,Travaux_202619[TR 2032])</f>
        <v>0</v>
      </c>
      <c r="BA25" s="14">
        <f>SUBTOTAL(109,Travaux_202619[AC 2033])</f>
        <v>0</v>
      </c>
      <c r="BB25" s="14">
        <f>SUBTOTAL(109,Travaux_202619[TR 2033])</f>
        <v>0</v>
      </c>
      <c r="BC25" s="14">
        <f>SUBTOTAL(109,Travaux_202619[AC 2034])</f>
        <v>0</v>
      </c>
      <c r="BD25" s="14">
        <f>SUBTOTAL(109,Travaux_202619[TR 2034])</f>
        <v>0</v>
      </c>
      <c r="BE25" s="14">
        <f>SUBTOTAL(109,Travaux_202619[Total Projet])</f>
        <v>98278</v>
      </c>
    </row>
    <row r="27" spans="1:57" x14ac:dyDescent="0.3">
      <c r="BA27" s="57"/>
      <c r="BB27" s="57"/>
      <c r="BC27" s="57"/>
      <c r="BD27" s="57"/>
      <c r="BE27" s="57"/>
    </row>
    <row r="64" spans="58:58" x14ac:dyDescent="0.3">
      <c r="BF64" s="57"/>
    </row>
    <row r="68" spans="58:58" x14ac:dyDescent="0.3">
      <c r="BF68" s="57"/>
    </row>
    <row r="144" spans="63:64" x14ac:dyDescent="0.3">
      <c r="BK144" s="57"/>
      <c r="BL144" s="57"/>
    </row>
  </sheetData>
  <mergeCells count="178">
    <mergeCell ref="Q2:R2"/>
    <mergeCell ref="Q3:R3"/>
    <mergeCell ref="S3:T3"/>
    <mergeCell ref="U3:V3"/>
    <mergeCell ref="W3:X3"/>
    <mergeCell ref="Z3:AA3"/>
    <mergeCell ref="AS3:AT3"/>
    <mergeCell ref="AU3:AV3"/>
    <mergeCell ref="AW3:AX3"/>
    <mergeCell ref="AY3:AZ3"/>
    <mergeCell ref="BA3:BB3"/>
    <mergeCell ref="BC3:BD3"/>
    <mergeCell ref="AC3:AE3"/>
    <mergeCell ref="AF3:AG3"/>
    <mergeCell ref="AI3:AJ3"/>
    <mergeCell ref="AL3:AN3"/>
    <mergeCell ref="AO3:AP3"/>
    <mergeCell ref="AQ3:AR3"/>
    <mergeCell ref="AW4:AX4"/>
    <mergeCell ref="AY4:AZ4"/>
    <mergeCell ref="BA4:BB4"/>
    <mergeCell ref="BC4:BD4"/>
    <mergeCell ref="S5:T5"/>
    <mergeCell ref="U5:V5"/>
    <mergeCell ref="W5:X5"/>
    <mergeCell ref="Z5:AA5"/>
    <mergeCell ref="AC5:AE5"/>
    <mergeCell ref="AF5:AG5"/>
    <mergeCell ref="AI4:AJ4"/>
    <mergeCell ref="AL4:AN4"/>
    <mergeCell ref="AO4:AP4"/>
    <mergeCell ref="AQ4:AR4"/>
    <mergeCell ref="AS4:AT4"/>
    <mergeCell ref="AU4:AV4"/>
    <mergeCell ref="S4:T4"/>
    <mergeCell ref="U4:V4"/>
    <mergeCell ref="W4:X4"/>
    <mergeCell ref="Z4:AA4"/>
    <mergeCell ref="AC4:AE4"/>
    <mergeCell ref="AF4:AG4"/>
    <mergeCell ref="AW5:AX5"/>
    <mergeCell ref="AY5:AZ5"/>
    <mergeCell ref="AI6:AJ6"/>
    <mergeCell ref="AL6:AN6"/>
    <mergeCell ref="AO6:AP6"/>
    <mergeCell ref="BA5:BB5"/>
    <mergeCell ref="BC5:BD5"/>
    <mergeCell ref="S6:T6"/>
    <mergeCell ref="U6:V6"/>
    <mergeCell ref="W6:X6"/>
    <mergeCell ref="Z6:AA6"/>
    <mergeCell ref="AC6:AE6"/>
    <mergeCell ref="AF6:AG6"/>
    <mergeCell ref="AI5:AJ5"/>
    <mergeCell ref="AL5:AN5"/>
    <mergeCell ref="AO5:AP5"/>
    <mergeCell ref="AQ5:AR5"/>
    <mergeCell ref="AS5:AT5"/>
    <mergeCell ref="AU5:AV5"/>
    <mergeCell ref="AW6:AX6"/>
    <mergeCell ref="AY6:AZ6"/>
    <mergeCell ref="BA6:BB6"/>
    <mergeCell ref="BC6:BD6"/>
    <mergeCell ref="AQ6:AR6"/>
    <mergeCell ref="AS6:AT6"/>
    <mergeCell ref="AU6:AV6"/>
    <mergeCell ref="BC8:BD8"/>
    <mergeCell ref="AQ8:AR8"/>
    <mergeCell ref="AS8:AT8"/>
    <mergeCell ref="S7:T7"/>
    <mergeCell ref="U7:V7"/>
    <mergeCell ref="W7:X7"/>
    <mergeCell ref="Z7:AA7"/>
    <mergeCell ref="AC7:AE7"/>
    <mergeCell ref="AF7:AG7"/>
    <mergeCell ref="AF8:AG8"/>
    <mergeCell ref="AI8:AJ8"/>
    <mergeCell ref="AL8:AN8"/>
    <mergeCell ref="AO8:AP8"/>
    <mergeCell ref="AW7:AX7"/>
    <mergeCell ref="AY7:AZ7"/>
    <mergeCell ref="BA7:BB7"/>
    <mergeCell ref="BC7:BD7"/>
    <mergeCell ref="AQ7:AR7"/>
    <mergeCell ref="AS7:AT7"/>
    <mergeCell ref="AU7:AV7"/>
    <mergeCell ref="AU8:AV8"/>
    <mergeCell ref="AW8:AX8"/>
    <mergeCell ref="AY8:AZ8"/>
    <mergeCell ref="BA8:BB8"/>
    <mergeCell ref="J8:K8"/>
    <mergeCell ref="S8:T8"/>
    <mergeCell ref="U8:V8"/>
    <mergeCell ref="W8:X8"/>
    <mergeCell ref="Z8:AA8"/>
    <mergeCell ref="AC8:AE8"/>
    <mergeCell ref="AI7:AJ7"/>
    <mergeCell ref="AL7:AN7"/>
    <mergeCell ref="AO7:AP7"/>
    <mergeCell ref="AW9:AX9"/>
    <mergeCell ref="AY9:AZ9"/>
    <mergeCell ref="BA9:BB9"/>
    <mergeCell ref="BC9:BD9"/>
    <mergeCell ref="S10:T10"/>
    <mergeCell ref="U10:V10"/>
    <mergeCell ref="W10:X10"/>
    <mergeCell ref="Z10:AA10"/>
    <mergeCell ref="AC10:AE10"/>
    <mergeCell ref="AF9:AG9"/>
    <mergeCell ref="AI9:AJ9"/>
    <mergeCell ref="AL9:AN9"/>
    <mergeCell ref="AO9:AP9"/>
    <mergeCell ref="AQ9:AR9"/>
    <mergeCell ref="AS9:AT9"/>
    <mergeCell ref="AU10:AV10"/>
    <mergeCell ref="AW10:AX10"/>
    <mergeCell ref="AY10:AZ10"/>
    <mergeCell ref="BA10:BB10"/>
    <mergeCell ref="BC10:BD10"/>
    <mergeCell ref="AQ10:AR10"/>
    <mergeCell ref="AS10:AT10"/>
    <mergeCell ref="S9:T9"/>
    <mergeCell ref="U9:V9"/>
    <mergeCell ref="W11:X11"/>
    <mergeCell ref="Z11:AA11"/>
    <mergeCell ref="AC11:AE11"/>
    <mergeCell ref="AF10:AG10"/>
    <mergeCell ref="AI10:AJ10"/>
    <mergeCell ref="AL10:AN10"/>
    <mergeCell ref="AO10:AP10"/>
    <mergeCell ref="AU9:AV9"/>
    <mergeCell ref="W9:X9"/>
    <mergeCell ref="Z9:AA9"/>
    <mergeCell ref="AC9:AE9"/>
    <mergeCell ref="AU11:AV11"/>
    <mergeCell ref="AW11:AX11"/>
    <mergeCell ref="AY11:AZ11"/>
    <mergeCell ref="BA11:BB11"/>
    <mergeCell ref="BC11:BD11"/>
    <mergeCell ref="S12:T12"/>
    <mergeCell ref="U12:V12"/>
    <mergeCell ref="W12:X12"/>
    <mergeCell ref="Z12:AA12"/>
    <mergeCell ref="AC12:AE12"/>
    <mergeCell ref="AF11:AG11"/>
    <mergeCell ref="AI11:AJ11"/>
    <mergeCell ref="AL11:AN11"/>
    <mergeCell ref="AO11:AP11"/>
    <mergeCell ref="AQ11:AR11"/>
    <mergeCell ref="AS11:AT11"/>
    <mergeCell ref="AU12:AV12"/>
    <mergeCell ref="AW12:AX12"/>
    <mergeCell ref="AY12:AZ12"/>
    <mergeCell ref="BA12:BB12"/>
    <mergeCell ref="BC12:BD12"/>
    <mergeCell ref="AQ12:AR12"/>
    <mergeCell ref="AS12:AT12"/>
    <mergeCell ref="S11:T11"/>
    <mergeCell ref="U11:V11"/>
    <mergeCell ref="U13:V13"/>
    <mergeCell ref="W13:X13"/>
    <mergeCell ref="Z13:AA13"/>
    <mergeCell ref="AC13:AE13"/>
    <mergeCell ref="AF13:AG13"/>
    <mergeCell ref="AF12:AG12"/>
    <mergeCell ref="AI12:AJ12"/>
    <mergeCell ref="AL12:AN12"/>
    <mergeCell ref="AO12:AP12"/>
    <mergeCell ref="AW13:AX13"/>
    <mergeCell ref="AY13:AZ13"/>
    <mergeCell ref="BA13:BB13"/>
    <mergeCell ref="BC13:BD13"/>
    <mergeCell ref="AI13:AJ13"/>
    <mergeCell ref="AL13:AN13"/>
    <mergeCell ref="AO13:AP13"/>
    <mergeCell ref="AQ13:AR13"/>
    <mergeCell ref="AS13:AT13"/>
    <mergeCell ref="AU13:AV1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6BDD-15AD-43E7-9352-65FC6D18477A}">
  <dimension ref="A1:BQ156"/>
  <sheetViews>
    <sheetView topLeftCell="I1" workbookViewId="0">
      <selection activeCell="R36" sqref="R36"/>
    </sheetView>
  </sheetViews>
  <sheetFormatPr baseColWidth="10" defaultColWidth="11.44140625" defaultRowHeight="14.4" outlineLevelCol="1" x14ac:dyDescent="0.3"/>
  <cols>
    <col min="1" max="1" width="14.33203125" hidden="1" customWidth="1" outlineLevel="1"/>
    <col min="2" max="2" width="11.44140625" hidden="1" customWidth="1" outlineLevel="1"/>
    <col min="3" max="3" width="8" hidden="1" customWidth="1" outlineLevel="1"/>
    <col min="4" max="4" width="9.6640625" hidden="1" customWidth="1" outlineLevel="1"/>
    <col min="5" max="5" width="15.88671875" hidden="1" customWidth="1" outlineLevel="1"/>
    <col min="6" max="6" width="16" hidden="1" customWidth="1" outlineLevel="1"/>
    <col min="7" max="7" width="11.33203125" hidden="1" customWidth="1" outlineLevel="1"/>
    <col min="8" max="8" width="12.44140625" hidden="1" customWidth="1" outlineLevel="1"/>
    <col min="9" max="9" width="14.33203125" customWidth="1" collapsed="1"/>
    <col min="10" max="10" width="14.33203125" customWidth="1"/>
    <col min="11" max="11" width="70.6640625" customWidth="1"/>
    <col min="12" max="12" width="17.109375" customWidth="1" collapsed="1"/>
    <col min="13" max="13" width="10.6640625" customWidth="1"/>
    <col min="14" max="14" width="21.6640625" customWidth="1"/>
    <col min="15" max="15" width="14.88671875" customWidth="1"/>
    <col min="16" max="16" width="12.5546875" customWidth="1"/>
    <col min="17" max="17" width="12.33203125" customWidth="1"/>
    <col min="18" max="18" width="13.5546875" customWidth="1" outlineLevel="1"/>
    <col min="19" max="19" width="13.88671875" customWidth="1" outlineLevel="1"/>
    <col min="20" max="20" width="14.6640625" customWidth="1" outlineLevel="1"/>
    <col min="21" max="23" width="12.33203125" customWidth="1" outlineLevel="1"/>
    <col min="24" max="24" width="11.44140625" customWidth="1" outlineLevel="1"/>
    <col min="25" max="25" width="10.6640625" customWidth="1" outlineLevel="1"/>
    <col min="26" max="26" width="11.88671875" customWidth="1" outlineLevel="1"/>
    <col min="27" max="27" width="11.44140625" customWidth="1" outlineLevel="1"/>
    <col min="28" max="28" width="12" customWidth="1" outlineLevel="1"/>
    <col min="29" max="29" width="12.88671875" customWidth="1" outlineLevel="1"/>
    <col min="30" max="30" width="10.5546875" customWidth="1" outlineLevel="1"/>
    <col min="31" max="31" width="9.6640625" customWidth="1" outlineLevel="1"/>
    <col min="32" max="32" width="8.109375" customWidth="1" outlineLevel="1"/>
    <col min="33" max="33" width="14.109375" customWidth="1" outlineLevel="1"/>
    <col min="34" max="34" width="32.33203125" customWidth="1"/>
    <col min="35" max="35" width="9.33203125" hidden="1" customWidth="1" outlineLevel="1"/>
    <col min="36" max="36" width="10.44140625" hidden="1" customWidth="1" outlineLevel="1"/>
    <col min="37" max="37" width="9.88671875" hidden="1" customWidth="1" outlineLevel="1"/>
    <col min="38" max="38" width="9.88671875" style="25" hidden="1" customWidth="1" outlineLevel="1"/>
    <col min="39" max="40" width="9.88671875" hidden="1" customWidth="1" outlineLevel="1"/>
    <col min="41" max="41" width="11.109375" customWidth="1" collapsed="1"/>
    <col min="42" max="42" width="12.33203125" customWidth="1"/>
    <col min="43" max="43" width="11" customWidth="1"/>
    <col min="44" max="47" width="9.88671875" customWidth="1"/>
    <col min="48" max="48" width="9.88671875" style="8" customWidth="1"/>
    <col min="49" max="50" width="9.88671875" customWidth="1"/>
    <col min="51" max="60" width="9.88671875" hidden="1" customWidth="1"/>
    <col min="61" max="61" width="17.109375" customWidth="1"/>
    <col min="62" max="62" width="17.5546875" customWidth="1"/>
    <col min="63" max="63" width="18" customWidth="1"/>
    <col min="64" max="64" width="17" customWidth="1"/>
    <col min="65" max="65" width="16.6640625" bestFit="1" customWidth="1"/>
    <col min="66" max="75" width="11.33203125" customWidth="1"/>
    <col min="76" max="76" width="12.5546875" customWidth="1"/>
    <col min="77" max="77" width="13.44140625" customWidth="1"/>
    <col min="78" max="78" width="13.109375" customWidth="1"/>
    <col min="79" max="79" width="14" customWidth="1"/>
    <col min="80" max="85" width="17.33203125" customWidth="1"/>
    <col min="86" max="86" width="18.109375" customWidth="1"/>
    <col min="87" max="87" width="17.5546875" customWidth="1"/>
  </cols>
  <sheetData>
    <row r="1" spans="1:69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7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85"/>
      <c r="BN1" s="85"/>
      <c r="BO1" s="85"/>
      <c r="BP1" s="85"/>
      <c r="BQ1" s="85"/>
    </row>
    <row r="2" spans="1:69" x14ac:dyDescent="0.3">
      <c r="AE2" s="25"/>
      <c r="AF2" s="25"/>
      <c r="AG2" s="25"/>
      <c r="AH2" s="25"/>
      <c r="AI2" s="25"/>
      <c r="AJ2" s="25"/>
      <c r="AK2" s="25"/>
      <c r="AM2" s="8"/>
      <c r="AV2"/>
    </row>
    <row r="3" spans="1:69" ht="26.4" customHeight="1" x14ac:dyDescent="0.3">
      <c r="I3" s="306" t="s">
        <v>2</v>
      </c>
      <c r="J3" s="307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F3" s="4" t="s">
        <v>3</v>
      </c>
      <c r="AG3" s="80" t="s">
        <v>4</v>
      </c>
      <c r="AH3" s="128" t="s">
        <v>5</v>
      </c>
      <c r="AI3" s="265" t="s">
        <v>6</v>
      </c>
      <c r="AJ3" s="264"/>
      <c r="AK3" s="263">
        <v>2024</v>
      </c>
      <c r="AL3" s="264"/>
      <c r="AM3" s="263">
        <v>2025</v>
      </c>
      <c r="AN3" s="264"/>
      <c r="AO3" s="263">
        <v>2026</v>
      </c>
      <c r="AP3" s="264"/>
      <c r="AQ3" s="263">
        <v>2027</v>
      </c>
      <c r="AR3" s="264"/>
      <c r="AS3" s="263">
        <v>2028</v>
      </c>
      <c r="AT3" s="264"/>
      <c r="AU3" s="263">
        <v>2029</v>
      </c>
      <c r="AV3" s="264"/>
      <c r="AW3" s="263">
        <v>2030</v>
      </c>
      <c r="AX3" s="264"/>
      <c r="AY3" s="263">
        <v>2031</v>
      </c>
      <c r="AZ3" s="264"/>
      <c r="BA3" s="263">
        <v>2032</v>
      </c>
      <c r="BB3" s="264"/>
      <c r="BC3" s="263">
        <v>2033</v>
      </c>
      <c r="BD3" s="264"/>
      <c r="BE3" s="263">
        <v>2034</v>
      </c>
      <c r="BF3" s="264"/>
      <c r="BG3" s="263">
        <v>2035</v>
      </c>
      <c r="BH3" s="264"/>
      <c r="BI3" s="26" t="s">
        <v>560</v>
      </c>
      <c r="BJ3" s="26" t="s">
        <v>595</v>
      </c>
    </row>
    <row r="4" spans="1:69" x14ac:dyDescent="0.3">
      <c r="I4" s="27" t="s">
        <v>9</v>
      </c>
      <c r="J4" s="28" t="s">
        <v>10</v>
      </c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F4" s="66"/>
      <c r="AG4" s="138"/>
      <c r="AH4" s="104" t="s">
        <v>11</v>
      </c>
      <c r="AI4" s="260"/>
      <c r="AJ4" s="260"/>
      <c r="AK4" s="260">
        <f>SUMIFS(Portefeuille_MNT_PPS_Access22[AC 2024],Portefeuille_MNT_PPS_Access22[DES_COMPL_NATR_COMPB],"=Fonctionnement")+SUMIFS(Portefeuille_MNT_PPS_Access22[TR 2024],Portefeuille_MNT_PPS_Access22[DES_COMPL_NATR_COMPB],"=Fonctionnement")</f>
        <v>339</v>
      </c>
      <c r="AL4" s="260"/>
      <c r="AM4" s="260">
        <f>SUMIFS(Portefeuille_MNT_PPS_Access22[AC 2025],Portefeuille_MNT_PPS_Access22[DES_COMPL_NATR_COMPB],"=Fonctionnement")+SUMIFS(Portefeuille_MNT_PPS_Access22[TR 2025],Portefeuille_MNT_PPS_Access22[DES_COMPL_NATR_COMPB],"=Fonctionnement")</f>
        <v>300</v>
      </c>
      <c r="AN4" s="260"/>
      <c r="AO4" s="260">
        <f>SUMIFS(Portefeuille_MNT_PPS_Access22[AC 2026],Portefeuille_MNT_PPS_Access22[DES_COMPL_NATR_COMPB],"=Fonctionnement")+SUMIFS(Portefeuille_MNT_PPS_Access22[TR 2026],Portefeuille_MNT_PPS_Access22[DES_COMPL_NATR_COMPB],"=Fonctionnement")</f>
        <v>400</v>
      </c>
      <c r="AP4" s="260"/>
      <c r="AQ4" s="260">
        <f>SUMIFS(Portefeuille_MNT_PPS_Access22[AC 2027],Portefeuille_MNT_PPS_Access22[DES_COMPL_NATR_COMPB],"=Fonctionnement")+SUMIFS(Portefeuille_MNT_PPS_Access22[TR 2027],Portefeuille_MNT_PPS_Access22[DES_COMPL_NATR_COMPB],"=Fonctionnement")</f>
        <v>0</v>
      </c>
      <c r="AR4" s="260"/>
      <c r="AS4" s="260">
        <f>SUMIFS(Portefeuille_MNT_PPS_Access22[AC 2028],Portefeuille_MNT_PPS_Access22[DES_COMPL_NATR_COMPB],"=Fonctionnement")+SUMIFS(Portefeuille_MNT_PPS_Access22[TR 2028],Portefeuille_MNT_PPS_Access22[DES_COMPL_NATR_COMPB],"=Fonctionnement")</f>
        <v>0</v>
      </c>
      <c r="AT4" s="260"/>
      <c r="AU4" s="260">
        <f>SUMIFS(Portefeuille_MNT_PPS_Access22[AC 2029],Portefeuille_MNT_PPS_Access22[DES_COMPL_NATR_COMPB],"=Fonctionnement")+SUMIFS(Portefeuille_MNT_PPS_Access22[TR 2029],Portefeuille_MNT_PPS_Access22[DES_COMPL_NATR_COMPB],"=Fonctionnement")</f>
        <v>0</v>
      </c>
      <c r="AV4" s="260"/>
      <c r="AW4" s="260">
        <f>SUMIFS(Portefeuille_MNT_PPS_Access22[AC 2030],Portefeuille_MNT_PPS_Access22[DES_COMPL_NATR_COMPB],"=Fonctionnement")+SUMIFS(Portefeuille_MNT_PPS_Access22[TR 2030],Portefeuille_MNT_PPS_Access22[DES_COMPL_NATR_COMPB],"=Fonctionnement")</f>
        <v>0</v>
      </c>
      <c r="AX4" s="260"/>
      <c r="AY4" s="260">
        <f>SUMIFS(Portefeuille_MNT_PPS_Access22[AC 2031],Portefeuille_MNT_PPS_Access22[DES_COMPL_NATR_COMPB],"=Fonctionnement")+SUMIFS(Portefeuille_MNT_PPS_Access22[TR 2031],Portefeuille_MNT_PPS_Access22[DES_COMPL_NATR_COMPB],"=Fonctionnement")</f>
        <v>0</v>
      </c>
      <c r="AZ4" s="260"/>
      <c r="BA4" s="260">
        <f>SUMIFS(Portefeuille_MNT_PPS_Access22[AC 2032],Portefeuille_MNT_PPS_Access22[DES_COMPL_NATR_COMPB],"=Fonctionnement")+SUMIFS(Portefeuille_MNT_PPS_Access22[TR 2032],Portefeuille_MNT_PPS_Access22[DES_COMPL_NATR_COMPB],"=Fonctionnement")</f>
        <v>0</v>
      </c>
      <c r="BB4" s="260"/>
      <c r="BC4" s="260">
        <f>SUMIFS(Portefeuille_MNT_PPS_Access22[AC 2033],Portefeuille_MNT_PPS_Access22[DES_COMPL_NATR_COMPB],"=Fonctionnement")+SUMIFS(Portefeuille_MNT_PPS_Access22[TR 2033],Portefeuille_MNT_PPS_Access22[DES_COMPL_NATR_COMPB],"=Fonctionnement")</f>
        <v>0</v>
      </c>
      <c r="BD4" s="260"/>
      <c r="BE4" s="260">
        <f>SUMIFS(Portefeuille_MNT_PPS_Access22[AC 2034],Portefeuille_MNT_PPS_Access22[DES_COMPL_NATR_COMPB],"=Fonctionnement")+SUMIFS(Portefeuille_MNT_PPS_Access22[TR 2034],Portefeuille_MNT_PPS_Access22[DES_COMPL_NATR_COMPB],"=Fonctionnement")</f>
        <v>0</v>
      </c>
      <c r="BF4" s="260"/>
      <c r="BG4" s="260">
        <f>SUMIFS(Portefeuille_MNT_PPS_Access22[AC 2035],Portefeuille_MNT_PPS_Access22[DES_COMPL_NATR_COMPB],"=Fonctionnement")+SUMIFS(Portefeuille_MNT_PPS_Access22[TR 2035],Portefeuille_MNT_PPS_Access22[DES_COMPL_NATR_COMPB],"=Fonctionnement")</f>
        <v>0</v>
      </c>
      <c r="BH4" s="260"/>
      <c r="BI4" s="16">
        <f>SUM(AO4:AX4)</f>
        <v>400</v>
      </c>
      <c r="BJ4" s="16">
        <f>SUM(AO4:BH4)</f>
        <v>400</v>
      </c>
    </row>
    <row r="5" spans="1:69" x14ac:dyDescent="0.3">
      <c r="I5" s="27" t="s">
        <v>12</v>
      </c>
      <c r="J5" s="28" t="s">
        <v>13</v>
      </c>
      <c r="AF5" s="67"/>
      <c r="AG5" s="139" t="s">
        <v>299</v>
      </c>
      <c r="AH5" s="104" t="s">
        <v>15</v>
      </c>
      <c r="AI5" s="260">
        <f>SUMIFS(Portefeuille_MNT_PPS_Access22[AC ANT],Portefeuille_MNT_PPS_Access22[État Composante AC],"=PR")</f>
        <v>24010</v>
      </c>
      <c r="AJ5" s="260"/>
      <c r="AK5" s="260">
        <f>SUMIFS(Portefeuille_MNT_PPS_Access22[AC 2024],Portefeuille_MNT_PPS_Access22[État Composante AC],"=PR")</f>
        <v>4500</v>
      </c>
      <c r="AL5" s="260"/>
      <c r="AM5" s="260">
        <f>SUMIFS(Portefeuille_MNT_PPS_Access22[AC 2025],Portefeuille_MNT_PPS_Access22[État Composante AC],"=PR")</f>
        <v>11478</v>
      </c>
      <c r="AN5" s="260"/>
      <c r="AO5" s="260">
        <f>SUMIFS(Portefeuille_MNT_PPS_Access22[AC 2026],Portefeuille_MNT_PPS_Access22[État Composante AC],"=PR")</f>
        <v>10780</v>
      </c>
      <c r="AP5" s="260"/>
      <c r="AQ5" s="260">
        <f>SUMIFS(Portefeuille_MNT_PPS_Access22[AC 2027],Portefeuille_MNT_PPS_Access22[État Composante AC],"=PR")</f>
        <v>9883</v>
      </c>
      <c r="AR5" s="260"/>
      <c r="AS5" s="260">
        <f>SUMIFS(Portefeuille_MNT_PPS_Access22[AC 2028],Portefeuille_MNT_PPS_Access22[État Composante AC],"=PR")</f>
        <v>6913</v>
      </c>
      <c r="AT5" s="260"/>
      <c r="AU5" s="260">
        <f>SUMIFS(Portefeuille_MNT_PPS_Access22[AC 2029],Portefeuille_MNT_PPS_Access22[État Composante AC],"=PR")</f>
        <v>3132</v>
      </c>
      <c r="AV5" s="260"/>
      <c r="AW5" s="260">
        <f>SUMIFS(Portefeuille_MNT_PPS_Access22[AC 2030],Portefeuille_MNT_PPS_Access22[État Composante AC],"=PR")</f>
        <v>2395</v>
      </c>
      <c r="AX5" s="260"/>
      <c r="AY5" s="260">
        <f>SUMIFS(Portefeuille_MNT_PPS_Access22[AC 2031],Portefeuille_MNT_PPS_Access22[État Composante AC],"=PR")</f>
        <v>1918</v>
      </c>
      <c r="AZ5" s="260"/>
      <c r="BA5" s="260">
        <f>SUMIFS(Portefeuille_MNT_PPS_Access22[AC 2032],Portefeuille_MNT_PPS_Access22[État Composante AC],"=PR")</f>
        <v>0</v>
      </c>
      <c r="BB5" s="260"/>
      <c r="BC5" s="260">
        <f>SUMIFS(Portefeuille_MNT_PPS_Access22[AC 2033],Portefeuille_MNT_PPS_Access22[État Composante AC],"=PR")</f>
        <v>0</v>
      </c>
      <c r="BD5" s="260"/>
      <c r="BE5" s="260">
        <f>SUMIFS(Portefeuille_MNT_PPS_Access22[AC 2034],Portefeuille_MNT_PPS_Access22[État Composante AC],"=PR")</f>
        <v>0</v>
      </c>
      <c r="BF5" s="260"/>
      <c r="BG5" s="260">
        <f>SUMIFS(Portefeuille_MNT_PPS_Access22[AC 2035],Portefeuille_MNT_PPS_Access22[État Composante TR],"=PR")</f>
        <v>0</v>
      </c>
      <c r="BH5" s="260"/>
      <c r="BI5" s="16">
        <f>SUM(AO5:AX5)</f>
        <v>33103</v>
      </c>
      <c r="BJ5" s="16">
        <f t="shared" ref="BJ5:BJ6" si="0">SUM(AO5:BH5)</f>
        <v>35021</v>
      </c>
    </row>
    <row r="6" spans="1:69" x14ac:dyDescent="0.3">
      <c r="I6" s="29" t="s">
        <v>16</v>
      </c>
      <c r="J6" s="28" t="s">
        <v>17</v>
      </c>
      <c r="AF6" s="35" t="s">
        <v>18</v>
      </c>
      <c r="AG6" s="140">
        <v>1</v>
      </c>
      <c r="AH6" s="83" t="s">
        <v>19</v>
      </c>
      <c r="AI6" s="260">
        <f>SUMIFS(Portefeuille_MNT_PPS_Access22[TR ANT],Portefeuille_MNT_PPS_Access22[État Composante TR],"=PR")</f>
        <v>133660</v>
      </c>
      <c r="AJ6" s="260"/>
      <c r="AK6" s="260">
        <f>SUMIFS(Portefeuille_MNT_PPS_Access22[TR 2024],Portefeuille_MNT_PPS_Access22[État Composante TR],"=PR")</f>
        <v>70599</v>
      </c>
      <c r="AL6" s="260"/>
      <c r="AM6" s="260">
        <f>SUMIFS(Portefeuille_MNT_PPS_Access22[TR 2025],Portefeuille_MNT_PPS_Access22[État Composante TR],"=PR")</f>
        <v>55579</v>
      </c>
      <c r="AN6" s="260"/>
      <c r="AO6" s="260">
        <f>SUMIFS(Portefeuille_MNT_PPS_Access22[TR 2026],Portefeuille_MNT_PPS_Access22[État Composante TR],"=PR")</f>
        <v>66462</v>
      </c>
      <c r="AP6" s="260"/>
      <c r="AQ6" s="260">
        <f>SUMIFS(Portefeuille_MNT_PPS_Access22[TR 2027],Portefeuille_MNT_PPS_Access22[État Composante TR],"=PR")</f>
        <v>5749</v>
      </c>
      <c r="AR6" s="260"/>
      <c r="AS6" s="260">
        <f>SUMIFS(Portefeuille_MNT_PPS_Access22[TR 2028],Portefeuille_MNT_PPS_Access22[État Composante TR],"=PR")</f>
        <v>4929</v>
      </c>
      <c r="AT6" s="260"/>
      <c r="AU6" s="260">
        <f>SUMIFS(Portefeuille_MNT_PPS_Access22[TR 2029],Portefeuille_MNT_PPS_Access22[État Composante TR],"=PR")</f>
        <v>6707.0000000000009</v>
      </c>
      <c r="AV6" s="260"/>
      <c r="AW6" s="260">
        <f>SUMIFS(Portefeuille_MNT_PPS_Access22[TR 2030],Portefeuille_MNT_PPS_Access22[État Composante TR],"=PR")</f>
        <v>6846.0000000000018</v>
      </c>
      <c r="AX6" s="260"/>
      <c r="AY6" s="260">
        <f>SUMIFS(Portefeuille_MNT_PPS_Access22[TR 2031],Portefeuille_MNT_PPS_Access22[État Composante TR],"=PR")</f>
        <v>0</v>
      </c>
      <c r="AZ6" s="260"/>
      <c r="BA6" s="260">
        <f>SUMIFS(Portefeuille_MNT_PPS_Access22[TR 2032],Portefeuille_MNT_PPS_Access22[État Composante TR],"=PR")</f>
        <v>0</v>
      </c>
      <c r="BB6" s="260"/>
      <c r="BC6" s="260">
        <f>SUMIFS(Portefeuille_MNT_PPS_Access22[TR 2033],Portefeuille_MNT_PPS_Access22[État Composante TR],"=PR")</f>
        <v>0</v>
      </c>
      <c r="BD6" s="260"/>
      <c r="BE6" s="260">
        <f>SUMIFS(Portefeuille_MNT_PPS_Access22[TR 2034],Portefeuille_MNT_PPS_Access22[État Composante TR],"=PR")</f>
        <v>0</v>
      </c>
      <c r="BF6" s="260"/>
      <c r="BG6" s="260">
        <f>SUMIFS(Portefeuille_MNT_PPS_Access22[TR 2035],Portefeuille_MNT_PPS_Access22[Région],"=PR")</f>
        <v>0</v>
      </c>
      <c r="BH6" s="260"/>
      <c r="BI6" s="16">
        <f>SUM(AO6:AX6)</f>
        <v>90693</v>
      </c>
      <c r="BJ6" s="16">
        <f t="shared" si="0"/>
        <v>90693</v>
      </c>
    </row>
    <row r="7" spans="1:69" x14ac:dyDescent="0.3">
      <c r="I7" s="30" t="s">
        <v>20</v>
      </c>
      <c r="J7" s="31" t="s">
        <v>21</v>
      </c>
      <c r="AF7" s="35" t="s">
        <v>22</v>
      </c>
      <c r="AG7" s="140">
        <v>0.25</v>
      </c>
      <c r="AH7" s="116" t="s">
        <v>23</v>
      </c>
      <c r="AI7" s="262">
        <f>AI5+AI6</f>
        <v>157670</v>
      </c>
      <c r="AJ7" s="262"/>
      <c r="AK7" s="262">
        <f>AK5+AK6</f>
        <v>75099</v>
      </c>
      <c r="AL7" s="262"/>
      <c r="AM7" s="262">
        <f>AM5+AM6</f>
        <v>67057</v>
      </c>
      <c r="AN7" s="262"/>
      <c r="AO7" s="262">
        <f>AO5+AO6</f>
        <v>77242</v>
      </c>
      <c r="AP7" s="262"/>
      <c r="AQ7" s="262">
        <f>AQ5+AQ6</f>
        <v>15632</v>
      </c>
      <c r="AR7" s="262"/>
      <c r="AS7" s="262">
        <f>AS5+AS6</f>
        <v>11842</v>
      </c>
      <c r="AT7" s="262"/>
      <c r="AU7" s="262">
        <f>AU5+AU6</f>
        <v>9839</v>
      </c>
      <c r="AV7" s="262"/>
      <c r="AW7" s="262">
        <f>AW5+AW6</f>
        <v>9241.0000000000018</v>
      </c>
      <c r="AX7" s="262"/>
      <c r="AY7" s="262">
        <f>AY5+AY6</f>
        <v>1918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62">
        <f>BG5+BG6</f>
        <v>0</v>
      </c>
      <c r="BH7" s="262"/>
      <c r="BI7" s="20">
        <f>BI6+BI5+BI4</f>
        <v>124196</v>
      </c>
      <c r="BJ7" s="20">
        <f>BJ6+BJ5+BJ4</f>
        <v>126114</v>
      </c>
    </row>
    <row r="8" spans="1:69" x14ac:dyDescent="0.3">
      <c r="I8" s="131"/>
      <c r="J8" s="28" t="s">
        <v>270</v>
      </c>
      <c r="AF8" s="35" t="s">
        <v>24</v>
      </c>
      <c r="AG8" s="140">
        <v>0.25</v>
      </c>
      <c r="AH8" s="83" t="s">
        <v>25</v>
      </c>
      <c r="AI8" s="260">
        <f>SUMIFS(Portefeuille_MNT_PPS_Access22[AC ANT],Portefeuille_MNT_PPS_Access22[État Composante AC],"&lt;&gt;PR")</f>
        <v>0</v>
      </c>
      <c r="AJ8" s="260"/>
      <c r="AK8" s="260">
        <f>SUMIFS(Portefeuille_MNT_PPS_Access22[AC 2024],Portefeuille_MNT_PPS_Access22[État Composante AC],"&lt;&gt;PR")</f>
        <v>0</v>
      </c>
      <c r="AL8" s="260"/>
      <c r="AM8" s="260">
        <f>SUMIFS(Portefeuille_MNT_PPS_Access22[AC 2025],Portefeuille_MNT_PPS_Access22[État Composante AC],"&lt;&gt;PR")</f>
        <v>0</v>
      </c>
      <c r="AN8" s="260"/>
      <c r="AO8" s="260">
        <f>SUMIFS(Portefeuille_MNT_PPS_Access22[AC 2026],Portefeuille_MNT_PPS_Access22[État Composante AC],"&lt;&gt;PR")</f>
        <v>1781</v>
      </c>
      <c r="AP8" s="260"/>
      <c r="AQ8" s="260">
        <f>SUMIFS(Portefeuille_MNT_PPS_Access22[AC 2027],Portefeuille_MNT_PPS_Access22[État Composante AC],"&lt;&gt;PR")</f>
        <v>2855</v>
      </c>
      <c r="AR8" s="260"/>
      <c r="AS8" s="260">
        <f>SUMIFS(Portefeuille_MNT_PPS_Access22[AC 2028],Portefeuille_MNT_PPS_Access22[État Composante AC],"&lt;&gt;PR")</f>
        <v>6920</v>
      </c>
      <c r="AT8" s="260"/>
      <c r="AU8" s="260">
        <f>SUMIFS(Portefeuille_MNT_PPS_Access22[AC 2029],Portefeuille_MNT_PPS_Access22[État Composante AC],"&lt;&gt;PR")</f>
        <v>7770</v>
      </c>
      <c r="AV8" s="260"/>
      <c r="AW8" s="260">
        <f>SUMIFS(Portefeuille_MNT_PPS_Access22[AC 2030],Portefeuille_MNT_PPS_Access22[État Composante AC],"&lt;&gt;PR")</f>
        <v>5550</v>
      </c>
      <c r="AX8" s="260"/>
      <c r="AY8" s="260">
        <f>SUMIFS(Portefeuille_MNT_PPS_Access22[AC 2031],Portefeuille_MNT_PPS_Access22[État Composante AC],"&lt;&gt;PR")</f>
        <v>3700</v>
      </c>
      <c r="AZ8" s="260"/>
      <c r="BA8" s="260">
        <f>SUMIFS(Portefeuille_MNT_PPS_Access22[AC 2032],Portefeuille_MNT_PPS_Access22[État Composante AC],"&lt;&gt;PR")</f>
        <v>5000</v>
      </c>
      <c r="BB8" s="260"/>
      <c r="BC8" s="260">
        <f>SUMIFS(Portefeuille_MNT_PPS_Access22[AC 2033],Portefeuille_MNT_PPS_Access22[État Composante AC],"&lt;&gt;PR")</f>
        <v>5800</v>
      </c>
      <c r="BD8" s="260"/>
      <c r="BE8" s="260">
        <f>SUMIFS(Portefeuille_MNT_PPS_Access22[AC 2034],Portefeuille_MNT_PPS_Access22[État Composante AC],"&lt;&gt;PR")</f>
        <v>3975</v>
      </c>
      <c r="BF8" s="260"/>
      <c r="BG8" s="260">
        <f>SUMIFS(Portefeuille_MNT_PPS_Access22[AC 2035],Portefeuille_MNT_PPS_Access22[État Composante TR],"&lt;&gt;PR")</f>
        <v>3100</v>
      </c>
      <c r="BH8" s="260"/>
      <c r="BI8" s="16">
        <f>SUM(AO8:AX8)</f>
        <v>24876</v>
      </c>
      <c r="BJ8" s="16">
        <f>SUM(AO8:BH8)</f>
        <v>46451</v>
      </c>
    </row>
    <row r="9" spans="1:69" x14ac:dyDescent="0.3">
      <c r="I9" s="176"/>
      <c r="J9" s="28" t="s">
        <v>271</v>
      </c>
      <c r="AF9" s="35" t="s">
        <v>26</v>
      </c>
      <c r="AG9" s="140">
        <v>0.25</v>
      </c>
      <c r="AH9" s="83" t="s">
        <v>27</v>
      </c>
      <c r="AI9" s="260">
        <f>SUMIFS(Portefeuille_MNT_PPS_Access22[TR ANT],Portefeuille_MNT_PPS_Access22[État Composante TR],"&lt;&gt;PR")</f>
        <v>19531</v>
      </c>
      <c r="AJ9" s="260"/>
      <c r="AK9" s="260">
        <f>SUMIFS(Portefeuille_MNT_PPS_Access22[TR 2024],Portefeuille_MNT_PPS_Access22[État Composante TR],"&lt;&gt;PR")</f>
        <v>0</v>
      </c>
      <c r="AL9" s="260"/>
      <c r="AM9" s="260">
        <f>SUMIFS(Portefeuille_MNT_PPS_Access22[TR 2025],Portefeuille_MNT_PPS_Access22[État Composante TR],"&lt;&gt;PR")</f>
        <v>35</v>
      </c>
      <c r="AN9" s="260"/>
      <c r="AO9" s="260">
        <f>SUMIFS(Portefeuille_MNT_PPS_Access22[TR 2026],Portefeuille_MNT_PPS_Access22[État Composante TR],"&lt;&gt;PR")</f>
        <v>2046</v>
      </c>
      <c r="AP9" s="260"/>
      <c r="AQ9" s="260">
        <f>SUMIFS(Portefeuille_MNT_PPS_Access22[TR 2027],Portefeuille_MNT_PPS_Access22[État Composante TR],"&lt;&gt;PR")</f>
        <v>67065</v>
      </c>
      <c r="AR9" s="260"/>
      <c r="AS9" s="260">
        <f>SUMIFS(Portefeuille_MNT_PPS_Access22[TR 2028],Portefeuille_MNT_PPS_Access22[État Composante TR],"&lt;&gt;PR")</f>
        <v>88698</v>
      </c>
      <c r="AT9" s="260"/>
      <c r="AU9" s="260">
        <f>SUMIFS(Portefeuille_MNT_PPS_Access22[TR 2029],Portefeuille_MNT_PPS_Access22[État Composante TR],"&lt;&gt;PR")</f>
        <v>126340</v>
      </c>
      <c r="AV9" s="260"/>
      <c r="AW9" s="260">
        <f>SUMIFS(Portefeuille_MNT_PPS_Access22[TR 2030],Portefeuille_MNT_PPS_Access22[État Composante TR],"&lt;&gt;PR")</f>
        <v>93862</v>
      </c>
      <c r="AX9" s="260"/>
      <c r="AY9" s="260">
        <f>SUMIFS(Portefeuille_MNT_PPS_Access22[TR 2031],Portefeuille_MNT_PPS_Access22[État Composante TR],"&lt;&gt;PR")</f>
        <v>92119</v>
      </c>
      <c r="AZ9" s="260"/>
      <c r="BA9" s="260">
        <f>SUMIFS(Portefeuille_MNT_PPS_Access22[TR 2032],Portefeuille_MNT_PPS_Access22[État Composante TR],"&lt;&gt;PR")</f>
        <v>52700</v>
      </c>
      <c r="BB9" s="260"/>
      <c r="BC9" s="260">
        <f>SUMIFS(Portefeuille_MNT_PPS_Access22[TR 2033],Portefeuille_MNT_PPS_Access22[État Composante TR],"&lt;&gt;PR")</f>
        <v>50600</v>
      </c>
      <c r="BD9" s="260"/>
      <c r="BE9" s="260">
        <f>SUMIFS(Portefeuille_MNT_PPS_Access22[TR 2034],Portefeuille_MNT_PPS_Access22[État Composante TR],"&lt;&gt;PR")</f>
        <v>85400</v>
      </c>
      <c r="BF9" s="260"/>
      <c r="BG9" s="260">
        <f>SUMIFS(Portefeuille_MNT_PPS_Access22[TR 2035],Portefeuille_MNT_PPS_Access22[Région],"&lt;&gt;PR")</f>
        <v>107000</v>
      </c>
      <c r="BH9" s="260"/>
      <c r="BI9" s="16">
        <f>SUM(AO9:AX9)</f>
        <v>378011</v>
      </c>
      <c r="BJ9" s="16">
        <f>SUM(AO9:BH9)</f>
        <v>765830</v>
      </c>
    </row>
    <row r="10" spans="1:69" x14ac:dyDescent="0.3">
      <c r="I10" s="175"/>
      <c r="J10" s="31" t="s">
        <v>521</v>
      </c>
      <c r="AF10" s="35" t="s">
        <v>28</v>
      </c>
      <c r="AG10" s="140">
        <v>0.25</v>
      </c>
      <c r="AH10" s="117" t="s">
        <v>29</v>
      </c>
      <c r="AI10" s="262">
        <f>AI8+AI9</f>
        <v>19531</v>
      </c>
      <c r="AJ10" s="262"/>
      <c r="AK10" s="262">
        <f>AK8+AK9</f>
        <v>0</v>
      </c>
      <c r="AL10" s="262"/>
      <c r="AM10" s="262">
        <f>AM8+AM9</f>
        <v>35</v>
      </c>
      <c r="AN10" s="262"/>
      <c r="AO10" s="262">
        <f>AO8+AO9</f>
        <v>3827</v>
      </c>
      <c r="AP10" s="262"/>
      <c r="AQ10" s="262">
        <f>AQ8+AQ9</f>
        <v>69920</v>
      </c>
      <c r="AR10" s="262"/>
      <c r="AS10" s="262">
        <f>AS8+AS9</f>
        <v>95618</v>
      </c>
      <c r="AT10" s="262"/>
      <c r="AU10" s="262">
        <f>AU8+AU9</f>
        <v>134110</v>
      </c>
      <c r="AV10" s="262"/>
      <c r="AW10" s="262">
        <f>AW8+AW9</f>
        <v>99412</v>
      </c>
      <c r="AX10" s="262"/>
      <c r="AY10" s="262">
        <f>AY8+AY9</f>
        <v>95819</v>
      </c>
      <c r="AZ10" s="262"/>
      <c r="BA10" s="262">
        <f>BA8+BA9</f>
        <v>57700</v>
      </c>
      <c r="BB10" s="262"/>
      <c r="BC10" s="262">
        <f>BC8+BC9</f>
        <v>56400</v>
      </c>
      <c r="BD10" s="262"/>
      <c r="BE10" s="262">
        <f>BE8+BE9</f>
        <v>89375</v>
      </c>
      <c r="BF10" s="262"/>
      <c r="BG10" s="262">
        <f>BG8+BG9</f>
        <v>110100</v>
      </c>
      <c r="BH10" s="262"/>
      <c r="BI10" s="20">
        <f>BI9+BI8</f>
        <v>402887</v>
      </c>
      <c r="BJ10" s="20">
        <f>BJ9+BJ8</f>
        <v>812281</v>
      </c>
    </row>
    <row r="11" spans="1:69" ht="15.6" x14ac:dyDescent="0.3">
      <c r="AF11" s="24" t="s">
        <v>30</v>
      </c>
      <c r="AG11" s="212">
        <f>SUM(AG7:AG10)</f>
        <v>1</v>
      </c>
      <c r="AH11" s="143" t="s">
        <v>31</v>
      </c>
      <c r="AI11" s="261">
        <f>AI10+AI7</f>
        <v>177201</v>
      </c>
      <c r="AJ11" s="259"/>
      <c r="AK11" s="258">
        <f>AK10+AK7</f>
        <v>75099</v>
      </c>
      <c r="AL11" s="259"/>
      <c r="AM11" s="258">
        <f>AM10+AM7</f>
        <v>67092</v>
      </c>
      <c r="AN11" s="259"/>
      <c r="AO11" s="258">
        <f>AO10+AO7</f>
        <v>81069</v>
      </c>
      <c r="AP11" s="259"/>
      <c r="AQ11" s="258">
        <f>AQ10+AQ7</f>
        <v>85552</v>
      </c>
      <c r="AR11" s="259"/>
      <c r="AS11" s="258">
        <f>AS10+AS7</f>
        <v>107460</v>
      </c>
      <c r="AT11" s="259"/>
      <c r="AU11" s="258">
        <f>AU10+AU7</f>
        <v>143949</v>
      </c>
      <c r="AV11" s="259"/>
      <c r="AW11" s="258">
        <f>AW10+AW7</f>
        <v>108653</v>
      </c>
      <c r="AX11" s="259"/>
      <c r="AY11" s="258">
        <f t="shared" ref="AY11" si="1">AY10+AY7</f>
        <v>97737</v>
      </c>
      <c r="AZ11" s="259"/>
      <c r="BA11" s="258">
        <f t="shared" ref="BA11" si="2">BA10+BA7</f>
        <v>57700</v>
      </c>
      <c r="BB11" s="259"/>
      <c r="BC11" s="258">
        <f t="shared" ref="BC11" si="3">BC10+BC7</f>
        <v>56400</v>
      </c>
      <c r="BD11" s="259"/>
      <c r="BE11" s="258">
        <f t="shared" ref="BE11" si="4">BE10+BE7</f>
        <v>89375</v>
      </c>
      <c r="BF11" s="259"/>
      <c r="BG11" s="258">
        <f>BG10+BG7</f>
        <v>110100</v>
      </c>
      <c r="BH11" s="259"/>
      <c r="BI11" s="21">
        <f>BI7+BI10</f>
        <v>527083</v>
      </c>
      <c r="BJ11" s="21">
        <f>BJ7+BJ10</f>
        <v>938395</v>
      </c>
    </row>
    <row r="12" spans="1:69" ht="15.6" hidden="1" x14ac:dyDescent="0.3">
      <c r="AC12" s="24"/>
      <c r="AE12" s="7"/>
      <c r="AG12" s="209"/>
      <c r="AH12" s="83" t="s">
        <v>591</v>
      </c>
      <c r="AI12" s="260"/>
      <c r="AJ12" s="260"/>
      <c r="AK12" s="260"/>
      <c r="AL12" s="28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76">
        <v>0</v>
      </c>
      <c r="BJ12" s="76">
        <v>0</v>
      </c>
    </row>
    <row r="13" spans="1:69" ht="15.6" hidden="1" x14ac:dyDescent="0.3">
      <c r="AC13" s="24"/>
      <c r="AG13" s="142"/>
      <c r="AH13" s="159" t="s">
        <v>592</v>
      </c>
      <c r="AI13" s="258">
        <f>AI12+AI11</f>
        <v>177201</v>
      </c>
      <c r="AJ13" s="259"/>
      <c r="AK13" s="258">
        <f t="shared" ref="AK13" si="5">AK12+AK11</f>
        <v>75099</v>
      </c>
      <c r="AL13" s="259"/>
      <c r="AM13" s="258">
        <f>AM12+AM11</f>
        <v>67092</v>
      </c>
      <c r="AN13" s="259"/>
      <c r="AO13" s="258">
        <f>AO12+AO11</f>
        <v>81069</v>
      </c>
      <c r="AP13" s="259"/>
      <c r="AQ13" s="258">
        <f>AQ12+AQ11</f>
        <v>85552</v>
      </c>
      <c r="AR13" s="259"/>
      <c r="AS13" s="258">
        <f>AS12+AS11</f>
        <v>107460</v>
      </c>
      <c r="AT13" s="259"/>
      <c r="AU13" s="258">
        <f>AU12+AU11</f>
        <v>143949</v>
      </c>
      <c r="AV13" s="259"/>
      <c r="AW13" s="258">
        <f>AW12+AW11</f>
        <v>108653</v>
      </c>
      <c r="AX13" s="259"/>
      <c r="AY13" s="258">
        <f>AY12+AY11</f>
        <v>97737</v>
      </c>
      <c r="AZ13" s="259"/>
      <c r="BA13" s="258">
        <f>BA12+BA11</f>
        <v>57700</v>
      </c>
      <c r="BB13" s="259"/>
      <c r="BC13" s="258">
        <f>BC12+BC11</f>
        <v>56400</v>
      </c>
      <c r="BD13" s="259"/>
      <c r="BE13" s="258">
        <f>BE12+BE11</f>
        <v>89375</v>
      </c>
      <c r="BF13" s="259"/>
      <c r="BG13" s="258">
        <f>BG12+BG11</f>
        <v>110100</v>
      </c>
      <c r="BH13" s="259"/>
      <c r="BI13" s="21">
        <f>BI12+BI11</f>
        <v>527083</v>
      </c>
      <c r="BJ13" s="21">
        <f>BJ12+BJ11</f>
        <v>938395</v>
      </c>
    </row>
    <row r="14" spans="1:69" ht="15.6" x14ac:dyDescent="0.3">
      <c r="AG14" s="210"/>
      <c r="AH14" s="144" t="s">
        <v>539</v>
      </c>
      <c r="AI14" s="256"/>
      <c r="AJ14" s="257"/>
      <c r="AK14" s="256">
        <v>75857</v>
      </c>
      <c r="AL14" s="257"/>
      <c r="AM14" s="256">
        <v>75500</v>
      </c>
      <c r="AN14" s="257"/>
      <c r="AO14" s="256">
        <v>75500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80500</v>
      </c>
      <c r="AX14" s="257"/>
      <c r="AY14" s="256">
        <v>20233</v>
      </c>
      <c r="AZ14" s="257"/>
      <c r="BA14" s="256">
        <v>56733</v>
      </c>
      <c r="BB14" s="257"/>
      <c r="BC14" s="256">
        <v>47783</v>
      </c>
      <c r="BD14" s="257"/>
      <c r="BE14" s="256">
        <v>51334</v>
      </c>
      <c r="BF14" s="257"/>
      <c r="BG14" s="256"/>
      <c r="BH14" s="257"/>
      <c r="BI14" s="17">
        <f>SUM(AO14:AX14)</f>
        <v>397500</v>
      </c>
      <c r="BJ14" s="17">
        <f>SUM(AN14:AW14)</f>
        <v>397500</v>
      </c>
    </row>
    <row r="15" spans="1:69" ht="15.6" x14ac:dyDescent="0.3">
      <c r="AG15" s="210"/>
      <c r="AH15" s="84" t="s">
        <v>555</v>
      </c>
      <c r="AI15" s="252">
        <f>AI14-AI13</f>
        <v>-177201</v>
      </c>
      <c r="AJ15" s="253"/>
      <c r="AK15" s="252">
        <f>AK14-AK13</f>
        <v>758</v>
      </c>
      <c r="AL15" s="253"/>
      <c r="AM15" s="252">
        <f>AM14-AM13</f>
        <v>8408</v>
      </c>
      <c r="AN15" s="253"/>
      <c r="AO15" s="252">
        <f>AO14-AO13</f>
        <v>-5569</v>
      </c>
      <c r="AP15" s="253"/>
      <c r="AQ15" s="252">
        <f t="shared" ref="AQ15" si="6">AQ14-AQ13</f>
        <v>-5052</v>
      </c>
      <c r="AR15" s="253"/>
      <c r="AS15" s="252">
        <f t="shared" ref="AS15" si="7">AS14-AS13</f>
        <v>-26960</v>
      </c>
      <c r="AT15" s="253"/>
      <c r="AU15" s="252">
        <f t="shared" ref="AU15" si="8">AU14-AU13</f>
        <v>-63449</v>
      </c>
      <c r="AV15" s="253"/>
      <c r="AW15" s="252">
        <f t="shared" ref="AW15" si="9">AW14-AW13</f>
        <v>-28153</v>
      </c>
      <c r="AX15" s="253"/>
      <c r="AY15" s="252">
        <f t="shared" ref="AY15" si="10">AY14-AY13</f>
        <v>-77504</v>
      </c>
      <c r="AZ15" s="253"/>
      <c r="BA15" s="252">
        <f t="shared" ref="BA15" si="11">BA14-BA13</f>
        <v>-967</v>
      </c>
      <c r="BB15" s="253"/>
      <c r="BC15" s="252">
        <f>BC14-BC13</f>
        <v>-8617</v>
      </c>
      <c r="BD15" s="253"/>
      <c r="BE15" s="252">
        <f>BE14-BE13</f>
        <v>-38041</v>
      </c>
      <c r="BF15" s="253"/>
      <c r="BG15" s="252">
        <f>BG14-BG13</f>
        <v>-110100</v>
      </c>
      <c r="BH15" s="253"/>
      <c r="BI15" s="23">
        <f>BI14-BI13</f>
        <v>-129583</v>
      </c>
      <c r="BJ15" s="23">
        <f>BJ14-BJ13</f>
        <v>-540895</v>
      </c>
    </row>
    <row r="16" spans="1:69" ht="15.6" x14ac:dyDescent="0.3">
      <c r="AG16" s="211"/>
      <c r="AH16" s="145" t="s">
        <v>556</v>
      </c>
      <c r="AI16" s="254" t="e">
        <f>(AI13-AI14)/AI14</f>
        <v>#DIV/0!</v>
      </c>
      <c r="AJ16" s="255"/>
      <c r="AK16" s="254">
        <f t="shared" ref="AK16" si="12">(AK13-AK14)/AK14</f>
        <v>-9.9924858615552947E-3</v>
      </c>
      <c r="AL16" s="255"/>
      <c r="AM16" s="254">
        <f>(AM14-AM13)/AM14</f>
        <v>0.11136423841059602</v>
      </c>
      <c r="AN16" s="255"/>
      <c r="AO16" s="254">
        <f>(AO14-AO13)/AO14</f>
        <v>-7.376158940397351E-2</v>
      </c>
      <c r="AP16" s="255"/>
      <c r="AQ16" s="254">
        <f t="shared" ref="AQ16" si="13">(AQ14-AQ13)/AQ14</f>
        <v>-6.2757763975155284E-2</v>
      </c>
      <c r="AR16" s="255"/>
      <c r="AS16" s="254">
        <f t="shared" ref="AS16" si="14">(AS14-AS13)/AS14</f>
        <v>-0.33490683229813667</v>
      </c>
      <c r="AT16" s="255"/>
      <c r="AU16" s="254">
        <f t="shared" ref="AU16" si="15">(AU14-AU13)/AU14</f>
        <v>-0.78818633540372673</v>
      </c>
      <c r="AV16" s="255"/>
      <c r="AW16" s="254">
        <f t="shared" ref="AW16" si="16">(AW14-AW13)/AW14</f>
        <v>-0.34972670807453415</v>
      </c>
      <c r="AX16" s="255"/>
      <c r="AY16" s="254">
        <f t="shared" ref="AY16" si="17">(AY14-AY13)/AY14</f>
        <v>-3.8305738150546138</v>
      </c>
      <c r="AZ16" s="255"/>
      <c r="BA16" s="254">
        <f t="shared" ref="BA16" si="18">(BA14-BA13)/BA14</f>
        <v>-1.7044753494438864E-2</v>
      </c>
      <c r="BB16" s="255"/>
      <c r="BC16" s="254">
        <f>(BC14-BC13)/BC14</f>
        <v>-0.18033610279806625</v>
      </c>
      <c r="BD16" s="255"/>
      <c r="BE16" s="254">
        <f>(BE14-BE13)/BE14</f>
        <v>-0.74104881754782403</v>
      </c>
      <c r="BF16" s="255"/>
      <c r="BG16" s="254" t="e">
        <f>(BG14-BG13)/BG14</f>
        <v>#DIV/0!</v>
      </c>
      <c r="BH16" s="255"/>
      <c r="BI16" s="22">
        <f>(BI14-BI13)/BI14</f>
        <v>-0.32599496855345911</v>
      </c>
      <c r="BJ16" s="22">
        <f>(BJ14-BJ13)/BJ14</f>
        <v>-1.36074213836478</v>
      </c>
    </row>
    <row r="17" spans="1:61" ht="13.95" customHeight="1" thickBot="1" x14ac:dyDescent="0.35">
      <c r="AK17" s="8"/>
      <c r="AL17"/>
      <c r="AV17"/>
    </row>
    <row r="18" spans="1:61" s="11" customFormat="1" ht="75.599999999999994" customHeight="1" x14ac:dyDescent="0.3">
      <c r="A18" s="11" t="s">
        <v>273</v>
      </c>
      <c r="B18" s="11" t="s">
        <v>274</v>
      </c>
      <c r="C18" s="11" t="s">
        <v>37</v>
      </c>
      <c r="D18" s="11" t="s">
        <v>38</v>
      </c>
      <c r="E18" s="11" t="s">
        <v>39</v>
      </c>
      <c r="F18" s="11" t="s">
        <v>40</v>
      </c>
      <c r="G18" s="11" t="s">
        <v>41</v>
      </c>
      <c r="H18" s="11" t="s">
        <v>42</v>
      </c>
      <c r="I18" s="11" t="s">
        <v>44</v>
      </c>
      <c r="J18" s="11" t="s">
        <v>45</v>
      </c>
      <c r="K18" s="11" t="s">
        <v>46</v>
      </c>
      <c r="L18" s="11" t="s">
        <v>47</v>
      </c>
      <c r="M18" s="11" t="s">
        <v>48</v>
      </c>
      <c r="N18" s="11" t="s">
        <v>49</v>
      </c>
      <c r="O18" s="11" t="s">
        <v>50</v>
      </c>
      <c r="P18" s="11" t="s">
        <v>51</v>
      </c>
      <c r="Q18" s="11" t="s">
        <v>52</v>
      </c>
      <c r="R18" s="11" t="s">
        <v>548</v>
      </c>
      <c r="S18" s="11" t="s">
        <v>538</v>
      </c>
      <c r="T18" s="11" t="s">
        <v>537</v>
      </c>
      <c r="U18" s="11" t="s">
        <v>535</v>
      </c>
      <c r="V18" s="11" t="s">
        <v>534</v>
      </c>
      <c r="W18" s="11" t="s">
        <v>536</v>
      </c>
      <c r="X18" s="9" t="s">
        <v>53</v>
      </c>
      <c r="Y18" s="9" t="s">
        <v>54</v>
      </c>
      <c r="Z18" s="9" t="s">
        <v>72</v>
      </c>
      <c r="AA18" s="9" t="s">
        <v>26</v>
      </c>
      <c r="AB18" s="9" t="s">
        <v>73</v>
      </c>
      <c r="AC18" s="9" t="s">
        <v>74</v>
      </c>
      <c r="AD18" s="9" t="s">
        <v>55</v>
      </c>
      <c r="AE18" s="9" t="s">
        <v>56</v>
      </c>
      <c r="AF18" s="9" t="s">
        <v>69</v>
      </c>
      <c r="AG18" s="9" t="s">
        <v>71</v>
      </c>
      <c r="AH18" s="10" t="s">
        <v>75</v>
      </c>
      <c r="AI18" s="9" t="s">
        <v>76</v>
      </c>
      <c r="AJ18" s="9" t="s">
        <v>77</v>
      </c>
      <c r="AK18" s="9" t="s">
        <v>78</v>
      </c>
      <c r="AL18" s="9" t="s">
        <v>79</v>
      </c>
      <c r="AM18" s="9" t="s">
        <v>80</v>
      </c>
      <c r="AN18" s="9" t="s">
        <v>81</v>
      </c>
      <c r="AO18" s="9" t="s">
        <v>82</v>
      </c>
      <c r="AP18" s="9" t="s">
        <v>83</v>
      </c>
      <c r="AQ18" s="9" t="s">
        <v>84</v>
      </c>
      <c r="AR18" s="9" t="s">
        <v>85</v>
      </c>
      <c r="AS18" s="9" t="s">
        <v>86</v>
      </c>
      <c r="AT18" s="9" t="s">
        <v>87</v>
      </c>
      <c r="AU18" s="9" t="s">
        <v>88</v>
      </c>
      <c r="AV18" s="9" t="s">
        <v>89</v>
      </c>
      <c r="AW18" s="9" t="s">
        <v>90</v>
      </c>
      <c r="AX18" s="9" t="s">
        <v>91</v>
      </c>
      <c r="AY18" s="9" t="s">
        <v>92</v>
      </c>
      <c r="AZ18" s="9" t="s">
        <v>93</v>
      </c>
      <c r="BA18" s="9" t="s">
        <v>94</v>
      </c>
      <c r="BB18" s="9" t="s">
        <v>95</v>
      </c>
      <c r="BC18" s="9" t="s">
        <v>96</v>
      </c>
      <c r="BD18" s="9" t="s">
        <v>97</v>
      </c>
      <c r="BE18" s="9" t="s">
        <v>98</v>
      </c>
      <c r="BF18" s="9" t="s">
        <v>99</v>
      </c>
      <c r="BG18" s="9" t="s">
        <v>593</v>
      </c>
      <c r="BH18" s="9" t="s">
        <v>594</v>
      </c>
      <c r="BI18" s="9" t="s">
        <v>100</v>
      </c>
    </row>
    <row r="19" spans="1:61" hidden="1" x14ac:dyDescent="0.3">
      <c r="A19" t="s">
        <v>286</v>
      </c>
      <c r="C19" t="s">
        <v>101</v>
      </c>
      <c r="D19" t="s">
        <v>102</v>
      </c>
      <c r="E19" t="s">
        <v>103</v>
      </c>
      <c r="F19" t="s">
        <v>113</v>
      </c>
      <c r="G19" t="s">
        <v>16</v>
      </c>
      <c r="H19" t="s">
        <v>16</v>
      </c>
      <c r="I19" t="s">
        <v>105</v>
      </c>
      <c r="J19" t="s">
        <v>114</v>
      </c>
      <c r="K19" t="s">
        <v>115</v>
      </c>
      <c r="L19" t="s">
        <v>116</v>
      </c>
      <c r="M19" t="s">
        <v>109</v>
      </c>
      <c r="N19" t="s">
        <v>123</v>
      </c>
      <c r="O19" s="1">
        <v>45105</v>
      </c>
      <c r="P19" s="1">
        <v>45789</v>
      </c>
      <c r="Q19" s="1">
        <v>45925</v>
      </c>
      <c r="R1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1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23</v>
      </c>
      <c r="V1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4</v>
      </c>
      <c r="W19">
        <f>Portefeuille_MNT_PPS_Access22[[#This Row],[Délais PC1 et PC3]]+Portefeuille_MNT_PPS_Access22[[#This Row],[Délais PC3 et PC5]]</f>
        <v>27</v>
      </c>
      <c r="X19">
        <v>1</v>
      </c>
      <c r="Y19">
        <v>1</v>
      </c>
      <c r="Z1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19" s="12" t="e">
        <f>_xlfn.XLOOKUP(Portefeuille_MNT_PPS_Access22[[#This Row],[Numéro projet]],Tableau5[Numéro projet],Tableau5[IND_Site_Prioritaire])</f>
        <v>#N/A</v>
      </c>
      <c r="AB19" s="2" t="e">
        <f>_xlfn.XLOOKUP(Portefeuille_MNT_PPS_Access22[[#This Row],[Numéro projet]],Tableau5[Numéro projet],Tableau5[Critère Etat Infrastructure])</f>
        <v>#N/A</v>
      </c>
      <c r="AC1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9">
        <v>1</v>
      </c>
      <c r="AE19">
        <v>5</v>
      </c>
      <c r="AF19" t="s">
        <v>125</v>
      </c>
      <c r="AG19" s="2"/>
      <c r="AH19" s="2"/>
      <c r="AI19">
        <v>25</v>
      </c>
      <c r="AK19">
        <v>17</v>
      </c>
      <c r="AL19"/>
      <c r="AM19">
        <v>48</v>
      </c>
      <c r="AO19">
        <v>520</v>
      </c>
      <c r="AP19">
        <v>19125</v>
      </c>
      <c r="AV19"/>
      <c r="BI19" s="14">
        <f>SUM(Portefeuille_MNT_PPS_Access22[[#This Row],[AC ANT]:[TR 2035]])</f>
        <v>19735</v>
      </c>
    </row>
    <row r="20" spans="1:61" hidden="1" x14ac:dyDescent="0.3">
      <c r="A20" t="s">
        <v>286</v>
      </c>
      <c r="C20" t="s">
        <v>101</v>
      </c>
      <c r="D20" t="s">
        <v>102</v>
      </c>
      <c r="E20" t="s">
        <v>103</v>
      </c>
      <c r="F20" t="s">
        <v>104</v>
      </c>
      <c r="G20" t="s">
        <v>16</v>
      </c>
      <c r="H20" t="s">
        <v>16</v>
      </c>
      <c r="I20" t="s">
        <v>105</v>
      </c>
      <c r="J20" t="s">
        <v>106</v>
      </c>
      <c r="K20" t="s">
        <v>107</v>
      </c>
      <c r="L20" t="s">
        <v>108</v>
      </c>
      <c r="M20" t="s">
        <v>109</v>
      </c>
      <c r="N20" t="s">
        <v>123</v>
      </c>
      <c r="O20" s="1">
        <v>45014</v>
      </c>
      <c r="P20" s="1">
        <v>45799</v>
      </c>
      <c r="Q20" s="1">
        <v>45991</v>
      </c>
      <c r="R2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2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26</v>
      </c>
      <c r="V2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6</v>
      </c>
      <c r="W20">
        <f>Portefeuille_MNT_PPS_Access22[[#This Row],[Délais PC1 et PC3]]+Portefeuille_MNT_PPS_Access22[[#This Row],[Délais PC3 et PC5]]</f>
        <v>32</v>
      </c>
      <c r="X20">
        <v>1</v>
      </c>
      <c r="Y20">
        <v>1</v>
      </c>
      <c r="Z2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0" s="12" t="e">
        <f>_xlfn.XLOOKUP(Portefeuille_MNT_PPS_Access22[[#This Row],[Numéro projet]],Tableau5[Numéro projet],Tableau5[IND_Site_Prioritaire])</f>
        <v>#N/A</v>
      </c>
      <c r="AB20" s="2" t="e">
        <f>_xlfn.XLOOKUP(Portefeuille_MNT_PPS_Access22[[#This Row],[Numéro projet]],Tableau5[Numéro projet],Tableau5[Critère Etat Infrastructure])</f>
        <v>#N/A</v>
      </c>
      <c r="AC2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0">
        <v>1</v>
      </c>
      <c r="AE20">
        <v>5</v>
      </c>
      <c r="AF20" t="s">
        <v>125</v>
      </c>
      <c r="AG20" s="2"/>
      <c r="AH20" s="2"/>
      <c r="AI20">
        <v>69</v>
      </c>
      <c r="AK20">
        <v>213</v>
      </c>
      <c r="AL20"/>
      <c r="AM20">
        <v>272</v>
      </c>
      <c r="AO20">
        <v>636</v>
      </c>
      <c r="AP20">
        <v>16507</v>
      </c>
      <c r="AV20"/>
      <c r="BI20" s="14">
        <f>SUM(Portefeuille_MNT_PPS_Access22[[#This Row],[AC ANT]:[TR 2035]])</f>
        <v>17697</v>
      </c>
    </row>
    <row r="21" spans="1:61" hidden="1" x14ac:dyDescent="0.3">
      <c r="A21" t="s">
        <v>286</v>
      </c>
      <c r="C21" t="s">
        <v>126</v>
      </c>
      <c r="D21" t="s">
        <v>127</v>
      </c>
      <c r="E21" t="s">
        <v>103</v>
      </c>
      <c r="F21" t="s">
        <v>144</v>
      </c>
      <c r="G21" t="s">
        <v>16</v>
      </c>
      <c r="H21" t="s">
        <v>16</v>
      </c>
      <c r="I21" t="s">
        <v>131</v>
      </c>
      <c r="J21" t="s">
        <v>145</v>
      </c>
      <c r="K21" t="s">
        <v>146</v>
      </c>
      <c r="L21" t="s">
        <v>147</v>
      </c>
      <c r="M21" s="2" t="s">
        <v>109</v>
      </c>
      <c r="N21" t="s">
        <v>110</v>
      </c>
      <c r="O21" s="1">
        <v>44609</v>
      </c>
      <c r="P21" s="1">
        <v>45905</v>
      </c>
      <c r="Q21" s="1">
        <v>46045</v>
      </c>
      <c r="R2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2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2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43</v>
      </c>
      <c r="V2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4</v>
      </c>
      <c r="W21">
        <f>Portefeuille_MNT_PPS_Access22[[#This Row],[Délais PC1 et PC3]]+Portefeuille_MNT_PPS_Access22[[#This Row],[Délais PC3 et PC5]]</f>
        <v>47</v>
      </c>
      <c r="X21">
        <v>5</v>
      </c>
      <c r="Y21">
        <v>1</v>
      </c>
      <c r="Z2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21" s="12" t="e">
        <f>_xlfn.XLOOKUP(Portefeuille_MNT_PPS_Access22[[#This Row],[Numéro projet]],Tableau5[Numéro projet],Tableau5[IND_Site_Prioritaire])</f>
        <v>#N/A</v>
      </c>
      <c r="AB21" s="2" t="e">
        <f>_xlfn.XLOOKUP(Portefeuille_MNT_PPS_Access22[[#This Row],[Numéro projet]],Tableau5[Numéro projet],Tableau5[Critère Etat Infrastructure])</f>
        <v>#N/A</v>
      </c>
      <c r="AC2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1">
        <v>1</v>
      </c>
      <c r="AE21">
        <v>5</v>
      </c>
      <c r="AF21" t="s">
        <v>112</v>
      </c>
      <c r="AG21" s="2"/>
      <c r="AH21" s="2"/>
      <c r="AI21">
        <v>117</v>
      </c>
      <c r="AK21">
        <v>84</v>
      </c>
      <c r="AL21"/>
      <c r="AM21">
        <v>105</v>
      </c>
      <c r="AO21">
        <v>417</v>
      </c>
      <c r="AP21">
        <v>9684</v>
      </c>
      <c r="AV21"/>
      <c r="BI21" s="14">
        <f>SUM(Portefeuille_MNT_PPS_Access22[[#This Row],[AC ANT]:[TR 2035]])</f>
        <v>10407</v>
      </c>
    </row>
    <row r="22" spans="1:61" hidden="1" x14ac:dyDescent="0.3">
      <c r="A22" t="s">
        <v>286</v>
      </c>
      <c r="C22" t="s">
        <v>101</v>
      </c>
      <c r="D22" t="s">
        <v>102</v>
      </c>
      <c r="E22" t="s">
        <v>136</v>
      </c>
      <c r="F22" t="s">
        <v>113</v>
      </c>
      <c r="G22" t="s">
        <v>16</v>
      </c>
      <c r="H22" t="s">
        <v>16</v>
      </c>
      <c r="I22" t="s">
        <v>131</v>
      </c>
      <c r="J22" t="s">
        <v>137</v>
      </c>
      <c r="K22" t="s">
        <v>138</v>
      </c>
      <c r="L22" t="s">
        <v>139</v>
      </c>
      <c r="M22" t="s">
        <v>109</v>
      </c>
      <c r="N22" t="s">
        <v>123</v>
      </c>
      <c r="O22" s="1">
        <v>45062</v>
      </c>
      <c r="P22" s="1">
        <v>45754</v>
      </c>
      <c r="Q22" s="1">
        <v>45945</v>
      </c>
      <c r="R2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2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23</v>
      </c>
      <c r="V2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6</v>
      </c>
      <c r="W22">
        <f>Portefeuille_MNT_PPS_Access22[[#This Row],[Délais PC1 et PC3]]+Portefeuille_MNT_PPS_Access22[[#This Row],[Délais PC3 et PC5]]</f>
        <v>29</v>
      </c>
      <c r="X22">
        <v>1</v>
      </c>
      <c r="Y22">
        <v>1</v>
      </c>
      <c r="Z2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2" s="12" t="e">
        <f>_xlfn.XLOOKUP(Portefeuille_MNT_PPS_Access22[[#This Row],[Numéro projet]],Tableau5[Numéro projet],Tableau5[IND_Site_Prioritaire])</f>
        <v>#N/A</v>
      </c>
      <c r="AB22" s="2" t="e">
        <f>_xlfn.XLOOKUP(Portefeuille_MNT_PPS_Access22[[#This Row],[Numéro projet]],Tableau5[Numéro projet],Tableau5[Critère Etat Infrastructure])</f>
        <v>#N/A</v>
      </c>
      <c r="AC2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2">
        <v>1</v>
      </c>
      <c r="AE22">
        <v>5</v>
      </c>
      <c r="AF22" t="s">
        <v>125</v>
      </c>
      <c r="AG22" s="2"/>
      <c r="AH22" s="2"/>
      <c r="AI22">
        <v>337</v>
      </c>
      <c r="AJ22">
        <v>41</v>
      </c>
      <c r="AK22">
        <v>327</v>
      </c>
      <c r="AL22"/>
      <c r="AM22">
        <v>363</v>
      </c>
      <c r="AO22">
        <v>1006</v>
      </c>
      <c r="AP22">
        <v>5870</v>
      </c>
      <c r="AV22"/>
      <c r="BI22" s="14">
        <f>SUM(Portefeuille_MNT_PPS_Access22[[#This Row],[AC ANT]:[TR 2035]])</f>
        <v>7944</v>
      </c>
    </row>
    <row r="23" spans="1:61" hidden="1" x14ac:dyDescent="0.3">
      <c r="A23" t="s">
        <v>286</v>
      </c>
      <c r="C23" t="s">
        <v>101</v>
      </c>
      <c r="D23" t="s">
        <v>102</v>
      </c>
      <c r="E23" t="s">
        <v>128</v>
      </c>
      <c r="F23" t="s">
        <v>140</v>
      </c>
      <c r="G23" t="s">
        <v>16</v>
      </c>
      <c r="H23" t="s">
        <v>16</v>
      </c>
      <c r="I23" t="s">
        <v>105</v>
      </c>
      <c r="J23" t="s">
        <v>141</v>
      </c>
      <c r="K23" t="s">
        <v>142</v>
      </c>
      <c r="L23" t="s">
        <v>143</v>
      </c>
      <c r="M23" t="s">
        <v>109</v>
      </c>
      <c r="N23" t="s">
        <v>123</v>
      </c>
      <c r="O23" s="1">
        <v>42900</v>
      </c>
      <c r="P23" s="1">
        <v>45323</v>
      </c>
      <c r="Q23" s="1">
        <v>45889</v>
      </c>
      <c r="R2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2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80</v>
      </c>
      <c r="V2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18</v>
      </c>
      <c r="W23">
        <f>Portefeuille_MNT_PPS_Access22[[#This Row],[Délais PC1 et PC3]]+Portefeuille_MNT_PPS_Access22[[#This Row],[Délais PC3 et PC5]]</f>
        <v>98</v>
      </c>
      <c r="X23">
        <v>5</v>
      </c>
      <c r="Y23">
        <v>1</v>
      </c>
      <c r="Z23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3" s="12" t="e">
        <f>_xlfn.XLOOKUP(Portefeuille_MNT_PPS_Access22[[#This Row],[Numéro projet]],Tableau5[Numéro projet],Tableau5[IND_Site_Prioritaire])</f>
        <v>#N/A</v>
      </c>
      <c r="AB23" s="2" t="e">
        <f>_xlfn.XLOOKUP(Portefeuille_MNT_PPS_Access22[[#This Row],[Numéro projet]],Tableau5[Numéro projet],Tableau5[Critère Etat Infrastructure])</f>
        <v>#N/A</v>
      </c>
      <c r="AC2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3">
        <v>5</v>
      </c>
      <c r="AE23">
        <v>5</v>
      </c>
      <c r="AF23" t="s">
        <v>125</v>
      </c>
      <c r="AG23" s="2"/>
      <c r="AH23" s="2"/>
      <c r="AI23">
        <v>61</v>
      </c>
      <c r="AL23"/>
      <c r="AO23">
        <v>370</v>
      </c>
      <c r="AP23">
        <v>4948</v>
      </c>
      <c r="AV23"/>
      <c r="BI23" s="14">
        <f>SUM(Portefeuille_MNT_PPS_Access22[[#This Row],[AC ANT]:[TR 2035]])</f>
        <v>5379</v>
      </c>
    </row>
    <row r="24" spans="1:61" hidden="1" x14ac:dyDescent="0.3">
      <c r="A24" t="s">
        <v>286</v>
      </c>
      <c r="C24" t="s">
        <v>101</v>
      </c>
      <c r="D24" t="s">
        <v>102</v>
      </c>
      <c r="E24" t="s">
        <v>103</v>
      </c>
      <c r="F24" t="s">
        <v>129</v>
      </c>
      <c r="G24" t="s">
        <v>16</v>
      </c>
      <c r="H24" t="s">
        <v>16</v>
      </c>
      <c r="I24" t="s">
        <v>131</v>
      </c>
      <c r="J24" t="s">
        <v>132</v>
      </c>
      <c r="K24" t="s">
        <v>288</v>
      </c>
      <c r="L24" t="s">
        <v>134</v>
      </c>
      <c r="M24" t="s">
        <v>109</v>
      </c>
      <c r="N24" t="s">
        <v>123</v>
      </c>
      <c r="O24" s="1">
        <v>45218</v>
      </c>
      <c r="P24" s="1">
        <v>45722</v>
      </c>
      <c r="Q24" s="1">
        <v>45945</v>
      </c>
      <c r="R2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2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17</v>
      </c>
      <c r="V2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7</v>
      </c>
      <c r="W24">
        <f>Portefeuille_MNT_PPS_Access22[[#This Row],[Délais PC1 et PC3]]+Portefeuille_MNT_PPS_Access22[[#This Row],[Délais PC3 et PC5]]</f>
        <v>24</v>
      </c>
      <c r="X24">
        <v>1</v>
      </c>
      <c r="Y24">
        <v>1</v>
      </c>
      <c r="Z2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4" s="12" t="e">
        <f>_xlfn.XLOOKUP(Portefeuille_MNT_PPS_Access22[[#This Row],[Numéro projet]],Tableau5[Numéro projet],Tableau5[IND_Site_Prioritaire])</f>
        <v>#N/A</v>
      </c>
      <c r="AB24" s="2" t="e">
        <f>_xlfn.XLOOKUP(Portefeuille_MNT_PPS_Access22[[#This Row],[Numéro projet]],Tableau5[Numéro projet],Tableau5[Critère Etat Infrastructure])</f>
        <v>#N/A</v>
      </c>
      <c r="AC2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4">
        <v>1</v>
      </c>
      <c r="AE24">
        <v>5</v>
      </c>
      <c r="AF24" t="s">
        <v>125</v>
      </c>
      <c r="AG24" s="2"/>
      <c r="AH24" s="2"/>
      <c r="AK24">
        <v>12</v>
      </c>
      <c r="AL24"/>
      <c r="AM24">
        <v>10</v>
      </c>
      <c r="AO24">
        <v>350</v>
      </c>
      <c r="AP24">
        <v>4669</v>
      </c>
      <c r="AV24"/>
      <c r="BI24" s="14">
        <f>SUM(Portefeuille_MNT_PPS_Access22[[#This Row],[AC ANT]:[TR 2035]])</f>
        <v>5041</v>
      </c>
    </row>
    <row r="25" spans="1:61" hidden="1" x14ac:dyDescent="0.3">
      <c r="A25" t="s">
        <v>286</v>
      </c>
      <c r="C25" t="s">
        <v>101</v>
      </c>
      <c r="D25" t="s">
        <v>102</v>
      </c>
      <c r="E25" t="s">
        <v>128</v>
      </c>
      <c r="F25" t="s">
        <v>149</v>
      </c>
      <c r="G25" t="s">
        <v>16</v>
      </c>
      <c r="H25" t="s">
        <v>16</v>
      </c>
      <c r="I25" t="s">
        <v>131</v>
      </c>
      <c r="J25" t="s">
        <v>150</v>
      </c>
      <c r="K25" t="s">
        <v>151</v>
      </c>
      <c r="L25" t="s">
        <v>152</v>
      </c>
      <c r="M25" t="s">
        <v>109</v>
      </c>
      <c r="N25" t="s">
        <v>123</v>
      </c>
      <c r="O25" s="1">
        <v>45079</v>
      </c>
      <c r="P25" s="1">
        <v>45685</v>
      </c>
      <c r="Q25" s="1">
        <v>46142</v>
      </c>
      <c r="R2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2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2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1.Très à risque</v>
      </c>
      <c r="U2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19</v>
      </c>
      <c r="V2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</v>
      </c>
      <c r="W25">
        <f>Portefeuille_MNT_PPS_Access22[[#This Row],[Délais PC1 et PC3]]+Portefeuille_MNT_PPS_Access22[[#This Row],[Délais PC3 et PC5]]</f>
        <v>34</v>
      </c>
      <c r="X25">
        <v>1</v>
      </c>
      <c r="Y25">
        <v>1</v>
      </c>
      <c r="Z2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5" s="12" t="e">
        <f>_xlfn.XLOOKUP(Portefeuille_MNT_PPS_Access22[[#This Row],[Numéro projet]],Tableau5[Numéro projet],Tableau5[IND_Site_Prioritaire])</f>
        <v>#N/A</v>
      </c>
      <c r="AB25" s="2" t="e">
        <f>_xlfn.XLOOKUP(Portefeuille_MNT_PPS_Access22[[#This Row],[Numéro projet]],Tableau5[Numéro projet],Tableau5[Critère Etat Infrastructure])</f>
        <v>#N/A</v>
      </c>
      <c r="AC2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5">
        <v>1</v>
      </c>
      <c r="AE25">
        <v>5</v>
      </c>
      <c r="AF25" t="s">
        <v>125</v>
      </c>
      <c r="AG25" s="2"/>
      <c r="AH25" s="2"/>
      <c r="AI25">
        <v>12</v>
      </c>
      <c r="AK25">
        <v>163</v>
      </c>
      <c r="AL25"/>
      <c r="AM25">
        <v>100</v>
      </c>
      <c r="AO25">
        <v>300</v>
      </c>
      <c r="AP25">
        <v>4221</v>
      </c>
      <c r="AQ25">
        <v>42</v>
      </c>
      <c r="AR25">
        <v>4139</v>
      </c>
      <c r="AV25"/>
      <c r="BI25" s="14">
        <f>SUM(Portefeuille_MNT_PPS_Access22[[#This Row],[AC ANT]:[TR 2035]])</f>
        <v>8977</v>
      </c>
    </row>
    <row r="26" spans="1:61" hidden="1" x14ac:dyDescent="0.3">
      <c r="A26" t="s">
        <v>286</v>
      </c>
      <c r="C26" t="s">
        <v>118</v>
      </c>
      <c r="D26" t="s">
        <v>102</v>
      </c>
      <c r="E26" t="s">
        <v>188</v>
      </c>
      <c r="F26" t="s">
        <v>113</v>
      </c>
      <c r="G26" t="s">
        <v>16</v>
      </c>
      <c r="H26" t="s">
        <v>130</v>
      </c>
      <c r="I26" t="s">
        <v>131</v>
      </c>
      <c r="J26" t="s">
        <v>189</v>
      </c>
      <c r="K26" t="s">
        <v>190</v>
      </c>
      <c r="L26" t="s">
        <v>191</v>
      </c>
      <c r="M26">
        <v>2026</v>
      </c>
      <c r="N26" t="s">
        <v>110</v>
      </c>
      <c r="O26" s="1">
        <v>45684</v>
      </c>
      <c r="P26" s="1"/>
      <c r="Q26" s="1">
        <v>45945</v>
      </c>
      <c r="R2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2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2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-1500</v>
      </c>
      <c r="V2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1509</v>
      </c>
      <c r="W26">
        <f>Portefeuille_MNT_PPS_Access22[[#This Row],[Délais PC1 et PC3]]+Portefeuille_MNT_PPS_Access22[[#This Row],[Délais PC3 et PC5]]</f>
        <v>9</v>
      </c>
      <c r="X26">
        <v>1</v>
      </c>
      <c r="Y26">
        <v>1</v>
      </c>
      <c r="Z2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26" s="12" t="e">
        <f>_xlfn.XLOOKUP(Portefeuille_MNT_PPS_Access22[[#This Row],[Numéro projet]],Tableau5[Numéro projet],Tableau5[IND_Site_Prioritaire])</f>
        <v>#N/A</v>
      </c>
      <c r="AB26" s="2" t="e">
        <f>_xlfn.XLOOKUP(Portefeuille_MNT_PPS_Access22[[#This Row],[Numéro projet]],Tableau5[Numéro projet],Tableau5[Critère Etat Infrastructure])</f>
        <v>#N/A</v>
      </c>
      <c r="AC2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6">
        <v>1</v>
      </c>
      <c r="AE26">
        <v>1</v>
      </c>
      <c r="AF26" t="s">
        <v>112</v>
      </c>
      <c r="AG26" s="2"/>
      <c r="AH26" s="2"/>
      <c r="AL26"/>
      <c r="AM26">
        <v>80</v>
      </c>
      <c r="AO26">
        <v>314</v>
      </c>
      <c r="AP26">
        <v>899</v>
      </c>
      <c r="AV26"/>
      <c r="BI26" s="14">
        <f>SUM(Portefeuille_MNT_PPS_Access22[[#This Row],[AC ANT]:[TR 2035]])</f>
        <v>1293</v>
      </c>
    </row>
    <row r="27" spans="1:61" hidden="1" x14ac:dyDescent="0.3">
      <c r="A27" t="s">
        <v>286</v>
      </c>
      <c r="C27" t="s">
        <v>101</v>
      </c>
      <c r="D27" t="s">
        <v>102</v>
      </c>
      <c r="E27" t="s">
        <v>119</v>
      </c>
      <c r="F27" t="s">
        <v>129</v>
      </c>
      <c r="G27" t="s">
        <v>16</v>
      </c>
      <c r="H27" t="s">
        <v>16</v>
      </c>
      <c r="I27" t="s">
        <v>131</v>
      </c>
      <c r="J27" t="s">
        <v>153</v>
      </c>
      <c r="K27" t="s">
        <v>154</v>
      </c>
      <c r="L27" t="s">
        <v>134</v>
      </c>
      <c r="M27" t="s">
        <v>109</v>
      </c>
      <c r="N27" t="s">
        <v>123</v>
      </c>
      <c r="O27" s="1">
        <v>45601</v>
      </c>
      <c r="P27" s="1">
        <v>45731</v>
      </c>
      <c r="Q27" s="1">
        <v>45976</v>
      </c>
      <c r="R2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2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2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4</v>
      </c>
      <c r="V2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8</v>
      </c>
      <c r="W27">
        <f>Portefeuille_MNT_PPS_Access22[[#This Row],[Délais PC1 et PC3]]+Portefeuille_MNT_PPS_Access22[[#This Row],[Délais PC3 et PC5]]</f>
        <v>12</v>
      </c>
      <c r="X27">
        <v>1</v>
      </c>
      <c r="Y27">
        <v>1</v>
      </c>
      <c r="Z2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7" s="12" t="e">
        <f>_xlfn.XLOOKUP(Portefeuille_MNT_PPS_Access22[[#This Row],[Numéro projet]],Tableau5[Numéro projet],Tableau5[IND_Site_Prioritaire])</f>
        <v>#N/A</v>
      </c>
      <c r="AB27" s="2" t="e">
        <f>_xlfn.XLOOKUP(Portefeuille_MNT_PPS_Access22[[#This Row],[Numéro projet]],Tableau5[Numéro projet],Tableau5[Critère Etat Infrastructure])</f>
        <v>#N/A</v>
      </c>
      <c r="AC2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7">
        <v>1</v>
      </c>
      <c r="AE27">
        <v>5</v>
      </c>
      <c r="AF27" t="s">
        <v>125</v>
      </c>
      <c r="AG27" s="2"/>
      <c r="AH27" s="2"/>
      <c r="AL27"/>
      <c r="AM27">
        <v>20</v>
      </c>
      <c r="AO27">
        <v>55</v>
      </c>
      <c r="AP27">
        <v>543</v>
      </c>
      <c r="AV27"/>
      <c r="BI27" s="14">
        <f>SUM(Portefeuille_MNT_PPS_Access22[[#This Row],[AC ANT]:[TR 2035]])</f>
        <v>618</v>
      </c>
    </row>
    <row r="28" spans="1:61" hidden="1" x14ac:dyDescent="0.3">
      <c r="A28" t="s">
        <v>286</v>
      </c>
      <c r="C28" t="s">
        <v>101</v>
      </c>
      <c r="D28" t="s">
        <v>102</v>
      </c>
      <c r="E28" t="s">
        <v>119</v>
      </c>
      <c r="F28" t="s">
        <v>129</v>
      </c>
      <c r="G28" t="s">
        <v>20</v>
      </c>
      <c r="H28" t="s">
        <v>20</v>
      </c>
      <c r="I28" t="s">
        <v>131</v>
      </c>
      <c r="J28" t="s">
        <v>440</v>
      </c>
      <c r="K28" t="s">
        <v>441</v>
      </c>
      <c r="L28" t="s">
        <v>152</v>
      </c>
      <c r="M28" t="s">
        <v>109</v>
      </c>
      <c r="N28" t="s">
        <v>123</v>
      </c>
      <c r="O28" s="1">
        <v>46037</v>
      </c>
      <c r="P28" s="1">
        <v>46402</v>
      </c>
      <c r="Q28" s="1">
        <v>45992</v>
      </c>
      <c r="R2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2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2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2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2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-13</v>
      </c>
      <c r="W28">
        <f>Portefeuille_MNT_PPS_Access22[[#This Row],[Délais PC1 et PC3]]+Portefeuille_MNT_PPS_Access22[[#This Row],[Délais PC3 et PC5]]</f>
        <v>-1</v>
      </c>
      <c r="X28">
        <v>1</v>
      </c>
      <c r="Y28">
        <v>1</v>
      </c>
      <c r="Z2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28" s="12" t="e">
        <f>_xlfn.XLOOKUP(Portefeuille_MNT_PPS_Access22[[#This Row],[Numéro projet]],Tableau5[Numéro projet],Tableau5[IND_Site_Prioritaire])</f>
        <v>#N/A</v>
      </c>
      <c r="AB28" s="2" t="e">
        <f>_xlfn.XLOOKUP(Portefeuille_MNT_PPS_Access22[[#This Row],[Numéro projet]],Tableau5[Numéro projet],Tableau5[Critère Etat Infrastructure])</f>
        <v>#N/A</v>
      </c>
      <c r="AC2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28">
        <v>1</v>
      </c>
      <c r="AE28">
        <v>1</v>
      </c>
      <c r="AF28" t="s">
        <v>125</v>
      </c>
      <c r="AG28" s="2"/>
      <c r="AH28" s="2"/>
      <c r="AL28"/>
      <c r="AO28">
        <v>55</v>
      </c>
      <c r="AP28">
        <v>543</v>
      </c>
      <c r="AV28"/>
      <c r="BI28" s="14">
        <f>SUM(Portefeuille_MNT_PPS_Access22[[#This Row],[AC ANT]:[TR 2035]])</f>
        <v>598</v>
      </c>
    </row>
    <row r="29" spans="1:61" hidden="1" x14ac:dyDescent="0.3">
      <c r="A29" t="s">
        <v>286</v>
      </c>
      <c r="C29" t="s">
        <v>118</v>
      </c>
      <c r="D29" t="s">
        <v>102</v>
      </c>
      <c r="E29" t="s">
        <v>136</v>
      </c>
      <c r="F29" t="s">
        <v>252</v>
      </c>
      <c r="G29" t="s">
        <v>16</v>
      </c>
      <c r="H29" t="s">
        <v>16</v>
      </c>
      <c r="I29" t="s">
        <v>131</v>
      </c>
      <c r="J29" t="s">
        <v>255</v>
      </c>
      <c r="K29" t="s">
        <v>529</v>
      </c>
      <c r="L29" t="s">
        <v>209</v>
      </c>
      <c r="M29" t="s">
        <v>109</v>
      </c>
      <c r="N29" t="s">
        <v>291</v>
      </c>
      <c r="O29" s="1"/>
      <c r="P29" s="1"/>
      <c r="Q29" s="1"/>
      <c r="R2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2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2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2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2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29">
        <f>Portefeuille_MNT_PPS_Access22[[#This Row],[Délais PC1 et PC3]]+Portefeuille_MNT_PPS_Access22[[#This Row],[Délais PC3 et PC5]]</f>
        <v>0</v>
      </c>
      <c r="X29">
        <v>1</v>
      </c>
      <c r="Z2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29" s="12" t="e">
        <f>_xlfn.XLOOKUP(Portefeuille_MNT_PPS_Access22[[#This Row],[Numéro projet]],Tableau5[Numéro projet],Tableau5[IND_Site_Prioritaire])</f>
        <v>#N/A</v>
      </c>
      <c r="AB29" s="2" t="e">
        <f>_xlfn.XLOOKUP(Portefeuille_MNT_PPS_Access22[[#This Row],[Numéro projet]],Tableau5[Numéro projet],Tableau5[Critère Etat Infrastructure])</f>
        <v>#N/A</v>
      </c>
      <c r="AC2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29" t="s">
        <v>311</v>
      </c>
      <c r="AG29" s="2"/>
      <c r="AH29" s="2"/>
      <c r="AL29"/>
      <c r="AM29">
        <v>60</v>
      </c>
      <c r="AO29">
        <v>20</v>
      </c>
      <c r="AP29">
        <v>540</v>
      </c>
      <c r="AV29"/>
      <c r="BI29" s="14">
        <f>SUM(Portefeuille_MNT_PPS_Access22[[#This Row],[AC ANT]:[TR 2035]])</f>
        <v>620</v>
      </c>
    </row>
    <row r="30" spans="1:61" hidden="1" x14ac:dyDescent="0.3">
      <c r="A30" t="s">
        <v>286</v>
      </c>
      <c r="C30" t="s">
        <v>126</v>
      </c>
      <c r="D30" t="s">
        <v>127</v>
      </c>
      <c r="E30" t="s">
        <v>177</v>
      </c>
      <c r="F30" t="s">
        <v>206</v>
      </c>
      <c r="G30" t="s">
        <v>16</v>
      </c>
      <c r="H30" t="s">
        <v>16</v>
      </c>
      <c r="I30" t="s">
        <v>223</v>
      </c>
      <c r="J30" t="s">
        <v>224</v>
      </c>
      <c r="K30" t="s">
        <v>520</v>
      </c>
      <c r="L30" t="s">
        <v>180</v>
      </c>
      <c r="M30" t="s">
        <v>109</v>
      </c>
      <c r="N30" t="s">
        <v>123</v>
      </c>
      <c r="O30" s="1">
        <v>44623</v>
      </c>
      <c r="P30" s="1">
        <v>45698</v>
      </c>
      <c r="Q30" s="1">
        <v>46218</v>
      </c>
      <c r="R3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3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3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1.Très à risque</v>
      </c>
      <c r="U3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35</v>
      </c>
      <c r="V3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17</v>
      </c>
      <c r="W30">
        <f>Portefeuille_MNT_PPS_Access22[[#This Row],[Délais PC1 et PC3]]+Portefeuille_MNT_PPS_Access22[[#This Row],[Délais PC3 et PC5]]</f>
        <v>52</v>
      </c>
      <c r="X30">
        <v>1</v>
      </c>
      <c r="Y30">
        <v>1</v>
      </c>
      <c r="Z3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30" s="12" t="e">
        <f>_xlfn.XLOOKUP(Portefeuille_MNT_PPS_Access22[[#This Row],[Numéro projet]],Tableau5[Numéro projet],Tableau5[IND_Site_Prioritaire])</f>
        <v>#N/A</v>
      </c>
      <c r="AB30" s="2" t="e">
        <f>_xlfn.XLOOKUP(Portefeuille_MNT_PPS_Access22[[#This Row],[Numéro projet]],Tableau5[Numéro projet],Tableau5[Critère Etat Infrastructure])</f>
        <v>#N/A</v>
      </c>
      <c r="AC3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30">
        <v>1</v>
      </c>
      <c r="AE30">
        <v>5</v>
      </c>
      <c r="AF30" t="s">
        <v>125</v>
      </c>
      <c r="AG30" s="2"/>
      <c r="AH30" s="2"/>
      <c r="AI30">
        <v>180.00000000000003</v>
      </c>
      <c r="AK30">
        <v>53.000000000000007</v>
      </c>
      <c r="AL30"/>
      <c r="AM30">
        <v>150</v>
      </c>
      <c r="AO30">
        <v>133</v>
      </c>
      <c r="AP30">
        <v>354.99999999999994</v>
      </c>
      <c r="AQ30">
        <v>53.000000000000007</v>
      </c>
      <c r="AR30">
        <v>1610</v>
      </c>
      <c r="AS30">
        <v>159</v>
      </c>
      <c r="AT30">
        <v>4929</v>
      </c>
      <c r="AU30">
        <v>212.00000000000006</v>
      </c>
      <c r="AV30">
        <v>6707.0000000000009</v>
      </c>
      <c r="AW30">
        <v>260.99999999999994</v>
      </c>
      <c r="AX30">
        <v>6846.0000000000018</v>
      </c>
      <c r="BI30" s="14">
        <f>SUM(Portefeuille_MNT_PPS_Access22[[#This Row],[AC ANT]:[TR 2035]])</f>
        <v>21648</v>
      </c>
    </row>
    <row r="31" spans="1:61" hidden="1" x14ac:dyDescent="0.3">
      <c r="A31" t="s">
        <v>11</v>
      </c>
      <c r="C31" t="s">
        <v>118</v>
      </c>
      <c r="D31" t="s">
        <v>102</v>
      </c>
      <c r="E31" t="s">
        <v>103</v>
      </c>
      <c r="G31" t="s">
        <v>20</v>
      </c>
      <c r="H31" t="s">
        <v>20</v>
      </c>
      <c r="I31" t="s">
        <v>131</v>
      </c>
      <c r="J31" t="s">
        <v>597</v>
      </c>
      <c r="K31" t="s">
        <v>598</v>
      </c>
      <c r="L31" t="s">
        <v>214</v>
      </c>
      <c r="M31" t="s">
        <v>109</v>
      </c>
      <c r="O31" s="1"/>
      <c r="P31" s="1"/>
      <c r="Q31" s="1"/>
      <c r="R3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1">
        <f>Portefeuille_MNT_PPS_Access22[[#This Row],[Délais PC1 et PC3]]+Portefeuille_MNT_PPS_Access22[[#This Row],[Délais PC3 et PC5]]</f>
        <v>0</v>
      </c>
      <c r="X31">
        <v>1</v>
      </c>
      <c r="Z31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31" s="12" t="e">
        <f>_xlfn.XLOOKUP(Portefeuille_MNT_PPS_Access22[[#This Row],[Numéro projet]],Tableau5[Numéro projet],Tableau5[IND_Site_Prioritaire])</f>
        <v>#N/A</v>
      </c>
      <c r="AB31" s="2" t="e">
        <f>_xlfn.XLOOKUP(Portefeuille_MNT_PPS_Access22[[#This Row],[Numéro projet]],Tableau5[Numéro projet],Tableau5[Critère Etat Infrastructure])</f>
        <v>#N/A</v>
      </c>
      <c r="AC3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G31" s="2"/>
      <c r="AH31" s="2"/>
      <c r="AL31"/>
      <c r="AP31">
        <v>300</v>
      </c>
      <c r="AV31"/>
      <c r="BI31" s="14">
        <f>SUM(Portefeuille_MNT_PPS_Access22[[#This Row],[AC ANT]:[TR 2035]])</f>
        <v>300</v>
      </c>
    </row>
    <row r="32" spans="1:61" hidden="1" x14ac:dyDescent="0.3">
      <c r="A32" t="s">
        <v>286</v>
      </c>
      <c r="C32" t="s">
        <v>118</v>
      </c>
      <c r="D32" t="s">
        <v>102</v>
      </c>
      <c r="E32" t="s">
        <v>136</v>
      </c>
      <c r="G32" t="s">
        <v>20</v>
      </c>
      <c r="H32" t="s">
        <v>20</v>
      </c>
      <c r="I32" t="s">
        <v>131</v>
      </c>
      <c r="J32" t="s">
        <v>543</v>
      </c>
      <c r="K32" t="s">
        <v>544</v>
      </c>
      <c r="L32" t="s">
        <v>187</v>
      </c>
      <c r="M32" t="s">
        <v>109</v>
      </c>
      <c r="O32" s="1"/>
      <c r="P32" s="1"/>
      <c r="Q32" s="1"/>
      <c r="R3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2">
        <f>Portefeuille_MNT_PPS_Access22[[#This Row],[Délais PC1 et PC3]]+Portefeuille_MNT_PPS_Access22[[#This Row],[Délais PC3 et PC5]]</f>
        <v>0</v>
      </c>
      <c r="X32">
        <v>1</v>
      </c>
      <c r="Z32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32" s="12" t="e">
        <f>_xlfn.XLOOKUP(Portefeuille_MNT_PPS_Access22[[#This Row],[Numéro projet]],Tableau5[Numéro projet],Tableau5[IND_Site_Prioritaire])</f>
        <v>#N/A</v>
      </c>
      <c r="AB32" s="2" t="e">
        <f>_xlfn.XLOOKUP(Portefeuille_MNT_PPS_Access22[[#This Row],[Numéro projet]],Tableau5[Numéro projet],Tableau5[Critère Etat Infrastructure])</f>
        <v>#N/A</v>
      </c>
      <c r="AC3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G32" s="2"/>
      <c r="AH32" s="2"/>
      <c r="AL32"/>
      <c r="AO32">
        <v>1</v>
      </c>
      <c r="AP32">
        <v>164</v>
      </c>
      <c r="AV32"/>
      <c r="BI32" s="14">
        <f>SUM(Portefeuille_MNT_PPS_Access22[[#This Row],[AC ANT]:[TR 2035]])</f>
        <v>165</v>
      </c>
    </row>
    <row r="33" spans="1:61" hidden="1" x14ac:dyDescent="0.3">
      <c r="A33" t="s">
        <v>11</v>
      </c>
      <c r="C33" t="s">
        <v>118</v>
      </c>
      <c r="D33" t="s">
        <v>102</v>
      </c>
      <c r="E33" t="s">
        <v>177</v>
      </c>
      <c r="F33" t="s">
        <v>252</v>
      </c>
      <c r="G33" t="s">
        <v>20</v>
      </c>
      <c r="H33" t="s">
        <v>20</v>
      </c>
      <c r="I33" t="s">
        <v>131</v>
      </c>
      <c r="J33" t="s">
        <v>448</v>
      </c>
      <c r="K33" t="s">
        <v>449</v>
      </c>
      <c r="L33" t="s">
        <v>159</v>
      </c>
      <c r="M33" t="s">
        <v>109</v>
      </c>
      <c r="N33" t="s">
        <v>291</v>
      </c>
      <c r="O33" s="1"/>
      <c r="P33" s="1"/>
      <c r="Q33" s="1"/>
      <c r="R3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3">
        <f>Portefeuille_MNT_PPS_Access22[[#This Row],[Délais PC1 et PC3]]+Portefeuille_MNT_PPS_Access22[[#This Row],[Délais PC3 et PC5]]</f>
        <v>0</v>
      </c>
      <c r="X33">
        <v>1</v>
      </c>
      <c r="Z3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33" s="12" t="e">
        <f>_xlfn.XLOOKUP(Portefeuille_MNT_PPS_Access22[[#This Row],[Numéro projet]],Tableau5[Numéro projet],Tableau5[IND_Site_Prioritaire])</f>
        <v>#N/A</v>
      </c>
      <c r="AB33" s="2" t="e">
        <f>_xlfn.XLOOKUP(Portefeuille_MNT_PPS_Access22[[#This Row],[Numéro projet]],Tableau5[Numéro projet],Tableau5[Critère Etat Infrastructure])</f>
        <v>#N/A</v>
      </c>
      <c r="AC3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33" t="s">
        <v>311</v>
      </c>
      <c r="AG33" s="2"/>
      <c r="AH33" s="2"/>
      <c r="AL33"/>
      <c r="AP33">
        <v>100</v>
      </c>
      <c r="AV33"/>
      <c r="BI33" s="14">
        <f>SUM(Portefeuille_MNT_PPS_Access22[[#This Row],[AC ANT]:[TR 2035]])</f>
        <v>100</v>
      </c>
    </row>
    <row r="34" spans="1:61" hidden="1" x14ac:dyDescent="0.3">
      <c r="A34" t="s">
        <v>286</v>
      </c>
      <c r="C34" t="s">
        <v>118</v>
      </c>
      <c r="D34" t="s">
        <v>102</v>
      </c>
      <c r="E34" t="s">
        <v>119</v>
      </c>
      <c r="F34" t="s">
        <v>252</v>
      </c>
      <c r="G34" t="s">
        <v>20</v>
      </c>
      <c r="H34" t="s">
        <v>20</v>
      </c>
      <c r="I34" t="s">
        <v>131</v>
      </c>
      <c r="J34" t="s">
        <v>450</v>
      </c>
      <c r="K34" t="s">
        <v>451</v>
      </c>
      <c r="L34" t="s">
        <v>214</v>
      </c>
      <c r="M34" t="s">
        <v>109</v>
      </c>
      <c r="N34" t="s">
        <v>291</v>
      </c>
      <c r="O34" s="1"/>
      <c r="P34" s="1"/>
      <c r="Q34" s="1"/>
      <c r="R3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4">
        <f>Portefeuille_MNT_PPS_Access22[[#This Row],[Délais PC1 et PC3]]+Portefeuille_MNT_PPS_Access22[[#This Row],[Délais PC3 et PC5]]</f>
        <v>0</v>
      </c>
      <c r="X34">
        <v>1</v>
      </c>
      <c r="Z3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34" s="12" t="e">
        <f>_xlfn.XLOOKUP(Portefeuille_MNT_PPS_Access22[[#This Row],[Numéro projet]],Tableau5[Numéro projet],Tableau5[IND_Site_Prioritaire])</f>
        <v>#N/A</v>
      </c>
      <c r="AB34" s="2" t="e">
        <f>_xlfn.XLOOKUP(Portefeuille_MNT_PPS_Access22[[#This Row],[Numéro projet]],Tableau5[Numéro projet],Tableau5[Critère Etat Infrastructure])</f>
        <v>#N/A</v>
      </c>
      <c r="AC3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34" t="s">
        <v>311</v>
      </c>
      <c r="AG34" s="2"/>
      <c r="AH34" s="2"/>
      <c r="AL34"/>
      <c r="AP34">
        <v>40</v>
      </c>
      <c r="AV34"/>
      <c r="BI34" s="14">
        <f>SUM(Portefeuille_MNT_PPS_Access22[[#This Row],[AC ANT]:[TR 2035]])</f>
        <v>40</v>
      </c>
    </row>
    <row r="35" spans="1:61" hidden="1" x14ac:dyDescent="0.3">
      <c r="A35" t="s">
        <v>286</v>
      </c>
      <c r="C35" t="s">
        <v>118</v>
      </c>
      <c r="D35" t="s">
        <v>102</v>
      </c>
      <c r="E35" t="s">
        <v>103</v>
      </c>
      <c r="G35" t="s">
        <v>20</v>
      </c>
      <c r="H35" t="s">
        <v>20</v>
      </c>
      <c r="I35" t="s">
        <v>131</v>
      </c>
      <c r="J35" t="s">
        <v>531</v>
      </c>
      <c r="K35" t="s">
        <v>532</v>
      </c>
      <c r="L35" t="s">
        <v>187</v>
      </c>
      <c r="M35" t="s">
        <v>392</v>
      </c>
      <c r="N35" t="s">
        <v>291</v>
      </c>
      <c r="O35" s="1"/>
      <c r="P35" s="1"/>
      <c r="Q35" s="1"/>
      <c r="R3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5">
        <f>Portefeuille_MNT_PPS_Access22[[#This Row],[Délais PC1 et PC3]]+Portefeuille_MNT_PPS_Access22[[#This Row],[Délais PC3 et PC5]]</f>
        <v>0</v>
      </c>
      <c r="X35">
        <v>1</v>
      </c>
      <c r="Z3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35" s="12" t="e">
        <f>_xlfn.XLOOKUP(Portefeuille_MNT_PPS_Access22[[#This Row],[Numéro projet]],Tableau5[Numéro projet],Tableau5[IND_Site_Prioritaire])</f>
        <v>#N/A</v>
      </c>
      <c r="AB35" s="2" t="e">
        <f>_xlfn.XLOOKUP(Portefeuille_MNT_PPS_Access22[[#This Row],[Numéro projet]],Tableau5[Numéro projet],Tableau5[Critère Etat Infrastructure])</f>
        <v>#N/A</v>
      </c>
      <c r="AC3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35" t="s">
        <v>311</v>
      </c>
      <c r="AG35" s="2"/>
      <c r="AH35" s="2"/>
      <c r="AL35"/>
      <c r="AV35"/>
      <c r="AY35">
        <v>150</v>
      </c>
      <c r="BA35">
        <v>150</v>
      </c>
      <c r="BC35">
        <v>500</v>
      </c>
      <c r="BD35">
        <v>8000</v>
      </c>
      <c r="BI35" s="14">
        <f>SUM(Portefeuille_MNT_PPS_Access22[[#This Row],[AC ANT]:[TR 2035]])</f>
        <v>8800</v>
      </c>
    </row>
    <row r="36" spans="1:61" x14ac:dyDescent="0.3">
      <c r="A36" t="s">
        <v>286</v>
      </c>
      <c r="C36" t="s">
        <v>126</v>
      </c>
      <c r="D36" t="s">
        <v>127</v>
      </c>
      <c r="E36" t="s">
        <v>136</v>
      </c>
      <c r="F36" t="s">
        <v>104</v>
      </c>
      <c r="G36" t="s">
        <v>16</v>
      </c>
      <c r="H36" t="s">
        <v>16</v>
      </c>
      <c r="I36" t="s">
        <v>105</v>
      </c>
      <c r="J36" t="s">
        <v>162</v>
      </c>
      <c r="K36" t="s">
        <v>163</v>
      </c>
      <c r="L36" t="s">
        <v>122</v>
      </c>
      <c r="M36" t="s">
        <v>148</v>
      </c>
      <c r="N36" t="s">
        <v>164</v>
      </c>
      <c r="O36" s="1"/>
      <c r="P36" s="1"/>
      <c r="Q36" s="1"/>
      <c r="R3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3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3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3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3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36">
        <f>Portefeuille_MNT_PPS_Access22[[#This Row],[Délais PC1 et PC3]]+Portefeuille_MNT_PPS_Access22[[#This Row],[Délais PC3 et PC5]]</f>
        <v>0</v>
      </c>
      <c r="X36">
        <v>1</v>
      </c>
      <c r="Z3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36" s="12" t="e">
        <f>_xlfn.XLOOKUP(Portefeuille_MNT_PPS_Access22[[#This Row],[Numéro projet]],Tableau5[Numéro projet],Tableau5[IND_Site_Prioritaire])</f>
        <v>#N/A</v>
      </c>
      <c r="AB36" s="2" t="e">
        <f>_xlfn.XLOOKUP(Portefeuille_MNT_PPS_Access22[[#This Row],[Numéro projet]],Tableau5[Numéro projet],Tableau5[Critère Etat Infrastructure])</f>
        <v>#N/A</v>
      </c>
      <c r="AC36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36" t="s">
        <v>165</v>
      </c>
      <c r="AG36" s="2">
        <v>5</v>
      </c>
      <c r="AH36" s="2"/>
      <c r="AI36">
        <v>5398</v>
      </c>
      <c r="AJ36">
        <v>28152</v>
      </c>
      <c r="AK36">
        <v>46</v>
      </c>
      <c r="AL36">
        <v>891</v>
      </c>
      <c r="AM36">
        <v>399</v>
      </c>
      <c r="AN36">
        <v>67</v>
      </c>
      <c r="AO36">
        <v>93</v>
      </c>
      <c r="AV36"/>
      <c r="BI36" s="14">
        <f>SUM(Portefeuille_MNT_PPS_Access22[[#This Row],[AC ANT]:[TR 2035]])</f>
        <v>35046</v>
      </c>
    </row>
    <row r="37" spans="1:61" hidden="1" x14ac:dyDescent="0.3">
      <c r="A37" t="s">
        <v>286</v>
      </c>
      <c r="C37" t="s">
        <v>101</v>
      </c>
      <c r="D37" t="s">
        <v>102</v>
      </c>
      <c r="E37" t="s">
        <v>136</v>
      </c>
      <c r="F37" t="s">
        <v>104</v>
      </c>
      <c r="G37" t="s">
        <v>16</v>
      </c>
      <c r="H37" t="s">
        <v>130</v>
      </c>
      <c r="I37" t="s">
        <v>105</v>
      </c>
      <c r="J37" t="s">
        <v>170</v>
      </c>
      <c r="K37" t="s">
        <v>171</v>
      </c>
      <c r="L37" t="s">
        <v>172</v>
      </c>
      <c r="M37" t="s">
        <v>173</v>
      </c>
      <c r="N37" t="s">
        <v>110</v>
      </c>
      <c r="O37" s="1">
        <v>44833</v>
      </c>
      <c r="P37" s="1">
        <v>45945</v>
      </c>
      <c r="Q37" s="1">
        <v>46310</v>
      </c>
      <c r="R3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3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3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3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37</v>
      </c>
      <c r="V3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37">
        <f>Portefeuille_MNT_PPS_Access22[[#This Row],[Délais PC1 et PC3]]+Portefeuille_MNT_PPS_Access22[[#This Row],[Délais PC3 et PC5]]</f>
        <v>49</v>
      </c>
      <c r="X37">
        <v>1</v>
      </c>
      <c r="Y37">
        <v>1</v>
      </c>
      <c r="Z3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37" s="12" t="e">
        <f>_xlfn.XLOOKUP(Portefeuille_MNT_PPS_Access22[[#This Row],[Numéro projet]],Tableau5[Numéro projet],Tableau5[IND_Site_Prioritaire])</f>
        <v>#N/A</v>
      </c>
      <c r="AB37" s="2" t="e">
        <f>_xlfn.XLOOKUP(Portefeuille_MNT_PPS_Access22[[#This Row],[Numéro projet]],Tableau5[Numéro projet],Tableau5[Critère Etat Infrastructure])</f>
        <v>#N/A</v>
      </c>
      <c r="AC3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37">
        <v>1</v>
      </c>
      <c r="AE37">
        <v>5</v>
      </c>
      <c r="AF37" t="s">
        <v>112</v>
      </c>
      <c r="AG37" s="2"/>
      <c r="AH37" s="2"/>
      <c r="AI37">
        <v>497</v>
      </c>
      <c r="AJ37">
        <v>8</v>
      </c>
      <c r="AK37">
        <v>199</v>
      </c>
      <c r="AL37"/>
      <c r="AM37">
        <v>1064</v>
      </c>
      <c r="AO37">
        <v>1008</v>
      </c>
      <c r="AQ37">
        <v>1886</v>
      </c>
      <c r="AR37">
        <v>15737</v>
      </c>
      <c r="AS37">
        <v>722</v>
      </c>
      <c r="AT37">
        <v>4000</v>
      </c>
      <c r="AV37"/>
      <c r="BI37" s="14">
        <f>SUM(Portefeuille_MNT_PPS_Access22[[#This Row],[AC ANT]:[TR 2035]])</f>
        <v>25121</v>
      </c>
    </row>
    <row r="38" spans="1:61" hidden="1" x14ac:dyDescent="0.3">
      <c r="A38" t="s">
        <v>286</v>
      </c>
      <c r="C38" t="s">
        <v>101</v>
      </c>
      <c r="D38" t="s">
        <v>102</v>
      </c>
      <c r="E38" t="s">
        <v>136</v>
      </c>
      <c r="F38" t="s">
        <v>149</v>
      </c>
      <c r="G38" t="s">
        <v>16</v>
      </c>
      <c r="H38" t="s">
        <v>20</v>
      </c>
      <c r="I38" t="s">
        <v>105</v>
      </c>
      <c r="J38" t="s">
        <v>203</v>
      </c>
      <c r="K38" t="s">
        <v>204</v>
      </c>
      <c r="L38" t="s">
        <v>205</v>
      </c>
      <c r="M38" t="s">
        <v>173</v>
      </c>
      <c r="N38" t="s">
        <v>155</v>
      </c>
      <c r="O38" s="1">
        <v>45960</v>
      </c>
      <c r="P38" s="1">
        <v>46264</v>
      </c>
      <c r="Q38" s="1">
        <v>46629</v>
      </c>
      <c r="R3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3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3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1.Très à risque</v>
      </c>
      <c r="U3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10</v>
      </c>
      <c r="V3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38">
        <f>Portefeuille_MNT_PPS_Access22[[#This Row],[Délais PC1 et PC3]]+Portefeuille_MNT_PPS_Access22[[#This Row],[Délais PC3 et PC5]]</f>
        <v>22</v>
      </c>
      <c r="X38">
        <v>1</v>
      </c>
      <c r="Y38">
        <v>1</v>
      </c>
      <c r="Z3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38" s="12" t="e">
        <f>_xlfn.XLOOKUP(Portefeuille_MNT_PPS_Access22[[#This Row],[Numéro projet]],Tableau5[Numéro projet],Tableau5[IND_Site_Prioritaire])</f>
        <v>#N/A</v>
      </c>
      <c r="AB38" s="2" t="e">
        <f>_xlfn.XLOOKUP(Portefeuille_MNT_PPS_Access22[[#This Row],[Numéro projet]],Tableau5[Numéro projet],Tableau5[Critère Etat Infrastructure])</f>
        <v>#N/A</v>
      </c>
      <c r="AC3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38">
        <v>1</v>
      </c>
      <c r="AE38">
        <v>1</v>
      </c>
      <c r="AF38" t="s">
        <v>156</v>
      </c>
      <c r="AG38" s="2"/>
      <c r="AH38" s="2"/>
      <c r="AL38"/>
      <c r="AM38">
        <v>85</v>
      </c>
      <c r="AO38">
        <v>85</v>
      </c>
      <c r="AQ38">
        <v>170</v>
      </c>
      <c r="AR38">
        <v>2000</v>
      </c>
      <c r="AV38"/>
      <c r="BI38" s="14">
        <f>SUM(Portefeuille_MNT_PPS_Access22[[#This Row],[AC ANT]:[TR 2035]])</f>
        <v>2340</v>
      </c>
    </row>
    <row r="39" spans="1:61" hidden="1" x14ac:dyDescent="0.3">
      <c r="A39" t="s">
        <v>286</v>
      </c>
      <c r="C39" t="s">
        <v>118</v>
      </c>
      <c r="D39" t="s">
        <v>102</v>
      </c>
      <c r="E39" t="s">
        <v>136</v>
      </c>
      <c r="F39" t="s">
        <v>113</v>
      </c>
      <c r="G39" t="s">
        <v>16</v>
      </c>
      <c r="H39" t="s">
        <v>20</v>
      </c>
      <c r="I39" t="s">
        <v>105</v>
      </c>
      <c r="J39" t="s">
        <v>248</v>
      </c>
      <c r="K39" t="s">
        <v>249</v>
      </c>
      <c r="L39" t="s">
        <v>180</v>
      </c>
      <c r="M39" t="s">
        <v>173</v>
      </c>
      <c r="N39" t="s">
        <v>110</v>
      </c>
      <c r="O39" s="1">
        <v>45476</v>
      </c>
      <c r="P39" s="1">
        <v>45945</v>
      </c>
      <c r="Q39" s="1">
        <v>46310</v>
      </c>
      <c r="R3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3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3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3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15</v>
      </c>
      <c r="V3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39">
        <f>Portefeuille_MNT_PPS_Access22[[#This Row],[Délais PC1 et PC3]]+Portefeuille_MNT_PPS_Access22[[#This Row],[Délais PC3 et PC5]]</f>
        <v>27</v>
      </c>
      <c r="X39">
        <v>1</v>
      </c>
      <c r="Y39">
        <v>1</v>
      </c>
      <c r="Z3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39" s="12" t="e">
        <f>_xlfn.XLOOKUP(Portefeuille_MNT_PPS_Access22[[#This Row],[Numéro projet]],Tableau5[Numéro projet],Tableau5[IND_Site_Prioritaire])</f>
        <v>#N/A</v>
      </c>
      <c r="AB39" s="2" t="e">
        <f>_xlfn.XLOOKUP(Portefeuille_MNT_PPS_Access22[[#This Row],[Numéro projet]],Tableau5[Numéro projet],Tableau5[Critère Etat Infrastructure])</f>
        <v>#N/A</v>
      </c>
      <c r="AC3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39">
        <v>1</v>
      </c>
      <c r="AE39">
        <v>5</v>
      </c>
      <c r="AF39" t="s">
        <v>112</v>
      </c>
      <c r="AG39" s="2"/>
      <c r="AH39" s="2"/>
      <c r="AL39"/>
      <c r="AM39">
        <v>100</v>
      </c>
      <c r="AO39">
        <v>110</v>
      </c>
      <c r="AQ39">
        <v>110</v>
      </c>
      <c r="AR39">
        <v>3445</v>
      </c>
      <c r="AV39"/>
      <c r="BI39" s="14">
        <f>SUM(Portefeuille_MNT_PPS_Access22[[#This Row],[AC ANT]:[TR 2035]])</f>
        <v>3765</v>
      </c>
    </row>
    <row r="40" spans="1:61" hidden="1" x14ac:dyDescent="0.3">
      <c r="A40" t="s">
        <v>286</v>
      </c>
      <c r="C40" t="s">
        <v>118</v>
      </c>
      <c r="D40" t="s">
        <v>102</v>
      </c>
      <c r="E40" t="s">
        <v>136</v>
      </c>
      <c r="G40" t="s">
        <v>16</v>
      </c>
      <c r="H40" t="s">
        <v>20</v>
      </c>
      <c r="I40" t="s">
        <v>105</v>
      </c>
      <c r="J40" t="s">
        <v>516</v>
      </c>
      <c r="K40" t="s">
        <v>517</v>
      </c>
      <c r="L40" t="s">
        <v>302</v>
      </c>
      <c r="M40" t="s">
        <v>173</v>
      </c>
      <c r="N40" t="s">
        <v>291</v>
      </c>
      <c r="O40" s="1"/>
      <c r="P40" s="1"/>
      <c r="Q40" s="1"/>
      <c r="R4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0">
        <f>Portefeuille_MNT_PPS_Access22[[#This Row],[Délais PC1 et PC3]]+Portefeuille_MNT_PPS_Access22[[#This Row],[Délais PC3 et PC5]]</f>
        <v>0</v>
      </c>
      <c r="X40">
        <v>1</v>
      </c>
      <c r="Z4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0" s="12" t="e">
        <f>_xlfn.XLOOKUP(Portefeuille_MNT_PPS_Access22[[#This Row],[Numéro projet]],Tableau5[Numéro projet],Tableau5[IND_Site_Prioritaire])</f>
        <v>#N/A</v>
      </c>
      <c r="AB40" s="2" t="e">
        <f>_xlfn.XLOOKUP(Portefeuille_MNT_PPS_Access22[[#This Row],[Numéro projet]],Tableau5[Numéro projet],Tableau5[Critère Etat Infrastructure])</f>
        <v>#N/A</v>
      </c>
      <c r="AC4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0" t="s">
        <v>311</v>
      </c>
      <c r="AG40" s="2"/>
      <c r="AH40" s="2"/>
      <c r="AL40"/>
      <c r="AM40">
        <v>25</v>
      </c>
      <c r="AO40">
        <v>25</v>
      </c>
      <c r="AR40">
        <v>250</v>
      </c>
      <c r="AV40"/>
      <c r="BI40" s="14">
        <f>SUM(Portefeuille_MNT_PPS_Access22[[#This Row],[AC ANT]:[TR 2035]])</f>
        <v>300</v>
      </c>
    </row>
    <row r="41" spans="1:61" hidden="1" x14ac:dyDescent="0.3">
      <c r="A41" t="s">
        <v>286</v>
      </c>
      <c r="C41" t="s">
        <v>118</v>
      </c>
      <c r="D41" t="s">
        <v>102</v>
      </c>
      <c r="E41" t="s">
        <v>136</v>
      </c>
      <c r="G41" t="s">
        <v>16</v>
      </c>
      <c r="H41" t="s">
        <v>20</v>
      </c>
      <c r="I41" t="s">
        <v>105</v>
      </c>
      <c r="J41" t="s">
        <v>518</v>
      </c>
      <c r="K41" t="s">
        <v>519</v>
      </c>
      <c r="L41" t="s">
        <v>143</v>
      </c>
      <c r="M41" t="s">
        <v>173</v>
      </c>
      <c r="N41" t="s">
        <v>291</v>
      </c>
      <c r="O41" s="1"/>
      <c r="P41" s="1"/>
      <c r="Q41" s="1"/>
      <c r="R4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1">
        <f>Portefeuille_MNT_PPS_Access22[[#This Row],[Délais PC1 et PC3]]+Portefeuille_MNT_PPS_Access22[[#This Row],[Délais PC3 et PC5]]</f>
        <v>0</v>
      </c>
      <c r="X41">
        <v>1</v>
      </c>
      <c r="Z4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1" s="12" t="e">
        <f>_xlfn.XLOOKUP(Portefeuille_MNT_PPS_Access22[[#This Row],[Numéro projet]],Tableau5[Numéro projet],Tableau5[IND_Site_Prioritaire])</f>
        <v>#N/A</v>
      </c>
      <c r="AB41" s="2" t="e">
        <f>_xlfn.XLOOKUP(Portefeuille_MNT_PPS_Access22[[#This Row],[Numéro projet]],Tableau5[Numéro projet],Tableau5[Critère Etat Infrastructure])</f>
        <v>#N/A</v>
      </c>
      <c r="AC4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1" t="s">
        <v>311</v>
      </c>
      <c r="AG41" s="2"/>
      <c r="AH41" s="2"/>
      <c r="AL41"/>
      <c r="AM41">
        <v>25</v>
      </c>
      <c r="AO41">
        <v>25</v>
      </c>
      <c r="AR41">
        <v>150</v>
      </c>
      <c r="AV41"/>
      <c r="BI41" s="14">
        <f>SUM(Portefeuille_MNT_PPS_Access22[[#This Row],[AC ANT]:[TR 2035]])</f>
        <v>200</v>
      </c>
    </row>
    <row r="42" spans="1:61" hidden="1" x14ac:dyDescent="0.3">
      <c r="A42" t="s">
        <v>286</v>
      </c>
      <c r="C42" t="s">
        <v>118</v>
      </c>
      <c r="D42" t="s">
        <v>102</v>
      </c>
      <c r="E42" t="s">
        <v>389</v>
      </c>
      <c r="G42" t="s">
        <v>20</v>
      </c>
      <c r="H42" t="s">
        <v>20</v>
      </c>
      <c r="I42" t="s">
        <v>105</v>
      </c>
      <c r="J42" t="s">
        <v>424</v>
      </c>
      <c r="K42" t="s">
        <v>425</v>
      </c>
      <c r="L42" t="s">
        <v>205</v>
      </c>
      <c r="M42" t="s">
        <v>421</v>
      </c>
      <c r="N42" t="s">
        <v>291</v>
      </c>
      <c r="O42" s="1"/>
      <c r="P42" s="1"/>
      <c r="Q42" s="1"/>
      <c r="R4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2">
        <f>Portefeuille_MNT_PPS_Access22[[#This Row],[Délais PC1 et PC3]]+Portefeuille_MNT_PPS_Access22[[#This Row],[Délais PC3 et PC5]]</f>
        <v>0</v>
      </c>
      <c r="X42">
        <v>1</v>
      </c>
      <c r="Z4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2" s="12" t="e">
        <f>_xlfn.XLOOKUP(Portefeuille_MNT_PPS_Access22[[#This Row],[Numéro projet]],Tableau5[Numéro projet],Tableau5[IND_Site_Prioritaire])</f>
        <v>#N/A</v>
      </c>
      <c r="AB42" s="2" t="e">
        <f>_xlfn.XLOOKUP(Portefeuille_MNT_PPS_Access22[[#This Row],[Numéro projet]],Tableau5[Numéro projet],Tableau5[Critère Etat Infrastructure])</f>
        <v>#N/A</v>
      </c>
      <c r="AC4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2" t="s">
        <v>311</v>
      </c>
      <c r="AG42" s="2"/>
      <c r="AH42" s="2"/>
      <c r="AL42"/>
      <c r="AV42"/>
      <c r="BA42">
        <v>100</v>
      </c>
      <c r="BC42">
        <v>200</v>
      </c>
      <c r="BD42">
        <v>5000</v>
      </c>
      <c r="BI42" s="14">
        <f>SUM(Portefeuille_MNT_PPS_Access22[[#This Row],[AC ANT]:[TR 2035]])</f>
        <v>5300</v>
      </c>
    </row>
    <row r="43" spans="1:61" x14ac:dyDescent="0.3">
      <c r="A43" t="s">
        <v>286</v>
      </c>
      <c r="C43" t="s">
        <v>101</v>
      </c>
      <c r="D43" t="s">
        <v>102</v>
      </c>
      <c r="E43" t="s">
        <v>103</v>
      </c>
      <c r="G43" t="s">
        <v>16</v>
      </c>
      <c r="H43" t="s">
        <v>16</v>
      </c>
      <c r="I43" t="s">
        <v>105</v>
      </c>
      <c r="J43" t="s">
        <v>309</v>
      </c>
      <c r="K43" t="s">
        <v>310</v>
      </c>
      <c r="L43" t="s">
        <v>108</v>
      </c>
      <c r="M43" t="s">
        <v>148</v>
      </c>
      <c r="N43" t="s">
        <v>291</v>
      </c>
      <c r="O43" s="1"/>
      <c r="P43" s="1"/>
      <c r="Q43" s="1"/>
      <c r="R4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3">
        <f>Portefeuille_MNT_PPS_Access22[[#This Row],[Délais PC1 et PC3]]+Portefeuille_MNT_PPS_Access22[[#This Row],[Délais PC3 et PC5]]</f>
        <v>0</v>
      </c>
      <c r="X43">
        <v>1</v>
      </c>
      <c r="Z4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3" s="12" t="e">
        <f>_xlfn.XLOOKUP(Portefeuille_MNT_PPS_Access22[[#This Row],[Numéro projet]],Tableau5[Numéro projet],Tableau5[IND_Site_Prioritaire])</f>
        <v>#N/A</v>
      </c>
      <c r="AB43" s="2" t="e">
        <f>_xlfn.XLOOKUP(Portefeuille_MNT_PPS_Access22[[#This Row],[Numéro projet]],Tableau5[Numéro projet],Tableau5[Critère Etat Infrastructure])</f>
        <v>#N/A</v>
      </c>
      <c r="AC4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3" t="s">
        <v>311</v>
      </c>
      <c r="AG43" s="2"/>
      <c r="AH43" s="2"/>
      <c r="AI43">
        <v>467</v>
      </c>
      <c r="AJ43">
        <v>5053</v>
      </c>
      <c r="AL43"/>
      <c r="AM43">
        <v>27</v>
      </c>
      <c r="AN43">
        <v>135</v>
      </c>
      <c r="AV43"/>
      <c r="BI43" s="14">
        <f>SUM(Portefeuille_MNT_PPS_Access22[[#This Row],[AC ANT]:[TR 2035]])</f>
        <v>5682</v>
      </c>
    </row>
    <row r="44" spans="1:61" x14ac:dyDescent="0.3">
      <c r="A44" t="s">
        <v>286</v>
      </c>
      <c r="C44" t="s">
        <v>126</v>
      </c>
      <c r="D44" t="s">
        <v>127</v>
      </c>
      <c r="E44" t="s">
        <v>128</v>
      </c>
      <c r="F44" t="s">
        <v>252</v>
      </c>
      <c r="G44" t="s">
        <v>16</v>
      </c>
      <c r="H44" t="s">
        <v>16</v>
      </c>
      <c r="I44" t="s">
        <v>131</v>
      </c>
      <c r="J44" t="s">
        <v>259</v>
      </c>
      <c r="K44" t="s">
        <v>260</v>
      </c>
      <c r="L44" t="s">
        <v>159</v>
      </c>
      <c r="M44" t="s">
        <v>148</v>
      </c>
      <c r="N44" t="s">
        <v>291</v>
      </c>
      <c r="O44" s="1"/>
      <c r="P44" s="1"/>
      <c r="Q44" s="1"/>
      <c r="R4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4">
        <f>Portefeuille_MNT_PPS_Access22[[#This Row],[Délais PC1 et PC3]]+Portefeuille_MNT_PPS_Access22[[#This Row],[Délais PC3 et PC5]]</f>
        <v>0</v>
      </c>
      <c r="X44">
        <v>1</v>
      </c>
      <c r="Z4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4" s="12" t="e">
        <f>_xlfn.XLOOKUP(Portefeuille_MNT_PPS_Access22[[#This Row],[Numéro projet]],Tableau5[Numéro projet],Tableau5[IND_Site_Prioritaire])</f>
        <v>#N/A</v>
      </c>
      <c r="AB44" s="2" t="e">
        <f>_xlfn.XLOOKUP(Portefeuille_MNT_PPS_Access22[[#This Row],[Numéro projet]],Tableau5[Numéro projet],Tableau5[Critère Etat Infrastructure])</f>
        <v>#N/A</v>
      </c>
      <c r="AC4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4" t="s">
        <v>311</v>
      </c>
      <c r="AG44" s="2"/>
      <c r="AH44" s="2"/>
      <c r="AL44"/>
      <c r="AM44">
        <v>15</v>
      </c>
      <c r="AN44">
        <v>85</v>
      </c>
      <c r="AV44"/>
      <c r="BI44" s="14">
        <f>SUM(Portefeuille_MNT_PPS_Access22[[#This Row],[AC ANT]:[TR 2035]])</f>
        <v>100</v>
      </c>
    </row>
    <row r="45" spans="1:61" x14ac:dyDescent="0.3">
      <c r="A45" t="s">
        <v>11</v>
      </c>
      <c r="C45" t="s">
        <v>118</v>
      </c>
      <c r="D45" t="s">
        <v>102</v>
      </c>
      <c r="E45" t="s">
        <v>103</v>
      </c>
      <c r="F45" t="s">
        <v>252</v>
      </c>
      <c r="G45" t="s">
        <v>20</v>
      </c>
      <c r="H45" t="s">
        <v>16</v>
      </c>
      <c r="I45" t="s">
        <v>131</v>
      </c>
      <c r="J45" t="s">
        <v>257</v>
      </c>
      <c r="K45" t="s">
        <v>258</v>
      </c>
      <c r="L45" t="s">
        <v>180</v>
      </c>
      <c r="M45" t="s">
        <v>148</v>
      </c>
      <c r="N45" t="s">
        <v>291</v>
      </c>
      <c r="O45" s="1"/>
      <c r="P45" s="1"/>
      <c r="Q45" s="1"/>
      <c r="R4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4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4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4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45">
        <f>Portefeuille_MNT_PPS_Access22[[#This Row],[Délais PC1 et PC3]]+Portefeuille_MNT_PPS_Access22[[#This Row],[Délais PC3 et PC5]]</f>
        <v>0</v>
      </c>
      <c r="X45">
        <v>1</v>
      </c>
      <c r="Z4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45" s="12" t="e">
        <f>_xlfn.XLOOKUP(Portefeuille_MNT_PPS_Access22[[#This Row],[Numéro projet]],Tableau5[Numéro projet],Tableau5[IND_Site_Prioritaire])</f>
        <v>#N/A</v>
      </c>
      <c r="AB45" s="2" t="e">
        <f>_xlfn.XLOOKUP(Portefeuille_MNT_PPS_Access22[[#This Row],[Numéro projet]],Tableau5[Numéro projet],Tableau5[Critère Etat Infrastructure])</f>
        <v>#N/A</v>
      </c>
      <c r="AC4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45" t="s">
        <v>311</v>
      </c>
      <c r="AG45" s="2"/>
      <c r="AH45" s="2"/>
      <c r="AL45"/>
      <c r="AN45">
        <v>300</v>
      </c>
      <c r="AV45"/>
      <c r="BI45" s="14">
        <f>SUM(Portefeuille_MNT_PPS_Access22[[#This Row],[AC ANT]:[TR 2035]])</f>
        <v>300</v>
      </c>
    </row>
    <row r="46" spans="1:61" x14ac:dyDescent="0.3">
      <c r="A46" t="s">
        <v>286</v>
      </c>
      <c r="C46" t="s">
        <v>126</v>
      </c>
      <c r="D46" t="s">
        <v>127</v>
      </c>
      <c r="E46" t="s">
        <v>128</v>
      </c>
      <c r="F46" t="s">
        <v>252</v>
      </c>
      <c r="G46" t="s">
        <v>16</v>
      </c>
      <c r="H46" t="s">
        <v>16</v>
      </c>
      <c r="I46" t="s">
        <v>131</v>
      </c>
      <c r="J46" t="s">
        <v>253</v>
      </c>
      <c r="K46" t="s">
        <v>254</v>
      </c>
      <c r="L46" t="s">
        <v>147</v>
      </c>
      <c r="M46" t="s">
        <v>148</v>
      </c>
      <c r="N46" t="s">
        <v>110</v>
      </c>
      <c r="O46" s="1">
        <v>45378</v>
      </c>
      <c r="P46" s="1"/>
      <c r="Q46" s="1">
        <v>45611</v>
      </c>
      <c r="R4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4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4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4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-1490</v>
      </c>
      <c r="V4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1498</v>
      </c>
      <c r="W46">
        <f>Portefeuille_MNT_PPS_Access22[[#This Row],[Délais PC1 et PC3]]+Portefeuille_MNT_PPS_Access22[[#This Row],[Délais PC3 et PC5]]</f>
        <v>8</v>
      </c>
      <c r="X46">
        <v>1</v>
      </c>
      <c r="Y46">
        <v>5</v>
      </c>
      <c r="Z46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46" s="12" t="e">
        <f>_xlfn.XLOOKUP(Portefeuille_MNT_PPS_Access22[[#This Row],[Numéro projet]],Tableau5[Numéro projet],Tableau5[IND_Site_Prioritaire])</f>
        <v>#N/A</v>
      </c>
      <c r="AB46" s="2" t="e">
        <f>_xlfn.XLOOKUP(Portefeuille_MNT_PPS_Access22[[#This Row],[Numéro projet]],Tableau5[Numéro projet],Tableau5[Critère Etat Infrastructure])</f>
        <v>#N/A</v>
      </c>
      <c r="AC4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E46">
        <v>5</v>
      </c>
      <c r="AF46" t="s">
        <v>112</v>
      </c>
      <c r="AG46" s="2"/>
      <c r="AH46" s="2"/>
      <c r="AL46"/>
      <c r="AM46">
        <v>10</v>
      </c>
      <c r="AN46">
        <v>39</v>
      </c>
      <c r="AV46"/>
      <c r="BI46" s="14">
        <f>SUM(Portefeuille_MNT_PPS_Access22[[#This Row],[AC ANT]:[TR 2035]])</f>
        <v>49</v>
      </c>
    </row>
    <row r="47" spans="1:61" x14ac:dyDescent="0.3">
      <c r="A47" t="s">
        <v>286</v>
      </c>
      <c r="C47" t="s">
        <v>101</v>
      </c>
      <c r="D47" t="s">
        <v>102</v>
      </c>
      <c r="E47" t="s">
        <v>103</v>
      </c>
      <c r="F47" t="s">
        <v>140</v>
      </c>
      <c r="G47" t="s">
        <v>16</v>
      </c>
      <c r="H47" t="s">
        <v>16</v>
      </c>
      <c r="I47" t="s">
        <v>105</v>
      </c>
      <c r="J47" t="s">
        <v>174</v>
      </c>
      <c r="K47" t="s">
        <v>175</v>
      </c>
      <c r="L47" t="s">
        <v>143</v>
      </c>
      <c r="M47" t="s">
        <v>148</v>
      </c>
      <c r="N47" t="s">
        <v>164</v>
      </c>
      <c r="O47" s="1">
        <v>44014</v>
      </c>
      <c r="P47" s="1">
        <v>44294</v>
      </c>
      <c r="Q47" s="1">
        <v>45239</v>
      </c>
      <c r="R4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4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4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4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9</v>
      </c>
      <c r="V4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31</v>
      </c>
      <c r="W47">
        <f>Portefeuille_MNT_PPS_Access22[[#This Row],[Délais PC1 et PC3]]+Portefeuille_MNT_PPS_Access22[[#This Row],[Délais PC3 et PC5]]</f>
        <v>40</v>
      </c>
      <c r="X47">
        <v>5</v>
      </c>
      <c r="Y47">
        <v>5</v>
      </c>
      <c r="Z47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47" s="12" t="e">
        <f>_xlfn.XLOOKUP(Portefeuille_MNT_PPS_Access22[[#This Row],[Numéro projet]],Tableau5[Numéro projet],Tableau5[IND_Site_Prioritaire])</f>
        <v>#N/A</v>
      </c>
      <c r="AB47" s="2" t="e">
        <f>_xlfn.XLOOKUP(Portefeuille_MNT_PPS_Access22[[#This Row],[Numéro projet]],Tableau5[Numéro projet],Tableau5[Critère Etat Infrastructure])</f>
        <v>#N/A</v>
      </c>
      <c r="AC47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47">
        <v>5</v>
      </c>
      <c r="AE47">
        <v>5</v>
      </c>
      <c r="AF47" t="s">
        <v>165</v>
      </c>
      <c r="AG47" s="2">
        <v>5</v>
      </c>
      <c r="AH47" s="2"/>
      <c r="AI47">
        <v>389</v>
      </c>
      <c r="AJ47">
        <v>4986</v>
      </c>
      <c r="AK47">
        <v>450</v>
      </c>
      <c r="AL47">
        <v>25618</v>
      </c>
      <c r="AM47">
        <v>678</v>
      </c>
      <c r="AN47">
        <v>14983</v>
      </c>
      <c r="AV47"/>
      <c r="BI47" s="14">
        <f>SUM(Portefeuille_MNT_PPS_Access22[[#This Row],[AC ANT]:[TR 2035]])</f>
        <v>47104</v>
      </c>
    </row>
    <row r="48" spans="1:61" x14ac:dyDescent="0.3">
      <c r="A48" t="s">
        <v>286</v>
      </c>
      <c r="C48" t="s">
        <v>101</v>
      </c>
      <c r="D48" t="s">
        <v>102</v>
      </c>
      <c r="E48" t="s">
        <v>103</v>
      </c>
      <c r="F48" t="s">
        <v>104</v>
      </c>
      <c r="G48" t="s">
        <v>16</v>
      </c>
      <c r="H48" t="s">
        <v>16</v>
      </c>
      <c r="I48" t="s">
        <v>105</v>
      </c>
      <c r="J48" t="s">
        <v>215</v>
      </c>
      <c r="K48" t="s">
        <v>216</v>
      </c>
      <c r="L48" t="s">
        <v>217</v>
      </c>
      <c r="M48" t="s">
        <v>148</v>
      </c>
      <c r="N48" t="s">
        <v>164</v>
      </c>
      <c r="O48" s="1">
        <v>44838</v>
      </c>
      <c r="P48" s="1">
        <v>45441</v>
      </c>
      <c r="Q48" s="1">
        <v>45623</v>
      </c>
      <c r="R4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4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4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4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19</v>
      </c>
      <c r="V4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6</v>
      </c>
      <c r="W48">
        <f>Portefeuille_MNT_PPS_Access22[[#This Row],[Délais PC1 et PC3]]+Portefeuille_MNT_PPS_Access22[[#This Row],[Délais PC3 et PC5]]</f>
        <v>25</v>
      </c>
      <c r="X48">
        <v>1</v>
      </c>
      <c r="Y48">
        <v>5</v>
      </c>
      <c r="Z48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48" s="12" t="e">
        <f>_xlfn.XLOOKUP(Portefeuille_MNT_PPS_Access22[[#This Row],[Numéro projet]],Tableau5[Numéro projet],Tableau5[IND_Site_Prioritaire])</f>
        <v>#N/A</v>
      </c>
      <c r="AB48" s="2" t="e">
        <f>_xlfn.XLOOKUP(Portefeuille_MNT_PPS_Access22[[#This Row],[Numéro projet]],Tableau5[Numéro projet],Tableau5[Critère Etat Infrastructure])</f>
        <v>#N/A</v>
      </c>
      <c r="AC4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48">
        <v>5</v>
      </c>
      <c r="AE48">
        <v>5</v>
      </c>
      <c r="AF48" t="s">
        <v>165</v>
      </c>
      <c r="AG48" s="2"/>
      <c r="AH48" s="2"/>
      <c r="AI48">
        <v>218</v>
      </c>
      <c r="AJ48">
        <v>3</v>
      </c>
      <c r="AK48">
        <v>96</v>
      </c>
      <c r="AL48"/>
      <c r="AM48">
        <v>643</v>
      </c>
      <c r="AN48">
        <v>12563</v>
      </c>
      <c r="AV48"/>
      <c r="BI48" s="14">
        <f>SUM(Portefeuille_MNT_PPS_Access22[[#This Row],[AC ANT]:[TR 2035]])</f>
        <v>13523</v>
      </c>
    </row>
    <row r="49" spans="1:61" x14ac:dyDescent="0.3">
      <c r="A49" t="s">
        <v>286</v>
      </c>
      <c r="C49" t="s">
        <v>101</v>
      </c>
      <c r="D49" t="s">
        <v>102</v>
      </c>
      <c r="E49" t="s">
        <v>103</v>
      </c>
      <c r="F49" t="s">
        <v>149</v>
      </c>
      <c r="G49" t="s">
        <v>16</v>
      </c>
      <c r="H49" t="s">
        <v>16</v>
      </c>
      <c r="I49" t="s">
        <v>105</v>
      </c>
      <c r="J49" t="s">
        <v>228</v>
      </c>
      <c r="K49" t="s">
        <v>229</v>
      </c>
      <c r="L49" t="s">
        <v>230</v>
      </c>
      <c r="M49" t="s">
        <v>148</v>
      </c>
      <c r="N49" t="s">
        <v>164</v>
      </c>
      <c r="O49" s="1">
        <v>45022</v>
      </c>
      <c r="P49" s="1">
        <v>45463</v>
      </c>
      <c r="Q49" s="1">
        <v>45590</v>
      </c>
      <c r="R4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4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4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4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</v>
      </c>
      <c r="V4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4</v>
      </c>
      <c r="W49">
        <f>Portefeuille_MNT_PPS_Access22[[#This Row],[Délais PC1 et PC3]]+Portefeuille_MNT_PPS_Access22[[#This Row],[Délais PC3 et PC5]]</f>
        <v>18</v>
      </c>
      <c r="X49">
        <v>1</v>
      </c>
      <c r="Y49">
        <v>5</v>
      </c>
      <c r="Z49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49" s="12" t="e">
        <f>_xlfn.XLOOKUP(Portefeuille_MNT_PPS_Access22[[#This Row],[Numéro projet]],Tableau5[Numéro projet],Tableau5[IND_Site_Prioritaire])</f>
        <v>#N/A</v>
      </c>
      <c r="AB49" s="2" t="e">
        <f>_xlfn.XLOOKUP(Portefeuille_MNT_PPS_Access22[[#This Row],[Numéro projet]],Tableau5[Numéro projet],Tableau5[Critère Etat Infrastructure])</f>
        <v>#N/A</v>
      </c>
      <c r="AC4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49">
        <v>5</v>
      </c>
      <c r="AE49">
        <v>5</v>
      </c>
      <c r="AF49" t="s">
        <v>165</v>
      </c>
      <c r="AG49" s="2"/>
      <c r="AH49" s="2"/>
      <c r="AI49">
        <v>61</v>
      </c>
      <c r="AL49"/>
      <c r="AM49">
        <v>601</v>
      </c>
      <c r="AN49">
        <v>11581</v>
      </c>
      <c r="AV49"/>
      <c r="BI49" s="14">
        <f>SUM(Portefeuille_MNT_PPS_Access22[[#This Row],[AC ANT]:[TR 2035]])</f>
        <v>12243</v>
      </c>
    </row>
    <row r="50" spans="1:61" x14ac:dyDescent="0.3">
      <c r="A50" t="s">
        <v>286</v>
      </c>
      <c r="C50" t="s">
        <v>118</v>
      </c>
      <c r="D50" t="s">
        <v>102</v>
      </c>
      <c r="E50" t="s">
        <v>103</v>
      </c>
      <c r="F50" t="s">
        <v>149</v>
      </c>
      <c r="G50" t="s">
        <v>16</v>
      </c>
      <c r="H50" t="s">
        <v>16</v>
      </c>
      <c r="I50" t="s">
        <v>131</v>
      </c>
      <c r="J50" t="s">
        <v>192</v>
      </c>
      <c r="K50" t="s">
        <v>193</v>
      </c>
      <c r="L50" t="s">
        <v>194</v>
      </c>
      <c r="M50" t="s">
        <v>148</v>
      </c>
      <c r="N50" t="s">
        <v>164</v>
      </c>
      <c r="O50" s="1">
        <v>44547</v>
      </c>
      <c r="P50" s="1">
        <v>45091</v>
      </c>
      <c r="Q50" s="1">
        <v>45375</v>
      </c>
      <c r="R5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5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5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18</v>
      </c>
      <c r="V5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50">
        <f>Portefeuille_MNT_PPS_Access22[[#This Row],[Délais PC1 et PC3]]+Portefeuille_MNT_PPS_Access22[[#This Row],[Délais PC3 et PC5]]</f>
        <v>27</v>
      </c>
      <c r="X50">
        <v>5</v>
      </c>
      <c r="Y50">
        <v>5</v>
      </c>
      <c r="Z50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0" s="12" t="e">
        <f>_xlfn.XLOOKUP(Portefeuille_MNT_PPS_Access22[[#This Row],[Numéro projet]],Tableau5[Numéro projet],Tableau5[IND_Site_Prioritaire])</f>
        <v>#N/A</v>
      </c>
      <c r="AB50" s="2" t="e">
        <f>_xlfn.XLOOKUP(Portefeuille_MNT_PPS_Access22[[#This Row],[Numéro projet]],Tableau5[Numéro projet],Tableau5[Critère Etat Infrastructure])</f>
        <v>#N/A</v>
      </c>
      <c r="AC50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50">
        <v>5</v>
      </c>
      <c r="AE50">
        <v>5</v>
      </c>
      <c r="AF50" t="s">
        <v>165</v>
      </c>
      <c r="AG50" s="2">
        <v>5</v>
      </c>
      <c r="AH50" s="2"/>
      <c r="AI50">
        <v>7</v>
      </c>
      <c r="AK50">
        <v>45</v>
      </c>
      <c r="AL50">
        <v>1057</v>
      </c>
      <c r="AM50">
        <v>221</v>
      </c>
      <c r="AN50">
        <v>4691</v>
      </c>
      <c r="AV50"/>
      <c r="BI50" s="14">
        <f>SUM(Portefeuille_MNT_PPS_Access22[[#This Row],[AC ANT]:[TR 2035]])</f>
        <v>6021</v>
      </c>
    </row>
    <row r="51" spans="1:61" x14ac:dyDescent="0.3">
      <c r="A51" t="s">
        <v>286</v>
      </c>
      <c r="C51" t="s">
        <v>101</v>
      </c>
      <c r="D51" t="s">
        <v>102</v>
      </c>
      <c r="E51" t="s">
        <v>128</v>
      </c>
      <c r="F51" t="s">
        <v>113</v>
      </c>
      <c r="G51" t="s">
        <v>16</v>
      </c>
      <c r="H51" t="s">
        <v>16</v>
      </c>
      <c r="I51" t="s">
        <v>105</v>
      </c>
      <c r="J51" t="s">
        <v>160</v>
      </c>
      <c r="K51" t="s">
        <v>161</v>
      </c>
      <c r="L51" t="s">
        <v>122</v>
      </c>
      <c r="M51" t="s">
        <v>148</v>
      </c>
      <c r="N51" t="s">
        <v>164</v>
      </c>
      <c r="O51" s="1">
        <v>44956</v>
      </c>
      <c r="P51" s="1">
        <v>45321</v>
      </c>
      <c r="Q51" s="1">
        <v>45687</v>
      </c>
      <c r="R5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3.À risque</v>
      </c>
      <c r="S5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5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5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5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51">
        <f>Portefeuille_MNT_PPS_Access22[[#This Row],[Délais PC1 et PC3]]+Portefeuille_MNT_PPS_Access22[[#This Row],[Délais PC3 et PC5]]</f>
        <v>24</v>
      </c>
      <c r="X51">
        <v>1</v>
      </c>
      <c r="Y51">
        <v>1</v>
      </c>
      <c r="Z51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1" s="12" t="e">
        <f>_xlfn.XLOOKUP(Portefeuille_MNT_PPS_Access22[[#This Row],[Numéro projet]],Tableau5[Numéro projet],Tableau5[IND_Site_Prioritaire])</f>
        <v>#N/A</v>
      </c>
      <c r="AB51" s="2" t="e">
        <f>_xlfn.XLOOKUP(Portefeuille_MNT_PPS_Access22[[#This Row],[Numéro projet]],Tableau5[Numéro projet],Tableau5[Critère Etat Infrastructure])</f>
        <v>#N/A</v>
      </c>
      <c r="AC5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51">
        <v>5</v>
      </c>
      <c r="AE51">
        <v>5</v>
      </c>
      <c r="AF51" t="s">
        <v>165</v>
      </c>
      <c r="AG51" s="2"/>
      <c r="AH51" s="2"/>
      <c r="AI51">
        <v>6</v>
      </c>
      <c r="AK51">
        <v>14</v>
      </c>
      <c r="AL51"/>
      <c r="AM51">
        <v>325</v>
      </c>
      <c r="AN51">
        <v>4503</v>
      </c>
      <c r="AV51"/>
      <c r="BI51" s="14">
        <f>SUM(Portefeuille_MNT_PPS_Access22[[#This Row],[AC ANT]:[TR 2035]])</f>
        <v>4848</v>
      </c>
    </row>
    <row r="52" spans="1:61" x14ac:dyDescent="0.3">
      <c r="A52" t="s">
        <v>286</v>
      </c>
      <c r="C52" t="s">
        <v>118</v>
      </c>
      <c r="D52" t="s">
        <v>102</v>
      </c>
      <c r="E52" t="s">
        <v>177</v>
      </c>
      <c r="F52" t="s">
        <v>129</v>
      </c>
      <c r="G52" t="s">
        <v>16</v>
      </c>
      <c r="H52" t="s">
        <v>16</v>
      </c>
      <c r="I52" t="s">
        <v>131</v>
      </c>
      <c r="J52" t="s">
        <v>293</v>
      </c>
      <c r="K52" t="s">
        <v>294</v>
      </c>
      <c r="L52" t="s">
        <v>134</v>
      </c>
      <c r="M52" t="s">
        <v>148</v>
      </c>
      <c r="N52" t="s">
        <v>164</v>
      </c>
      <c r="O52" s="1">
        <v>45702</v>
      </c>
      <c r="P52" s="1">
        <v>45702</v>
      </c>
      <c r="Q52" s="1">
        <v>45702</v>
      </c>
      <c r="R5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5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5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5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5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52">
        <f>Portefeuille_MNT_PPS_Access22[[#This Row],[Délais PC1 et PC3]]+Portefeuille_MNT_PPS_Access22[[#This Row],[Délais PC3 et PC5]]</f>
        <v>0</v>
      </c>
      <c r="X52">
        <v>1</v>
      </c>
      <c r="Y52">
        <v>1</v>
      </c>
      <c r="Z5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52" s="12" t="e">
        <f>_xlfn.XLOOKUP(Portefeuille_MNT_PPS_Access22[[#This Row],[Numéro projet]],Tableau5[Numéro projet],Tableau5[IND_Site_Prioritaire])</f>
        <v>#N/A</v>
      </c>
      <c r="AB52" s="2" t="e">
        <f>_xlfn.XLOOKUP(Portefeuille_MNT_PPS_Access22[[#This Row],[Numéro projet]],Tableau5[Numéro projet],Tableau5[Critère Etat Infrastructure])</f>
        <v>#N/A</v>
      </c>
      <c r="AC5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52">
        <v>1</v>
      </c>
      <c r="AE52">
        <v>1</v>
      </c>
      <c r="AF52" t="s">
        <v>165</v>
      </c>
      <c r="AG52" s="2"/>
      <c r="AH52" s="2"/>
      <c r="AL52"/>
      <c r="AM52">
        <v>50</v>
      </c>
      <c r="AN52">
        <v>2894</v>
      </c>
      <c r="AV52"/>
      <c r="BI52" s="14">
        <f>SUM(Portefeuille_MNT_PPS_Access22[[#This Row],[AC ANT]:[TR 2035]])</f>
        <v>2944</v>
      </c>
    </row>
    <row r="53" spans="1:61" x14ac:dyDescent="0.3">
      <c r="A53" t="s">
        <v>286</v>
      </c>
      <c r="C53" t="s">
        <v>118</v>
      </c>
      <c r="D53" t="s">
        <v>102</v>
      </c>
      <c r="E53" t="s">
        <v>119</v>
      </c>
      <c r="F53" t="s">
        <v>113</v>
      </c>
      <c r="G53" t="s">
        <v>16</v>
      </c>
      <c r="H53" t="s">
        <v>16</v>
      </c>
      <c r="I53" t="s">
        <v>105</v>
      </c>
      <c r="J53" t="s">
        <v>120</v>
      </c>
      <c r="K53" t="s">
        <v>289</v>
      </c>
      <c r="L53" t="s">
        <v>122</v>
      </c>
      <c r="M53" t="s">
        <v>148</v>
      </c>
      <c r="N53" t="s">
        <v>164</v>
      </c>
      <c r="O53" s="1"/>
      <c r="P53" s="1"/>
      <c r="Q53" s="1">
        <v>45712</v>
      </c>
      <c r="R5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5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5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5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5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1501</v>
      </c>
      <c r="W53">
        <f>Portefeuille_MNT_PPS_Access22[[#This Row],[Délais PC1 et PC3]]+Portefeuille_MNT_PPS_Access22[[#This Row],[Délais PC3 et PC5]]</f>
        <v>1501</v>
      </c>
      <c r="X53">
        <v>1</v>
      </c>
      <c r="Y53">
        <v>1</v>
      </c>
      <c r="Z5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53" s="12" t="e">
        <f>_xlfn.XLOOKUP(Portefeuille_MNT_PPS_Access22[[#This Row],[Numéro projet]],Tableau5[Numéro projet],Tableau5[IND_Site_Prioritaire])</f>
        <v>#N/A</v>
      </c>
      <c r="AB53" s="2" t="e">
        <f>_xlfn.XLOOKUP(Portefeuille_MNT_PPS_Access22[[#This Row],[Numéro projet]],Tableau5[Numéro projet],Tableau5[Critère Etat Infrastructure])</f>
        <v>#N/A</v>
      </c>
      <c r="AC5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53" t="s">
        <v>165</v>
      </c>
      <c r="AG53" s="2"/>
      <c r="AH53" s="2"/>
      <c r="AL53"/>
      <c r="AM53">
        <v>20</v>
      </c>
      <c r="AN53">
        <v>895</v>
      </c>
      <c r="AV53"/>
      <c r="BI53" s="14">
        <f>SUM(Portefeuille_MNT_PPS_Access22[[#This Row],[AC ANT]:[TR 2035]])</f>
        <v>915</v>
      </c>
    </row>
    <row r="54" spans="1:61" x14ac:dyDescent="0.3">
      <c r="A54" t="s">
        <v>286</v>
      </c>
      <c r="C54" t="s">
        <v>118</v>
      </c>
      <c r="D54" t="s">
        <v>102</v>
      </c>
      <c r="E54" t="s">
        <v>136</v>
      </c>
      <c r="F54" t="s">
        <v>129</v>
      </c>
      <c r="G54" t="s">
        <v>16</v>
      </c>
      <c r="H54" t="s">
        <v>16</v>
      </c>
      <c r="I54" t="s">
        <v>131</v>
      </c>
      <c r="J54" t="s">
        <v>218</v>
      </c>
      <c r="K54" t="s">
        <v>219</v>
      </c>
      <c r="L54" t="s">
        <v>152</v>
      </c>
      <c r="M54" t="s">
        <v>148</v>
      </c>
      <c r="N54" t="s">
        <v>164</v>
      </c>
      <c r="O54" s="1">
        <v>45370</v>
      </c>
      <c r="P54" s="1"/>
      <c r="Q54" s="1">
        <v>45706</v>
      </c>
      <c r="R5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5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5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5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-1490</v>
      </c>
      <c r="V5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1501</v>
      </c>
      <c r="W54">
        <f>Portefeuille_MNT_PPS_Access22[[#This Row],[Délais PC1 et PC3]]+Portefeuille_MNT_PPS_Access22[[#This Row],[Délais PC3 et PC5]]</f>
        <v>11</v>
      </c>
      <c r="X54">
        <v>1</v>
      </c>
      <c r="Y54">
        <v>1</v>
      </c>
      <c r="Z5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54" s="12" t="e">
        <f>_xlfn.XLOOKUP(Portefeuille_MNT_PPS_Access22[[#This Row],[Numéro projet]],Tableau5[Numéro projet],Tableau5[IND_Site_Prioritaire])</f>
        <v>#N/A</v>
      </c>
      <c r="AB54" s="2" t="e">
        <f>_xlfn.XLOOKUP(Portefeuille_MNT_PPS_Access22[[#This Row],[Numéro projet]],Tableau5[Numéro projet],Tableau5[Critère Etat Infrastructure])</f>
        <v>#N/A</v>
      </c>
      <c r="AC5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E54">
        <v>5</v>
      </c>
      <c r="AF54" t="s">
        <v>165</v>
      </c>
      <c r="AG54" s="2"/>
      <c r="AH54" s="2"/>
      <c r="AI54">
        <v>6</v>
      </c>
      <c r="AK54">
        <v>45</v>
      </c>
      <c r="AL54"/>
      <c r="AM54">
        <v>38</v>
      </c>
      <c r="AN54">
        <v>605</v>
      </c>
      <c r="AV54"/>
      <c r="BI54" s="14">
        <f>SUM(Portefeuille_MNT_PPS_Access22[[#This Row],[AC ANT]:[TR 2035]])</f>
        <v>694</v>
      </c>
    </row>
    <row r="55" spans="1:61" x14ac:dyDescent="0.3">
      <c r="A55" t="s">
        <v>286</v>
      </c>
      <c r="C55" t="s">
        <v>101</v>
      </c>
      <c r="D55" t="s">
        <v>102</v>
      </c>
      <c r="E55" t="s">
        <v>177</v>
      </c>
      <c r="F55" t="s">
        <v>129</v>
      </c>
      <c r="G55" t="s">
        <v>16</v>
      </c>
      <c r="H55" t="s">
        <v>16</v>
      </c>
      <c r="I55" t="s">
        <v>131</v>
      </c>
      <c r="J55" t="s">
        <v>178</v>
      </c>
      <c r="K55" t="s">
        <v>179</v>
      </c>
      <c r="L55" t="s">
        <v>180</v>
      </c>
      <c r="M55" t="s">
        <v>148</v>
      </c>
      <c r="N55" t="s">
        <v>164</v>
      </c>
      <c r="O55" s="1"/>
      <c r="P55" s="1"/>
      <c r="Q55" s="1">
        <v>45195</v>
      </c>
      <c r="R5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5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5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5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1484</v>
      </c>
      <c r="W55">
        <f>Portefeuille_MNT_PPS_Access22[[#This Row],[Délais PC1 et PC3]]+Portefeuille_MNT_PPS_Access22[[#This Row],[Délais PC3 et PC5]]</f>
        <v>1484</v>
      </c>
      <c r="X55">
        <v>5</v>
      </c>
      <c r="Y55">
        <v>5</v>
      </c>
      <c r="Z55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5" s="12" t="e">
        <f>_xlfn.XLOOKUP(Portefeuille_MNT_PPS_Access22[[#This Row],[Numéro projet]],Tableau5[Numéro projet],Tableau5[IND_Site_Prioritaire])</f>
        <v>#N/A</v>
      </c>
      <c r="AB55" s="2" t="e">
        <f>_xlfn.XLOOKUP(Portefeuille_MNT_PPS_Access22[[#This Row],[Numéro projet]],Tableau5[Numéro projet],Tableau5[Critère Etat Infrastructure])</f>
        <v>#N/A</v>
      </c>
      <c r="AC55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55" t="s">
        <v>165</v>
      </c>
      <c r="AG55" s="2">
        <v>5</v>
      </c>
      <c r="AH55" s="2"/>
      <c r="AI55">
        <v>74.999999999999972</v>
      </c>
      <c r="AJ55">
        <v>101.00000000000001</v>
      </c>
      <c r="AK55">
        <v>25</v>
      </c>
      <c r="AL55">
        <v>1137</v>
      </c>
      <c r="AM55">
        <v>73</v>
      </c>
      <c r="AN55">
        <v>596</v>
      </c>
      <c r="AV55"/>
      <c r="BI55" s="14">
        <f>SUM(Portefeuille_MNT_PPS_Access22[[#This Row],[AC ANT]:[TR 2035]])</f>
        <v>2007</v>
      </c>
    </row>
    <row r="56" spans="1:61" x14ac:dyDescent="0.3">
      <c r="A56" t="s">
        <v>286</v>
      </c>
      <c r="C56" t="s">
        <v>101</v>
      </c>
      <c r="D56" t="s">
        <v>102</v>
      </c>
      <c r="E56" t="s">
        <v>200</v>
      </c>
      <c r="F56" t="s">
        <v>113</v>
      </c>
      <c r="G56" t="s">
        <v>16</v>
      </c>
      <c r="H56" t="s">
        <v>16</v>
      </c>
      <c r="I56" t="s">
        <v>131</v>
      </c>
      <c r="J56" t="s">
        <v>336</v>
      </c>
      <c r="K56" t="s">
        <v>337</v>
      </c>
      <c r="L56" t="s">
        <v>180</v>
      </c>
      <c r="M56" t="s">
        <v>148</v>
      </c>
      <c r="N56" t="s">
        <v>164</v>
      </c>
      <c r="O56" s="1"/>
      <c r="P56" s="1">
        <v>44518</v>
      </c>
      <c r="Q56" s="1">
        <v>44657</v>
      </c>
      <c r="R5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5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5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1462</v>
      </c>
      <c r="V5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5</v>
      </c>
      <c r="W56">
        <f>Portefeuille_MNT_PPS_Access22[[#This Row],[Délais PC1 et PC3]]+Portefeuille_MNT_PPS_Access22[[#This Row],[Délais PC3 et PC5]]</f>
        <v>1467</v>
      </c>
      <c r="X56">
        <v>5</v>
      </c>
      <c r="Y56">
        <v>5</v>
      </c>
      <c r="Z56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6" s="12" t="e">
        <f>_xlfn.XLOOKUP(Portefeuille_MNT_PPS_Access22[[#This Row],[Numéro projet]],Tableau5[Numéro projet],Tableau5[IND_Site_Prioritaire])</f>
        <v>#N/A</v>
      </c>
      <c r="AB56" s="2" t="e">
        <f>_xlfn.XLOOKUP(Portefeuille_MNT_PPS_Access22[[#This Row],[Numéro projet]],Tableau5[Numéro projet],Tableau5[Critère Etat Infrastructure])</f>
        <v>#N/A</v>
      </c>
      <c r="AC56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56">
        <v>5</v>
      </c>
      <c r="AF56" t="s">
        <v>165</v>
      </c>
      <c r="AG56" s="2">
        <v>5</v>
      </c>
      <c r="AH56" s="2"/>
      <c r="AI56">
        <v>594</v>
      </c>
      <c r="AJ56">
        <v>3359</v>
      </c>
      <c r="AK56">
        <v>264</v>
      </c>
      <c r="AL56">
        <v>2717</v>
      </c>
      <c r="AM56">
        <v>63</v>
      </c>
      <c r="AN56">
        <v>462</v>
      </c>
      <c r="AV56"/>
      <c r="BI56" s="14">
        <f>SUM(Portefeuille_MNT_PPS_Access22[[#This Row],[AC ANT]:[TR 2035]])</f>
        <v>7459</v>
      </c>
    </row>
    <row r="57" spans="1:61" x14ac:dyDescent="0.3">
      <c r="A57" t="s">
        <v>286</v>
      </c>
      <c r="C57" t="s">
        <v>101</v>
      </c>
      <c r="D57" t="s">
        <v>102</v>
      </c>
      <c r="E57" t="s">
        <v>103</v>
      </c>
      <c r="F57" t="s">
        <v>113</v>
      </c>
      <c r="G57" t="s">
        <v>16</v>
      </c>
      <c r="H57" t="s">
        <v>16</v>
      </c>
      <c r="I57" t="s">
        <v>105</v>
      </c>
      <c r="J57" t="s">
        <v>312</v>
      </c>
      <c r="K57" t="s">
        <v>313</v>
      </c>
      <c r="L57" t="s">
        <v>168</v>
      </c>
      <c r="M57" t="s">
        <v>148</v>
      </c>
      <c r="N57" t="s">
        <v>164</v>
      </c>
      <c r="O57" s="1">
        <v>44055</v>
      </c>
      <c r="P57" s="1">
        <v>44315</v>
      </c>
      <c r="Q57" s="1">
        <v>44589</v>
      </c>
      <c r="R5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5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5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8</v>
      </c>
      <c r="V5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57">
        <f>Portefeuille_MNT_PPS_Access22[[#This Row],[Délais PC1 et PC3]]+Portefeuille_MNT_PPS_Access22[[#This Row],[Délais PC3 et PC5]]</f>
        <v>17</v>
      </c>
      <c r="X57">
        <v>5</v>
      </c>
      <c r="Y57">
        <v>5</v>
      </c>
      <c r="Z57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7" s="12" t="e">
        <f>_xlfn.XLOOKUP(Portefeuille_MNT_PPS_Access22[[#This Row],[Numéro projet]],Tableau5[Numéro projet],Tableau5[IND_Site_Prioritaire])</f>
        <v>#N/A</v>
      </c>
      <c r="AB57" s="2" t="e">
        <f>_xlfn.XLOOKUP(Portefeuille_MNT_PPS_Access22[[#This Row],[Numéro projet]],Tableau5[Numéro projet],Tableau5[Critère Etat Infrastructure])</f>
        <v>#N/A</v>
      </c>
      <c r="AC57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57">
        <v>5</v>
      </c>
      <c r="AE57">
        <v>5</v>
      </c>
      <c r="AF57" t="s">
        <v>165</v>
      </c>
      <c r="AG57" s="2">
        <v>5</v>
      </c>
      <c r="AH57" s="2"/>
      <c r="AI57">
        <v>448</v>
      </c>
      <c r="AJ57">
        <v>5849</v>
      </c>
      <c r="AK57">
        <v>290</v>
      </c>
      <c r="AL57">
        <v>3895</v>
      </c>
      <c r="AM57">
        <v>93</v>
      </c>
      <c r="AN57">
        <v>390</v>
      </c>
      <c r="AV57"/>
      <c r="BI57" s="14">
        <f>SUM(Portefeuille_MNT_PPS_Access22[[#This Row],[AC ANT]:[TR 2035]])</f>
        <v>10965</v>
      </c>
    </row>
    <row r="58" spans="1:61" x14ac:dyDescent="0.3">
      <c r="A58" t="s">
        <v>286</v>
      </c>
      <c r="C58" t="s">
        <v>101</v>
      </c>
      <c r="D58" t="s">
        <v>102</v>
      </c>
      <c r="E58" t="s">
        <v>103</v>
      </c>
      <c r="F58" t="s">
        <v>206</v>
      </c>
      <c r="G58" t="s">
        <v>16</v>
      </c>
      <c r="H58" t="s">
        <v>16</v>
      </c>
      <c r="I58" t="s">
        <v>105</v>
      </c>
      <c r="J58" t="s">
        <v>314</v>
      </c>
      <c r="K58" t="s">
        <v>315</v>
      </c>
      <c r="L58" t="s">
        <v>316</v>
      </c>
      <c r="M58" t="s">
        <v>148</v>
      </c>
      <c r="N58" t="s">
        <v>164</v>
      </c>
      <c r="O58" s="1">
        <v>43882</v>
      </c>
      <c r="P58" s="1">
        <v>44033</v>
      </c>
      <c r="Q58" s="1">
        <v>45225</v>
      </c>
      <c r="R5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5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5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5</v>
      </c>
      <c r="V5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39</v>
      </c>
      <c r="W58">
        <f>Portefeuille_MNT_PPS_Access22[[#This Row],[Délais PC1 et PC3]]+Portefeuille_MNT_PPS_Access22[[#This Row],[Délais PC3 et PC5]]</f>
        <v>44</v>
      </c>
      <c r="X58">
        <v>5</v>
      </c>
      <c r="Y58">
        <v>5</v>
      </c>
      <c r="Z58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8" s="12" t="e">
        <f>_xlfn.XLOOKUP(Portefeuille_MNT_PPS_Access22[[#This Row],[Numéro projet]],Tableau5[Numéro projet],Tableau5[IND_Site_Prioritaire])</f>
        <v>#N/A</v>
      </c>
      <c r="AB58" s="2" t="e">
        <f>_xlfn.XLOOKUP(Portefeuille_MNT_PPS_Access22[[#This Row],[Numéro projet]],Tableau5[Numéro projet],Tableau5[Critère Etat Infrastructure])</f>
        <v>#N/A</v>
      </c>
      <c r="AC58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58">
        <v>5</v>
      </c>
      <c r="AE58">
        <v>5</v>
      </c>
      <c r="AF58" t="s">
        <v>165</v>
      </c>
      <c r="AG58" s="2">
        <v>5</v>
      </c>
      <c r="AH58" s="2"/>
      <c r="AI58">
        <v>257</v>
      </c>
      <c r="AJ58">
        <v>2407</v>
      </c>
      <c r="AK58">
        <v>439</v>
      </c>
      <c r="AL58">
        <v>7751</v>
      </c>
      <c r="AM58">
        <v>79</v>
      </c>
      <c r="AN58">
        <v>385</v>
      </c>
      <c r="AV58"/>
      <c r="BI58" s="14">
        <f>SUM(Portefeuille_MNT_PPS_Access22[[#This Row],[AC ANT]:[TR 2035]])</f>
        <v>11318</v>
      </c>
    </row>
    <row r="59" spans="1:61" x14ac:dyDescent="0.3">
      <c r="A59" t="s">
        <v>286</v>
      </c>
      <c r="C59" t="s">
        <v>101</v>
      </c>
      <c r="D59" t="s">
        <v>102</v>
      </c>
      <c r="E59" t="s">
        <v>200</v>
      </c>
      <c r="F59" t="s">
        <v>149</v>
      </c>
      <c r="G59" t="s">
        <v>16</v>
      </c>
      <c r="H59" t="s">
        <v>16</v>
      </c>
      <c r="I59" t="s">
        <v>105</v>
      </c>
      <c r="J59" t="s">
        <v>334</v>
      </c>
      <c r="K59" t="s">
        <v>335</v>
      </c>
      <c r="L59" t="s">
        <v>205</v>
      </c>
      <c r="M59" t="s">
        <v>148</v>
      </c>
      <c r="N59" t="s">
        <v>164</v>
      </c>
      <c r="O59" s="1">
        <v>44228</v>
      </c>
      <c r="P59" s="1">
        <v>44579</v>
      </c>
      <c r="Q59" s="1">
        <v>44865</v>
      </c>
      <c r="R5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5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5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5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5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59">
        <f>Portefeuille_MNT_PPS_Access22[[#This Row],[Délais PC1 et PC3]]+Portefeuille_MNT_PPS_Access22[[#This Row],[Délais PC3 et PC5]]</f>
        <v>20</v>
      </c>
      <c r="X59">
        <v>5</v>
      </c>
      <c r="Y59">
        <v>5</v>
      </c>
      <c r="Z59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59" s="12" t="e">
        <f>_xlfn.XLOOKUP(Portefeuille_MNT_PPS_Access22[[#This Row],[Numéro projet]],Tableau5[Numéro projet],Tableau5[IND_Site_Prioritaire])</f>
        <v>#N/A</v>
      </c>
      <c r="AB59" s="2" t="e">
        <f>_xlfn.XLOOKUP(Portefeuille_MNT_PPS_Access22[[#This Row],[Numéro projet]],Tableau5[Numéro projet],Tableau5[Critère Etat Infrastructure])</f>
        <v>#N/A</v>
      </c>
      <c r="AC59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59">
        <v>5</v>
      </c>
      <c r="AE59">
        <v>5</v>
      </c>
      <c r="AF59" t="s">
        <v>165</v>
      </c>
      <c r="AG59" s="2">
        <v>5</v>
      </c>
      <c r="AH59" s="2"/>
      <c r="AI59">
        <v>262</v>
      </c>
      <c r="AJ59">
        <v>16</v>
      </c>
      <c r="AK59">
        <v>265</v>
      </c>
      <c r="AL59">
        <v>6205</v>
      </c>
      <c r="AM59">
        <v>183</v>
      </c>
      <c r="AN59">
        <v>282</v>
      </c>
      <c r="AV59"/>
      <c r="BI59" s="14">
        <f>SUM(Portefeuille_MNT_PPS_Access22[[#This Row],[AC ANT]:[TR 2035]])</f>
        <v>7213</v>
      </c>
    </row>
    <row r="60" spans="1:61" x14ac:dyDescent="0.3">
      <c r="A60" t="s">
        <v>286</v>
      </c>
      <c r="C60" t="s">
        <v>101</v>
      </c>
      <c r="D60" t="s">
        <v>102</v>
      </c>
      <c r="E60" t="s">
        <v>200</v>
      </c>
      <c r="F60" t="s">
        <v>104</v>
      </c>
      <c r="G60" t="s">
        <v>16</v>
      </c>
      <c r="H60" t="s">
        <v>16</v>
      </c>
      <c r="I60" t="s">
        <v>105</v>
      </c>
      <c r="J60" t="s">
        <v>330</v>
      </c>
      <c r="K60" s="82" t="s">
        <v>331</v>
      </c>
      <c r="L60" t="s">
        <v>180</v>
      </c>
      <c r="M60" t="s">
        <v>148</v>
      </c>
      <c r="N60" t="s">
        <v>164</v>
      </c>
      <c r="O60" s="1">
        <v>43360</v>
      </c>
      <c r="P60" s="1">
        <v>43671</v>
      </c>
      <c r="Q60" s="1">
        <v>44217</v>
      </c>
      <c r="R6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6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6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10</v>
      </c>
      <c r="V6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18</v>
      </c>
      <c r="W60">
        <f>Portefeuille_MNT_PPS_Access22[[#This Row],[Délais PC1 et PC3]]+Portefeuille_MNT_PPS_Access22[[#This Row],[Délais PC3 et PC5]]</f>
        <v>28</v>
      </c>
      <c r="X60">
        <v>1</v>
      </c>
      <c r="Y60">
        <v>5</v>
      </c>
      <c r="Z60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60" s="12" t="e">
        <f>_xlfn.XLOOKUP(Portefeuille_MNT_PPS_Access22[[#This Row],[Numéro projet]],Tableau5[Numéro projet],Tableau5[IND_Site_Prioritaire])</f>
        <v>#N/A</v>
      </c>
      <c r="AB60" s="2" t="e">
        <f>_xlfn.XLOOKUP(Portefeuille_MNT_PPS_Access22[[#This Row],[Numéro projet]],Tableau5[Numéro projet],Tableau5[Critère Etat Infrastructure])</f>
        <v>#N/A</v>
      </c>
      <c r="AC60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60">
        <v>5</v>
      </c>
      <c r="AE60">
        <v>5</v>
      </c>
      <c r="AF60" t="s">
        <v>165</v>
      </c>
      <c r="AG60" s="2">
        <v>5</v>
      </c>
      <c r="AH60" s="2"/>
      <c r="AI60">
        <v>432</v>
      </c>
      <c r="AJ60">
        <v>3057</v>
      </c>
      <c r="AK60">
        <v>136</v>
      </c>
      <c r="AL60"/>
      <c r="AM60">
        <v>137</v>
      </c>
      <c r="AN60">
        <v>73</v>
      </c>
      <c r="AV60"/>
      <c r="BI60" s="14">
        <f>SUM(Portefeuille_MNT_PPS_Access22[[#This Row],[AC ANT]:[TR 2035]])</f>
        <v>3835</v>
      </c>
    </row>
    <row r="61" spans="1:61" hidden="1" x14ac:dyDescent="0.3">
      <c r="A61" t="s">
        <v>286</v>
      </c>
      <c r="C61" t="s">
        <v>101</v>
      </c>
      <c r="D61" t="s">
        <v>102</v>
      </c>
      <c r="E61" t="s">
        <v>136</v>
      </c>
      <c r="G61" t="s">
        <v>130</v>
      </c>
      <c r="H61" t="s">
        <v>130</v>
      </c>
      <c r="I61" t="s">
        <v>105</v>
      </c>
      <c r="J61" t="s">
        <v>407</v>
      </c>
      <c r="K61" t="s">
        <v>514</v>
      </c>
      <c r="L61" t="s">
        <v>108</v>
      </c>
      <c r="M61" t="s">
        <v>197</v>
      </c>
      <c r="N61" t="s">
        <v>291</v>
      </c>
      <c r="O61" s="1"/>
      <c r="P61" s="1"/>
      <c r="Q61" s="1"/>
      <c r="R6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6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6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6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6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61">
        <f>Portefeuille_MNT_PPS_Access22[[#This Row],[Délais PC1 et PC3]]+Portefeuille_MNT_PPS_Access22[[#This Row],[Délais PC3 et PC5]]</f>
        <v>0</v>
      </c>
      <c r="X61">
        <v>1</v>
      </c>
      <c r="Z6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61" s="12" t="e">
        <f>_xlfn.XLOOKUP(Portefeuille_MNT_PPS_Access22[[#This Row],[Numéro projet]],Tableau5[Numéro projet],Tableau5[IND_Site_Prioritaire])</f>
        <v>#N/A</v>
      </c>
      <c r="AB61" s="2" t="e">
        <f>_xlfn.XLOOKUP(Portefeuille_MNT_PPS_Access22[[#This Row],[Numéro projet]],Tableau5[Numéro projet],Tableau5[Critère Etat Infrastructure])</f>
        <v>#N/A</v>
      </c>
      <c r="AC6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61" t="s">
        <v>311</v>
      </c>
      <c r="AG61" s="2"/>
      <c r="AH61" s="2"/>
      <c r="AL61"/>
      <c r="AO61">
        <v>150</v>
      </c>
      <c r="AQ61">
        <v>150</v>
      </c>
      <c r="AS61">
        <v>550</v>
      </c>
      <c r="AT61">
        <v>4000</v>
      </c>
      <c r="AV61"/>
      <c r="BI61" s="14">
        <f>SUM(Portefeuille_MNT_PPS_Access22[[#This Row],[AC ANT]:[TR 2035]])</f>
        <v>4850</v>
      </c>
    </row>
    <row r="62" spans="1:61" x14ac:dyDescent="0.3">
      <c r="A62" t="s">
        <v>286</v>
      </c>
      <c r="C62" t="s">
        <v>101</v>
      </c>
      <c r="D62" t="s">
        <v>102</v>
      </c>
      <c r="E62" t="s">
        <v>119</v>
      </c>
      <c r="F62" t="s">
        <v>113</v>
      </c>
      <c r="G62" t="s">
        <v>16</v>
      </c>
      <c r="H62" t="s">
        <v>16</v>
      </c>
      <c r="I62" t="s">
        <v>105</v>
      </c>
      <c r="J62" t="s">
        <v>332</v>
      </c>
      <c r="K62" t="s">
        <v>333</v>
      </c>
      <c r="L62" t="s">
        <v>122</v>
      </c>
      <c r="M62" t="s">
        <v>148</v>
      </c>
      <c r="N62" t="s">
        <v>164</v>
      </c>
      <c r="O62" s="1">
        <v>44162</v>
      </c>
      <c r="P62" s="1">
        <v>44489</v>
      </c>
      <c r="Q62" s="1">
        <v>44608</v>
      </c>
      <c r="R6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6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6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6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4</v>
      </c>
      <c r="W62">
        <f>Portefeuille_MNT_PPS_Access22[[#This Row],[Délais PC1 et PC3]]+Portefeuille_MNT_PPS_Access22[[#This Row],[Délais PC3 et PC5]]</f>
        <v>15</v>
      </c>
      <c r="X62">
        <v>5</v>
      </c>
      <c r="Y62">
        <v>5</v>
      </c>
      <c r="Z62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62" s="12" t="e">
        <f>_xlfn.XLOOKUP(Portefeuille_MNT_PPS_Access22[[#This Row],[Numéro projet]],Tableau5[Numéro projet],Tableau5[IND_Site_Prioritaire])</f>
        <v>#N/A</v>
      </c>
      <c r="AB62" s="2" t="e">
        <f>_xlfn.XLOOKUP(Portefeuille_MNT_PPS_Access22[[#This Row],[Numéro projet]],Tableau5[Numéro projet],Tableau5[Critère Etat Infrastructure])</f>
        <v>#N/A</v>
      </c>
      <c r="AC62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62">
        <v>5</v>
      </c>
      <c r="AE62">
        <v>5</v>
      </c>
      <c r="AF62" t="s">
        <v>165</v>
      </c>
      <c r="AG62" s="2">
        <v>5</v>
      </c>
      <c r="AH62" s="2"/>
      <c r="AI62">
        <v>183</v>
      </c>
      <c r="AJ62">
        <v>33</v>
      </c>
      <c r="AK62">
        <v>297</v>
      </c>
      <c r="AL62">
        <v>6350</v>
      </c>
      <c r="AM62">
        <v>162</v>
      </c>
      <c r="AN62">
        <v>50</v>
      </c>
      <c r="AV62"/>
      <c r="BI62" s="14">
        <f>SUM(Portefeuille_MNT_PPS_Access22[[#This Row],[AC ANT]:[TR 2035]])</f>
        <v>7075</v>
      </c>
    </row>
    <row r="63" spans="1:61" x14ac:dyDescent="0.3">
      <c r="A63" t="s">
        <v>286</v>
      </c>
      <c r="C63" t="s">
        <v>118</v>
      </c>
      <c r="D63" t="s">
        <v>102</v>
      </c>
      <c r="E63" t="s">
        <v>136</v>
      </c>
      <c r="G63" t="s">
        <v>20</v>
      </c>
      <c r="H63" t="s">
        <v>20</v>
      </c>
      <c r="I63" t="s">
        <v>131</v>
      </c>
      <c r="J63" t="s">
        <v>599</v>
      </c>
      <c r="K63" t="s">
        <v>600</v>
      </c>
      <c r="L63" t="s">
        <v>139</v>
      </c>
      <c r="M63" t="s">
        <v>148</v>
      </c>
      <c r="O63" s="1"/>
      <c r="P63" s="1"/>
      <c r="Q63" s="1"/>
      <c r="R6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6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6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6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6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63">
        <f>Portefeuille_MNT_PPS_Access22[[#This Row],[Délais PC1 et PC3]]+Portefeuille_MNT_PPS_Access22[[#This Row],[Délais PC3 et PC5]]</f>
        <v>0</v>
      </c>
      <c r="X63">
        <v>1</v>
      </c>
      <c r="Z63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63" s="12" t="e">
        <f>_xlfn.XLOOKUP(Portefeuille_MNT_PPS_Access22[[#This Row],[Numéro projet]],Tableau5[Numéro projet],Tableau5[IND_Site_Prioritaire])</f>
        <v>#N/A</v>
      </c>
      <c r="AB63" s="2" t="e">
        <f>_xlfn.XLOOKUP(Portefeuille_MNT_PPS_Access22[[#This Row],[Numéro projet]],Tableau5[Numéro projet],Tableau5[Critère Etat Infrastructure])</f>
        <v>#N/A</v>
      </c>
      <c r="AC6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G63" s="2"/>
      <c r="AH63" s="2"/>
      <c r="AL63"/>
      <c r="AN63">
        <v>35</v>
      </c>
      <c r="AV63"/>
      <c r="BI63" s="14">
        <f>SUM(Portefeuille_MNT_PPS_Access22[[#This Row],[AC ANT]:[TR 2035]])</f>
        <v>35</v>
      </c>
    </row>
    <row r="64" spans="1:61" hidden="1" x14ac:dyDescent="0.3">
      <c r="A64" t="s">
        <v>286</v>
      </c>
      <c r="C64" t="s">
        <v>126</v>
      </c>
      <c r="D64" t="s">
        <v>127</v>
      </c>
      <c r="E64" t="s">
        <v>136</v>
      </c>
      <c r="F64" t="s">
        <v>144</v>
      </c>
      <c r="G64" t="s">
        <v>16</v>
      </c>
      <c r="H64" t="s">
        <v>20</v>
      </c>
      <c r="I64" t="s">
        <v>131</v>
      </c>
      <c r="J64" t="s">
        <v>231</v>
      </c>
      <c r="K64" t="s">
        <v>232</v>
      </c>
      <c r="L64" t="s">
        <v>147</v>
      </c>
      <c r="M64" t="s">
        <v>173</v>
      </c>
      <c r="N64" t="s">
        <v>110</v>
      </c>
      <c r="O64" s="1">
        <v>45099</v>
      </c>
      <c r="P64" s="1">
        <v>46013</v>
      </c>
      <c r="Q64" s="1">
        <v>46283</v>
      </c>
      <c r="R6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6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6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30</v>
      </c>
      <c r="V6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64">
        <f>Portefeuille_MNT_PPS_Access22[[#This Row],[Délais PC1 et PC3]]+Portefeuille_MNT_PPS_Access22[[#This Row],[Délais PC3 et PC5]]</f>
        <v>39</v>
      </c>
      <c r="X64">
        <v>1</v>
      </c>
      <c r="Y64">
        <v>1</v>
      </c>
      <c r="Z6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64" s="12" t="e">
        <f>_xlfn.XLOOKUP(Portefeuille_MNT_PPS_Access22[[#This Row],[Numéro projet]],Tableau5[Numéro projet],Tableau5[IND_Site_Prioritaire])</f>
        <v>#N/A</v>
      </c>
      <c r="AB64" s="2" t="e">
        <f>_xlfn.XLOOKUP(Portefeuille_MNT_PPS_Access22[[#This Row],[Numéro projet]],Tableau5[Numéro projet],Tableau5[Critère Etat Infrastructure])</f>
        <v>#N/A</v>
      </c>
      <c r="AC6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4">
        <v>1</v>
      </c>
      <c r="AE64">
        <v>5</v>
      </c>
      <c r="AF64" t="s">
        <v>112</v>
      </c>
      <c r="AG64" s="2"/>
      <c r="AH64" s="2"/>
      <c r="AI64">
        <v>9</v>
      </c>
      <c r="AK64">
        <v>21</v>
      </c>
      <c r="AL64"/>
      <c r="AM64">
        <v>672</v>
      </c>
      <c r="AO64">
        <v>553</v>
      </c>
      <c r="AQ64">
        <v>1175</v>
      </c>
      <c r="AR64">
        <v>6475</v>
      </c>
      <c r="AS64">
        <v>1602</v>
      </c>
      <c r="AT64">
        <v>6677</v>
      </c>
      <c r="AV64"/>
      <c r="BI64" s="14">
        <f>SUM(Portefeuille_MNT_PPS_Access22[[#This Row],[AC ANT]:[TR 2035]])</f>
        <v>17184</v>
      </c>
    </row>
    <row r="65" spans="1:61" hidden="1" x14ac:dyDescent="0.3">
      <c r="A65" t="s">
        <v>286</v>
      </c>
      <c r="C65" t="s">
        <v>101</v>
      </c>
      <c r="D65" t="s">
        <v>102</v>
      </c>
      <c r="E65" t="s">
        <v>136</v>
      </c>
      <c r="F65" t="s">
        <v>113</v>
      </c>
      <c r="G65" t="s">
        <v>16</v>
      </c>
      <c r="H65" t="s">
        <v>20</v>
      </c>
      <c r="I65" t="s">
        <v>131</v>
      </c>
      <c r="J65" t="s">
        <v>185</v>
      </c>
      <c r="K65" t="s">
        <v>186</v>
      </c>
      <c r="L65" t="s">
        <v>187</v>
      </c>
      <c r="M65" t="s">
        <v>173</v>
      </c>
      <c r="N65" t="s">
        <v>110</v>
      </c>
      <c r="O65" s="1">
        <v>44823</v>
      </c>
      <c r="P65" s="1">
        <v>46310</v>
      </c>
      <c r="Q65" s="1">
        <v>46521</v>
      </c>
      <c r="R6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6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1.Très à risque</v>
      </c>
      <c r="T6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1.Très à risque</v>
      </c>
      <c r="U6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49</v>
      </c>
      <c r="V6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7</v>
      </c>
      <c r="W65">
        <f>Portefeuille_MNT_PPS_Access22[[#This Row],[Délais PC1 et PC3]]+Portefeuille_MNT_PPS_Access22[[#This Row],[Délais PC3 et PC5]]</f>
        <v>56</v>
      </c>
      <c r="X65">
        <v>1</v>
      </c>
      <c r="Y65">
        <v>1</v>
      </c>
      <c r="Z6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65" s="12" t="e">
        <f>_xlfn.XLOOKUP(Portefeuille_MNT_PPS_Access22[[#This Row],[Numéro projet]],Tableau5[Numéro projet],Tableau5[IND_Site_Prioritaire])</f>
        <v>#N/A</v>
      </c>
      <c r="AB65" s="2" t="e">
        <f>_xlfn.XLOOKUP(Portefeuille_MNT_PPS_Access22[[#This Row],[Numéro projet]],Tableau5[Numéro projet],Tableau5[Critère Etat Infrastructure])</f>
        <v>#N/A</v>
      </c>
      <c r="AC6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5">
        <v>1</v>
      </c>
      <c r="AE65">
        <v>5</v>
      </c>
      <c r="AF65" t="s">
        <v>112</v>
      </c>
      <c r="AG65" s="2"/>
      <c r="AH65" s="2"/>
      <c r="AI65">
        <v>282</v>
      </c>
      <c r="AK65">
        <v>175</v>
      </c>
      <c r="AL65"/>
      <c r="AM65">
        <v>835</v>
      </c>
      <c r="AO65">
        <v>630</v>
      </c>
      <c r="AQ65">
        <v>225</v>
      </c>
      <c r="AR65">
        <v>1806</v>
      </c>
      <c r="AS65">
        <v>225</v>
      </c>
      <c r="AT65">
        <v>5369</v>
      </c>
      <c r="AU65">
        <v>502</v>
      </c>
      <c r="AV65">
        <v>9000</v>
      </c>
      <c r="BI65" s="14">
        <f>SUM(Portefeuille_MNT_PPS_Access22[[#This Row],[AC ANT]:[TR 2035]])</f>
        <v>19049</v>
      </c>
    </row>
    <row r="66" spans="1:61" hidden="1" x14ac:dyDescent="0.3">
      <c r="A66" t="s">
        <v>286</v>
      </c>
      <c r="C66" t="s">
        <v>101</v>
      </c>
      <c r="D66" t="s">
        <v>102</v>
      </c>
      <c r="E66" t="s">
        <v>136</v>
      </c>
      <c r="F66" t="s">
        <v>113</v>
      </c>
      <c r="G66" t="s">
        <v>16</v>
      </c>
      <c r="H66" t="s">
        <v>20</v>
      </c>
      <c r="I66" t="s">
        <v>105</v>
      </c>
      <c r="J66" t="s">
        <v>166</v>
      </c>
      <c r="K66" t="s">
        <v>167</v>
      </c>
      <c r="L66" t="s">
        <v>168</v>
      </c>
      <c r="M66" t="s">
        <v>169</v>
      </c>
      <c r="N66" t="s">
        <v>155</v>
      </c>
      <c r="O66" s="1">
        <v>45915</v>
      </c>
      <c r="P66" s="1">
        <v>46402</v>
      </c>
      <c r="Q66" s="1">
        <v>46980</v>
      </c>
      <c r="R6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6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6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6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19</v>
      </c>
      <c r="W66">
        <f>Portefeuille_MNT_PPS_Access22[[#This Row],[Délais PC1 et PC3]]+Portefeuille_MNT_PPS_Access22[[#This Row],[Délais PC3 et PC5]]</f>
        <v>35</v>
      </c>
      <c r="X66">
        <v>1</v>
      </c>
      <c r="Y66">
        <v>1</v>
      </c>
      <c r="Z6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66" s="12" t="e">
        <f>_xlfn.XLOOKUP(Portefeuille_MNT_PPS_Access22[[#This Row],[Numéro projet]],Tableau5[Numéro projet],Tableau5[IND_Site_Prioritaire])</f>
        <v>#N/A</v>
      </c>
      <c r="AB66" s="2" t="e">
        <f>_xlfn.XLOOKUP(Portefeuille_MNT_PPS_Access22[[#This Row],[Numéro projet]],Tableau5[Numéro projet],Tableau5[Critère Etat Infrastructure])</f>
        <v>#N/A</v>
      </c>
      <c r="AC6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6">
        <v>1</v>
      </c>
      <c r="AE66">
        <v>1</v>
      </c>
      <c r="AF66" t="s">
        <v>156</v>
      </c>
      <c r="AG66" s="2"/>
      <c r="AH66" s="2"/>
      <c r="AI66">
        <v>71</v>
      </c>
      <c r="AL66"/>
      <c r="AM66">
        <v>120</v>
      </c>
      <c r="AO66">
        <v>210</v>
      </c>
      <c r="AQ66">
        <v>310</v>
      </c>
      <c r="AS66">
        <v>310</v>
      </c>
      <c r="AU66">
        <v>395</v>
      </c>
      <c r="AV66">
        <v>2000</v>
      </c>
      <c r="AW66">
        <v>395</v>
      </c>
      <c r="AX66">
        <v>2000</v>
      </c>
      <c r="AY66">
        <v>400</v>
      </c>
      <c r="AZ66">
        <v>18319</v>
      </c>
      <c r="BI66" s="14">
        <f>SUM(Portefeuille_MNT_PPS_Access22[[#This Row],[AC ANT]:[TR 2035]])</f>
        <v>24530</v>
      </c>
    </row>
    <row r="67" spans="1:61" hidden="1" x14ac:dyDescent="0.3">
      <c r="A67" t="s">
        <v>286</v>
      </c>
      <c r="C67" t="s">
        <v>118</v>
      </c>
      <c r="D67" t="s">
        <v>102</v>
      </c>
      <c r="E67" t="s">
        <v>177</v>
      </c>
      <c r="F67" t="s">
        <v>113</v>
      </c>
      <c r="G67" t="s">
        <v>16</v>
      </c>
      <c r="H67" t="s">
        <v>20</v>
      </c>
      <c r="I67" t="s">
        <v>131</v>
      </c>
      <c r="J67" t="s">
        <v>240</v>
      </c>
      <c r="K67" t="s">
        <v>241</v>
      </c>
      <c r="L67" t="s">
        <v>187</v>
      </c>
      <c r="M67" t="s">
        <v>173</v>
      </c>
      <c r="N67" t="s">
        <v>110</v>
      </c>
      <c r="O67" s="1">
        <v>45708</v>
      </c>
      <c r="P67" s="1">
        <v>45939</v>
      </c>
      <c r="Q67" s="1">
        <v>46296</v>
      </c>
      <c r="R6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3.À risque</v>
      </c>
      <c r="S6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6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8</v>
      </c>
      <c r="V6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67">
        <f>Portefeuille_MNT_PPS_Access22[[#This Row],[Délais PC1 et PC3]]+Portefeuille_MNT_PPS_Access22[[#This Row],[Délais PC3 et PC5]]</f>
        <v>20</v>
      </c>
      <c r="X67">
        <v>1</v>
      </c>
      <c r="Y67">
        <v>1</v>
      </c>
      <c r="Z6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67" s="12" t="e">
        <f>_xlfn.XLOOKUP(Portefeuille_MNT_PPS_Access22[[#This Row],[Numéro projet]],Tableau5[Numéro projet],Tableau5[IND_Site_Prioritaire])</f>
        <v>#N/A</v>
      </c>
      <c r="AB67" s="2" t="e">
        <f>_xlfn.XLOOKUP(Portefeuille_MNT_PPS_Access22[[#This Row],[Numéro projet]],Tableau5[Numéro projet],Tableau5[Critère Etat Infrastructure])</f>
        <v>#N/A</v>
      </c>
      <c r="AC6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7">
        <v>1</v>
      </c>
      <c r="AE67">
        <v>1</v>
      </c>
      <c r="AF67" t="s">
        <v>112</v>
      </c>
      <c r="AG67" s="2"/>
      <c r="AH67" s="2"/>
      <c r="AL67"/>
      <c r="AM67">
        <v>178</v>
      </c>
      <c r="AO67">
        <v>176</v>
      </c>
      <c r="AQ67">
        <v>212</v>
      </c>
      <c r="AR67">
        <v>4831</v>
      </c>
      <c r="AS67">
        <v>151</v>
      </c>
      <c r="AT67">
        <v>3298</v>
      </c>
      <c r="AV67"/>
      <c r="BI67" s="14">
        <f>SUM(Portefeuille_MNT_PPS_Access22[[#This Row],[AC ANT]:[TR 2035]])</f>
        <v>8846</v>
      </c>
    </row>
    <row r="68" spans="1:61" hidden="1" x14ac:dyDescent="0.3">
      <c r="A68" t="s">
        <v>286</v>
      </c>
      <c r="C68" t="s">
        <v>118</v>
      </c>
      <c r="D68" t="s">
        <v>102</v>
      </c>
      <c r="E68" t="s">
        <v>119</v>
      </c>
      <c r="F68" t="s">
        <v>206</v>
      </c>
      <c r="G68" t="s">
        <v>16</v>
      </c>
      <c r="H68" t="s">
        <v>130</v>
      </c>
      <c r="I68" t="s">
        <v>131</v>
      </c>
      <c r="J68" t="s">
        <v>207</v>
      </c>
      <c r="K68" t="s">
        <v>208</v>
      </c>
      <c r="L68" t="s">
        <v>209</v>
      </c>
      <c r="M68" t="s">
        <v>173</v>
      </c>
      <c r="N68" t="s">
        <v>155</v>
      </c>
      <c r="O68" s="1">
        <v>45976</v>
      </c>
      <c r="P68" s="1">
        <v>46096</v>
      </c>
      <c r="Q68" s="1">
        <v>46280</v>
      </c>
      <c r="R6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6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6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4</v>
      </c>
      <c r="V6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6</v>
      </c>
      <c r="W68">
        <f>Portefeuille_MNT_PPS_Access22[[#This Row],[Délais PC1 et PC3]]+Portefeuille_MNT_PPS_Access22[[#This Row],[Délais PC3 et PC5]]</f>
        <v>10</v>
      </c>
      <c r="X68">
        <v>1</v>
      </c>
      <c r="Y68">
        <v>1</v>
      </c>
      <c r="Z6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68" s="12" t="e">
        <f>_xlfn.XLOOKUP(Portefeuille_MNT_PPS_Access22[[#This Row],[Numéro projet]],Tableau5[Numéro projet],Tableau5[IND_Site_Prioritaire])</f>
        <v>#N/A</v>
      </c>
      <c r="AB68" s="2" t="e">
        <f>_xlfn.XLOOKUP(Portefeuille_MNT_PPS_Access22[[#This Row],[Numéro projet]],Tableau5[Numéro projet],Tableau5[Critère Etat Infrastructure])</f>
        <v>#N/A</v>
      </c>
      <c r="AC6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8">
        <v>1</v>
      </c>
      <c r="AE68">
        <v>1</v>
      </c>
      <c r="AF68" t="s">
        <v>156</v>
      </c>
      <c r="AG68" s="2"/>
      <c r="AH68" s="2"/>
      <c r="AI68">
        <v>196</v>
      </c>
      <c r="AL68"/>
      <c r="AM68">
        <v>40</v>
      </c>
      <c r="AO68">
        <v>255</v>
      </c>
      <c r="AQ68">
        <v>396</v>
      </c>
      <c r="AR68">
        <v>1500</v>
      </c>
      <c r="AV68"/>
      <c r="BI68" s="14">
        <f>SUM(Portefeuille_MNT_PPS_Access22[[#This Row],[AC ANT]:[TR 2035]])</f>
        <v>2387</v>
      </c>
    </row>
    <row r="69" spans="1:61" hidden="1" x14ac:dyDescent="0.3">
      <c r="A69" t="s">
        <v>286</v>
      </c>
      <c r="C69" t="s">
        <v>101</v>
      </c>
      <c r="D69" t="s">
        <v>102</v>
      </c>
      <c r="E69" t="s">
        <v>103</v>
      </c>
      <c r="F69" t="s">
        <v>149</v>
      </c>
      <c r="G69" t="s">
        <v>16</v>
      </c>
      <c r="H69" t="s">
        <v>20</v>
      </c>
      <c r="I69" t="s">
        <v>105</v>
      </c>
      <c r="J69" t="s">
        <v>237</v>
      </c>
      <c r="K69" t="s">
        <v>238</v>
      </c>
      <c r="L69" t="s">
        <v>239</v>
      </c>
      <c r="M69" t="s">
        <v>173</v>
      </c>
      <c r="N69" t="s">
        <v>155</v>
      </c>
      <c r="O69" s="1">
        <v>45915</v>
      </c>
      <c r="P69" s="1">
        <v>46037</v>
      </c>
      <c r="Q69" s="1">
        <v>46310</v>
      </c>
      <c r="R6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6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6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6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4</v>
      </c>
      <c r="V6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69">
        <f>Portefeuille_MNT_PPS_Access22[[#This Row],[Délais PC1 et PC3]]+Portefeuille_MNT_PPS_Access22[[#This Row],[Délais PC3 et PC5]]</f>
        <v>13</v>
      </c>
      <c r="X69">
        <v>1</v>
      </c>
      <c r="Y69">
        <v>1</v>
      </c>
      <c r="Z6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69" s="12" t="e">
        <f>_xlfn.XLOOKUP(Portefeuille_MNT_PPS_Access22[[#This Row],[Numéro projet]],Tableau5[Numéro projet],Tableau5[IND_Site_Prioritaire])</f>
        <v>#N/A</v>
      </c>
      <c r="AB69" s="2" t="e">
        <f>_xlfn.XLOOKUP(Portefeuille_MNT_PPS_Access22[[#This Row],[Numéro projet]],Tableau5[Numéro projet],Tableau5[Critère Etat Infrastructure])</f>
        <v>#N/A</v>
      </c>
      <c r="AC6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69">
        <v>1</v>
      </c>
      <c r="AE69">
        <v>1</v>
      </c>
      <c r="AF69" t="s">
        <v>156</v>
      </c>
      <c r="AG69" s="2"/>
      <c r="AH69" s="2"/>
      <c r="AL69"/>
      <c r="AM69">
        <v>100</v>
      </c>
      <c r="AO69">
        <v>200</v>
      </c>
      <c r="AQ69">
        <v>475</v>
      </c>
      <c r="AR69">
        <v>11000</v>
      </c>
      <c r="AV69"/>
      <c r="BI69" s="14">
        <f>SUM(Portefeuille_MNT_PPS_Access22[[#This Row],[AC ANT]:[TR 2035]])</f>
        <v>11775</v>
      </c>
    </row>
    <row r="70" spans="1:61" hidden="1" x14ac:dyDescent="0.3">
      <c r="A70" t="s">
        <v>286</v>
      </c>
      <c r="C70" t="s">
        <v>101</v>
      </c>
      <c r="D70" t="s">
        <v>102</v>
      </c>
      <c r="E70" t="s">
        <v>136</v>
      </c>
      <c r="F70" t="s">
        <v>149</v>
      </c>
      <c r="G70" t="s">
        <v>130</v>
      </c>
      <c r="H70" t="s">
        <v>20</v>
      </c>
      <c r="I70" t="s">
        <v>105</v>
      </c>
      <c r="J70" t="s">
        <v>366</v>
      </c>
      <c r="K70" t="s">
        <v>367</v>
      </c>
      <c r="L70" t="s">
        <v>316</v>
      </c>
      <c r="M70" t="s">
        <v>184</v>
      </c>
      <c r="N70" t="s">
        <v>155</v>
      </c>
      <c r="O70" s="1">
        <v>46157</v>
      </c>
      <c r="P70" s="1">
        <v>46645</v>
      </c>
      <c r="Q70" s="1">
        <v>47011</v>
      </c>
      <c r="R7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7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7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7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7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70">
        <f>Portefeuille_MNT_PPS_Access22[[#This Row],[Délais PC1 et PC3]]+Portefeuille_MNT_PPS_Access22[[#This Row],[Délais PC3 et PC5]]</f>
        <v>28</v>
      </c>
      <c r="X70">
        <v>1</v>
      </c>
      <c r="Y70">
        <v>1</v>
      </c>
      <c r="Z7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70" s="12" t="e">
        <f>_xlfn.XLOOKUP(Portefeuille_MNT_PPS_Access22[[#This Row],[Numéro projet]],Tableau5[Numéro projet],Tableau5[IND_Site_Prioritaire])</f>
        <v>#N/A</v>
      </c>
      <c r="AB70" s="2" t="e">
        <f>_xlfn.XLOOKUP(Portefeuille_MNT_PPS_Access22[[#This Row],[Numéro projet]],Tableau5[Numéro projet],Tableau5[Critère Etat Infrastructure])</f>
        <v>#N/A</v>
      </c>
      <c r="AC7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70">
        <v>1</v>
      </c>
      <c r="AE70">
        <v>1</v>
      </c>
      <c r="AF70" t="s">
        <v>156</v>
      </c>
      <c r="AG70" s="2"/>
      <c r="AH70" s="2"/>
      <c r="AL70"/>
      <c r="AQ70">
        <v>430</v>
      </c>
      <c r="AS70">
        <v>600</v>
      </c>
      <c r="AU70">
        <v>670</v>
      </c>
      <c r="AV70"/>
      <c r="AW70">
        <v>600</v>
      </c>
      <c r="AX70">
        <v>5000</v>
      </c>
      <c r="BA70">
        <v>500</v>
      </c>
      <c r="BB70">
        <v>4700</v>
      </c>
      <c r="BC70">
        <v>600</v>
      </c>
      <c r="BD70">
        <v>5000</v>
      </c>
      <c r="BE70">
        <v>600</v>
      </c>
      <c r="BF70">
        <v>5000</v>
      </c>
      <c r="BI70" s="14">
        <f>SUM(Portefeuille_MNT_PPS_Access22[[#This Row],[AC ANT]:[TR 2035]])</f>
        <v>23700</v>
      </c>
    </row>
    <row r="71" spans="1:61" hidden="1" x14ac:dyDescent="0.3">
      <c r="A71" t="s">
        <v>286</v>
      </c>
      <c r="C71" t="s">
        <v>118</v>
      </c>
      <c r="D71" t="s">
        <v>102</v>
      </c>
      <c r="E71" t="s">
        <v>136</v>
      </c>
      <c r="F71" t="s">
        <v>104</v>
      </c>
      <c r="G71" t="s">
        <v>16</v>
      </c>
      <c r="H71" t="s">
        <v>20</v>
      </c>
      <c r="I71" t="s">
        <v>131</v>
      </c>
      <c r="J71" t="s">
        <v>157</v>
      </c>
      <c r="K71" t="s">
        <v>158</v>
      </c>
      <c r="L71" t="s">
        <v>159</v>
      </c>
      <c r="M71" t="s">
        <v>173</v>
      </c>
      <c r="N71" t="s">
        <v>155</v>
      </c>
      <c r="O71" s="1">
        <v>46068</v>
      </c>
      <c r="P71" s="1"/>
      <c r="Q71" s="1">
        <v>46433</v>
      </c>
      <c r="R7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1.Très à risque</v>
      </c>
      <c r="S7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3.À risque</v>
      </c>
      <c r="U7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-1513</v>
      </c>
      <c r="V7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1525</v>
      </c>
      <c r="W71">
        <f>Portefeuille_MNT_PPS_Access22[[#This Row],[Délais PC1 et PC3]]+Portefeuille_MNT_PPS_Access22[[#This Row],[Délais PC3 et PC5]]</f>
        <v>12</v>
      </c>
      <c r="X71">
        <v>1</v>
      </c>
      <c r="Y71">
        <v>1</v>
      </c>
      <c r="Z7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71" s="12" t="e">
        <f>_xlfn.XLOOKUP(Portefeuille_MNT_PPS_Access22[[#This Row],[Numéro projet]],Tableau5[Numéro projet],Tableau5[IND_Site_Prioritaire])</f>
        <v>#N/A</v>
      </c>
      <c r="AB71" s="2" t="e">
        <f>_xlfn.XLOOKUP(Portefeuille_MNT_PPS_Access22[[#This Row],[Numéro projet]],Tableau5[Numéro projet],Tableau5[Critère Etat Infrastructure])</f>
        <v>#N/A</v>
      </c>
      <c r="AC7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E71">
        <v>1</v>
      </c>
      <c r="AF71" t="s">
        <v>156</v>
      </c>
      <c r="AG71" s="2"/>
      <c r="AH71" s="2"/>
      <c r="AL71"/>
      <c r="AM71">
        <v>75</v>
      </c>
      <c r="AO71">
        <v>75</v>
      </c>
      <c r="AQ71">
        <v>150</v>
      </c>
      <c r="AR71">
        <v>650</v>
      </c>
      <c r="AV71"/>
      <c r="BI71" s="14">
        <f>SUM(Portefeuille_MNT_PPS_Access22[[#This Row],[AC ANT]:[TR 2035]])</f>
        <v>950</v>
      </c>
    </row>
    <row r="72" spans="1:61" hidden="1" x14ac:dyDescent="0.3">
      <c r="A72" t="s">
        <v>286</v>
      </c>
      <c r="C72" t="s">
        <v>101</v>
      </c>
      <c r="D72" t="s">
        <v>102</v>
      </c>
      <c r="E72" t="s">
        <v>103</v>
      </c>
      <c r="F72" t="s">
        <v>140</v>
      </c>
      <c r="G72" t="s">
        <v>16</v>
      </c>
      <c r="H72" t="s">
        <v>20</v>
      </c>
      <c r="I72" t="s">
        <v>131</v>
      </c>
      <c r="J72" t="s">
        <v>246</v>
      </c>
      <c r="K72" t="s">
        <v>515</v>
      </c>
      <c r="L72" t="s">
        <v>180</v>
      </c>
      <c r="M72" t="s">
        <v>173</v>
      </c>
      <c r="N72" t="s">
        <v>110</v>
      </c>
      <c r="O72" s="1">
        <v>45679</v>
      </c>
      <c r="P72" s="1">
        <v>46006</v>
      </c>
      <c r="Q72" s="1">
        <v>46371</v>
      </c>
      <c r="R7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3.À risque</v>
      </c>
      <c r="S7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7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7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7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72">
        <f>Portefeuille_MNT_PPS_Access22[[#This Row],[Délais PC1 et PC3]]+Portefeuille_MNT_PPS_Access22[[#This Row],[Délais PC3 et PC5]]</f>
        <v>23</v>
      </c>
      <c r="X72">
        <v>1</v>
      </c>
      <c r="Y72">
        <v>1</v>
      </c>
      <c r="Z7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72" s="12" t="e">
        <f>_xlfn.XLOOKUP(Portefeuille_MNT_PPS_Access22[[#This Row],[Numéro projet]],Tableau5[Numéro projet],Tableau5[IND_Site_Prioritaire])</f>
        <v>#N/A</v>
      </c>
      <c r="AB72" s="2" t="e">
        <f>_xlfn.XLOOKUP(Portefeuille_MNT_PPS_Access22[[#This Row],[Numéro projet]],Tableau5[Numéro projet],Tableau5[Critère Etat Infrastructure])</f>
        <v>#N/A</v>
      </c>
      <c r="AC7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72">
        <v>1</v>
      </c>
      <c r="AE72">
        <v>1</v>
      </c>
      <c r="AF72" t="s">
        <v>112</v>
      </c>
      <c r="AG72" s="2"/>
      <c r="AH72" s="2"/>
      <c r="AL72"/>
      <c r="AM72">
        <v>130</v>
      </c>
      <c r="AO72">
        <v>60</v>
      </c>
      <c r="AQ72">
        <v>283</v>
      </c>
      <c r="AR72">
        <v>3902</v>
      </c>
      <c r="AV72"/>
      <c r="BI72" s="14">
        <f>SUM(Portefeuille_MNT_PPS_Access22[[#This Row],[AC ANT]:[TR 2035]])</f>
        <v>4375</v>
      </c>
    </row>
    <row r="73" spans="1:61" hidden="1" x14ac:dyDescent="0.3">
      <c r="A73" t="s">
        <v>286</v>
      </c>
      <c r="C73" t="s">
        <v>101</v>
      </c>
      <c r="D73" t="s">
        <v>102</v>
      </c>
      <c r="E73" t="s">
        <v>103</v>
      </c>
      <c r="F73" t="s">
        <v>149</v>
      </c>
      <c r="G73" t="s">
        <v>16</v>
      </c>
      <c r="H73" t="s">
        <v>20</v>
      </c>
      <c r="I73" t="s">
        <v>105</v>
      </c>
      <c r="J73" t="s">
        <v>235</v>
      </c>
      <c r="K73" t="s">
        <v>510</v>
      </c>
      <c r="L73" t="s">
        <v>205</v>
      </c>
      <c r="M73" t="s">
        <v>173</v>
      </c>
      <c r="N73" t="s">
        <v>110</v>
      </c>
      <c r="O73" s="1">
        <v>45706</v>
      </c>
      <c r="P73" s="1">
        <v>46055</v>
      </c>
      <c r="Q73" s="1">
        <v>46273</v>
      </c>
      <c r="R7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3.À risque</v>
      </c>
      <c r="S7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7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7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7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7</v>
      </c>
      <c r="W73">
        <f>Portefeuille_MNT_PPS_Access22[[#This Row],[Délais PC1 et PC3]]+Portefeuille_MNT_PPS_Access22[[#This Row],[Délais PC3 et PC5]]</f>
        <v>19</v>
      </c>
      <c r="X73">
        <v>1</v>
      </c>
      <c r="Y73">
        <v>1</v>
      </c>
      <c r="Z7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73" s="12" t="e">
        <f>_xlfn.XLOOKUP(Portefeuille_MNT_PPS_Access22[[#This Row],[Numéro projet]],Tableau5[Numéro projet],Tableau5[IND_Site_Prioritaire])</f>
        <v>#N/A</v>
      </c>
      <c r="AB73" s="2" t="e">
        <f>_xlfn.XLOOKUP(Portefeuille_MNT_PPS_Access22[[#This Row],[Numéro projet]],Tableau5[Numéro projet],Tableau5[Critère Etat Infrastructure])</f>
        <v>#N/A</v>
      </c>
      <c r="AC7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73">
        <v>1</v>
      </c>
      <c r="AE73">
        <v>1</v>
      </c>
      <c r="AF73" t="s">
        <v>112</v>
      </c>
      <c r="AG73" s="2"/>
      <c r="AH73" s="2"/>
      <c r="AL73"/>
      <c r="AM73">
        <v>90</v>
      </c>
      <c r="AO73">
        <v>200</v>
      </c>
      <c r="AQ73">
        <v>970</v>
      </c>
      <c r="AR73">
        <v>13608</v>
      </c>
      <c r="AV73"/>
      <c r="BI73" s="14">
        <f>SUM(Portefeuille_MNT_PPS_Access22[[#This Row],[AC ANT]:[TR 2035]])</f>
        <v>14868</v>
      </c>
    </row>
    <row r="74" spans="1:61" hidden="1" x14ac:dyDescent="0.3">
      <c r="A74" t="s">
        <v>286</v>
      </c>
      <c r="C74" t="s">
        <v>118</v>
      </c>
      <c r="D74" t="s">
        <v>102</v>
      </c>
      <c r="E74" t="s">
        <v>136</v>
      </c>
      <c r="F74" t="s">
        <v>104</v>
      </c>
      <c r="G74" t="s">
        <v>130</v>
      </c>
      <c r="H74" t="s">
        <v>20</v>
      </c>
      <c r="I74" t="s">
        <v>105</v>
      </c>
      <c r="J74" t="s">
        <v>364</v>
      </c>
      <c r="K74" t="s">
        <v>365</v>
      </c>
      <c r="L74" t="s">
        <v>205</v>
      </c>
      <c r="M74" t="s">
        <v>184</v>
      </c>
      <c r="N74" t="s">
        <v>291</v>
      </c>
      <c r="O74" s="1"/>
      <c r="P74" s="1"/>
      <c r="Q74" s="1"/>
      <c r="R7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7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7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7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74">
        <f>Portefeuille_MNT_PPS_Access22[[#This Row],[Délais PC1 et PC3]]+Portefeuille_MNT_PPS_Access22[[#This Row],[Délais PC3 et PC5]]</f>
        <v>0</v>
      </c>
      <c r="X74">
        <v>1</v>
      </c>
      <c r="Z7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74" s="12" t="e">
        <f>_xlfn.XLOOKUP(Portefeuille_MNT_PPS_Access22[[#This Row],[Numéro projet]],Tableau5[Numéro projet],Tableau5[IND_Site_Prioritaire])</f>
        <v>#N/A</v>
      </c>
      <c r="AB74" s="2" t="e">
        <f>_xlfn.XLOOKUP(Portefeuille_MNT_PPS_Access22[[#This Row],[Numéro projet]],Tableau5[Numéro projet],Tableau5[Critère Etat Infrastructure])</f>
        <v>#N/A</v>
      </c>
      <c r="AC7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74" t="s">
        <v>311</v>
      </c>
      <c r="AG74" s="2"/>
      <c r="AH74" s="2"/>
      <c r="AL74"/>
      <c r="AS74">
        <v>200</v>
      </c>
      <c r="AU74">
        <v>250</v>
      </c>
      <c r="AV74"/>
      <c r="AW74">
        <v>400</v>
      </c>
      <c r="AX74">
        <v>4500</v>
      </c>
      <c r="AY74">
        <v>400</v>
      </c>
      <c r="AZ74">
        <v>14000</v>
      </c>
      <c r="BI74" s="14">
        <f>SUM(Portefeuille_MNT_PPS_Access22[[#This Row],[AC ANT]:[TR 2035]])</f>
        <v>19750</v>
      </c>
    </row>
    <row r="75" spans="1:61" hidden="1" x14ac:dyDescent="0.3">
      <c r="A75" t="s">
        <v>286</v>
      </c>
      <c r="C75" t="s">
        <v>101</v>
      </c>
      <c r="D75" t="s">
        <v>102</v>
      </c>
      <c r="E75" t="s">
        <v>136</v>
      </c>
      <c r="F75" t="s">
        <v>149</v>
      </c>
      <c r="G75" t="s">
        <v>20</v>
      </c>
      <c r="H75" t="s">
        <v>20</v>
      </c>
      <c r="I75" t="s">
        <v>131</v>
      </c>
      <c r="J75" t="s">
        <v>381</v>
      </c>
      <c r="K75" t="s">
        <v>382</v>
      </c>
      <c r="L75" t="s">
        <v>194</v>
      </c>
      <c r="M75" t="s">
        <v>173</v>
      </c>
      <c r="N75" t="s">
        <v>291</v>
      </c>
      <c r="O75" s="1"/>
      <c r="P75" s="1"/>
      <c r="Q75" s="1"/>
      <c r="R7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7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7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7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75">
        <f>Portefeuille_MNT_PPS_Access22[[#This Row],[Délais PC1 et PC3]]+Portefeuille_MNT_PPS_Access22[[#This Row],[Délais PC3 et PC5]]</f>
        <v>0</v>
      </c>
      <c r="X75">
        <v>1</v>
      </c>
      <c r="Z7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75" s="12" t="e">
        <f>_xlfn.XLOOKUP(Portefeuille_MNT_PPS_Access22[[#This Row],[Numéro projet]],Tableau5[Numéro projet],Tableau5[IND_Site_Prioritaire])</f>
        <v>#N/A</v>
      </c>
      <c r="AB75" s="2" t="e">
        <f>_xlfn.XLOOKUP(Portefeuille_MNT_PPS_Access22[[#This Row],[Numéro projet]],Tableau5[Numéro projet],Tableau5[Critère Etat Infrastructure])</f>
        <v>#N/A</v>
      </c>
      <c r="AC7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75" t="s">
        <v>311</v>
      </c>
      <c r="AG75" s="2"/>
      <c r="AH75" s="2"/>
      <c r="AL75"/>
      <c r="AO75">
        <v>50</v>
      </c>
      <c r="AQ75">
        <v>50</v>
      </c>
      <c r="AR75">
        <v>250</v>
      </c>
      <c r="AV75"/>
      <c r="BI75" s="14">
        <f>SUM(Portefeuille_MNT_PPS_Access22[[#This Row],[AC ANT]:[TR 2035]])</f>
        <v>350</v>
      </c>
    </row>
    <row r="76" spans="1:61" hidden="1" x14ac:dyDescent="0.3">
      <c r="A76" t="s">
        <v>286</v>
      </c>
      <c r="C76" t="s">
        <v>101</v>
      </c>
      <c r="D76" t="s">
        <v>102</v>
      </c>
      <c r="E76" t="s">
        <v>136</v>
      </c>
      <c r="F76" t="s">
        <v>140</v>
      </c>
      <c r="G76" t="s">
        <v>16</v>
      </c>
      <c r="H76" t="s">
        <v>20</v>
      </c>
      <c r="I76" t="s">
        <v>131</v>
      </c>
      <c r="J76" t="s">
        <v>181</v>
      </c>
      <c r="K76" t="s">
        <v>296</v>
      </c>
      <c r="L76" t="s">
        <v>183</v>
      </c>
      <c r="M76" t="s">
        <v>173</v>
      </c>
      <c r="N76" t="s">
        <v>110</v>
      </c>
      <c r="O76" s="1">
        <v>45590</v>
      </c>
      <c r="P76" s="1"/>
      <c r="Q76" s="1">
        <v>46157</v>
      </c>
      <c r="R7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7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7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-1497</v>
      </c>
      <c r="V7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1516</v>
      </c>
      <c r="W76">
        <f>Portefeuille_MNT_PPS_Access22[[#This Row],[Délais PC1 et PC3]]+Portefeuille_MNT_PPS_Access22[[#This Row],[Délais PC3 et PC5]]</f>
        <v>19</v>
      </c>
      <c r="X76">
        <v>1</v>
      </c>
      <c r="Y76">
        <v>1</v>
      </c>
      <c r="Z7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76" s="12" t="e">
        <f>_xlfn.XLOOKUP(Portefeuille_MNT_PPS_Access22[[#This Row],[Numéro projet]],Tableau5[Numéro projet],Tableau5[IND_Site_Prioritaire])</f>
        <v>#N/A</v>
      </c>
      <c r="AB76" s="2" t="e">
        <f>_xlfn.XLOOKUP(Portefeuille_MNT_PPS_Access22[[#This Row],[Numéro projet]],Tableau5[Numéro projet],Tableau5[Critère Etat Infrastructure])</f>
        <v>#N/A</v>
      </c>
      <c r="AC7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76">
        <v>1</v>
      </c>
      <c r="AE76">
        <v>5</v>
      </c>
      <c r="AF76" t="s">
        <v>112</v>
      </c>
      <c r="AG76" s="2"/>
      <c r="AH76" s="2"/>
      <c r="AL76"/>
      <c r="AM76">
        <v>466</v>
      </c>
      <c r="AO76">
        <v>475</v>
      </c>
      <c r="AQ76">
        <v>468</v>
      </c>
      <c r="AR76">
        <v>1461</v>
      </c>
      <c r="AV76"/>
      <c r="BI76" s="14">
        <f>SUM(Portefeuille_MNT_PPS_Access22[[#This Row],[AC ANT]:[TR 2035]])</f>
        <v>2870</v>
      </c>
    </row>
    <row r="77" spans="1:61" hidden="1" x14ac:dyDescent="0.3">
      <c r="A77" t="s">
        <v>286</v>
      </c>
      <c r="C77" t="s">
        <v>101</v>
      </c>
      <c r="D77" t="s">
        <v>102</v>
      </c>
      <c r="E77" t="s">
        <v>136</v>
      </c>
      <c r="F77" t="s">
        <v>104</v>
      </c>
      <c r="G77" t="s">
        <v>20</v>
      </c>
      <c r="H77" t="s">
        <v>20</v>
      </c>
      <c r="I77" t="s">
        <v>105</v>
      </c>
      <c r="J77" t="s">
        <v>368</v>
      </c>
      <c r="K77" t="s">
        <v>369</v>
      </c>
      <c r="L77" t="s">
        <v>217</v>
      </c>
      <c r="M77" t="s">
        <v>370</v>
      </c>
      <c r="N77" t="s">
        <v>291</v>
      </c>
      <c r="O77" s="1"/>
      <c r="P77" s="1"/>
      <c r="Q77" s="1"/>
      <c r="R7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7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7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7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77">
        <f>Portefeuille_MNT_PPS_Access22[[#This Row],[Délais PC1 et PC3]]+Portefeuille_MNT_PPS_Access22[[#This Row],[Délais PC3 et PC5]]</f>
        <v>0</v>
      </c>
      <c r="X77">
        <v>1</v>
      </c>
      <c r="Z7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77" s="12" t="e">
        <f>_xlfn.XLOOKUP(Portefeuille_MNT_PPS_Access22[[#This Row],[Numéro projet]],Tableau5[Numéro projet],Tableau5[IND_Site_Prioritaire])</f>
        <v>#N/A</v>
      </c>
      <c r="AB77" s="2" t="e">
        <f>_xlfn.XLOOKUP(Portefeuille_MNT_PPS_Access22[[#This Row],[Numéro projet]],Tableau5[Numéro projet],Tableau5[Critère Etat Infrastructure])</f>
        <v>#N/A</v>
      </c>
      <c r="AC7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77" t="s">
        <v>311</v>
      </c>
      <c r="AG77" s="2"/>
      <c r="AH77" s="2"/>
      <c r="AL77"/>
      <c r="AO77">
        <v>250</v>
      </c>
      <c r="AQ77">
        <v>250</v>
      </c>
      <c r="AU77">
        <v>100</v>
      </c>
      <c r="AV77"/>
      <c r="AW77">
        <v>100</v>
      </c>
      <c r="AY77">
        <v>200</v>
      </c>
      <c r="AZ77">
        <v>4700</v>
      </c>
      <c r="BA77">
        <v>500</v>
      </c>
      <c r="BB77">
        <v>3500</v>
      </c>
      <c r="BC77">
        <v>500</v>
      </c>
      <c r="BD77">
        <v>5700</v>
      </c>
      <c r="BE77">
        <v>500</v>
      </c>
      <c r="BF77">
        <v>5000</v>
      </c>
      <c r="BI77" s="14">
        <f>SUM(Portefeuille_MNT_PPS_Access22[[#This Row],[AC ANT]:[TR 2035]])</f>
        <v>21300</v>
      </c>
    </row>
    <row r="78" spans="1:61" hidden="1" x14ac:dyDescent="0.3">
      <c r="A78" t="s">
        <v>286</v>
      </c>
      <c r="C78" t="s">
        <v>101</v>
      </c>
      <c r="D78" t="s">
        <v>102</v>
      </c>
      <c r="E78" t="s">
        <v>136</v>
      </c>
      <c r="G78" t="s">
        <v>20</v>
      </c>
      <c r="H78" t="s">
        <v>20</v>
      </c>
      <c r="I78" t="s">
        <v>105</v>
      </c>
      <c r="J78" t="s">
        <v>454</v>
      </c>
      <c r="K78" t="s">
        <v>455</v>
      </c>
      <c r="L78" t="s">
        <v>143</v>
      </c>
      <c r="M78" t="s">
        <v>370</v>
      </c>
      <c r="N78" t="s">
        <v>291</v>
      </c>
      <c r="O78" s="1"/>
      <c r="P78" s="1"/>
      <c r="Q78" s="1"/>
      <c r="R7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7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7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7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7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78">
        <f>Portefeuille_MNT_PPS_Access22[[#This Row],[Délais PC1 et PC3]]+Portefeuille_MNT_PPS_Access22[[#This Row],[Délais PC3 et PC5]]</f>
        <v>0</v>
      </c>
      <c r="X78">
        <v>1</v>
      </c>
      <c r="Z7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78" s="12" t="e">
        <f>_xlfn.XLOOKUP(Portefeuille_MNT_PPS_Access22[[#This Row],[Numéro projet]],Tableau5[Numéro projet],Tableau5[IND_Site_Prioritaire])</f>
        <v>#N/A</v>
      </c>
      <c r="AB78" s="2" t="e">
        <f>_xlfn.XLOOKUP(Portefeuille_MNT_PPS_Access22[[#This Row],[Numéro projet]],Tableau5[Numéro projet],Tableau5[Critère Etat Infrastructure])</f>
        <v>#N/A</v>
      </c>
      <c r="AC7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78" t="s">
        <v>311</v>
      </c>
      <c r="AG78" s="2"/>
      <c r="AH78" s="2"/>
      <c r="AL78"/>
      <c r="AU78">
        <v>150</v>
      </c>
      <c r="AV78"/>
      <c r="AW78">
        <v>150</v>
      </c>
      <c r="AY78">
        <v>500</v>
      </c>
      <c r="AZ78">
        <v>6800</v>
      </c>
      <c r="BI78" s="14">
        <f>SUM(Portefeuille_MNT_PPS_Access22[[#This Row],[AC ANT]:[TR 2035]])</f>
        <v>7600</v>
      </c>
    </row>
    <row r="79" spans="1:61" hidden="1" x14ac:dyDescent="0.3">
      <c r="A79" t="s">
        <v>286</v>
      </c>
      <c r="C79" t="s">
        <v>101</v>
      </c>
      <c r="D79" t="s">
        <v>102</v>
      </c>
      <c r="E79" t="s">
        <v>103</v>
      </c>
      <c r="F79" t="s">
        <v>129</v>
      </c>
      <c r="G79" t="s">
        <v>20</v>
      </c>
      <c r="H79" t="s">
        <v>20</v>
      </c>
      <c r="I79" t="s">
        <v>105</v>
      </c>
      <c r="J79" t="s">
        <v>400</v>
      </c>
      <c r="K79" t="s">
        <v>401</v>
      </c>
      <c r="L79" t="s">
        <v>402</v>
      </c>
      <c r="M79" t="s">
        <v>197</v>
      </c>
      <c r="N79" t="s">
        <v>155</v>
      </c>
      <c r="O79" s="1">
        <v>45981</v>
      </c>
      <c r="P79" s="1">
        <v>46461</v>
      </c>
      <c r="Q79" s="1">
        <v>46629</v>
      </c>
      <c r="R7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7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3.À risque</v>
      </c>
      <c r="T7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7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7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5</v>
      </c>
      <c r="W79">
        <f>Portefeuille_MNT_PPS_Access22[[#This Row],[Délais PC1 et PC3]]+Portefeuille_MNT_PPS_Access22[[#This Row],[Délais PC3 et PC5]]</f>
        <v>21</v>
      </c>
      <c r="X79">
        <v>1</v>
      </c>
      <c r="Y79">
        <v>1</v>
      </c>
      <c r="Z7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79" s="12" t="e">
        <f>_xlfn.XLOOKUP(Portefeuille_MNT_PPS_Access22[[#This Row],[Numéro projet]],Tableau5[Numéro projet],Tableau5[IND_Site_Prioritaire])</f>
        <v>#N/A</v>
      </c>
      <c r="AB79" s="2" t="e">
        <f>_xlfn.XLOOKUP(Portefeuille_MNT_PPS_Access22[[#This Row],[Numéro projet]],Tableau5[Numéro projet],Tableau5[Critère Etat Infrastructure])</f>
        <v>#N/A</v>
      </c>
      <c r="AC7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79">
        <v>1</v>
      </c>
      <c r="AE79">
        <v>1</v>
      </c>
      <c r="AF79" t="s">
        <v>156</v>
      </c>
      <c r="AG79" s="2"/>
      <c r="AH79" s="2"/>
      <c r="AL79"/>
      <c r="AO79">
        <v>200</v>
      </c>
      <c r="AQ79">
        <v>200</v>
      </c>
      <c r="AS79">
        <v>800</v>
      </c>
      <c r="AT79">
        <v>16000</v>
      </c>
      <c r="AV79"/>
      <c r="BI79" s="14">
        <f>SUM(Portefeuille_MNT_PPS_Access22[[#This Row],[AC ANT]:[TR 2035]])</f>
        <v>17200</v>
      </c>
    </row>
    <row r="80" spans="1:61" hidden="1" x14ac:dyDescent="0.3">
      <c r="A80" t="s">
        <v>286</v>
      </c>
      <c r="C80" t="s">
        <v>126</v>
      </c>
      <c r="D80" t="s">
        <v>127</v>
      </c>
      <c r="E80" t="s">
        <v>103</v>
      </c>
      <c r="F80" t="s">
        <v>104</v>
      </c>
      <c r="G80" t="s">
        <v>16</v>
      </c>
      <c r="H80" t="s">
        <v>130</v>
      </c>
      <c r="I80" t="s">
        <v>131</v>
      </c>
      <c r="J80" t="s">
        <v>220</v>
      </c>
      <c r="K80" t="s">
        <v>221</v>
      </c>
      <c r="L80" t="s">
        <v>159</v>
      </c>
      <c r="M80" s="2">
        <v>2028</v>
      </c>
      <c r="N80" t="s">
        <v>155</v>
      </c>
      <c r="O80" s="1">
        <v>45945</v>
      </c>
      <c r="P80" s="1">
        <v>46280</v>
      </c>
      <c r="Q80" s="1">
        <v>46553</v>
      </c>
      <c r="R8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8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80">
        <f>Portefeuille_MNT_PPS_Access22[[#This Row],[Délais PC1 et PC3]]+Portefeuille_MNT_PPS_Access22[[#This Row],[Délais PC3 et PC5]]</f>
        <v>20</v>
      </c>
      <c r="X80">
        <v>1</v>
      </c>
      <c r="Y80">
        <v>1</v>
      </c>
      <c r="Z8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80" s="12" t="e">
        <f>_xlfn.XLOOKUP(Portefeuille_MNT_PPS_Access22[[#This Row],[Numéro projet]],Tableau5[Numéro projet],Tableau5[IND_Site_Prioritaire])</f>
        <v>#N/A</v>
      </c>
      <c r="AB80" s="2" t="e">
        <f>_xlfn.XLOOKUP(Portefeuille_MNT_PPS_Access22[[#This Row],[Numéro projet]],Tableau5[Numéro projet],Tableau5[Critère Etat Infrastructure])</f>
        <v>#N/A</v>
      </c>
      <c r="AC8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0">
        <v>1</v>
      </c>
      <c r="AE80">
        <v>1</v>
      </c>
      <c r="AF80" t="s">
        <v>156</v>
      </c>
      <c r="AG80" s="2"/>
      <c r="AH80" s="2"/>
      <c r="AL80"/>
      <c r="AO80">
        <v>100</v>
      </c>
      <c r="AQ80">
        <v>125</v>
      </c>
      <c r="AS80">
        <v>130</v>
      </c>
      <c r="AT80">
        <v>13660</v>
      </c>
      <c r="AU80">
        <v>125</v>
      </c>
      <c r="AV80">
        <v>16340</v>
      </c>
      <c r="BI80" s="14">
        <f>SUM(Portefeuille_MNT_PPS_Access22[[#This Row],[AC ANT]:[TR 2035]])</f>
        <v>30480</v>
      </c>
    </row>
    <row r="81" spans="1:61" hidden="1" x14ac:dyDescent="0.3">
      <c r="A81" t="s">
        <v>286</v>
      </c>
      <c r="C81" t="s">
        <v>118</v>
      </c>
      <c r="D81" t="s">
        <v>102</v>
      </c>
      <c r="E81" t="s">
        <v>103</v>
      </c>
      <c r="F81" t="s">
        <v>113</v>
      </c>
      <c r="G81" t="s">
        <v>20</v>
      </c>
      <c r="H81" t="s">
        <v>20</v>
      </c>
      <c r="I81" t="s">
        <v>131</v>
      </c>
      <c r="J81" t="s">
        <v>377</v>
      </c>
      <c r="K81" t="s">
        <v>378</v>
      </c>
      <c r="L81" t="s">
        <v>191</v>
      </c>
      <c r="M81" t="s">
        <v>197</v>
      </c>
      <c r="N81" t="s">
        <v>291</v>
      </c>
      <c r="O81" s="1"/>
      <c r="P81" s="1"/>
      <c r="Q81" s="1"/>
      <c r="R8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8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8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8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8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81">
        <f>Portefeuille_MNT_PPS_Access22[[#This Row],[Délais PC1 et PC3]]+Portefeuille_MNT_PPS_Access22[[#This Row],[Délais PC3 et PC5]]</f>
        <v>0</v>
      </c>
      <c r="X81">
        <v>1</v>
      </c>
      <c r="Z8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81" s="12" t="e">
        <f>_xlfn.XLOOKUP(Portefeuille_MNT_PPS_Access22[[#This Row],[Numéro projet]],Tableau5[Numéro projet],Tableau5[IND_Site_Prioritaire])</f>
        <v>#N/A</v>
      </c>
      <c r="AB81" s="2" t="e">
        <f>_xlfn.XLOOKUP(Portefeuille_MNT_PPS_Access22[[#This Row],[Numéro projet]],Tableau5[Numéro projet],Tableau5[Critère Etat Infrastructure])</f>
        <v>#N/A</v>
      </c>
      <c r="AC8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81" t="s">
        <v>311</v>
      </c>
      <c r="AG81" s="2"/>
      <c r="AH81" s="2"/>
      <c r="AL81"/>
      <c r="AO81">
        <v>100</v>
      </c>
      <c r="AQ81">
        <v>200</v>
      </c>
      <c r="AS81">
        <v>495</v>
      </c>
      <c r="AT81">
        <v>8000</v>
      </c>
      <c r="AV81"/>
      <c r="BI81" s="14">
        <f>SUM(Portefeuille_MNT_PPS_Access22[[#This Row],[AC ANT]:[TR 2035]])</f>
        <v>8795</v>
      </c>
    </row>
    <row r="82" spans="1:61" hidden="1" x14ac:dyDescent="0.3">
      <c r="A82" t="s">
        <v>286</v>
      </c>
      <c r="C82" t="s">
        <v>126</v>
      </c>
      <c r="D82" t="s">
        <v>127</v>
      </c>
      <c r="E82" t="s">
        <v>103</v>
      </c>
      <c r="F82" t="s">
        <v>149</v>
      </c>
      <c r="G82" t="s">
        <v>16</v>
      </c>
      <c r="H82" t="s">
        <v>20</v>
      </c>
      <c r="I82" t="s">
        <v>131</v>
      </c>
      <c r="J82" t="s">
        <v>233</v>
      </c>
      <c r="K82" t="s">
        <v>542</v>
      </c>
      <c r="L82" t="s">
        <v>152</v>
      </c>
      <c r="M82" s="2">
        <v>2028</v>
      </c>
      <c r="N82" t="s">
        <v>155</v>
      </c>
      <c r="O82" s="1">
        <v>45976</v>
      </c>
      <c r="P82" s="1">
        <v>46310</v>
      </c>
      <c r="Q82" s="1">
        <v>46645</v>
      </c>
      <c r="R8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8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11</v>
      </c>
      <c r="W82">
        <f>Portefeuille_MNT_PPS_Access22[[#This Row],[Délais PC1 et PC3]]+Portefeuille_MNT_PPS_Access22[[#This Row],[Délais PC3 et PC5]]</f>
        <v>22</v>
      </c>
      <c r="X82">
        <v>1</v>
      </c>
      <c r="Y82">
        <v>1</v>
      </c>
      <c r="Z8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82" s="12" t="e">
        <f>_xlfn.XLOOKUP(Portefeuille_MNT_PPS_Access22[[#This Row],[Numéro projet]],Tableau5[Numéro projet],Tableau5[IND_Site_Prioritaire])</f>
        <v>#N/A</v>
      </c>
      <c r="AB82" s="2" t="e">
        <f>_xlfn.XLOOKUP(Portefeuille_MNT_PPS_Access22[[#This Row],[Numéro projet]],Tableau5[Numéro projet],Tableau5[Critère Etat Infrastructure])</f>
        <v>#N/A</v>
      </c>
      <c r="AC8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2">
        <v>1</v>
      </c>
      <c r="AE82">
        <v>1</v>
      </c>
      <c r="AF82" t="s">
        <v>156</v>
      </c>
      <c r="AG82" s="2"/>
      <c r="AH82" s="2"/>
      <c r="AL82"/>
      <c r="AO82">
        <v>100</v>
      </c>
      <c r="AQ82">
        <v>267</v>
      </c>
      <c r="AS82">
        <v>588</v>
      </c>
      <c r="AT82">
        <v>7500</v>
      </c>
      <c r="AV82"/>
      <c r="BI82" s="14">
        <f>SUM(Portefeuille_MNT_PPS_Access22[[#This Row],[AC ANT]:[TR 2035]])</f>
        <v>8455</v>
      </c>
    </row>
    <row r="83" spans="1:61" hidden="1" x14ac:dyDescent="0.3">
      <c r="A83" t="s">
        <v>286</v>
      </c>
      <c r="C83" t="s">
        <v>101</v>
      </c>
      <c r="D83" t="s">
        <v>102</v>
      </c>
      <c r="E83" t="s">
        <v>136</v>
      </c>
      <c r="F83" t="s">
        <v>144</v>
      </c>
      <c r="G83" t="s">
        <v>16</v>
      </c>
      <c r="H83" t="s">
        <v>20</v>
      </c>
      <c r="I83" t="s">
        <v>131</v>
      </c>
      <c r="J83" t="s">
        <v>195</v>
      </c>
      <c r="K83" t="s">
        <v>196</v>
      </c>
      <c r="L83" t="s">
        <v>180</v>
      </c>
      <c r="M83" t="s">
        <v>197</v>
      </c>
      <c r="N83" t="s">
        <v>110</v>
      </c>
      <c r="O83" s="1">
        <v>44889</v>
      </c>
      <c r="P83" s="1">
        <v>46068</v>
      </c>
      <c r="Q83" s="1">
        <v>46583</v>
      </c>
      <c r="R8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39</v>
      </c>
      <c r="V8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17</v>
      </c>
      <c r="W83">
        <f>Portefeuille_MNT_PPS_Access22[[#This Row],[Délais PC1 et PC3]]+Portefeuille_MNT_PPS_Access22[[#This Row],[Délais PC3 et PC5]]</f>
        <v>56</v>
      </c>
      <c r="X83">
        <v>1</v>
      </c>
      <c r="Y83">
        <v>1</v>
      </c>
      <c r="Z8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83" s="12" t="e">
        <f>_xlfn.XLOOKUP(Portefeuille_MNT_PPS_Access22[[#This Row],[Numéro projet]],Tableau5[Numéro projet],Tableau5[IND_Site_Prioritaire])</f>
        <v>#N/A</v>
      </c>
      <c r="AB83" s="2" t="e">
        <f>_xlfn.XLOOKUP(Portefeuille_MNT_PPS_Access22[[#This Row],[Numéro projet]],Tableau5[Numéro projet],Tableau5[Critère Etat Infrastructure])</f>
        <v>#N/A</v>
      </c>
      <c r="AC8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3">
        <v>1</v>
      </c>
      <c r="AE83">
        <v>5</v>
      </c>
      <c r="AF83" t="s">
        <v>112</v>
      </c>
      <c r="AG83" s="2"/>
      <c r="AH83" s="2"/>
      <c r="AI83">
        <v>337</v>
      </c>
      <c r="AK83">
        <v>76</v>
      </c>
      <c r="AL83"/>
      <c r="AM83">
        <v>1657.9999999999998</v>
      </c>
      <c r="AO83">
        <v>1529</v>
      </c>
      <c r="AQ83">
        <v>1529</v>
      </c>
      <c r="AS83">
        <v>1325</v>
      </c>
      <c r="AT83">
        <v>7500</v>
      </c>
      <c r="AU83">
        <v>1200</v>
      </c>
      <c r="AV83">
        <v>9500</v>
      </c>
      <c r="AW83">
        <v>439</v>
      </c>
      <c r="AX83">
        <v>18000</v>
      </c>
      <c r="BI83" s="14">
        <f>SUM(Portefeuille_MNT_PPS_Access22[[#This Row],[AC ANT]:[TR 2035]])</f>
        <v>43093</v>
      </c>
    </row>
    <row r="84" spans="1:61" hidden="1" x14ac:dyDescent="0.3">
      <c r="A84" t="s">
        <v>286</v>
      </c>
      <c r="C84" t="s">
        <v>118</v>
      </c>
      <c r="D84" t="s">
        <v>102</v>
      </c>
      <c r="E84" t="s">
        <v>103</v>
      </c>
      <c r="F84" t="s">
        <v>206</v>
      </c>
      <c r="G84" t="s">
        <v>16</v>
      </c>
      <c r="H84" t="s">
        <v>20</v>
      </c>
      <c r="I84" t="s">
        <v>131</v>
      </c>
      <c r="J84" t="s">
        <v>210</v>
      </c>
      <c r="K84" t="s">
        <v>211</v>
      </c>
      <c r="L84" t="s">
        <v>209</v>
      </c>
      <c r="M84" t="s">
        <v>197</v>
      </c>
      <c r="N84" t="s">
        <v>155</v>
      </c>
      <c r="O84" s="1">
        <v>45976</v>
      </c>
      <c r="P84" s="1">
        <v>46341</v>
      </c>
      <c r="Q84" s="1">
        <v>46645</v>
      </c>
      <c r="R8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8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10</v>
      </c>
      <c r="W84">
        <f>Portefeuille_MNT_PPS_Access22[[#This Row],[Délais PC1 et PC3]]+Portefeuille_MNT_PPS_Access22[[#This Row],[Délais PC3 et PC5]]</f>
        <v>22</v>
      </c>
      <c r="X84">
        <v>1</v>
      </c>
      <c r="Y84">
        <v>1</v>
      </c>
      <c r="Z8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84" s="12" t="e">
        <f>_xlfn.XLOOKUP(Portefeuille_MNT_PPS_Access22[[#This Row],[Numéro projet]],Tableau5[Numéro projet],Tableau5[IND_Site_Prioritaire])</f>
        <v>#N/A</v>
      </c>
      <c r="AB84" s="2" t="e">
        <f>_xlfn.XLOOKUP(Portefeuille_MNT_PPS_Access22[[#This Row],[Numéro projet]],Tableau5[Numéro projet],Tableau5[Critère Etat Infrastructure])</f>
        <v>#N/A</v>
      </c>
      <c r="AC8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4">
        <v>1</v>
      </c>
      <c r="AE84">
        <v>1</v>
      </c>
      <c r="AF84" t="s">
        <v>156</v>
      </c>
      <c r="AG84" s="2"/>
      <c r="AH84" s="2"/>
      <c r="AI84">
        <v>8</v>
      </c>
      <c r="AL84"/>
      <c r="AM84">
        <v>100</v>
      </c>
      <c r="AO84">
        <v>100</v>
      </c>
      <c r="AQ84">
        <v>100</v>
      </c>
      <c r="AS84">
        <v>250</v>
      </c>
      <c r="AT84">
        <v>7500</v>
      </c>
      <c r="AV84"/>
      <c r="BI84" s="14">
        <f>SUM(Portefeuille_MNT_PPS_Access22[[#This Row],[AC ANT]:[TR 2035]])</f>
        <v>8058</v>
      </c>
    </row>
    <row r="85" spans="1:61" hidden="1" x14ac:dyDescent="0.3">
      <c r="A85" t="s">
        <v>286</v>
      </c>
      <c r="C85" t="s">
        <v>101</v>
      </c>
      <c r="D85" t="s">
        <v>102</v>
      </c>
      <c r="E85" t="s">
        <v>136</v>
      </c>
      <c r="G85" t="s">
        <v>20</v>
      </c>
      <c r="H85" t="s">
        <v>20</v>
      </c>
      <c r="I85" t="s">
        <v>105</v>
      </c>
      <c r="J85" t="s">
        <v>462</v>
      </c>
      <c r="K85" t="s">
        <v>463</v>
      </c>
      <c r="L85" t="s">
        <v>230</v>
      </c>
      <c r="M85">
        <v>2033</v>
      </c>
      <c r="N85" t="s">
        <v>291</v>
      </c>
      <c r="O85" s="1"/>
      <c r="P85" s="1"/>
      <c r="Q85" s="1"/>
      <c r="R8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8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8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8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8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85">
        <f>Portefeuille_MNT_PPS_Access22[[#This Row],[Délais PC1 et PC3]]+Portefeuille_MNT_PPS_Access22[[#This Row],[Délais PC3 et PC5]]</f>
        <v>0</v>
      </c>
      <c r="X85">
        <v>1</v>
      </c>
      <c r="Z8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85" s="12" t="e">
        <f>_xlfn.XLOOKUP(Portefeuille_MNT_PPS_Access22[[#This Row],[Numéro projet]],Tableau5[Numéro projet],Tableau5[IND_Site_Prioritaire])</f>
        <v>#N/A</v>
      </c>
      <c r="AB85" s="2" t="e">
        <f>_xlfn.XLOOKUP(Portefeuille_MNT_PPS_Access22[[#This Row],[Numéro projet]],Tableau5[Numéro projet],Tableau5[Critère Etat Infrastructure])</f>
        <v>#N/A</v>
      </c>
      <c r="AC8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85" t="s">
        <v>311</v>
      </c>
      <c r="AG85" s="2"/>
      <c r="AH85" s="2"/>
      <c r="AL85"/>
      <c r="AV85"/>
      <c r="AY85">
        <v>150</v>
      </c>
      <c r="BA85">
        <v>150</v>
      </c>
      <c r="BC85">
        <v>500</v>
      </c>
      <c r="BD85">
        <v>6800</v>
      </c>
      <c r="BI85" s="14">
        <f>SUM(Portefeuille_MNT_PPS_Access22[[#This Row],[AC ANT]:[TR 2035]])</f>
        <v>7600</v>
      </c>
    </row>
    <row r="86" spans="1:61" hidden="1" x14ac:dyDescent="0.3">
      <c r="A86" t="s">
        <v>286</v>
      </c>
      <c r="C86" t="s">
        <v>118</v>
      </c>
      <c r="D86" t="s">
        <v>102</v>
      </c>
      <c r="E86" t="s">
        <v>242</v>
      </c>
      <c r="F86" t="s">
        <v>113</v>
      </c>
      <c r="G86" t="s">
        <v>16</v>
      </c>
      <c r="H86" t="s">
        <v>20</v>
      </c>
      <c r="I86" t="s">
        <v>131</v>
      </c>
      <c r="J86" t="s">
        <v>243</v>
      </c>
      <c r="K86" t="s">
        <v>244</v>
      </c>
      <c r="L86" t="s">
        <v>245</v>
      </c>
      <c r="M86" s="2">
        <v>2028</v>
      </c>
      <c r="N86" t="s">
        <v>155</v>
      </c>
      <c r="O86" s="1">
        <v>45915</v>
      </c>
      <c r="P86" s="1">
        <v>46280</v>
      </c>
      <c r="Q86" s="1">
        <v>46433</v>
      </c>
      <c r="R8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8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5</v>
      </c>
      <c r="W86">
        <f>Portefeuille_MNT_PPS_Access22[[#This Row],[Délais PC1 et PC3]]+Portefeuille_MNT_PPS_Access22[[#This Row],[Délais PC3 et PC5]]</f>
        <v>17</v>
      </c>
      <c r="X86">
        <v>1</v>
      </c>
      <c r="Y86">
        <v>1</v>
      </c>
      <c r="Z8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86" s="12" t="e">
        <f>_xlfn.XLOOKUP(Portefeuille_MNT_PPS_Access22[[#This Row],[Numéro projet]],Tableau5[Numéro projet],Tableau5[IND_Site_Prioritaire])</f>
        <v>#N/A</v>
      </c>
      <c r="AB86" s="2" t="e">
        <f>_xlfn.XLOOKUP(Portefeuille_MNT_PPS_Access22[[#This Row],[Numéro projet]],Tableau5[Numéro projet],Tableau5[Critère Etat Infrastructure])</f>
        <v>#N/A</v>
      </c>
      <c r="AC8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6">
        <v>1</v>
      </c>
      <c r="AE86">
        <v>1</v>
      </c>
      <c r="AF86" t="s">
        <v>156</v>
      </c>
      <c r="AG86" s="2"/>
      <c r="AH86" s="2"/>
      <c r="AL86"/>
      <c r="AO86">
        <v>50</v>
      </c>
      <c r="AQ86">
        <v>150</v>
      </c>
      <c r="AS86">
        <v>150</v>
      </c>
      <c r="AT86">
        <v>2000</v>
      </c>
      <c r="AV86"/>
      <c r="BI86" s="14">
        <f>SUM(Portefeuille_MNT_PPS_Access22[[#This Row],[AC ANT]:[TR 2035]])</f>
        <v>2350</v>
      </c>
    </row>
    <row r="87" spans="1:61" hidden="1" x14ac:dyDescent="0.3">
      <c r="A87" t="s">
        <v>286</v>
      </c>
      <c r="C87" t="s">
        <v>118</v>
      </c>
      <c r="D87" t="s">
        <v>102</v>
      </c>
      <c r="E87" t="s">
        <v>242</v>
      </c>
      <c r="F87" t="s">
        <v>129</v>
      </c>
      <c r="G87" t="s">
        <v>16</v>
      </c>
      <c r="H87" t="s">
        <v>20</v>
      </c>
      <c r="I87" t="s">
        <v>131</v>
      </c>
      <c r="J87" t="s">
        <v>385</v>
      </c>
      <c r="K87" t="s">
        <v>386</v>
      </c>
      <c r="L87" t="s">
        <v>134</v>
      </c>
      <c r="M87" t="s">
        <v>197</v>
      </c>
      <c r="N87" t="s">
        <v>155</v>
      </c>
      <c r="O87" s="1">
        <v>45897</v>
      </c>
      <c r="P87" s="1">
        <v>46235</v>
      </c>
      <c r="Q87" s="1">
        <v>46600</v>
      </c>
      <c r="R8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8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8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8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87">
        <f>Portefeuille_MNT_PPS_Access22[[#This Row],[Délais PC1 et PC3]]+Portefeuille_MNT_PPS_Access22[[#This Row],[Délais PC3 et PC5]]</f>
        <v>24</v>
      </c>
      <c r="X87">
        <v>1</v>
      </c>
      <c r="Y87">
        <v>1</v>
      </c>
      <c r="Z8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87" s="12" t="e">
        <f>_xlfn.XLOOKUP(Portefeuille_MNT_PPS_Access22[[#This Row],[Numéro projet]],Tableau5[Numéro projet],Tableau5[IND_Site_Prioritaire])</f>
        <v>#N/A</v>
      </c>
      <c r="AB87" s="2" t="e">
        <f>_xlfn.XLOOKUP(Portefeuille_MNT_PPS_Access22[[#This Row],[Numéro projet]],Tableau5[Numéro projet],Tableau5[Critère Etat Infrastructure])</f>
        <v>#N/A</v>
      </c>
      <c r="AC8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87">
        <v>1</v>
      </c>
      <c r="AE87">
        <v>1</v>
      </c>
      <c r="AF87" t="s">
        <v>156</v>
      </c>
      <c r="AG87" s="2"/>
      <c r="AH87" s="2"/>
      <c r="AL87"/>
      <c r="AM87">
        <v>20</v>
      </c>
      <c r="AO87">
        <v>50</v>
      </c>
      <c r="AQ87">
        <v>50</v>
      </c>
      <c r="AS87">
        <v>200</v>
      </c>
      <c r="AT87">
        <v>2000</v>
      </c>
      <c r="AV87"/>
      <c r="BI87" s="14">
        <f>SUM(Portefeuille_MNT_PPS_Access22[[#This Row],[AC ANT]:[TR 2035]])</f>
        <v>2320</v>
      </c>
    </row>
    <row r="88" spans="1:61" hidden="1" x14ac:dyDescent="0.3">
      <c r="A88" t="s">
        <v>286</v>
      </c>
      <c r="C88" t="s">
        <v>118</v>
      </c>
      <c r="D88" t="s">
        <v>102</v>
      </c>
      <c r="E88" t="s">
        <v>177</v>
      </c>
      <c r="F88" t="s">
        <v>113</v>
      </c>
      <c r="G88" t="s">
        <v>20</v>
      </c>
      <c r="H88" t="s">
        <v>20</v>
      </c>
      <c r="I88" t="s">
        <v>131</v>
      </c>
      <c r="J88" t="s">
        <v>511</v>
      </c>
      <c r="K88" t="s">
        <v>512</v>
      </c>
      <c r="L88" t="s">
        <v>187</v>
      </c>
      <c r="M88" t="s">
        <v>197</v>
      </c>
      <c r="N88" t="s">
        <v>291</v>
      </c>
      <c r="O88" s="1"/>
      <c r="P88" s="1"/>
      <c r="Q88" s="1"/>
      <c r="R8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8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8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8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8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88">
        <f>Portefeuille_MNT_PPS_Access22[[#This Row],[Délais PC1 et PC3]]+Portefeuille_MNT_PPS_Access22[[#This Row],[Délais PC3 et PC5]]</f>
        <v>0</v>
      </c>
      <c r="X88">
        <v>1</v>
      </c>
      <c r="Z8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88" s="12" t="e">
        <f>_xlfn.XLOOKUP(Portefeuille_MNT_PPS_Access22[[#This Row],[Numéro projet]],Tableau5[Numéro projet],Tableau5[IND_Site_Prioritaire])</f>
        <v>#N/A</v>
      </c>
      <c r="AB88" s="2" t="e">
        <f>_xlfn.XLOOKUP(Portefeuille_MNT_PPS_Access22[[#This Row],[Numéro projet]],Tableau5[Numéro projet],Tableau5[Critère Etat Infrastructure])</f>
        <v>#N/A</v>
      </c>
      <c r="AC8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88" t="s">
        <v>311</v>
      </c>
      <c r="AG88" s="2"/>
      <c r="AH88" s="2"/>
      <c r="AL88"/>
      <c r="AO88">
        <v>75</v>
      </c>
      <c r="AQ88">
        <v>75</v>
      </c>
      <c r="AS88">
        <v>150</v>
      </c>
      <c r="AT88">
        <v>1000</v>
      </c>
      <c r="AV88"/>
      <c r="BI88" s="14">
        <f>SUM(Portefeuille_MNT_PPS_Access22[[#This Row],[AC ANT]:[TR 2035]])</f>
        <v>1300</v>
      </c>
    </row>
    <row r="89" spans="1:61" hidden="1" x14ac:dyDescent="0.3">
      <c r="A89" t="s">
        <v>286</v>
      </c>
      <c r="C89" t="s">
        <v>101</v>
      </c>
      <c r="D89" t="s">
        <v>102</v>
      </c>
      <c r="E89" t="s">
        <v>128</v>
      </c>
      <c r="F89" t="s">
        <v>129</v>
      </c>
      <c r="G89" t="s">
        <v>16</v>
      </c>
      <c r="H89" t="s">
        <v>20</v>
      </c>
      <c r="I89" t="s">
        <v>131</v>
      </c>
      <c r="J89" t="s">
        <v>250</v>
      </c>
      <c r="K89" t="s">
        <v>251</v>
      </c>
      <c r="L89" t="s">
        <v>214</v>
      </c>
      <c r="M89" s="2" t="s">
        <v>197</v>
      </c>
      <c r="N89" t="s">
        <v>110</v>
      </c>
      <c r="O89" s="1"/>
      <c r="P89" s="1"/>
      <c r="Q89" s="1">
        <v>46447</v>
      </c>
      <c r="R8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8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8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8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8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1526</v>
      </c>
      <c r="W89">
        <f>Portefeuille_MNT_PPS_Access22[[#This Row],[Délais PC1 et PC3]]+Portefeuille_MNT_PPS_Access22[[#This Row],[Délais PC3 et PC5]]</f>
        <v>1526</v>
      </c>
      <c r="X89">
        <v>1</v>
      </c>
      <c r="Y89">
        <v>1</v>
      </c>
      <c r="Z8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89" s="12" t="e">
        <f>_xlfn.XLOOKUP(Portefeuille_MNT_PPS_Access22[[#This Row],[Numéro projet]],Tableau5[Numéro projet],Tableau5[IND_Site_Prioritaire])</f>
        <v>#N/A</v>
      </c>
      <c r="AB89" s="2" t="e">
        <f>_xlfn.XLOOKUP(Portefeuille_MNT_PPS_Access22[[#This Row],[Numéro projet]],Tableau5[Numéro projet],Tableau5[Critère Etat Infrastructure])</f>
        <v>#N/A</v>
      </c>
      <c r="AC8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E89">
        <v>5</v>
      </c>
      <c r="AF89" t="s">
        <v>112</v>
      </c>
      <c r="AG89" s="2"/>
      <c r="AH89" s="2"/>
      <c r="AL89"/>
      <c r="AM89">
        <v>37</v>
      </c>
      <c r="AO89">
        <v>10</v>
      </c>
      <c r="AQ89">
        <v>12</v>
      </c>
      <c r="AS89">
        <v>30</v>
      </c>
      <c r="AT89">
        <v>194</v>
      </c>
      <c r="AV89"/>
      <c r="BI89" s="14">
        <f>SUM(Portefeuille_MNT_PPS_Access22[[#This Row],[AC ANT]:[TR 2035]])</f>
        <v>283</v>
      </c>
    </row>
    <row r="90" spans="1:61" hidden="1" x14ac:dyDescent="0.3">
      <c r="A90" t="s">
        <v>286</v>
      </c>
      <c r="C90" t="s">
        <v>118</v>
      </c>
      <c r="D90" t="s">
        <v>102</v>
      </c>
      <c r="E90" t="s">
        <v>103</v>
      </c>
      <c r="F90" t="s">
        <v>149</v>
      </c>
      <c r="G90" t="s">
        <v>20</v>
      </c>
      <c r="H90" t="s">
        <v>20</v>
      </c>
      <c r="I90" t="s">
        <v>131</v>
      </c>
      <c r="J90" t="s">
        <v>396</v>
      </c>
      <c r="K90" t="s">
        <v>397</v>
      </c>
      <c r="L90" t="s">
        <v>194</v>
      </c>
      <c r="M90" t="s">
        <v>169</v>
      </c>
      <c r="N90" t="s">
        <v>155</v>
      </c>
      <c r="O90" s="1">
        <v>46280</v>
      </c>
      <c r="P90" s="1">
        <v>46645</v>
      </c>
      <c r="Q90" s="1">
        <v>47011</v>
      </c>
      <c r="R9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9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9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9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9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90">
        <f>Portefeuille_MNT_PPS_Access22[[#This Row],[Délais PC1 et PC3]]+Portefeuille_MNT_PPS_Access22[[#This Row],[Délais PC3 et PC5]]</f>
        <v>24</v>
      </c>
      <c r="X90">
        <v>1</v>
      </c>
      <c r="Y90">
        <v>1</v>
      </c>
      <c r="Z9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90" s="12" t="e">
        <f>_xlfn.XLOOKUP(Portefeuille_MNT_PPS_Access22[[#This Row],[Numéro projet]],Tableau5[Numéro projet],Tableau5[IND_Site_Prioritaire])</f>
        <v>#N/A</v>
      </c>
      <c r="AB90" s="2" t="e">
        <f>_xlfn.XLOOKUP(Portefeuille_MNT_PPS_Access22[[#This Row],[Numéro projet]],Tableau5[Numéro projet],Tableau5[Critère Etat Infrastructure])</f>
        <v>#N/A</v>
      </c>
      <c r="AC9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90">
        <v>1</v>
      </c>
      <c r="AE90">
        <v>1</v>
      </c>
      <c r="AF90" t="s">
        <v>156</v>
      </c>
      <c r="AG90" s="2"/>
      <c r="AH90" s="2"/>
      <c r="AL90"/>
      <c r="AO90">
        <v>75</v>
      </c>
      <c r="AQ90">
        <v>75</v>
      </c>
      <c r="AS90">
        <v>250</v>
      </c>
      <c r="AU90">
        <v>600</v>
      </c>
      <c r="AV90">
        <v>10500</v>
      </c>
      <c r="BI90" s="14">
        <f>SUM(Portefeuille_MNT_PPS_Access22[[#This Row],[AC ANT]:[TR 2035]])</f>
        <v>11500</v>
      </c>
    </row>
    <row r="91" spans="1:61" hidden="1" x14ac:dyDescent="0.3">
      <c r="A91" t="s">
        <v>286</v>
      </c>
      <c r="C91" t="s">
        <v>101</v>
      </c>
      <c r="D91" t="s">
        <v>102</v>
      </c>
      <c r="E91" t="s">
        <v>136</v>
      </c>
      <c r="F91" t="s">
        <v>206</v>
      </c>
      <c r="G91" t="s">
        <v>130</v>
      </c>
      <c r="H91" t="s">
        <v>20</v>
      </c>
      <c r="I91" t="s">
        <v>131</v>
      </c>
      <c r="J91" t="s">
        <v>375</v>
      </c>
      <c r="K91" t="s">
        <v>376</v>
      </c>
      <c r="L91" t="s">
        <v>209</v>
      </c>
      <c r="M91" t="s">
        <v>169</v>
      </c>
      <c r="N91" t="s">
        <v>155</v>
      </c>
      <c r="O91" s="1">
        <v>46068</v>
      </c>
      <c r="P91" s="1">
        <v>46540</v>
      </c>
      <c r="Q91" s="1">
        <v>46899</v>
      </c>
      <c r="R9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9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9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9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9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11</v>
      </c>
      <c r="W91">
        <f>Portefeuille_MNT_PPS_Access22[[#This Row],[Délais PC1 et PC3]]+Portefeuille_MNT_PPS_Access22[[#This Row],[Délais PC3 et PC5]]</f>
        <v>27</v>
      </c>
      <c r="X91">
        <v>1</v>
      </c>
      <c r="Y91">
        <v>1</v>
      </c>
      <c r="Z9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91" s="12" t="e">
        <f>_xlfn.XLOOKUP(Portefeuille_MNT_PPS_Access22[[#This Row],[Numéro projet]],Tableau5[Numéro projet],Tableau5[IND_Site_Prioritaire])</f>
        <v>#N/A</v>
      </c>
      <c r="AB91" s="2" t="e">
        <f>_xlfn.XLOOKUP(Portefeuille_MNT_PPS_Access22[[#This Row],[Numéro projet]],Tableau5[Numéro projet],Tableau5[Critère Etat Infrastructure])</f>
        <v>#N/A</v>
      </c>
      <c r="AC9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91">
        <v>1</v>
      </c>
      <c r="AE91">
        <v>1</v>
      </c>
      <c r="AF91" t="s">
        <v>156</v>
      </c>
      <c r="AG91" s="2"/>
      <c r="AH91" s="2"/>
      <c r="AL91"/>
      <c r="AO91">
        <v>125</v>
      </c>
      <c r="AQ91">
        <v>125</v>
      </c>
      <c r="AS91">
        <v>300</v>
      </c>
      <c r="AU91">
        <v>500</v>
      </c>
      <c r="AV91">
        <v>4000</v>
      </c>
      <c r="AW91">
        <v>800</v>
      </c>
      <c r="AX91">
        <v>15000</v>
      </c>
      <c r="BI91" s="14">
        <f>SUM(Portefeuille_MNT_PPS_Access22[[#This Row],[AC ANT]:[TR 2035]])</f>
        <v>20850</v>
      </c>
    </row>
    <row r="92" spans="1:61" hidden="1" x14ac:dyDescent="0.3">
      <c r="A92" t="s">
        <v>286</v>
      </c>
      <c r="C92" t="s">
        <v>101</v>
      </c>
      <c r="D92" t="s">
        <v>102</v>
      </c>
      <c r="E92" t="s">
        <v>136</v>
      </c>
      <c r="G92" t="s">
        <v>20</v>
      </c>
      <c r="H92" t="s">
        <v>20</v>
      </c>
      <c r="I92" t="s">
        <v>105</v>
      </c>
      <c r="J92" t="s">
        <v>464</v>
      </c>
      <c r="K92" t="s">
        <v>465</v>
      </c>
      <c r="L92" t="s">
        <v>116</v>
      </c>
      <c r="M92">
        <v>2033</v>
      </c>
      <c r="N92" t="s">
        <v>291</v>
      </c>
      <c r="O92" s="1"/>
      <c r="P92" s="1"/>
      <c r="Q92" s="1"/>
      <c r="R9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9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9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9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9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92">
        <f>Portefeuille_MNT_PPS_Access22[[#This Row],[Délais PC1 et PC3]]+Portefeuille_MNT_PPS_Access22[[#This Row],[Délais PC3 et PC5]]</f>
        <v>0</v>
      </c>
      <c r="X92">
        <v>1</v>
      </c>
      <c r="Z9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92" s="12" t="e">
        <f>_xlfn.XLOOKUP(Portefeuille_MNT_PPS_Access22[[#This Row],[Numéro projet]],Tableau5[Numéro projet],Tableau5[IND_Site_Prioritaire])</f>
        <v>#N/A</v>
      </c>
      <c r="AB92" s="2" t="e">
        <f>_xlfn.XLOOKUP(Portefeuille_MNT_PPS_Access22[[#This Row],[Numéro projet]],Tableau5[Numéro projet],Tableau5[Critère Etat Infrastructure])</f>
        <v>#N/A</v>
      </c>
      <c r="AC9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92" t="s">
        <v>311</v>
      </c>
      <c r="AG92" s="2"/>
      <c r="AH92" s="2"/>
      <c r="AL92"/>
      <c r="AV92"/>
      <c r="AY92">
        <v>150</v>
      </c>
      <c r="BA92">
        <v>150</v>
      </c>
      <c r="BC92">
        <v>500</v>
      </c>
      <c r="BD92">
        <v>6800</v>
      </c>
      <c r="BI92" s="14">
        <f>SUM(Portefeuille_MNT_PPS_Access22[[#This Row],[AC ANT]:[TR 2035]])</f>
        <v>7600</v>
      </c>
    </row>
    <row r="93" spans="1:61" hidden="1" x14ac:dyDescent="0.3">
      <c r="A93" t="s">
        <v>286</v>
      </c>
      <c r="C93" t="s">
        <v>118</v>
      </c>
      <c r="D93" t="s">
        <v>102</v>
      </c>
      <c r="E93" t="s">
        <v>103</v>
      </c>
      <c r="F93" t="s">
        <v>113</v>
      </c>
      <c r="G93" t="s">
        <v>20</v>
      </c>
      <c r="H93" t="s">
        <v>20</v>
      </c>
      <c r="I93" t="s">
        <v>131</v>
      </c>
      <c r="J93" t="s">
        <v>422</v>
      </c>
      <c r="K93" t="s">
        <v>423</v>
      </c>
      <c r="L93" t="s">
        <v>139</v>
      </c>
      <c r="M93" t="s">
        <v>169</v>
      </c>
      <c r="N93" t="s">
        <v>291</v>
      </c>
      <c r="O93" s="1"/>
      <c r="P93" s="1"/>
      <c r="Q93" s="1"/>
      <c r="R9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9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9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9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9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93">
        <f>Portefeuille_MNT_PPS_Access22[[#This Row],[Délais PC1 et PC3]]+Portefeuille_MNT_PPS_Access22[[#This Row],[Délais PC3 et PC5]]</f>
        <v>0</v>
      </c>
      <c r="X93">
        <v>1</v>
      </c>
      <c r="Z9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93" s="12" t="e">
        <f>_xlfn.XLOOKUP(Portefeuille_MNT_PPS_Access22[[#This Row],[Numéro projet]],Tableau5[Numéro projet],Tableau5[IND_Site_Prioritaire])</f>
        <v>#N/A</v>
      </c>
      <c r="AB93" s="2" t="e">
        <f>_xlfn.XLOOKUP(Portefeuille_MNT_PPS_Access22[[#This Row],[Numéro projet]],Tableau5[Numéro projet],Tableau5[Critère Etat Infrastructure])</f>
        <v>#N/A</v>
      </c>
      <c r="AC9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93" t="s">
        <v>311</v>
      </c>
      <c r="AG93" s="2"/>
      <c r="AH93" s="2"/>
      <c r="AL93"/>
      <c r="AQ93">
        <v>100</v>
      </c>
      <c r="AS93">
        <v>200</v>
      </c>
      <c r="AU93">
        <v>250</v>
      </c>
      <c r="AV93">
        <v>7500</v>
      </c>
      <c r="BI93" s="14">
        <f>SUM(Portefeuille_MNT_PPS_Access22[[#This Row],[AC ANT]:[TR 2035]])</f>
        <v>8050</v>
      </c>
    </row>
    <row r="94" spans="1:61" hidden="1" x14ac:dyDescent="0.3">
      <c r="A94" t="s">
        <v>286</v>
      </c>
      <c r="C94" t="s">
        <v>118</v>
      </c>
      <c r="D94" t="s">
        <v>102</v>
      </c>
      <c r="E94" t="s">
        <v>103</v>
      </c>
      <c r="F94" t="s">
        <v>113</v>
      </c>
      <c r="G94" t="s">
        <v>20</v>
      </c>
      <c r="H94" t="s">
        <v>20</v>
      </c>
      <c r="I94" t="s">
        <v>105</v>
      </c>
      <c r="J94" t="s">
        <v>426</v>
      </c>
      <c r="K94" t="s">
        <v>527</v>
      </c>
      <c r="L94" t="s">
        <v>122</v>
      </c>
      <c r="M94" t="s">
        <v>169</v>
      </c>
      <c r="N94" t="s">
        <v>155</v>
      </c>
      <c r="O94" s="1">
        <v>46249</v>
      </c>
      <c r="P94" s="1">
        <v>46675</v>
      </c>
      <c r="Q94" s="1">
        <v>47041</v>
      </c>
      <c r="R9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9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9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9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</v>
      </c>
      <c r="V9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94">
        <f>Portefeuille_MNT_PPS_Access22[[#This Row],[Délais PC1 et PC3]]+Portefeuille_MNT_PPS_Access22[[#This Row],[Délais PC3 et PC5]]</f>
        <v>26</v>
      </c>
      <c r="X94">
        <v>1</v>
      </c>
      <c r="Y94">
        <v>1</v>
      </c>
      <c r="Z9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94" s="12" t="e">
        <f>_xlfn.XLOOKUP(Portefeuille_MNT_PPS_Access22[[#This Row],[Numéro projet]],Tableau5[Numéro projet],Tableau5[IND_Site_Prioritaire])</f>
        <v>#N/A</v>
      </c>
      <c r="AB94" s="2" t="e">
        <f>_xlfn.XLOOKUP(Portefeuille_MNT_PPS_Access22[[#This Row],[Numéro projet]],Tableau5[Numéro projet],Tableau5[Critère Etat Infrastructure])</f>
        <v>#N/A</v>
      </c>
      <c r="AC9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94">
        <v>1</v>
      </c>
      <c r="AE94">
        <v>1</v>
      </c>
      <c r="AF94" t="s">
        <v>156</v>
      </c>
      <c r="AG94" s="2"/>
      <c r="AH94" s="2"/>
      <c r="AL94"/>
      <c r="AS94">
        <v>300</v>
      </c>
      <c r="AU94">
        <v>500</v>
      </c>
      <c r="AV94">
        <v>12000</v>
      </c>
      <c r="BI94" s="14">
        <f>SUM(Portefeuille_MNT_PPS_Access22[[#This Row],[AC ANT]:[TR 2035]])</f>
        <v>12800</v>
      </c>
    </row>
    <row r="95" spans="1:61" hidden="1" x14ac:dyDescent="0.3">
      <c r="A95" t="s">
        <v>286</v>
      </c>
      <c r="C95" t="s">
        <v>101</v>
      </c>
      <c r="D95" t="s">
        <v>102</v>
      </c>
      <c r="E95" t="s">
        <v>136</v>
      </c>
      <c r="F95" t="s">
        <v>104</v>
      </c>
      <c r="G95" t="s">
        <v>130</v>
      </c>
      <c r="H95" t="s">
        <v>20</v>
      </c>
      <c r="I95" t="s">
        <v>131</v>
      </c>
      <c r="J95" t="s">
        <v>373</v>
      </c>
      <c r="K95" t="s">
        <v>374</v>
      </c>
      <c r="L95" t="s">
        <v>159</v>
      </c>
      <c r="M95" t="s">
        <v>169</v>
      </c>
      <c r="N95" t="s">
        <v>155</v>
      </c>
      <c r="O95" s="1">
        <v>45915</v>
      </c>
      <c r="P95" s="1">
        <v>46280</v>
      </c>
      <c r="Q95" s="1">
        <v>46645</v>
      </c>
      <c r="R9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9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9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9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9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95">
        <f>Portefeuille_MNT_PPS_Access22[[#This Row],[Délais PC1 et PC3]]+Portefeuille_MNT_PPS_Access22[[#This Row],[Délais PC3 et PC5]]</f>
        <v>24</v>
      </c>
      <c r="X95">
        <v>1</v>
      </c>
      <c r="Y95">
        <v>1</v>
      </c>
      <c r="Z9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95" s="12" t="e">
        <f>_xlfn.XLOOKUP(Portefeuille_MNT_PPS_Access22[[#This Row],[Numéro projet]],Tableau5[Numéro projet],Tableau5[IND_Site_Prioritaire])</f>
        <v>#N/A</v>
      </c>
      <c r="AB95" s="2" t="e">
        <f>_xlfn.XLOOKUP(Portefeuille_MNT_PPS_Access22[[#This Row],[Numéro projet]],Tableau5[Numéro projet],Tableau5[Critère Etat Infrastructure])</f>
        <v>#N/A</v>
      </c>
      <c r="AC9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95">
        <v>1</v>
      </c>
      <c r="AE95">
        <v>1</v>
      </c>
      <c r="AF95" t="s">
        <v>156</v>
      </c>
      <c r="AG95" s="2"/>
      <c r="AH95" s="2"/>
      <c r="AL95"/>
      <c r="AO95">
        <v>500</v>
      </c>
      <c r="AQ95">
        <v>500</v>
      </c>
      <c r="AS95">
        <v>1000</v>
      </c>
      <c r="AU95">
        <v>1000</v>
      </c>
      <c r="AV95">
        <v>16000</v>
      </c>
      <c r="BI95" s="14">
        <f>SUM(Portefeuille_MNT_PPS_Access22[[#This Row],[AC ANT]:[TR 2035]])</f>
        <v>19000</v>
      </c>
    </row>
    <row r="96" spans="1:61" hidden="1" x14ac:dyDescent="0.3">
      <c r="A96" t="s">
        <v>286</v>
      </c>
      <c r="C96" t="s">
        <v>118</v>
      </c>
      <c r="D96" t="s">
        <v>102</v>
      </c>
      <c r="E96" t="s">
        <v>177</v>
      </c>
      <c r="G96" t="s">
        <v>20</v>
      </c>
      <c r="H96" t="s">
        <v>20</v>
      </c>
      <c r="I96" t="s">
        <v>131</v>
      </c>
      <c r="J96" t="s">
        <v>522</v>
      </c>
      <c r="K96" t="s">
        <v>523</v>
      </c>
      <c r="L96" t="s">
        <v>187</v>
      </c>
      <c r="M96" t="s">
        <v>169</v>
      </c>
      <c r="N96" t="s">
        <v>291</v>
      </c>
      <c r="O96" s="1"/>
      <c r="P96" s="1"/>
      <c r="Q96" s="1"/>
      <c r="R9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9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9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9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9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96">
        <f>Portefeuille_MNT_PPS_Access22[[#This Row],[Délais PC1 et PC3]]+Portefeuille_MNT_PPS_Access22[[#This Row],[Délais PC3 et PC5]]</f>
        <v>0</v>
      </c>
      <c r="X96">
        <v>1</v>
      </c>
      <c r="Z9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96" s="12" t="e">
        <f>_xlfn.XLOOKUP(Portefeuille_MNT_PPS_Access22[[#This Row],[Numéro projet]],Tableau5[Numéro projet],Tableau5[IND_Site_Prioritaire])</f>
        <v>#N/A</v>
      </c>
      <c r="AB96" s="2" t="e">
        <f>_xlfn.XLOOKUP(Portefeuille_MNT_PPS_Access22[[#This Row],[Numéro projet]],Tableau5[Numéro projet],Tableau5[Critère Etat Infrastructure])</f>
        <v>#N/A</v>
      </c>
      <c r="AC9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96" t="s">
        <v>311</v>
      </c>
      <c r="AG96" s="2"/>
      <c r="AH96" s="2"/>
      <c r="AL96"/>
      <c r="AQ96">
        <v>50</v>
      </c>
      <c r="AS96">
        <v>50</v>
      </c>
      <c r="AU96">
        <v>100</v>
      </c>
      <c r="AV96">
        <v>2000</v>
      </c>
      <c r="BI96" s="14">
        <f>SUM(Portefeuille_MNT_PPS_Access22[[#This Row],[AC ANT]:[TR 2035]])</f>
        <v>2200</v>
      </c>
    </row>
    <row r="97" spans="1:61" hidden="1" x14ac:dyDescent="0.3">
      <c r="A97" t="s">
        <v>286</v>
      </c>
      <c r="C97" t="s">
        <v>101</v>
      </c>
      <c r="D97" t="s">
        <v>102</v>
      </c>
      <c r="E97" t="s">
        <v>103</v>
      </c>
      <c r="F97" t="s">
        <v>104</v>
      </c>
      <c r="G97" t="s">
        <v>20</v>
      </c>
      <c r="H97" t="s">
        <v>20</v>
      </c>
      <c r="I97" t="s">
        <v>105</v>
      </c>
      <c r="J97" t="s">
        <v>398</v>
      </c>
      <c r="K97" t="s">
        <v>541</v>
      </c>
      <c r="L97" t="s">
        <v>172</v>
      </c>
      <c r="M97" t="s">
        <v>169</v>
      </c>
      <c r="N97" t="s">
        <v>291</v>
      </c>
      <c r="O97" s="1"/>
      <c r="P97" s="1"/>
      <c r="Q97" s="1"/>
      <c r="R9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9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9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9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9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97">
        <f>Portefeuille_MNT_PPS_Access22[[#This Row],[Délais PC1 et PC3]]+Portefeuille_MNT_PPS_Access22[[#This Row],[Délais PC3 et PC5]]</f>
        <v>0</v>
      </c>
      <c r="X97">
        <v>1</v>
      </c>
      <c r="Z9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97" s="12" t="e">
        <f>_xlfn.XLOOKUP(Portefeuille_MNT_PPS_Access22[[#This Row],[Numéro projet]],Tableau5[Numéro projet],Tableau5[IND_Site_Prioritaire])</f>
        <v>#N/A</v>
      </c>
      <c r="AB97" s="2" t="e">
        <f>_xlfn.XLOOKUP(Portefeuille_MNT_PPS_Access22[[#This Row],[Numéro projet]],Tableau5[Numéro projet],Tableau5[Critère Etat Infrastructure])</f>
        <v>#N/A</v>
      </c>
      <c r="AC9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97" t="s">
        <v>311</v>
      </c>
      <c r="AG97" s="2"/>
      <c r="AH97" s="2"/>
      <c r="AL97"/>
      <c r="AQ97">
        <v>100</v>
      </c>
      <c r="AS97">
        <v>100</v>
      </c>
      <c r="AU97">
        <v>700</v>
      </c>
      <c r="AV97">
        <v>15000</v>
      </c>
      <c r="BI97" s="14">
        <f>SUM(Portefeuille_MNT_PPS_Access22[[#This Row],[AC ANT]:[TR 2035]])</f>
        <v>15900</v>
      </c>
    </row>
    <row r="98" spans="1:61" hidden="1" x14ac:dyDescent="0.3">
      <c r="A98" t="s">
        <v>286</v>
      </c>
      <c r="C98" t="s">
        <v>118</v>
      </c>
      <c r="D98" t="s">
        <v>102</v>
      </c>
      <c r="E98" t="s">
        <v>389</v>
      </c>
      <c r="G98" t="s">
        <v>20</v>
      </c>
      <c r="H98" t="s">
        <v>20</v>
      </c>
      <c r="I98" t="s">
        <v>131</v>
      </c>
      <c r="J98" t="s">
        <v>430</v>
      </c>
      <c r="K98" t="s">
        <v>431</v>
      </c>
      <c r="L98" t="s">
        <v>147</v>
      </c>
      <c r="M98" t="s">
        <v>169</v>
      </c>
      <c r="N98" t="s">
        <v>291</v>
      </c>
      <c r="O98" s="1"/>
      <c r="P98" s="1"/>
      <c r="Q98" s="1"/>
      <c r="R9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9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9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9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9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98">
        <f>Portefeuille_MNT_PPS_Access22[[#This Row],[Délais PC1 et PC3]]+Portefeuille_MNT_PPS_Access22[[#This Row],[Délais PC3 et PC5]]</f>
        <v>0</v>
      </c>
      <c r="X98">
        <v>1</v>
      </c>
      <c r="Z9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98" s="12" t="e">
        <f>_xlfn.XLOOKUP(Portefeuille_MNT_PPS_Access22[[#This Row],[Numéro projet]],Tableau5[Numéro projet],Tableau5[IND_Site_Prioritaire])</f>
        <v>#N/A</v>
      </c>
      <c r="AB98" s="2" t="e">
        <f>_xlfn.XLOOKUP(Portefeuille_MNT_PPS_Access22[[#This Row],[Numéro projet]],Tableau5[Numéro projet],Tableau5[Critère Etat Infrastructure])</f>
        <v>#N/A</v>
      </c>
      <c r="AC9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98" t="s">
        <v>311</v>
      </c>
      <c r="AG98" s="2"/>
      <c r="AH98" s="2"/>
      <c r="AL98"/>
      <c r="AS98">
        <v>50</v>
      </c>
      <c r="AU98">
        <v>100</v>
      </c>
      <c r="AV98">
        <v>1000</v>
      </c>
      <c r="BI98" s="14">
        <f>SUM(Portefeuille_MNT_PPS_Access22[[#This Row],[AC ANT]:[TR 2035]])</f>
        <v>1150</v>
      </c>
    </row>
    <row r="99" spans="1:61" hidden="1" x14ac:dyDescent="0.3">
      <c r="A99" t="s">
        <v>286</v>
      </c>
      <c r="C99" t="s">
        <v>118</v>
      </c>
      <c r="D99" t="s">
        <v>102</v>
      </c>
      <c r="E99" t="s">
        <v>103</v>
      </c>
      <c r="F99" t="s">
        <v>129</v>
      </c>
      <c r="G99" t="s">
        <v>20</v>
      </c>
      <c r="H99" t="s">
        <v>20</v>
      </c>
      <c r="I99" t="s">
        <v>131</v>
      </c>
      <c r="J99" t="s">
        <v>403</v>
      </c>
      <c r="K99" t="s">
        <v>596</v>
      </c>
      <c r="L99" t="s">
        <v>214</v>
      </c>
      <c r="M99" t="s">
        <v>169</v>
      </c>
      <c r="N99" t="s">
        <v>155</v>
      </c>
      <c r="O99" s="1">
        <v>46188</v>
      </c>
      <c r="P99" s="1">
        <v>46722</v>
      </c>
      <c r="Q99" s="1">
        <v>47011</v>
      </c>
      <c r="R9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9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9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9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18</v>
      </c>
      <c r="V9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9</v>
      </c>
      <c r="W99">
        <f>Portefeuille_MNT_PPS_Access22[[#This Row],[Délais PC1 et PC3]]+Portefeuille_MNT_PPS_Access22[[#This Row],[Délais PC3 et PC5]]</f>
        <v>27</v>
      </c>
      <c r="X99">
        <v>1</v>
      </c>
      <c r="Y99">
        <v>1</v>
      </c>
      <c r="Z9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99" s="12" t="e">
        <f>_xlfn.XLOOKUP(Portefeuille_MNT_PPS_Access22[[#This Row],[Numéro projet]],Tableau5[Numéro projet],Tableau5[IND_Site_Prioritaire])</f>
        <v>#N/A</v>
      </c>
      <c r="AB99" s="2" t="e">
        <f>_xlfn.XLOOKUP(Portefeuille_MNT_PPS_Access22[[#This Row],[Numéro projet]],Tableau5[Numéro projet],Tableau5[Critère Etat Infrastructure])</f>
        <v>#N/A</v>
      </c>
      <c r="AC9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99">
        <v>1</v>
      </c>
      <c r="AE99">
        <v>1</v>
      </c>
      <c r="AF99" t="s">
        <v>156</v>
      </c>
      <c r="AG99" s="2"/>
      <c r="AH99" s="2"/>
      <c r="AL99"/>
      <c r="AS99">
        <v>200</v>
      </c>
      <c r="AU99">
        <v>200</v>
      </c>
      <c r="AV99">
        <v>10500</v>
      </c>
      <c r="BI99" s="14">
        <f>SUM(Portefeuille_MNT_PPS_Access22[[#This Row],[AC ANT]:[TR 2035]])</f>
        <v>10900</v>
      </c>
    </row>
    <row r="100" spans="1:61" hidden="1" x14ac:dyDescent="0.3">
      <c r="A100" t="s">
        <v>286</v>
      </c>
      <c r="C100" t="s">
        <v>101</v>
      </c>
      <c r="D100" t="s">
        <v>102</v>
      </c>
      <c r="E100" t="s">
        <v>136</v>
      </c>
      <c r="F100" t="s">
        <v>129</v>
      </c>
      <c r="G100" t="s">
        <v>130</v>
      </c>
      <c r="H100" t="s">
        <v>20</v>
      </c>
      <c r="I100" t="s">
        <v>131</v>
      </c>
      <c r="J100" t="s">
        <v>405</v>
      </c>
      <c r="K100" t="s">
        <v>406</v>
      </c>
      <c r="L100" t="s">
        <v>152</v>
      </c>
      <c r="M100" t="s">
        <v>169</v>
      </c>
      <c r="N100" t="s">
        <v>155</v>
      </c>
      <c r="O100" s="1">
        <v>45944</v>
      </c>
      <c r="P100" s="1">
        <v>46427</v>
      </c>
      <c r="Q100" s="1">
        <v>46813</v>
      </c>
      <c r="R10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0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10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0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10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13</v>
      </c>
      <c r="W100">
        <f>Portefeuille_MNT_PPS_Access22[[#This Row],[Délais PC1 et PC3]]+Portefeuille_MNT_PPS_Access22[[#This Row],[Délais PC3 et PC5]]</f>
        <v>29</v>
      </c>
      <c r="X100">
        <v>1</v>
      </c>
      <c r="Y100">
        <v>1</v>
      </c>
      <c r="Z10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100" s="12" t="e">
        <f>_xlfn.XLOOKUP(Portefeuille_MNT_PPS_Access22[[#This Row],[Numéro projet]],Tableau5[Numéro projet],Tableau5[IND_Site_Prioritaire])</f>
        <v>#N/A</v>
      </c>
      <c r="AB100" s="2" t="e">
        <f>_xlfn.XLOOKUP(Portefeuille_MNT_PPS_Access22[[#This Row],[Numéro projet]],Tableau5[Numéro projet],Tableau5[Critère Etat Infrastructure])</f>
        <v>#N/A</v>
      </c>
      <c r="AC10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00">
        <v>1</v>
      </c>
      <c r="AE100">
        <v>1</v>
      </c>
      <c r="AF100" t="s">
        <v>156</v>
      </c>
      <c r="AG100" s="2"/>
      <c r="AH100" s="2"/>
      <c r="AL100"/>
      <c r="AO100">
        <v>150</v>
      </c>
      <c r="AQ100">
        <v>200</v>
      </c>
      <c r="AS100">
        <v>200</v>
      </c>
      <c r="AU100">
        <v>500</v>
      </c>
      <c r="AV100">
        <v>2500</v>
      </c>
      <c r="AW100">
        <v>850</v>
      </c>
      <c r="AX100">
        <v>13000</v>
      </c>
      <c r="BI100" s="14">
        <f>SUM(Portefeuille_MNT_PPS_Access22[[#This Row],[AC ANT]:[TR 2035]])</f>
        <v>17400</v>
      </c>
    </row>
    <row r="101" spans="1:61" hidden="1" x14ac:dyDescent="0.3">
      <c r="A101" t="s">
        <v>286</v>
      </c>
      <c r="C101" t="s">
        <v>118</v>
      </c>
      <c r="D101" t="s">
        <v>102</v>
      </c>
      <c r="E101" t="s">
        <v>242</v>
      </c>
      <c r="F101" t="s">
        <v>129</v>
      </c>
      <c r="G101" t="s">
        <v>20</v>
      </c>
      <c r="H101" t="s">
        <v>20</v>
      </c>
      <c r="I101" t="s">
        <v>131</v>
      </c>
      <c r="J101" t="s">
        <v>409</v>
      </c>
      <c r="K101" t="s">
        <v>410</v>
      </c>
      <c r="L101" t="s">
        <v>411</v>
      </c>
      <c r="M101" t="s">
        <v>169</v>
      </c>
      <c r="N101" t="s">
        <v>155</v>
      </c>
      <c r="O101" s="1">
        <v>46143</v>
      </c>
      <c r="P101" s="1">
        <v>46508</v>
      </c>
      <c r="Q101" s="1">
        <v>46874</v>
      </c>
      <c r="R10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0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10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0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10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101">
        <f>Portefeuille_MNT_PPS_Access22[[#This Row],[Délais PC1 et PC3]]+Portefeuille_MNT_PPS_Access22[[#This Row],[Délais PC3 et PC5]]</f>
        <v>24</v>
      </c>
      <c r="X101">
        <v>1</v>
      </c>
      <c r="Y101">
        <v>1</v>
      </c>
      <c r="Z10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101" s="12" t="e">
        <f>_xlfn.XLOOKUP(Portefeuille_MNT_PPS_Access22[[#This Row],[Numéro projet]],Tableau5[Numéro projet],Tableau5[IND_Site_Prioritaire])</f>
        <v>#N/A</v>
      </c>
      <c r="AB101" s="2" t="e">
        <f>_xlfn.XLOOKUP(Portefeuille_MNT_PPS_Access22[[#This Row],[Numéro projet]],Tableau5[Numéro projet],Tableau5[Critère Etat Infrastructure])</f>
        <v>#N/A</v>
      </c>
      <c r="AC10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01">
        <v>1</v>
      </c>
      <c r="AE101">
        <v>1</v>
      </c>
      <c r="AF101" t="s">
        <v>156</v>
      </c>
      <c r="AG101" s="2"/>
      <c r="AH101" s="2"/>
      <c r="AL101"/>
      <c r="AQ101">
        <v>150</v>
      </c>
      <c r="AS101">
        <v>150</v>
      </c>
      <c r="AU101">
        <v>250</v>
      </c>
      <c r="AV101">
        <v>2000</v>
      </c>
      <c r="BI101" s="14">
        <f>SUM(Portefeuille_MNT_PPS_Access22[[#This Row],[AC ANT]:[TR 2035]])</f>
        <v>2550</v>
      </c>
    </row>
    <row r="102" spans="1:61" hidden="1" x14ac:dyDescent="0.3">
      <c r="A102" t="s">
        <v>286</v>
      </c>
      <c r="C102" t="s">
        <v>118</v>
      </c>
      <c r="D102" t="s">
        <v>102</v>
      </c>
      <c r="E102" t="s">
        <v>242</v>
      </c>
      <c r="F102" t="s">
        <v>129</v>
      </c>
      <c r="G102" t="s">
        <v>20</v>
      </c>
      <c r="H102" t="s">
        <v>20</v>
      </c>
      <c r="I102" t="s">
        <v>131</v>
      </c>
      <c r="J102" t="s">
        <v>415</v>
      </c>
      <c r="K102" t="s">
        <v>416</v>
      </c>
      <c r="L102" t="s">
        <v>417</v>
      </c>
      <c r="M102" t="s">
        <v>169</v>
      </c>
      <c r="N102" t="s">
        <v>155</v>
      </c>
      <c r="O102" s="1">
        <v>46143</v>
      </c>
      <c r="P102" s="1">
        <v>46508</v>
      </c>
      <c r="Q102" s="1">
        <v>46874</v>
      </c>
      <c r="R10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0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10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0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10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102">
        <f>Portefeuille_MNT_PPS_Access22[[#This Row],[Délais PC1 et PC3]]+Portefeuille_MNT_PPS_Access22[[#This Row],[Délais PC3 et PC5]]</f>
        <v>24</v>
      </c>
      <c r="X102">
        <v>1</v>
      </c>
      <c r="Y102">
        <v>1</v>
      </c>
      <c r="Z10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102" s="12" t="e">
        <f>_xlfn.XLOOKUP(Portefeuille_MNT_PPS_Access22[[#This Row],[Numéro projet]],Tableau5[Numéro projet],Tableau5[IND_Site_Prioritaire])</f>
        <v>#N/A</v>
      </c>
      <c r="AB102" s="2" t="e">
        <f>_xlfn.XLOOKUP(Portefeuille_MNT_PPS_Access22[[#This Row],[Numéro projet]],Tableau5[Numéro projet],Tableau5[Critère Etat Infrastructure])</f>
        <v>#N/A</v>
      </c>
      <c r="AC10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02">
        <v>1</v>
      </c>
      <c r="AE102">
        <v>1</v>
      </c>
      <c r="AF102" t="s">
        <v>156</v>
      </c>
      <c r="AG102" s="2"/>
      <c r="AH102" s="2"/>
      <c r="AL102"/>
      <c r="AQ102">
        <v>150</v>
      </c>
      <c r="AS102">
        <v>150</v>
      </c>
      <c r="AU102">
        <v>250</v>
      </c>
      <c r="AV102">
        <v>2000</v>
      </c>
      <c r="BI102" s="14">
        <f>SUM(Portefeuille_MNT_PPS_Access22[[#This Row],[AC ANT]:[TR 2035]])</f>
        <v>2550</v>
      </c>
    </row>
    <row r="103" spans="1:61" hidden="1" x14ac:dyDescent="0.3">
      <c r="A103" t="s">
        <v>286</v>
      </c>
      <c r="C103" t="s">
        <v>101</v>
      </c>
      <c r="D103" t="s">
        <v>102</v>
      </c>
      <c r="E103" t="s">
        <v>177</v>
      </c>
      <c r="F103" t="s">
        <v>129</v>
      </c>
      <c r="G103" t="s">
        <v>20</v>
      </c>
      <c r="H103" t="s">
        <v>20</v>
      </c>
      <c r="I103" t="s">
        <v>131</v>
      </c>
      <c r="J103" t="s">
        <v>438</v>
      </c>
      <c r="K103" t="s">
        <v>439</v>
      </c>
      <c r="L103" t="s">
        <v>180</v>
      </c>
      <c r="M103" t="s">
        <v>169</v>
      </c>
      <c r="N103" t="s">
        <v>291</v>
      </c>
      <c r="O103" s="1"/>
      <c r="P103" s="1"/>
      <c r="Q103" s="1"/>
      <c r="R10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0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0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0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0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03">
        <f>Portefeuille_MNT_PPS_Access22[[#This Row],[Délais PC1 et PC3]]+Portefeuille_MNT_PPS_Access22[[#This Row],[Délais PC3 et PC5]]</f>
        <v>0</v>
      </c>
      <c r="X103">
        <v>1</v>
      </c>
      <c r="Z10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03" s="12" t="e">
        <f>_xlfn.XLOOKUP(Portefeuille_MNT_PPS_Access22[[#This Row],[Numéro projet]],Tableau5[Numéro projet],Tableau5[IND_Site_Prioritaire])</f>
        <v>#N/A</v>
      </c>
      <c r="AB103" s="2" t="e">
        <f>_xlfn.XLOOKUP(Portefeuille_MNT_PPS_Access22[[#This Row],[Numéro projet]],Tableau5[Numéro projet],Tableau5[Critère Etat Infrastructure])</f>
        <v>#N/A</v>
      </c>
      <c r="AC10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03" t="s">
        <v>311</v>
      </c>
      <c r="AG103" s="2"/>
      <c r="AH103" s="2"/>
      <c r="AL103"/>
      <c r="AS103">
        <v>100.00000000000001</v>
      </c>
      <c r="AU103">
        <v>175.00000000000003</v>
      </c>
      <c r="AV103">
        <v>1500</v>
      </c>
      <c r="BI103" s="14">
        <f>SUM(Portefeuille_MNT_PPS_Access22[[#This Row],[AC ANT]:[TR 2035]])</f>
        <v>1775</v>
      </c>
    </row>
    <row r="104" spans="1:61" hidden="1" x14ac:dyDescent="0.3">
      <c r="A104" t="s">
        <v>286</v>
      </c>
      <c r="C104" t="s">
        <v>101</v>
      </c>
      <c r="D104" t="s">
        <v>102</v>
      </c>
      <c r="E104" t="s">
        <v>200</v>
      </c>
      <c r="F104" t="s">
        <v>113</v>
      </c>
      <c r="G104" t="s">
        <v>20</v>
      </c>
      <c r="H104" t="s">
        <v>20</v>
      </c>
      <c r="I104" t="s">
        <v>131</v>
      </c>
      <c r="J104" t="s">
        <v>436</v>
      </c>
      <c r="K104" t="s">
        <v>437</v>
      </c>
      <c r="L104" t="s">
        <v>139</v>
      </c>
      <c r="M104" t="s">
        <v>169</v>
      </c>
      <c r="N104" t="s">
        <v>291</v>
      </c>
      <c r="O104" s="1"/>
      <c r="P104" s="1"/>
      <c r="Q104" s="1"/>
      <c r="R10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0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0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0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0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04">
        <f>Portefeuille_MNT_PPS_Access22[[#This Row],[Délais PC1 et PC3]]+Portefeuille_MNT_PPS_Access22[[#This Row],[Délais PC3 et PC5]]</f>
        <v>0</v>
      </c>
      <c r="X104">
        <v>1</v>
      </c>
      <c r="Z10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04" s="12" t="e">
        <f>_xlfn.XLOOKUP(Portefeuille_MNT_PPS_Access22[[#This Row],[Numéro projet]],Tableau5[Numéro projet],Tableau5[IND_Site_Prioritaire])</f>
        <v>#N/A</v>
      </c>
      <c r="AB104" s="2" t="e">
        <f>_xlfn.XLOOKUP(Portefeuille_MNT_PPS_Access22[[#This Row],[Numéro projet]],Tableau5[Numéro projet],Tableau5[Critère Etat Infrastructure])</f>
        <v>#N/A</v>
      </c>
      <c r="AC10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04" t="s">
        <v>311</v>
      </c>
      <c r="AG104" s="2"/>
      <c r="AH104" s="2"/>
      <c r="AL104"/>
      <c r="AO104">
        <v>50</v>
      </c>
      <c r="AQ104">
        <v>50</v>
      </c>
      <c r="AS104">
        <v>150</v>
      </c>
      <c r="AU104">
        <v>300</v>
      </c>
      <c r="AV104">
        <v>3000</v>
      </c>
      <c r="BI104" s="14">
        <f>SUM(Portefeuille_MNT_PPS_Access22[[#This Row],[AC ANT]:[TR 2035]])</f>
        <v>3550</v>
      </c>
    </row>
    <row r="105" spans="1:61" hidden="1" x14ac:dyDescent="0.3">
      <c r="A105" t="s">
        <v>286</v>
      </c>
      <c r="C105" t="s">
        <v>101</v>
      </c>
      <c r="D105" t="s">
        <v>102</v>
      </c>
      <c r="E105" t="s">
        <v>136</v>
      </c>
      <c r="F105" t="s">
        <v>149</v>
      </c>
      <c r="G105" t="s">
        <v>16</v>
      </c>
      <c r="H105" t="s">
        <v>20</v>
      </c>
      <c r="I105" t="s">
        <v>131</v>
      </c>
      <c r="J105" t="s">
        <v>212</v>
      </c>
      <c r="K105" t="s">
        <v>213</v>
      </c>
      <c r="L105" t="s">
        <v>214</v>
      </c>
      <c r="M105" t="s">
        <v>184</v>
      </c>
      <c r="N105" t="s">
        <v>155</v>
      </c>
      <c r="O105" s="1">
        <v>45915</v>
      </c>
      <c r="P105" s="1">
        <v>46280</v>
      </c>
      <c r="Q105" s="1">
        <v>46645</v>
      </c>
      <c r="R10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0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10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0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10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12</v>
      </c>
      <c r="W105">
        <f>Portefeuille_MNT_PPS_Access22[[#This Row],[Délais PC1 et PC3]]+Portefeuille_MNT_PPS_Access22[[#This Row],[Délais PC3 et PC5]]</f>
        <v>24</v>
      </c>
      <c r="X105">
        <v>1</v>
      </c>
      <c r="Y105">
        <v>1</v>
      </c>
      <c r="Z10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105" s="12" t="e">
        <f>_xlfn.XLOOKUP(Portefeuille_MNT_PPS_Access22[[#This Row],[Numéro projet]],Tableau5[Numéro projet],Tableau5[IND_Site_Prioritaire])</f>
        <v>#N/A</v>
      </c>
      <c r="AB105" s="2" t="e">
        <f>_xlfn.XLOOKUP(Portefeuille_MNT_PPS_Access22[[#This Row],[Numéro projet]],Tableau5[Numéro projet],Tableau5[Critère Etat Infrastructure])</f>
        <v>#N/A</v>
      </c>
      <c r="AC10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05">
        <v>1</v>
      </c>
      <c r="AE105">
        <v>1</v>
      </c>
      <c r="AF105" t="s">
        <v>156</v>
      </c>
      <c r="AG105" s="2"/>
      <c r="AH105" s="2"/>
      <c r="AI105">
        <v>47</v>
      </c>
      <c r="AK105">
        <v>93</v>
      </c>
      <c r="AL105"/>
      <c r="AM105">
        <v>150</v>
      </c>
      <c r="AO105">
        <v>125</v>
      </c>
      <c r="AQ105">
        <v>125</v>
      </c>
      <c r="AS105">
        <v>125</v>
      </c>
      <c r="AU105">
        <v>125</v>
      </c>
      <c r="AV105"/>
      <c r="AW105">
        <v>300</v>
      </c>
      <c r="AX105">
        <v>5000</v>
      </c>
      <c r="AY105">
        <v>431</v>
      </c>
      <c r="AZ105">
        <v>10000</v>
      </c>
      <c r="BI105" s="14">
        <f>SUM(Portefeuille_MNT_PPS_Access22[[#This Row],[AC ANT]:[TR 2035]])</f>
        <v>16521</v>
      </c>
    </row>
    <row r="106" spans="1:61" hidden="1" x14ac:dyDescent="0.3">
      <c r="A106" t="s">
        <v>286</v>
      </c>
      <c r="C106" t="s">
        <v>126</v>
      </c>
      <c r="D106" t="s">
        <v>127</v>
      </c>
      <c r="E106" t="s">
        <v>136</v>
      </c>
      <c r="F106" t="s">
        <v>113</v>
      </c>
      <c r="G106" t="s">
        <v>16</v>
      </c>
      <c r="H106" t="s">
        <v>20</v>
      </c>
      <c r="I106" t="s">
        <v>131</v>
      </c>
      <c r="J106" t="s">
        <v>226</v>
      </c>
      <c r="K106" t="s">
        <v>227</v>
      </c>
      <c r="L106" t="s">
        <v>139</v>
      </c>
      <c r="M106" t="s">
        <v>184</v>
      </c>
      <c r="N106" t="s">
        <v>110</v>
      </c>
      <c r="O106" s="1">
        <v>45330</v>
      </c>
      <c r="P106" s="1">
        <v>46325</v>
      </c>
      <c r="Q106" s="1">
        <v>46991</v>
      </c>
      <c r="R10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5.Respect OPC</v>
      </c>
      <c r="S10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5.Respect OPC</v>
      </c>
      <c r="T10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5.Respect OPC</v>
      </c>
      <c r="U10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32</v>
      </c>
      <c r="V10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22</v>
      </c>
      <c r="W106">
        <f>Portefeuille_MNT_PPS_Access22[[#This Row],[Délais PC1 et PC3]]+Portefeuille_MNT_PPS_Access22[[#This Row],[Délais PC3 et PC5]]</f>
        <v>54</v>
      </c>
      <c r="X106">
        <v>1</v>
      </c>
      <c r="Y106">
        <v>1</v>
      </c>
      <c r="Z10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3</v>
      </c>
      <c r="AA106" s="12" t="e">
        <f>_xlfn.XLOOKUP(Portefeuille_MNT_PPS_Access22[[#This Row],[Numéro projet]],Tableau5[Numéro projet],Tableau5[IND_Site_Prioritaire])</f>
        <v>#N/A</v>
      </c>
      <c r="AB106" s="2" t="e">
        <f>_xlfn.XLOOKUP(Portefeuille_MNT_PPS_Access22[[#This Row],[Numéro projet]],Tableau5[Numéro projet],Tableau5[Critère Etat Infrastructure])</f>
        <v>#N/A</v>
      </c>
      <c r="AC10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06">
        <v>1</v>
      </c>
      <c r="AE106">
        <v>5</v>
      </c>
      <c r="AF106" t="s">
        <v>112</v>
      </c>
      <c r="AG106" s="2"/>
      <c r="AH106" s="2"/>
      <c r="AI106">
        <v>44</v>
      </c>
      <c r="AK106">
        <v>35</v>
      </c>
      <c r="AL106"/>
      <c r="AM106">
        <v>100</v>
      </c>
      <c r="AO106">
        <v>288</v>
      </c>
      <c r="AQ106">
        <v>475</v>
      </c>
      <c r="AS106">
        <v>475</v>
      </c>
      <c r="AU106">
        <v>573</v>
      </c>
      <c r="AV106"/>
      <c r="AW106">
        <v>1000</v>
      </c>
      <c r="AX106">
        <v>4362</v>
      </c>
      <c r="AY106">
        <v>1087</v>
      </c>
      <c r="AZ106">
        <v>12800</v>
      </c>
      <c r="BI106" s="14">
        <f>SUM(Portefeuille_MNT_PPS_Access22[[#This Row],[AC ANT]:[TR 2035]])</f>
        <v>21239</v>
      </c>
    </row>
    <row r="107" spans="1:61" hidden="1" x14ac:dyDescent="0.3">
      <c r="A107" t="s">
        <v>286</v>
      </c>
      <c r="C107" t="s">
        <v>101</v>
      </c>
      <c r="D107" t="s">
        <v>102</v>
      </c>
      <c r="E107" t="s">
        <v>136</v>
      </c>
      <c r="G107" t="s">
        <v>20</v>
      </c>
      <c r="H107" t="s">
        <v>20</v>
      </c>
      <c r="I107" t="s">
        <v>105</v>
      </c>
      <c r="J107" t="s">
        <v>456</v>
      </c>
      <c r="K107" t="s">
        <v>457</v>
      </c>
      <c r="L107" t="s">
        <v>402</v>
      </c>
      <c r="M107">
        <v>2033</v>
      </c>
      <c r="N107" t="s">
        <v>291</v>
      </c>
      <c r="O107" s="1"/>
      <c r="P107" s="1"/>
      <c r="Q107" s="1"/>
      <c r="R10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0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0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0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0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07">
        <f>Portefeuille_MNT_PPS_Access22[[#This Row],[Délais PC1 et PC3]]+Portefeuille_MNT_PPS_Access22[[#This Row],[Délais PC3 et PC5]]</f>
        <v>0</v>
      </c>
      <c r="X107">
        <v>1</v>
      </c>
      <c r="Z10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07" s="12" t="e">
        <f>_xlfn.XLOOKUP(Portefeuille_MNT_PPS_Access22[[#This Row],[Numéro projet]],Tableau5[Numéro projet],Tableau5[IND_Site_Prioritaire])</f>
        <v>#N/A</v>
      </c>
      <c r="AB107" s="2" t="e">
        <f>_xlfn.XLOOKUP(Portefeuille_MNT_PPS_Access22[[#This Row],[Numéro projet]],Tableau5[Numéro projet],Tableau5[Critère Etat Infrastructure])</f>
        <v>#N/A</v>
      </c>
      <c r="AC10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07" t="s">
        <v>311</v>
      </c>
      <c r="AG107" s="2"/>
      <c r="AH107" s="2"/>
      <c r="AL107"/>
      <c r="AV107"/>
      <c r="AY107">
        <v>150</v>
      </c>
      <c r="BA107">
        <v>150</v>
      </c>
      <c r="BC107">
        <v>500</v>
      </c>
      <c r="BD107">
        <v>6800</v>
      </c>
      <c r="BI107" s="14">
        <f>SUM(Portefeuille_MNT_PPS_Access22[[#This Row],[AC ANT]:[TR 2035]])</f>
        <v>7600</v>
      </c>
    </row>
    <row r="108" spans="1:61" hidden="1" x14ac:dyDescent="0.3">
      <c r="A108" t="s">
        <v>286</v>
      </c>
      <c r="C108" t="s">
        <v>118</v>
      </c>
      <c r="D108" t="s">
        <v>102</v>
      </c>
      <c r="E108" t="s">
        <v>103</v>
      </c>
      <c r="G108" t="s">
        <v>20</v>
      </c>
      <c r="H108" t="s">
        <v>20</v>
      </c>
      <c r="I108" t="s">
        <v>131</v>
      </c>
      <c r="J108" t="s">
        <v>371</v>
      </c>
      <c r="K108" t="s">
        <v>372</v>
      </c>
      <c r="L108" t="s">
        <v>152</v>
      </c>
      <c r="M108" t="s">
        <v>184</v>
      </c>
      <c r="N108" t="s">
        <v>291</v>
      </c>
      <c r="O108" s="1"/>
      <c r="P108" s="1"/>
      <c r="Q108" s="1"/>
      <c r="R10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0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0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0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0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08">
        <f>Portefeuille_MNT_PPS_Access22[[#This Row],[Délais PC1 et PC3]]+Portefeuille_MNT_PPS_Access22[[#This Row],[Délais PC3 et PC5]]</f>
        <v>0</v>
      </c>
      <c r="X108">
        <v>1</v>
      </c>
      <c r="Z10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08" s="12" t="e">
        <f>_xlfn.XLOOKUP(Portefeuille_MNT_PPS_Access22[[#This Row],[Numéro projet]],Tableau5[Numéro projet],Tableau5[IND_Site_Prioritaire])</f>
        <v>#N/A</v>
      </c>
      <c r="AB108" s="2" t="e">
        <f>_xlfn.XLOOKUP(Portefeuille_MNT_PPS_Access22[[#This Row],[Numéro projet]],Tableau5[Numéro projet],Tableau5[Critère Etat Infrastructure])</f>
        <v>#N/A</v>
      </c>
      <c r="AC10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08" t="s">
        <v>311</v>
      </c>
      <c r="AG108" s="2"/>
      <c r="AH108" s="2"/>
      <c r="AL108"/>
      <c r="AS108">
        <v>100</v>
      </c>
      <c r="AU108">
        <v>200</v>
      </c>
      <c r="AV108"/>
      <c r="AW108">
        <v>450</v>
      </c>
      <c r="AX108">
        <v>7500</v>
      </c>
      <c r="BI108" s="14">
        <f>SUM(Portefeuille_MNT_PPS_Access22[[#This Row],[AC ANT]:[TR 2035]])</f>
        <v>8250</v>
      </c>
    </row>
    <row r="109" spans="1:61" hidden="1" x14ac:dyDescent="0.3">
      <c r="A109" t="s">
        <v>286</v>
      </c>
      <c r="C109" t="s">
        <v>101</v>
      </c>
      <c r="D109" t="s">
        <v>102</v>
      </c>
      <c r="E109" t="s">
        <v>103</v>
      </c>
      <c r="G109" t="s">
        <v>20</v>
      </c>
      <c r="H109" t="s">
        <v>20</v>
      </c>
      <c r="I109" t="s">
        <v>131</v>
      </c>
      <c r="J109" t="s">
        <v>383</v>
      </c>
      <c r="K109" t="s">
        <v>384</v>
      </c>
      <c r="L109" t="s">
        <v>183</v>
      </c>
      <c r="M109" t="s">
        <v>184</v>
      </c>
      <c r="N109" t="s">
        <v>291</v>
      </c>
      <c r="O109" s="1"/>
      <c r="P109" s="1"/>
      <c r="Q109" s="1"/>
      <c r="R10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0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0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0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0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09">
        <f>Portefeuille_MNT_PPS_Access22[[#This Row],[Délais PC1 et PC3]]+Portefeuille_MNT_PPS_Access22[[#This Row],[Délais PC3 et PC5]]</f>
        <v>0</v>
      </c>
      <c r="X109">
        <v>1</v>
      </c>
      <c r="Z10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09" s="12" t="e">
        <f>_xlfn.XLOOKUP(Portefeuille_MNT_PPS_Access22[[#This Row],[Numéro projet]],Tableau5[Numéro projet],Tableau5[IND_Site_Prioritaire])</f>
        <v>#N/A</v>
      </c>
      <c r="AB109" s="2" t="e">
        <f>_xlfn.XLOOKUP(Portefeuille_MNT_PPS_Access22[[#This Row],[Numéro projet]],Tableau5[Numéro projet],Tableau5[Critère Etat Infrastructure])</f>
        <v>#N/A</v>
      </c>
      <c r="AC10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09" t="s">
        <v>311</v>
      </c>
      <c r="AG109" s="2"/>
      <c r="AH109" s="2"/>
      <c r="AL109"/>
      <c r="AU109">
        <v>150</v>
      </c>
      <c r="AV109"/>
      <c r="AW109">
        <v>250</v>
      </c>
      <c r="AX109">
        <v>5000</v>
      </c>
      <c r="BI109" s="14">
        <f>SUM(Portefeuille_MNT_PPS_Access22[[#This Row],[AC ANT]:[TR 2035]])</f>
        <v>5400</v>
      </c>
    </row>
    <row r="110" spans="1:61" hidden="1" x14ac:dyDescent="0.3">
      <c r="A110" t="s">
        <v>286</v>
      </c>
      <c r="C110" t="s">
        <v>118</v>
      </c>
      <c r="D110" t="s">
        <v>102</v>
      </c>
      <c r="E110" t="s">
        <v>242</v>
      </c>
      <c r="F110" t="s">
        <v>129</v>
      </c>
      <c r="G110" t="s">
        <v>20</v>
      </c>
      <c r="H110" t="s">
        <v>20</v>
      </c>
      <c r="I110" t="s">
        <v>131</v>
      </c>
      <c r="J110" t="s">
        <v>412</v>
      </c>
      <c r="K110" t="s">
        <v>413</v>
      </c>
      <c r="L110" t="s">
        <v>414</v>
      </c>
      <c r="M110" t="s">
        <v>184</v>
      </c>
      <c r="N110" t="s">
        <v>291</v>
      </c>
      <c r="O110" s="1"/>
      <c r="P110" s="1"/>
      <c r="Q110" s="1"/>
      <c r="R11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0">
        <f>Portefeuille_MNT_PPS_Access22[[#This Row],[Délais PC1 et PC3]]+Portefeuille_MNT_PPS_Access22[[#This Row],[Délais PC3 et PC5]]</f>
        <v>0</v>
      </c>
      <c r="X110">
        <v>1</v>
      </c>
      <c r="Z11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0" s="12" t="e">
        <f>_xlfn.XLOOKUP(Portefeuille_MNT_PPS_Access22[[#This Row],[Numéro projet]],Tableau5[Numéro projet],Tableau5[IND_Site_Prioritaire])</f>
        <v>#N/A</v>
      </c>
      <c r="AB110" s="2" t="e">
        <f>_xlfn.XLOOKUP(Portefeuille_MNT_PPS_Access22[[#This Row],[Numéro projet]],Tableau5[Numéro projet],Tableau5[Critère Etat Infrastructure])</f>
        <v>#N/A</v>
      </c>
      <c r="AC11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0" t="s">
        <v>311</v>
      </c>
      <c r="AG110" s="2"/>
      <c r="AH110" s="2"/>
      <c r="AL110"/>
      <c r="AS110">
        <v>150</v>
      </c>
      <c r="AU110">
        <v>150</v>
      </c>
      <c r="AV110"/>
      <c r="AW110">
        <v>250</v>
      </c>
      <c r="AX110">
        <v>2000</v>
      </c>
      <c r="BI110" s="14">
        <f>SUM(Portefeuille_MNT_PPS_Access22[[#This Row],[AC ANT]:[TR 2035]])</f>
        <v>2550</v>
      </c>
    </row>
    <row r="111" spans="1:61" hidden="1" x14ac:dyDescent="0.3">
      <c r="A111" t="s">
        <v>286</v>
      </c>
      <c r="C111" t="s">
        <v>126</v>
      </c>
      <c r="D111" t="s">
        <v>127</v>
      </c>
      <c r="E111" t="s">
        <v>103</v>
      </c>
      <c r="G111" t="s">
        <v>20</v>
      </c>
      <c r="H111" t="s">
        <v>20</v>
      </c>
      <c r="I111" t="s">
        <v>105</v>
      </c>
      <c r="J111" t="s">
        <v>472</v>
      </c>
      <c r="K111" t="s">
        <v>473</v>
      </c>
      <c r="L111" t="s">
        <v>143</v>
      </c>
      <c r="M111" t="s">
        <v>184</v>
      </c>
      <c r="N111" t="s">
        <v>291</v>
      </c>
      <c r="O111" s="1"/>
      <c r="P111" s="1"/>
      <c r="Q111" s="1"/>
      <c r="R11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1">
        <f>Portefeuille_MNT_PPS_Access22[[#This Row],[Délais PC1 et PC3]]+Portefeuille_MNT_PPS_Access22[[#This Row],[Délais PC3 et PC5]]</f>
        <v>0</v>
      </c>
      <c r="X111">
        <v>1</v>
      </c>
      <c r="Z11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1" s="12" t="e">
        <f>_xlfn.XLOOKUP(Portefeuille_MNT_PPS_Access22[[#This Row],[Numéro projet]],Tableau5[Numéro projet],Tableau5[IND_Site_Prioritaire])</f>
        <v>#N/A</v>
      </c>
      <c r="AB111" s="2" t="e">
        <f>_xlfn.XLOOKUP(Portefeuille_MNT_PPS_Access22[[#This Row],[Numéro projet]],Tableau5[Numéro projet],Tableau5[Critère Etat Infrastructure])</f>
        <v>#N/A</v>
      </c>
      <c r="AC11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1" t="s">
        <v>311</v>
      </c>
      <c r="AG111" s="2"/>
      <c r="AH111" s="2"/>
      <c r="AL111"/>
      <c r="AS111">
        <v>375</v>
      </c>
      <c r="AU111">
        <v>375</v>
      </c>
      <c r="AV111"/>
      <c r="AW111">
        <v>750</v>
      </c>
      <c r="AX111">
        <v>10000</v>
      </c>
      <c r="AY111">
        <v>500</v>
      </c>
      <c r="AZ111">
        <v>10000</v>
      </c>
      <c r="BA111">
        <v>500</v>
      </c>
      <c r="BB111">
        <v>15000</v>
      </c>
      <c r="BI111" s="14">
        <f>SUM(Portefeuille_MNT_PPS_Access22[[#This Row],[AC ANT]:[TR 2035]])</f>
        <v>37500</v>
      </c>
    </row>
    <row r="112" spans="1:61" hidden="1" x14ac:dyDescent="0.3">
      <c r="A112" t="s">
        <v>286</v>
      </c>
      <c r="C112" t="s">
        <v>126</v>
      </c>
      <c r="D112" t="s">
        <v>127</v>
      </c>
      <c r="E112" t="s">
        <v>103</v>
      </c>
      <c r="F112" t="s">
        <v>113</v>
      </c>
      <c r="G112" t="s">
        <v>20</v>
      </c>
      <c r="H112" t="s">
        <v>20</v>
      </c>
      <c r="I112" t="s">
        <v>105</v>
      </c>
      <c r="J112" t="s">
        <v>442</v>
      </c>
      <c r="K112" t="s">
        <v>526</v>
      </c>
      <c r="L112" t="s">
        <v>168</v>
      </c>
      <c r="M112" t="s">
        <v>184</v>
      </c>
      <c r="N112" t="s">
        <v>291</v>
      </c>
      <c r="O112" s="1"/>
      <c r="P112" s="1"/>
      <c r="Q112" s="1"/>
      <c r="R11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2">
        <f>Portefeuille_MNT_PPS_Access22[[#This Row],[Délais PC1 et PC3]]+Portefeuille_MNT_PPS_Access22[[#This Row],[Délais PC3 et PC5]]</f>
        <v>0</v>
      </c>
      <c r="X112">
        <v>1</v>
      </c>
      <c r="Z11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2" s="12" t="e">
        <f>_xlfn.XLOOKUP(Portefeuille_MNT_PPS_Access22[[#This Row],[Numéro projet]],Tableau5[Numéro projet],Tableau5[IND_Site_Prioritaire])</f>
        <v>#N/A</v>
      </c>
      <c r="AB112" s="2" t="e">
        <f>_xlfn.XLOOKUP(Portefeuille_MNT_PPS_Access22[[#This Row],[Numéro projet]],Tableau5[Numéro projet],Tableau5[Critère Etat Infrastructure])</f>
        <v>#N/A</v>
      </c>
      <c r="AC11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2" t="s">
        <v>311</v>
      </c>
      <c r="AG112" s="2"/>
      <c r="AH112" s="2"/>
      <c r="AL112"/>
      <c r="AS112">
        <v>250</v>
      </c>
      <c r="AU112">
        <v>250</v>
      </c>
      <c r="AV112"/>
      <c r="AW112">
        <v>500</v>
      </c>
      <c r="AX112">
        <v>2500</v>
      </c>
      <c r="AY112">
        <v>500</v>
      </c>
      <c r="AZ112">
        <v>7500</v>
      </c>
      <c r="BA112">
        <v>500</v>
      </c>
      <c r="BB112">
        <v>5000</v>
      </c>
      <c r="BI112" s="14">
        <f>SUM(Portefeuille_MNT_PPS_Access22[[#This Row],[AC ANT]:[TR 2035]])</f>
        <v>17000</v>
      </c>
    </row>
    <row r="113" spans="1:61" hidden="1" x14ac:dyDescent="0.3">
      <c r="A113" t="s">
        <v>286</v>
      </c>
      <c r="C113" t="s">
        <v>101</v>
      </c>
      <c r="D113" t="s">
        <v>102</v>
      </c>
      <c r="E113" t="s">
        <v>389</v>
      </c>
      <c r="G113" t="s">
        <v>20</v>
      </c>
      <c r="H113" t="s">
        <v>20</v>
      </c>
      <c r="I113" t="s">
        <v>105</v>
      </c>
      <c r="J113" t="s">
        <v>432</v>
      </c>
      <c r="K113" t="s">
        <v>433</v>
      </c>
      <c r="L113" t="s">
        <v>143</v>
      </c>
      <c r="M113" t="s">
        <v>370</v>
      </c>
      <c r="N113" t="s">
        <v>291</v>
      </c>
      <c r="O113" s="1"/>
      <c r="P113" s="1"/>
      <c r="Q113" s="1"/>
      <c r="R11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3">
        <f>Portefeuille_MNT_PPS_Access22[[#This Row],[Délais PC1 et PC3]]+Portefeuille_MNT_PPS_Access22[[#This Row],[Délais PC3 et PC5]]</f>
        <v>0</v>
      </c>
      <c r="X113">
        <v>1</v>
      </c>
      <c r="Z11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3" s="12" t="e">
        <f>_xlfn.XLOOKUP(Portefeuille_MNT_PPS_Access22[[#This Row],[Numéro projet]],Tableau5[Numéro projet],Tableau5[IND_Site_Prioritaire])</f>
        <v>#N/A</v>
      </c>
      <c r="AB113" s="2" t="e">
        <f>_xlfn.XLOOKUP(Portefeuille_MNT_PPS_Access22[[#This Row],[Numéro projet]],Tableau5[Numéro projet],Tableau5[Critère Etat Infrastructure])</f>
        <v>#N/A</v>
      </c>
      <c r="AC11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3" t="s">
        <v>311</v>
      </c>
      <c r="AG113" s="2"/>
      <c r="AH113" s="2"/>
      <c r="AL113"/>
      <c r="AV113"/>
      <c r="AW113">
        <v>100</v>
      </c>
      <c r="AY113">
        <v>200</v>
      </c>
      <c r="AZ113">
        <v>5000</v>
      </c>
      <c r="BI113" s="14">
        <f>SUM(Portefeuille_MNT_PPS_Access22[[#This Row],[AC ANT]:[TR 2035]])</f>
        <v>5300</v>
      </c>
    </row>
    <row r="114" spans="1:61" hidden="1" x14ac:dyDescent="0.3">
      <c r="A114" t="s">
        <v>286</v>
      </c>
      <c r="C114" t="s">
        <v>101</v>
      </c>
      <c r="D114" t="s">
        <v>102</v>
      </c>
      <c r="E114" t="s">
        <v>136</v>
      </c>
      <c r="G114" t="s">
        <v>20</v>
      </c>
      <c r="H114" t="s">
        <v>20</v>
      </c>
      <c r="I114" t="s">
        <v>105</v>
      </c>
      <c r="J114" t="s">
        <v>458</v>
      </c>
      <c r="K114" t="s">
        <v>459</v>
      </c>
      <c r="L114" t="s">
        <v>239</v>
      </c>
      <c r="M114">
        <v>2033</v>
      </c>
      <c r="N114" t="s">
        <v>291</v>
      </c>
      <c r="O114" s="1"/>
      <c r="P114" s="1"/>
      <c r="Q114" s="1"/>
      <c r="R11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4">
        <f>Portefeuille_MNT_PPS_Access22[[#This Row],[Délais PC1 et PC3]]+Portefeuille_MNT_PPS_Access22[[#This Row],[Délais PC3 et PC5]]</f>
        <v>0</v>
      </c>
      <c r="X114">
        <v>1</v>
      </c>
      <c r="Z11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4" s="12" t="e">
        <f>_xlfn.XLOOKUP(Portefeuille_MNT_PPS_Access22[[#This Row],[Numéro projet]],Tableau5[Numéro projet],Tableau5[IND_Site_Prioritaire])</f>
        <v>#N/A</v>
      </c>
      <c r="AB114" s="2" t="e">
        <f>_xlfn.XLOOKUP(Portefeuille_MNT_PPS_Access22[[#This Row],[Numéro projet]],Tableau5[Numéro projet],Tableau5[Critère Etat Infrastructure])</f>
        <v>#N/A</v>
      </c>
      <c r="AC11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4" t="s">
        <v>311</v>
      </c>
      <c r="AG114" s="2"/>
      <c r="AH114" s="2"/>
      <c r="AL114"/>
      <c r="AV114"/>
      <c r="AY114">
        <v>150</v>
      </c>
      <c r="BA114">
        <v>150</v>
      </c>
      <c r="BC114">
        <v>500</v>
      </c>
      <c r="BD114">
        <v>6500</v>
      </c>
      <c r="BI114" s="14">
        <f>SUM(Portefeuille_MNT_PPS_Access22[[#This Row],[AC ANT]:[TR 2035]])</f>
        <v>7300</v>
      </c>
    </row>
    <row r="115" spans="1:61" hidden="1" x14ac:dyDescent="0.3">
      <c r="A115" t="s">
        <v>286</v>
      </c>
      <c r="C115" t="s">
        <v>118</v>
      </c>
      <c r="D115" t="s">
        <v>102</v>
      </c>
      <c r="E115" t="s">
        <v>136</v>
      </c>
      <c r="G115" t="s">
        <v>20</v>
      </c>
      <c r="H115" t="s">
        <v>20</v>
      </c>
      <c r="I115" t="s">
        <v>131</v>
      </c>
      <c r="J115" t="s">
        <v>470</v>
      </c>
      <c r="K115" t="s">
        <v>471</v>
      </c>
      <c r="L115" t="s">
        <v>191</v>
      </c>
      <c r="M115" t="s">
        <v>370</v>
      </c>
      <c r="N115" t="s">
        <v>291</v>
      </c>
      <c r="O115" s="1"/>
      <c r="P115" s="1"/>
      <c r="Q115" s="1"/>
      <c r="R11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5">
        <f>Portefeuille_MNT_PPS_Access22[[#This Row],[Délais PC1 et PC3]]+Portefeuille_MNT_PPS_Access22[[#This Row],[Délais PC3 et PC5]]</f>
        <v>0</v>
      </c>
      <c r="X115">
        <v>1</v>
      </c>
      <c r="Z11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5" s="12" t="e">
        <f>_xlfn.XLOOKUP(Portefeuille_MNT_PPS_Access22[[#This Row],[Numéro projet]],Tableau5[Numéro projet],Tableau5[IND_Site_Prioritaire])</f>
        <v>#N/A</v>
      </c>
      <c r="AB115" s="2" t="e">
        <f>_xlfn.XLOOKUP(Portefeuille_MNT_PPS_Access22[[#This Row],[Numéro projet]],Tableau5[Numéro projet],Tableau5[Critère Etat Infrastructure])</f>
        <v>#N/A</v>
      </c>
      <c r="AC11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5" t="s">
        <v>311</v>
      </c>
      <c r="AG115" s="2"/>
      <c r="AH115" s="2"/>
      <c r="AL115"/>
      <c r="AS115">
        <v>50</v>
      </c>
      <c r="AU115">
        <v>50</v>
      </c>
      <c r="AV115"/>
      <c r="AW115">
        <v>100</v>
      </c>
      <c r="AY115">
        <v>200</v>
      </c>
      <c r="AZ115">
        <v>3000</v>
      </c>
      <c r="BI115" s="14">
        <f>SUM(Portefeuille_MNT_PPS_Access22[[#This Row],[AC ANT]:[TR 2035]])</f>
        <v>3400</v>
      </c>
    </row>
    <row r="116" spans="1:61" hidden="1" x14ac:dyDescent="0.3">
      <c r="A116" t="s">
        <v>286</v>
      </c>
      <c r="C116" t="s">
        <v>118</v>
      </c>
      <c r="D116" t="s">
        <v>102</v>
      </c>
      <c r="E116" t="s">
        <v>103</v>
      </c>
      <c r="G116" t="s">
        <v>20</v>
      </c>
      <c r="H116" t="s">
        <v>20</v>
      </c>
      <c r="I116" t="s">
        <v>131</v>
      </c>
      <c r="J116" t="s">
        <v>418</v>
      </c>
      <c r="K116" t="s">
        <v>530</v>
      </c>
      <c r="L116" t="s">
        <v>420</v>
      </c>
      <c r="M116" t="s">
        <v>421</v>
      </c>
      <c r="N116" t="s">
        <v>291</v>
      </c>
      <c r="O116" s="1"/>
      <c r="P116" s="1"/>
      <c r="Q116" s="1"/>
      <c r="R11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6">
        <f>Portefeuille_MNT_PPS_Access22[[#This Row],[Délais PC1 et PC3]]+Portefeuille_MNT_PPS_Access22[[#This Row],[Délais PC3 et PC5]]</f>
        <v>0</v>
      </c>
      <c r="X116">
        <v>1</v>
      </c>
      <c r="Z11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6" s="12" t="e">
        <f>_xlfn.XLOOKUP(Portefeuille_MNT_PPS_Access22[[#This Row],[Numéro projet]],Tableau5[Numéro projet],Tableau5[IND_Site_Prioritaire])</f>
        <v>#N/A</v>
      </c>
      <c r="AB116" s="2" t="e">
        <f>_xlfn.XLOOKUP(Portefeuille_MNT_PPS_Access22[[#This Row],[Numéro projet]],Tableau5[Numéro projet],Tableau5[Critère Etat Infrastructure])</f>
        <v>#N/A</v>
      </c>
      <c r="AC11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6" t="s">
        <v>311</v>
      </c>
      <c r="AG116" s="2"/>
      <c r="AH116" s="2"/>
      <c r="AL116"/>
      <c r="AV116"/>
      <c r="AW116">
        <v>100</v>
      </c>
      <c r="AY116">
        <v>200</v>
      </c>
      <c r="BA116">
        <v>450</v>
      </c>
      <c r="BB116">
        <v>7500</v>
      </c>
      <c r="BI116" s="14">
        <f>SUM(Portefeuille_MNT_PPS_Access22[[#This Row],[AC ANT]:[TR 2035]])</f>
        <v>8250</v>
      </c>
    </row>
    <row r="117" spans="1:61" hidden="1" x14ac:dyDescent="0.3">
      <c r="A117" t="s">
        <v>286</v>
      </c>
      <c r="C117" t="s">
        <v>101</v>
      </c>
      <c r="D117" t="s">
        <v>102</v>
      </c>
      <c r="E117" t="s">
        <v>389</v>
      </c>
      <c r="G117" t="s">
        <v>20</v>
      </c>
      <c r="H117" t="s">
        <v>20</v>
      </c>
      <c r="I117" t="s">
        <v>105</v>
      </c>
      <c r="J117" t="s">
        <v>428</v>
      </c>
      <c r="K117" t="s">
        <v>429</v>
      </c>
      <c r="L117" t="s">
        <v>302</v>
      </c>
      <c r="M117" t="s">
        <v>421</v>
      </c>
      <c r="N117" t="s">
        <v>291</v>
      </c>
      <c r="O117" s="1"/>
      <c r="P117" s="1"/>
      <c r="Q117" s="1"/>
      <c r="R11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7">
        <f>Portefeuille_MNT_PPS_Access22[[#This Row],[Délais PC1 et PC3]]+Portefeuille_MNT_PPS_Access22[[#This Row],[Délais PC3 et PC5]]</f>
        <v>0</v>
      </c>
      <c r="X117">
        <v>1</v>
      </c>
      <c r="Z11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7" s="12" t="e">
        <f>_xlfn.XLOOKUP(Portefeuille_MNT_PPS_Access22[[#This Row],[Numéro projet]],Tableau5[Numéro projet],Tableau5[IND_Site_Prioritaire])</f>
        <v>#N/A</v>
      </c>
      <c r="AB117" s="2" t="e">
        <f>_xlfn.XLOOKUP(Portefeuille_MNT_PPS_Access22[[#This Row],[Numéro projet]],Tableau5[Numéro projet],Tableau5[Critère Etat Infrastructure])</f>
        <v>#N/A</v>
      </c>
      <c r="AC11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7" t="s">
        <v>311</v>
      </c>
      <c r="AG117" s="2"/>
      <c r="AH117" s="2"/>
      <c r="AL117"/>
      <c r="AV117"/>
      <c r="AY117">
        <v>100</v>
      </c>
      <c r="BA117">
        <v>200</v>
      </c>
      <c r="BB117">
        <v>5000</v>
      </c>
      <c r="BI117" s="14">
        <f>SUM(Portefeuille_MNT_PPS_Access22[[#This Row],[AC ANT]:[TR 2035]])</f>
        <v>5300</v>
      </c>
    </row>
    <row r="118" spans="1:61" hidden="1" x14ac:dyDescent="0.3">
      <c r="A118" t="s">
        <v>286</v>
      </c>
      <c r="C118" t="s">
        <v>101</v>
      </c>
      <c r="D118" t="s">
        <v>102</v>
      </c>
      <c r="E118" t="s">
        <v>103</v>
      </c>
      <c r="G118" t="s">
        <v>20</v>
      </c>
      <c r="H118" t="s">
        <v>20</v>
      </c>
      <c r="I118" t="s">
        <v>105</v>
      </c>
      <c r="J118" t="s">
        <v>444</v>
      </c>
      <c r="K118" t="s">
        <v>445</v>
      </c>
      <c r="L118" t="s">
        <v>302</v>
      </c>
      <c r="M118" t="s">
        <v>421</v>
      </c>
      <c r="N118" t="s">
        <v>291</v>
      </c>
      <c r="O118" s="1"/>
      <c r="P118" s="1"/>
      <c r="Q118" s="1"/>
      <c r="R11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8">
        <f>Portefeuille_MNT_PPS_Access22[[#This Row],[Délais PC1 et PC3]]+Portefeuille_MNT_PPS_Access22[[#This Row],[Délais PC3 et PC5]]</f>
        <v>0</v>
      </c>
      <c r="X118">
        <v>1</v>
      </c>
      <c r="Z11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8" s="12" t="e">
        <f>_xlfn.XLOOKUP(Portefeuille_MNT_PPS_Access22[[#This Row],[Numéro projet]],Tableau5[Numéro projet],Tableau5[IND_Site_Prioritaire])</f>
        <v>#N/A</v>
      </c>
      <c r="AB118" s="2" t="e">
        <f>_xlfn.XLOOKUP(Portefeuille_MNT_PPS_Access22[[#This Row],[Numéro projet]],Tableau5[Numéro projet],Tableau5[Critère Etat Infrastructure])</f>
        <v>#N/A</v>
      </c>
      <c r="AC11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8" t="s">
        <v>311</v>
      </c>
      <c r="AG118" s="2"/>
      <c r="AH118" s="2"/>
      <c r="AL118"/>
      <c r="AV118"/>
      <c r="AW118">
        <v>150</v>
      </c>
      <c r="AY118">
        <v>150</v>
      </c>
      <c r="BA118">
        <v>600</v>
      </c>
      <c r="BB118">
        <v>12000</v>
      </c>
      <c r="BI118" s="14">
        <f>SUM(Portefeuille_MNT_PPS_Access22[[#This Row],[AC ANT]:[TR 2035]])</f>
        <v>12900</v>
      </c>
    </row>
    <row r="119" spans="1:61" hidden="1" x14ac:dyDescent="0.3">
      <c r="A119" t="s">
        <v>286</v>
      </c>
      <c r="C119" t="s">
        <v>126</v>
      </c>
      <c r="D119" t="s">
        <v>127</v>
      </c>
      <c r="E119" t="s">
        <v>103</v>
      </c>
      <c r="G119" t="s">
        <v>20</v>
      </c>
      <c r="H119" t="s">
        <v>20</v>
      </c>
      <c r="I119" t="s">
        <v>105</v>
      </c>
      <c r="J119" t="s">
        <v>474</v>
      </c>
      <c r="K119" t="s">
        <v>528</v>
      </c>
      <c r="L119" t="s">
        <v>108</v>
      </c>
      <c r="M119">
        <v>2034</v>
      </c>
      <c r="N119" t="s">
        <v>291</v>
      </c>
      <c r="O119" s="1"/>
      <c r="P119" s="1"/>
      <c r="Q119" s="1"/>
      <c r="R119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1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19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1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1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19">
        <f>Portefeuille_MNT_PPS_Access22[[#This Row],[Délais PC1 et PC3]]+Portefeuille_MNT_PPS_Access22[[#This Row],[Délais PC3 et PC5]]</f>
        <v>0</v>
      </c>
      <c r="X119">
        <v>1</v>
      </c>
      <c r="Z11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19" s="12" t="e">
        <f>_xlfn.XLOOKUP(Portefeuille_MNT_PPS_Access22[[#This Row],[Numéro projet]],Tableau5[Numéro projet],Tableau5[IND_Site_Prioritaire])</f>
        <v>#N/A</v>
      </c>
      <c r="AB119" s="2" t="e">
        <f>_xlfn.XLOOKUP(Portefeuille_MNT_PPS_Access22[[#This Row],[Numéro projet]],Tableau5[Numéro projet],Tableau5[Critère Etat Infrastructure])</f>
        <v>#N/A</v>
      </c>
      <c r="AC11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19" t="s">
        <v>311</v>
      </c>
      <c r="AG119" s="2"/>
      <c r="AH119" s="2"/>
      <c r="AL119"/>
      <c r="AV119"/>
      <c r="BA119">
        <v>375</v>
      </c>
      <c r="BC119">
        <v>375</v>
      </c>
      <c r="BE119">
        <v>500</v>
      </c>
      <c r="BF119">
        <v>9000</v>
      </c>
      <c r="BG119">
        <v>500</v>
      </c>
      <c r="BH119">
        <v>28000</v>
      </c>
      <c r="BI119" s="14">
        <f>SUM(Portefeuille_MNT_PPS_Access22[[#This Row],[AC ANT]:[TR 2035]])</f>
        <v>38750</v>
      </c>
    </row>
    <row r="120" spans="1:61" hidden="1" x14ac:dyDescent="0.3">
      <c r="A120" t="s">
        <v>286</v>
      </c>
      <c r="C120" t="s">
        <v>101</v>
      </c>
      <c r="D120" t="s">
        <v>102</v>
      </c>
      <c r="E120" t="s">
        <v>103</v>
      </c>
      <c r="G120" t="s">
        <v>20</v>
      </c>
      <c r="H120" t="s">
        <v>20</v>
      </c>
      <c r="I120" t="s">
        <v>105</v>
      </c>
      <c r="J120" t="s">
        <v>468</v>
      </c>
      <c r="K120" t="s">
        <v>469</v>
      </c>
      <c r="L120" t="s">
        <v>143</v>
      </c>
      <c r="M120">
        <v>2033</v>
      </c>
      <c r="N120" t="s">
        <v>291</v>
      </c>
      <c r="O120" s="1"/>
      <c r="P120" s="1"/>
      <c r="Q120" s="1"/>
      <c r="R12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0">
        <f>Portefeuille_MNT_PPS_Access22[[#This Row],[Délais PC1 et PC3]]+Portefeuille_MNT_PPS_Access22[[#This Row],[Délais PC3 et PC5]]</f>
        <v>0</v>
      </c>
      <c r="X120">
        <v>1</v>
      </c>
      <c r="Z12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0" s="12" t="e">
        <f>_xlfn.XLOOKUP(Portefeuille_MNT_PPS_Access22[[#This Row],[Numéro projet]],Tableau5[Numéro projet],Tableau5[IND_Site_Prioritaire])</f>
        <v>#N/A</v>
      </c>
      <c r="AB120" s="2" t="e">
        <f>_xlfn.XLOOKUP(Portefeuille_MNT_PPS_Access22[[#This Row],[Numéro projet]],Tableau5[Numéro projet],Tableau5[Critère Etat Infrastructure])</f>
        <v>#N/A</v>
      </c>
      <c r="AC12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0" t="s">
        <v>311</v>
      </c>
      <c r="AG120" s="2"/>
      <c r="AH120" s="2"/>
      <c r="AL120"/>
      <c r="AV120"/>
      <c r="BA120">
        <v>375</v>
      </c>
      <c r="BC120">
        <v>750</v>
      </c>
      <c r="BE120">
        <v>1000</v>
      </c>
      <c r="BF120">
        <v>59000</v>
      </c>
      <c r="BI120" s="14">
        <f>SUM(Portefeuille_MNT_PPS_Access22[[#This Row],[AC ANT]:[TR 2035]])</f>
        <v>61125</v>
      </c>
    </row>
    <row r="121" spans="1:61" hidden="1" x14ac:dyDescent="0.3">
      <c r="A121" t="s">
        <v>286</v>
      </c>
      <c r="C121" t="s">
        <v>101</v>
      </c>
      <c r="D121" t="s">
        <v>102</v>
      </c>
      <c r="E121" t="s">
        <v>136</v>
      </c>
      <c r="G121" t="s">
        <v>20</v>
      </c>
      <c r="H121" t="s">
        <v>20</v>
      </c>
      <c r="I121" t="s">
        <v>105</v>
      </c>
      <c r="J121" t="s">
        <v>460</v>
      </c>
      <c r="K121" t="s">
        <v>461</v>
      </c>
      <c r="L121" t="s">
        <v>108</v>
      </c>
      <c r="M121" t="s">
        <v>395</v>
      </c>
      <c r="N121" t="s">
        <v>291</v>
      </c>
      <c r="O121" s="1"/>
      <c r="P121" s="1"/>
      <c r="Q121" s="1"/>
      <c r="R12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1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1">
        <f>Portefeuille_MNT_PPS_Access22[[#This Row],[Délais PC1 et PC3]]+Portefeuille_MNT_PPS_Access22[[#This Row],[Délais PC3 et PC5]]</f>
        <v>0</v>
      </c>
      <c r="X121">
        <v>1</v>
      </c>
      <c r="Z12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1" s="12" t="e">
        <f>_xlfn.XLOOKUP(Portefeuille_MNT_PPS_Access22[[#This Row],[Numéro projet]],Tableau5[Numéro projet],Tableau5[IND_Site_Prioritaire])</f>
        <v>#N/A</v>
      </c>
      <c r="AB121" s="2" t="e">
        <f>_xlfn.XLOOKUP(Portefeuille_MNT_PPS_Access22[[#This Row],[Numéro projet]],Tableau5[Numéro projet],Tableau5[Critère Etat Infrastructure])</f>
        <v>#N/A</v>
      </c>
      <c r="AC12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1" t="s">
        <v>311</v>
      </c>
      <c r="AG121" s="2"/>
      <c r="AH121" s="2"/>
      <c r="AL121"/>
      <c r="AV121"/>
      <c r="BA121">
        <v>150</v>
      </c>
      <c r="BC121">
        <v>150</v>
      </c>
      <c r="BE121">
        <v>500</v>
      </c>
      <c r="BF121">
        <v>7400</v>
      </c>
      <c r="BI121" s="14">
        <f>SUM(Portefeuille_MNT_PPS_Access22[[#This Row],[AC ANT]:[TR 2035]])</f>
        <v>8200</v>
      </c>
    </row>
    <row r="122" spans="1:61" hidden="1" x14ac:dyDescent="0.3">
      <c r="A122" t="s">
        <v>286</v>
      </c>
      <c r="C122" t="s">
        <v>101</v>
      </c>
      <c r="D122" t="s">
        <v>102</v>
      </c>
      <c r="E122" t="s">
        <v>103</v>
      </c>
      <c r="G122" t="s">
        <v>20</v>
      </c>
      <c r="H122" t="s">
        <v>20</v>
      </c>
      <c r="I122" t="s">
        <v>131</v>
      </c>
      <c r="J122" t="s">
        <v>379</v>
      </c>
      <c r="K122" t="s">
        <v>380</v>
      </c>
      <c r="L122" t="s">
        <v>134</v>
      </c>
      <c r="M122" s="214">
        <v>2035</v>
      </c>
      <c r="N122" t="s">
        <v>291</v>
      </c>
      <c r="O122" s="1"/>
      <c r="P122" s="1"/>
      <c r="Q122" s="1"/>
      <c r="R12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2">
        <f>Portefeuille_MNT_PPS_Access22[[#This Row],[Délais PC1 et PC3]]+Portefeuille_MNT_PPS_Access22[[#This Row],[Délais PC3 et PC5]]</f>
        <v>0</v>
      </c>
      <c r="X122">
        <v>1</v>
      </c>
      <c r="Z12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2" s="12" t="e">
        <f>_xlfn.XLOOKUP(Portefeuille_MNT_PPS_Access22[[#This Row],[Numéro projet]],Tableau5[Numéro projet],Tableau5[IND_Site_Prioritaire])</f>
        <v>#N/A</v>
      </c>
      <c r="AB122" s="2" t="e">
        <f>_xlfn.XLOOKUP(Portefeuille_MNT_PPS_Access22[[#This Row],[Numéro projet]],Tableau5[Numéro projet],Tableau5[Critère Etat Infrastructure])</f>
        <v>#N/A</v>
      </c>
      <c r="AC12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2" t="s">
        <v>311</v>
      </c>
      <c r="AG122" s="2"/>
      <c r="AH122" s="2"/>
      <c r="AL122"/>
      <c r="AV122"/>
      <c r="BE122">
        <v>150</v>
      </c>
      <c r="BG122">
        <v>250</v>
      </c>
      <c r="BH122">
        <v>5000</v>
      </c>
      <c r="BI122" s="14">
        <f>SUM(Portefeuille_MNT_PPS_Access22[[#This Row],[AC ANT]:[TR 2035]])</f>
        <v>5400</v>
      </c>
    </row>
    <row r="123" spans="1:61" hidden="1" x14ac:dyDescent="0.3">
      <c r="A123" t="s">
        <v>286</v>
      </c>
      <c r="C123" t="s">
        <v>101</v>
      </c>
      <c r="D123" t="s">
        <v>102</v>
      </c>
      <c r="E123" t="s">
        <v>103</v>
      </c>
      <c r="G123" t="s">
        <v>20</v>
      </c>
      <c r="H123" t="s">
        <v>20</v>
      </c>
      <c r="I123" t="s">
        <v>105</v>
      </c>
      <c r="J123" t="s">
        <v>466</v>
      </c>
      <c r="K123" t="s">
        <v>467</v>
      </c>
      <c r="L123" t="s">
        <v>108</v>
      </c>
      <c r="M123" s="214">
        <v>2035</v>
      </c>
      <c r="N123" t="s">
        <v>291</v>
      </c>
      <c r="O123" s="1"/>
      <c r="P123" s="1"/>
      <c r="Q123" s="1"/>
      <c r="R12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3">
        <f>Portefeuille_MNT_PPS_Access22[[#This Row],[Délais PC1 et PC3]]+Portefeuille_MNT_PPS_Access22[[#This Row],[Délais PC3 et PC5]]</f>
        <v>0</v>
      </c>
      <c r="X123">
        <v>1</v>
      </c>
      <c r="Z12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3" s="12" t="e">
        <f>_xlfn.XLOOKUP(Portefeuille_MNT_PPS_Access22[[#This Row],[Numéro projet]],Tableau5[Numéro projet],Tableau5[IND_Site_Prioritaire])</f>
        <v>#N/A</v>
      </c>
      <c r="AB123" s="2" t="e">
        <f>_xlfn.XLOOKUP(Portefeuille_MNT_PPS_Access22[[#This Row],[Numéro projet]],Tableau5[Numéro projet],Tableau5[Critère Etat Infrastructure])</f>
        <v>#N/A</v>
      </c>
      <c r="AC12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3" t="s">
        <v>311</v>
      </c>
      <c r="AG123" s="2"/>
      <c r="AH123" s="2"/>
      <c r="AL123"/>
      <c r="AV123"/>
      <c r="BC123">
        <v>375</v>
      </c>
      <c r="BE123">
        <v>375</v>
      </c>
      <c r="BG123">
        <v>750</v>
      </c>
      <c r="BH123">
        <v>45000</v>
      </c>
      <c r="BI123" s="14">
        <f>SUM(Portefeuille_MNT_PPS_Access22[[#This Row],[AC ANT]:[TR 2035]])</f>
        <v>46500</v>
      </c>
    </row>
    <row r="124" spans="1:61" hidden="1" x14ac:dyDescent="0.3">
      <c r="A124" t="s">
        <v>286</v>
      </c>
      <c r="C124" t="s">
        <v>101</v>
      </c>
      <c r="D124" t="s">
        <v>102</v>
      </c>
      <c r="E124" t="s">
        <v>103</v>
      </c>
      <c r="G124" t="s">
        <v>20</v>
      </c>
      <c r="H124" t="s">
        <v>20</v>
      </c>
      <c r="I124" t="s">
        <v>105</v>
      </c>
      <c r="J124" t="s">
        <v>446</v>
      </c>
      <c r="K124" t="s">
        <v>447</v>
      </c>
      <c r="L124" t="s">
        <v>168</v>
      </c>
      <c r="M124" s="214">
        <v>2035</v>
      </c>
      <c r="N124" t="s">
        <v>291</v>
      </c>
      <c r="O124" s="1"/>
      <c r="P124" s="1"/>
      <c r="Q124" s="1"/>
      <c r="R12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4">
        <f>Portefeuille_MNT_PPS_Access22[[#This Row],[Délais PC1 et PC3]]+Portefeuille_MNT_PPS_Access22[[#This Row],[Délais PC3 et PC5]]</f>
        <v>0</v>
      </c>
      <c r="X124">
        <v>1</v>
      </c>
      <c r="Z12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4" s="12" t="e">
        <f>_xlfn.XLOOKUP(Portefeuille_MNT_PPS_Access22[[#This Row],[Numéro projet]],Tableau5[Numéro projet],Tableau5[IND_Site_Prioritaire])</f>
        <v>#N/A</v>
      </c>
      <c r="AB124" s="2" t="e">
        <f>_xlfn.XLOOKUP(Portefeuille_MNT_PPS_Access22[[#This Row],[Numéro projet]],Tableau5[Numéro projet],Tableau5[Critère Etat Infrastructure])</f>
        <v>#N/A</v>
      </c>
      <c r="AC12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4" t="s">
        <v>311</v>
      </c>
      <c r="AG124" s="2"/>
      <c r="AH124" s="2"/>
      <c r="AL124"/>
      <c r="AV124"/>
      <c r="BC124">
        <v>150</v>
      </c>
      <c r="BE124">
        <v>150</v>
      </c>
      <c r="BG124">
        <v>600</v>
      </c>
      <c r="BH124">
        <v>12000</v>
      </c>
      <c r="BI124" s="14">
        <f>SUM(Portefeuille_MNT_PPS_Access22[[#This Row],[AC ANT]:[TR 2035]])</f>
        <v>12900</v>
      </c>
    </row>
    <row r="125" spans="1:61" hidden="1" x14ac:dyDescent="0.3">
      <c r="A125" t="s">
        <v>286</v>
      </c>
      <c r="C125" t="s">
        <v>101</v>
      </c>
      <c r="D125" t="s">
        <v>102</v>
      </c>
      <c r="E125" t="s">
        <v>103</v>
      </c>
      <c r="G125" t="s">
        <v>20</v>
      </c>
      <c r="H125" t="s">
        <v>20</v>
      </c>
      <c r="I125" t="s">
        <v>105</v>
      </c>
      <c r="J125" t="s">
        <v>393</v>
      </c>
      <c r="K125" t="s">
        <v>394</v>
      </c>
      <c r="L125" t="s">
        <v>122</v>
      </c>
      <c r="M125" s="214" t="s">
        <v>533</v>
      </c>
      <c r="N125" t="s">
        <v>291</v>
      </c>
      <c r="O125" s="1"/>
      <c r="P125" s="1"/>
      <c r="Q125" s="1"/>
      <c r="R12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5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5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5">
        <f>Portefeuille_MNT_PPS_Access22[[#This Row],[Délais PC1 et PC3]]+Portefeuille_MNT_PPS_Access22[[#This Row],[Délais PC3 et PC5]]</f>
        <v>0</v>
      </c>
      <c r="X125">
        <v>1</v>
      </c>
      <c r="Z12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5" s="12" t="e">
        <f>_xlfn.XLOOKUP(Portefeuille_MNT_PPS_Access22[[#This Row],[Numéro projet]],Tableau5[Numéro projet],Tableau5[IND_Site_Prioritaire])</f>
        <v>#N/A</v>
      </c>
      <c r="AB125" s="2" t="e">
        <f>_xlfn.XLOOKUP(Portefeuille_MNT_PPS_Access22[[#This Row],[Numéro projet]],Tableau5[Numéro projet],Tableau5[Critère Etat Infrastructure])</f>
        <v>#N/A</v>
      </c>
      <c r="AC125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25" t="s">
        <v>311</v>
      </c>
      <c r="AG125" s="2"/>
      <c r="AH125" s="2"/>
      <c r="AL125"/>
      <c r="AV125"/>
      <c r="BC125">
        <v>100</v>
      </c>
      <c r="BE125">
        <v>100</v>
      </c>
      <c r="BG125">
        <v>500</v>
      </c>
      <c r="BH125">
        <v>12000</v>
      </c>
      <c r="BI125" s="14">
        <f>SUM(Portefeuille_MNT_PPS_Access22[[#This Row],[AC ANT]:[TR 2035]])</f>
        <v>12700</v>
      </c>
    </row>
    <row r="126" spans="1:61" hidden="1" x14ac:dyDescent="0.3">
      <c r="A126" t="s">
        <v>286</v>
      </c>
      <c r="C126" t="s">
        <v>101</v>
      </c>
      <c r="D126" t="s">
        <v>102</v>
      </c>
      <c r="E126" t="s">
        <v>389</v>
      </c>
      <c r="G126" t="s">
        <v>20</v>
      </c>
      <c r="H126" t="s">
        <v>20</v>
      </c>
      <c r="I126" t="s">
        <v>105</v>
      </c>
      <c r="J126" t="s">
        <v>601</v>
      </c>
      <c r="K126" t="s">
        <v>602</v>
      </c>
      <c r="L126" t="s">
        <v>239</v>
      </c>
      <c r="M126" s="214" t="s">
        <v>533</v>
      </c>
      <c r="O126" s="1"/>
      <c r="P126" s="1"/>
      <c r="Q126" s="1"/>
      <c r="R12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2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2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2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2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26">
        <f>Portefeuille_MNT_PPS_Access22[[#This Row],[Délais PC1 et PC3]]+Portefeuille_MNT_PPS_Access22[[#This Row],[Délais PC3 et PC5]]</f>
        <v>0</v>
      </c>
      <c r="X126">
        <v>1</v>
      </c>
      <c r="Z126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26" s="12" t="e">
        <f>_xlfn.XLOOKUP(Portefeuille_MNT_PPS_Access22[[#This Row],[Numéro projet]],Tableau5[Numéro projet],Tableau5[IND_Site_Prioritaire])</f>
        <v>#N/A</v>
      </c>
      <c r="AB126" s="2" t="e">
        <f>_xlfn.XLOOKUP(Portefeuille_MNT_PPS_Access22[[#This Row],[Numéro projet]],Tableau5[Numéro projet],Tableau5[Critère Etat Infrastructure])</f>
        <v>#N/A</v>
      </c>
      <c r="AC12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G126" s="2"/>
      <c r="AH126" s="2"/>
      <c r="AL126"/>
      <c r="AV126"/>
      <c r="BC126">
        <v>100</v>
      </c>
      <c r="BE126">
        <v>100</v>
      </c>
      <c r="BG126">
        <v>500</v>
      </c>
      <c r="BH126">
        <v>5000</v>
      </c>
      <c r="BI126" s="14">
        <f>SUM(Portefeuille_MNT_PPS_Access22[[#This Row],[AC ANT]:[TR 2035]])</f>
        <v>5700</v>
      </c>
    </row>
    <row r="127" spans="1:61" hidden="1" x14ac:dyDescent="0.3">
      <c r="A127" t="s">
        <v>286</v>
      </c>
      <c r="C127" t="s">
        <v>126</v>
      </c>
      <c r="D127" t="s">
        <v>127</v>
      </c>
      <c r="E127" t="s">
        <v>136</v>
      </c>
      <c r="F127" t="s">
        <v>104</v>
      </c>
      <c r="G127" t="s">
        <v>16</v>
      </c>
      <c r="H127" t="s">
        <v>16</v>
      </c>
      <c r="I127" t="s">
        <v>105</v>
      </c>
      <c r="J127" t="s">
        <v>300</v>
      </c>
      <c r="K127" t="s">
        <v>301</v>
      </c>
      <c r="L127" t="s">
        <v>302</v>
      </c>
      <c r="N127" t="s">
        <v>164</v>
      </c>
      <c r="O127" s="1">
        <v>41907</v>
      </c>
      <c r="P127" s="1">
        <v>41968</v>
      </c>
      <c r="Q127" s="1">
        <v>42045</v>
      </c>
      <c r="R127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27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27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2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2</v>
      </c>
      <c r="V12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</v>
      </c>
      <c r="W127">
        <f>Portefeuille_MNT_PPS_Access22[[#This Row],[Délais PC1 et PC3]]+Portefeuille_MNT_PPS_Access22[[#This Row],[Délais PC3 et PC5]]</f>
        <v>5</v>
      </c>
      <c r="X127">
        <v>1</v>
      </c>
      <c r="Y127">
        <v>5</v>
      </c>
      <c r="Z12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27" s="12" t="e">
        <f>_xlfn.XLOOKUP(Portefeuille_MNT_PPS_Access22[[#This Row],[Numéro projet]],Tableau5[Numéro projet],Tableau5[IND_Site_Prioritaire])</f>
        <v>#N/A</v>
      </c>
      <c r="AB127" s="2" t="e">
        <f>_xlfn.XLOOKUP(Portefeuille_MNT_PPS_Access22[[#This Row],[Numéro projet]],Tableau5[Numéro projet],Tableau5[Critère Etat Infrastructure])</f>
        <v>#N/A</v>
      </c>
      <c r="AC12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27">
        <v>5</v>
      </c>
      <c r="AE127">
        <v>5</v>
      </c>
      <c r="AF127" t="s">
        <v>165</v>
      </c>
      <c r="AG127" s="2"/>
      <c r="AH127" s="2"/>
      <c r="AI127">
        <v>2582</v>
      </c>
      <c r="AJ127">
        <v>17091</v>
      </c>
      <c r="AK127">
        <v>25</v>
      </c>
      <c r="AL127">
        <v>98</v>
      </c>
      <c r="AM127">
        <v>10</v>
      </c>
      <c r="AV127"/>
      <c r="BI127" s="14">
        <f>SUM(Portefeuille_MNT_PPS_Access22[[#This Row],[AC ANT]:[TR 2035]])</f>
        <v>19806</v>
      </c>
    </row>
    <row r="128" spans="1:61" hidden="1" x14ac:dyDescent="0.3">
      <c r="A128" t="s">
        <v>286</v>
      </c>
      <c r="C128" t="s">
        <v>126</v>
      </c>
      <c r="D128" t="s">
        <v>127</v>
      </c>
      <c r="E128" t="s">
        <v>136</v>
      </c>
      <c r="F128" t="s">
        <v>104</v>
      </c>
      <c r="G128" t="s">
        <v>16</v>
      </c>
      <c r="H128" t="s">
        <v>16</v>
      </c>
      <c r="I128" t="s">
        <v>131</v>
      </c>
      <c r="J128" t="s">
        <v>303</v>
      </c>
      <c r="K128" t="s">
        <v>304</v>
      </c>
      <c r="L128" t="s">
        <v>194</v>
      </c>
      <c r="N128" t="s">
        <v>164</v>
      </c>
      <c r="O128" s="1">
        <v>43270</v>
      </c>
      <c r="P128" s="1">
        <v>44222</v>
      </c>
      <c r="Q128" s="1">
        <v>44356</v>
      </c>
      <c r="R128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28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28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2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31</v>
      </c>
      <c r="V12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5</v>
      </c>
      <c r="W128">
        <f>Portefeuille_MNT_PPS_Access22[[#This Row],[Délais PC1 et PC3]]+Portefeuille_MNT_PPS_Access22[[#This Row],[Délais PC3 et PC5]]</f>
        <v>36</v>
      </c>
      <c r="X128">
        <v>1</v>
      </c>
      <c r="Y128">
        <v>5</v>
      </c>
      <c r="Z12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28" s="12" t="e">
        <f>_xlfn.XLOOKUP(Portefeuille_MNT_PPS_Access22[[#This Row],[Numéro projet]],Tableau5[Numéro projet],Tableau5[IND_Site_Prioritaire])</f>
        <v>#N/A</v>
      </c>
      <c r="AB128" s="2" t="e">
        <f>_xlfn.XLOOKUP(Portefeuille_MNT_PPS_Access22[[#This Row],[Numéro projet]],Tableau5[Numéro projet],Tableau5[Critère Etat Infrastructure])</f>
        <v>#N/A</v>
      </c>
      <c r="AC128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28">
        <v>5</v>
      </c>
      <c r="AE128">
        <v>5</v>
      </c>
      <c r="AF128" t="s">
        <v>165</v>
      </c>
      <c r="AG128" s="2">
        <v>5</v>
      </c>
      <c r="AH128" s="2"/>
      <c r="AI128">
        <v>569</v>
      </c>
      <c r="AJ128">
        <v>2223</v>
      </c>
      <c r="AK128">
        <v>18</v>
      </c>
      <c r="AL128">
        <v>92</v>
      </c>
      <c r="AV128"/>
      <c r="BI128" s="14">
        <f>SUM(Portefeuille_MNT_PPS_Access22[[#This Row],[AC ANT]:[TR 2035]])</f>
        <v>2902</v>
      </c>
    </row>
    <row r="129" spans="1:61" hidden="1" x14ac:dyDescent="0.3">
      <c r="A129" t="s">
        <v>286</v>
      </c>
      <c r="C129" t="s">
        <v>101</v>
      </c>
      <c r="D129" t="s">
        <v>102</v>
      </c>
      <c r="E129" t="s">
        <v>103</v>
      </c>
      <c r="F129" t="s">
        <v>104</v>
      </c>
      <c r="G129" t="s">
        <v>16</v>
      </c>
      <c r="H129" t="s">
        <v>16</v>
      </c>
      <c r="I129" t="s">
        <v>105</v>
      </c>
      <c r="J129" t="s">
        <v>305</v>
      </c>
      <c r="K129" t="s">
        <v>306</v>
      </c>
      <c r="L129" t="s">
        <v>302</v>
      </c>
      <c r="N129" t="s">
        <v>164</v>
      </c>
      <c r="O129" s="1">
        <v>43612</v>
      </c>
      <c r="P129" s="1">
        <v>44098</v>
      </c>
      <c r="Q129" s="1">
        <v>44188</v>
      </c>
      <c r="R129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29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29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2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16</v>
      </c>
      <c r="V12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</v>
      </c>
      <c r="W129">
        <f>Portefeuille_MNT_PPS_Access22[[#This Row],[Délais PC1 et PC3]]+Portefeuille_MNT_PPS_Access22[[#This Row],[Délais PC3 et PC5]]</f>
        <v>19</v>
      </c>
      <c r="X129">
        <v>1</v>
      </c>
      <c r="Y129">
        <v>5</v>
      </c>
      <c r="Z12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29" s="12" t="e">
        <f>_xlfn.XLOOKUP(Portefeuille_MNT_PPS_Access22[[#This Row],[Numéro projet]],Tableau5[Numéro projet],Tableau5[IND_Site_Prioritaire])</f>
        <v>#N/A</v>
      </c>
      <c r="AB129" s="2" t="e">
        <f>_xlfn.XLOOKUP(Portefeuille_MNT_PPS_Access22[[#This Row],[Numéro projet]],Tableau5[Numéro projet],Tableau5[Critère Etat Infrastructure])</f>
        <v>#N/A</v>
      </c>
      <c r="AC129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29">
        <v>5</v>
      </c>
      <c r="AE129">
        <v>5</v>
      </c>
      <c r="AF129" t="s">
        <v>165</v>
      </c>
      <c r="AG129" s="2"/>
      <c r="AH129" s="2"/>
      <c r="AI129">
        <v>640</v>
      </c>
      <c r="AJ129">
        <v>6783</v>
      </c>
      <c r="AK129">
        <v>36</v>
      </c>
      <c r="AL129"/>
      <c r="AV129"/>
      <c r="BI129" s="14">
        <f>SUM(Portefeuille_MNT_PPS_Access22[[#This Row],[AC ANT]:[TR 2035]])</f>
        <v>7459</v>
      </c>
    </row>
    <row r="130" spans="1:61" hidden="1" x14ac:dyDescent="0.3">
      <c r="A130" t="s">
        <v>286</v>
      </c>
      <c r="C130" t="s">
        <v>101</v>
      </c>
      <c r="D130" t="s">
        <v>102</v>
      </c>
      <c r="E130" t="s">
        <v>177</v>
      </c>
      <c r="G130" t="s">
        <v>16</v>
      </c>
      <c r="H130" t="s">
        <v>325</v>
      </c>
      <c r="I130" t="s">
        <v>131</v>
      </c>
      <c r="J130" t="s">
        <v>603</v>
      </c>
      <c r="K130" t="s">
        <v>604</v>
      </c>
      <c r="L130" t="s">
        <v>214</v>
      </c>
      <c r="O130" s="1"/>
      <c r="P130" s="1"/>
      <c r="Q130" s="1"/>
      <c r="R130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0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0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0">
        <f>Portefeuille_MNT_PPS_Access22[[#This Row],[Délais PC1 et PC3]]+Portefeuille_MNT_PPS_Access22[[#This Row],[Délais PC3 et PC5]]</f>
        <v>0</v>
      </c>
      <c r="X130">
        <v>1</v>
      </c>
      <c r="Z130" s="2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30" s="12" t="e">
        <f>_xlfn.XLOOKUP(Portefeuille_MNT_PPS_Access22[[#This Row],[Numéro projet]],Tableau5[Numéro projet],Tableau5[IND_Site_Prioritaire])</f>
        <v>#N/A</v>
      </c>
      <c r="AB130" s="2" t="e">
        <f>_xlfn.XLOOKUP(Portefeuille_MNT_PPS_Access22[[#This Row],[Numéro projet]],Tableau5[Numéro projet],Tableau5[Critère Etat Infrastructure])</f>
        <v>#N/A</v>
      </c>
      <c r="AC13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G130" s="2"/>
      <c r="AH130" s="2"/>
      <c r="AI130">
        <v>96</v>
      </c>
      <c r="AJ130">
        <v>399</v>
      </c>
      <c r="AK130">
        <v>5</v>
      </c>
      <c r="AL130"/>
      <c r="AV130"/>
      <c r="BI130" s="14">
        <f>SUM(Portefeuille_MNT_PPS_Access22[[#This Row],[AC ANT]:[TR 2035]])</f>
        <v>500</v>
      </c>
    </row>
    <row r="131" spans="1:61" hidden="1" x14ac:dyDescent="0.3">
      <c r="A131" t="s">
        <v>286</v>
      </c>
      <c r="C131" t="s">
        <v>126</v>
      </c>
      <c r="D131" t="s">
        <v>127</v>
      </c>
      <c r="E131" t="s">
        <v>136</v>
      </c>
      <c r="F131" t="s">
        <v>104</v>
      </c>
      <c r="G131" t="s">
        <v>16</v>
      </c>
      <c r="H131" t="s">
        <v>16</v>
      </c>
      <c r="I131" t="s">
        <v>131</v>
      </c>
      <c r="J131" t="s">
        <v>307</v>
      </c>
      <c r="K131" t="s">
        <v>308</v>
      </c>
      <c r="L131" t="s">
        <v>159</v>
      </c>
      <c r="N131" t="s">
        <v>164</v>
      </c>
      <c r="O131" s="1"/>
      <c r="P131" s="1">
        <v>42992</v>
      </c>
      <c r="Q131" s="1">
        <v>43783</v>
      </c>
      <c r="R13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1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31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3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1412</v>
      </c>
      <c r="V13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26</v>
      </c>
      <c r="W131">
        <f>Portefeuille_MNT_PPS_Access22[[#This Row],[Délais PC1 et PC3]]+Portefeuille_MNT_PPS_Access22[[#This Row],[Délais PC3 et PC5]]</f>
        <v>1438</v>
      </c>
      <c r="X131">
        <v>1</v>
      </c>
      <c r="Y131">
        <v>5</v>
      </c>
      <c r="Z13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31" s="12" t="e">
        <f>_xlfn.XLOOKUP(Portefeuille_MNT_PPS_Access22[[#This Row],[Numéro projet]],Tableau5[Numéro projet],Tableau5[IND_Site_Prioritaire])</f>
        <v>#N/A</v>
      </c>
      <c r="AB131" s="2" t="e">
        <f>_xlfn.XLOOKUP(Portefeuille_MNT_PPS_Access22[[#This Row],[Numéro projet]],Tableau5[Numéro projet],Tableau5[Critère Etat Infrastructure])</f>
        <v>#N/A</v>
      </c>
      <c r="AC131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31">
        <v>5</v>
      </c>
      <c r="AF131" t="s">
        <v>165</v>
      </c>
      <c r="AG131" s="2"/>
      <c r="AH131" s="2"/>
      <c r="AI131">
        <v>2779</v>
      </c>
      <c r="AJ131">
        <v>15336</v>
      </c>
      <c r="AK131">
        <v>16</v>
      </c>
      <c r="AL131"/>
      <c r="AV131"/>
      <c r="BI131" s="14">
        <f>SUM(Portefeuille_MNT_PPS_Access22[[#This Row],[AC ANT]:[TR 2035]])</f>
        <v>18131</v>
      </c>
    </row>
    <row r="132" spans="1:61" hidden="1" x14ac:dyDescent="0.3">
      <c r="A132" t="s">
        <v>286</v>
      </c>
      <c r="C132" t="s">
        <v>118</v>
      </c>
      <c r="D132" t="s">
        <v>102</v>
      </c>
      <c r="E132" t="s">
        <v>103</v>
      </c>
      <c r="G132" t="s">
        <v>16</v>
      </c>
      <c r="H132" t="s">
        <v>325</v>
      </c>
      <c r="I132" t="s">
        <v>131</v>
      </c>
      <c r="J132" t="s">
        <v>317</v>
      </c>
      <c r="K132" t="s">
        <v>318</v>
      </c>
      <c r="L132" t="s">
        <v>187</v>
      </c>
      <c r="N132" t="s">
        <v>291</v>
      </c>
      <c r="O132" s="1"/>
      <c r="P132" s="1"/>
      <c r="Q132" s="1"/>
      <c r="R13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2">
        <f>Portefeuille_MNT_PPS_Access22[[#This Row],[Délais PC1 et PC3]]+Portefeuille_MNT_PPS_Access22[[#This Row],[Délais PC3 et PC5]]</f>
        <v>0</v>
      </c>
      <c r="X132">
        <v>1</v>
      </c>
      <c r="Z13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32" s="12" t="e">
        <f>_xlfn.XLOOKUP(Portefeuille_MNT_PPS_Access22[[#This Row],[Numéro projet]],Tableau5[Numéro projet],Tableau5[IND_Site_Prioritaire])</f>
        <v>#N/A</v>
      </c>
      <c r="AB132" s="2" t="e">
        <f>_xlfn.XLOOKUP(Portefeuille_MNT_PPS_Access22[[#This Row],[Numéro projet]],Tableau5[Numéro projet],Tableau5[Critère Etat Infrastructure])</f>
        <v>#N/A</v>
      </c>
      <c r="AC132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32" t="s">
        <v>311</v>
      </c>
      <c r="AG132" s="2"/>
      <c r="AH132" s="2"/>
      <c r="AI132">
        <v>676</v>
      </c>
      <c r="AJ132">
        <v>7943</v>
      </c>
      <c r="AK132">
        <v>17</v>
      </c>
      <c r="AL132"/>
      <c r="AV132"/>
      <c r="BI132" s="14">
        <f>SUM(Portefeuille_MNT_PPS_Access22[[#This Row],[AC ANT]:[TR 2035]])</f>
        <v>8636</v>
      </c>
    </row>
    <row r="133" spans="1:61" hidden="1" x14ac:dyDescent="0.3">
      <c r="A133" t="s">
        <v>286</v>
      </c>
      <c r="C133" t="s">
        <v>118</v>
      </c>
      <c r="D133" t="s">
        <v>102</v>
      </c>
      <c r="E133" t="s">
        <v>103</v>
      </c>
      <c r="F133" t="s">
        <v>104</v>
      </c>
      <c r="G133" t="s">
        <v>16</v>
      </c>
      <c r="H133" t="s">
        <v>16</v>
      </c>
      <c r="I133" t="s">
        <v>131</v>
      </c>
      <c r="J133" t="s">
        <v>319</v>
      </c>
      <c r="K133" t="s">
        <v>320</v>
      </c>
      <c r="L133" t="s">
        <v>159</v>
      </c>
      <c r="N133" t="s">
        <v>164</v>
      </c>
      <c r="O133" s="1">
        <v>44063</v>
      </c>
      <c r="P133" s="1">
        <v>44488</v>
      </c>
      <c r="Q133" s="1">
        <v>44602</v>
      </c>
      <c r="R133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33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33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3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</v>
      </c>
      <c r="V13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4</v>
      </c>
      <c r="W133">
        <f>Portefeuille_MNT_PPS_Access22[[#This Row],[Délais PC1 et PC3]]+Portefeuille_MNT_PPS_Access22[[#This Row],[Délais PC3 et PC5]]</f>
        <v>18</v>
      </c>
      <c r="X133">
        <v>1</v>
      </c>
      <c r="Y133">
        <v>5</v>
      </c>
      <c r="Z13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33" s="12" t="e">
        <f>_xlfn.XLOOKUP(Portefeuille_MNT_PPS_Access22[[#This Row],[Numéro projet]],Tableau5[Numéro projet],Tableau5[IND_Site_Prioritaire])</f>
        <v>#N/A</v>
      </c>
      <c r="AB133" s="2" t="e">
        <f>_xlfn.XLOOKUP(Portefeuille_MNT_PPS_Access22[[#This Row],[Numéro projet]],Tableau5[Numéro projet],Tableau5[Critère Etat Infrastructure])</f>
        <v>#N/A</v>
      </c>
      <c r="AC133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33">
        <v>5</v>
      </c>
      <c r="AE133">
        <v>5</v>
      </c>
      <c r="AF133" t="s">
        <v>165</v>
      </c>
      <c r="AG133" s="2"/>
      <c r="AH133" s="2"/>
      <c r="AI133">
        <v>334</v>
      </c>
      <c r="AJ133">
        <v>5521</v>
      </c>
      <c r="AK133">
        <v>24</v>
      </c>
      <c r="AL133"/>
      <c r="AM133">
        <v>28</v>
      </c>
      <c r="AV133"/>
      <c r="BI133" s="14">
        <f>SUM(Portefeuille_MNT_PPS_Access22[[#This Row],[AC ANT]:[TR 2035]])</f>
        <v>5907</v>
      </c>
    </row>
    <row r="134" spans="1:61" hidden="1" x14ac:dyDescent="0.3">
      <c r="A134" t="s">
        <v>286</v>
      </c>
      <c r="C134" t="s">
        <v>118</v>
      </c>
      <c r="D134" t="s">
        <v>102</v>
      </c>
      <c r="E134" t="s">
        <v>103</v>
      </c>
      <c r="G134" t="s">
        <v>16</v>
      </c>
      <c r="H134" t="s">
        <v>325</v>
      </c>
      <c r="I134" t="s">
        <v>131</v>
      </c>
      <c r="J134" t="s">
        <v>321</v>
      </c>
      <c r="K134" t="s">
        <v>525</v>
      </c>
      <c r="L134" t="s">
        <v>147</v>
      </c>
      <c r="N134" t="s">
        <v>291</v>
      </c>
      <c r="O134" s="1"/>
      <c r="P134" s="1"/>
      <c r="Q134" s="1"/>
      <c r="R13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4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4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4">
        <f>Portefeuille_MNT_PPS_Access22[[#This Row],[Délais PC1 et PC3]]+Portefeuille_MNT_PPS_Access22[[#This Row],[Délais PC3 et PC5]]</f>
        <v>0</v>
      </c>
      <c r="X134">
        <v>1</v>
      </c>
      <c r="Z13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34" s="12" t="e">
        <f>_xlfn.XLOOKUP(Portefeuille_MNT_PPS_Access22[[#This Row],[Numéro projet]],Tableau5[Numéro projet],Tableau5[IND_Site_Prioritaire])</f>
        <v>#N/A</v>
      </c>
      <c r="AB134" s="2" t="e">
        <f>_xlfn.XLOOKUP(Portefeuille_MNT_PPS_Access22[[#This Row],[Numéro projet]],Tableau5[Numéro projet],Tableau5[Critère Etat Infrastructure])</f>
        <v>#N/A</v>
      </c>
      <c r="AC134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34" t="s">
        <v>311</v>
      </c>
      <c r="AG134" s="2"/>
      <c r="AH134" s="2"/>
      <c r="AI134">
        <v>468</v>
      </c>
      <c r="AJ134">
        <v>4580</v>
      </c>
      <c r="AL134"/>
      <c r="AM134">
        <v>3</v>
      </c>
      <c r="AV134"/>
      <c r="BI134" s="14">
        <f>SUM(Portefeuille_MNT_PPS_Access22[[#This Row],[AC ANT]:[TR 2035]])</f>
        <v>5051</v>
      </c>
    </row>
    <row r="135" spans="1:61" hidden="1" x14ac:dyDescent="0.3">
      <c r="A135" t="s">
        <v>286</v>
      </c>
      <c r="C135" t="s">
        <v>126</v>
      </c>
      <c r="D135" t="s">
        <v>127</v>
      </c>
      <c r="E135" t="s">
        <v>128</v>
      </c>
      <c r="F135" t="s">
        <v>129</v>
      </c>
      <c r="G135" t="s">
        <v>16</v>
      </c>
      <c r="H135" t="s">
        <v>16</v>
      </c>
      <c r="I135" t="s">
        <v>131</v>
      </c>
      <c r="J135" t="s">
        <v>323</v>
      </c>
      <c r="K135" t="s">
        <v>324</v>
      </c>
      <c r="L135" t="s">
        <v>214</v>
      </c>
      <c r="N135" t="s">
        <v>164</v>
      </c>
      <c r="O135" s="1">
        <v>44644</v>
      </c>
      <c r="P135" s="1">
        <v>44995</v>
      </c>
      <c r="Q135" s="1">
        <v>45061</v>
      </c>
      <c r="R135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35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35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3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12</v>
      </c>
      <c r="V13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2</v>
      </c>
      <c r="W135">
        <f>Portefeuille_MNT_PPS_Access22[[#This Row],[Délais PC1 et PC3]]+Portefeuille_MNT_PPS_Access22[[#This Row],[Délais PC3 et PC5]]</f>
        <v>14</v>
      </c>
      <c r="X135">
        <v>5</v>
      </c>
      <c r="Y135">
        <v>5</v>
      </c>
      <c r="Z13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35" s="12" t="e">
        <f>_xlfn.XLOOKUP(Portefeuille_MNT_PPS_Access22[[#This Row],[Numéro projet]],Tableau5[Numéro projet],Tableau5[IND_Site_Prioritaire])</f>
        <v>#N/A</v>
      </c>
      <c r="AB135" s="2" t="e">
        <f>_xlfn.XLOOKUP(Portefeuille_MNT_PPS_Access22[[#This Row],[Numéro projet]],Tableau5[Numéro projet],Tableau5[Critère Etat Infrastructure])</f>
        <v>#N/A</v>
      </c>
      <c r="AC135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35">
        <v>5</v>
      </c>
      <c r="AE135">
        <v>5</v>
      </c>
      <c r="AF135" t="s">
        <v>165</v>
      </c>
      <c r="AG135" s="2">
        <v>5</v>
      </c>
      <c r="AH135" s="2"/>
      <c r="AI135">
        <v>80</v>
      </c>
      <c r="AJ135">
        <v>347</v>
      </c>
      <c r="AK135">
        <v>46</v>
      </c>
      <c r="AL135">
        <v>141</v>
      </c>
      <c r="AV135"/>
      <c r="BI135" s="14">
        <f>SUM(Portefeuille_MNT_PPS_Access22[[#This Row],[AC ANT]:[TR 2035]])</f>
        <v>614</v>
      </c>
    </row>
    <row r="136" spans="1:61" hidden="1" x14ac:dyDescent="0.3">
      <c r="A136" t="s">
        <v>286</v>
      </c>
      <c r="C136" t="s">
        <v>101</v>
      </c>
      <c r="D136" t="s">
        <v>102</v>
      </c>
      <c r="E136" t="s">
        <v>103</v>
      </c>
      <c r="G136" t="s">
        <v>16</v>
      </c>
      <c r="H136" t="s">
        <v>325</v>
      </c>
      <c r="I136" t="s">
        <v>131</v>
      </c>
      <c r="J136" t="s">
        <v>326</v>
      </c>
      <c r="K136" t="s">
        <v>327</v>
      </c>
      <c r="L136" t="s">
        <v>183</v>
      </c>
      <c r="N136" t="s">
        <v>291</v>
      </c>
      <c r="O136" s="1"/>
      <c r="P136" s="1"/>
      <c r="Q136" s="1"/>
      <c r="R13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6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6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6">
        <f>Portefeuille_MNT_PPS_Access22[[#This Row],[Délais PC1 et PC3]]+Portefeuille_MNT_PPS_Access22[[#This Row],[Délais PC3 et PC5]]</f>
        <v>0</v>
      </c>
      <c r="X136">
        <v>1</v>
      </c>
      <c r="Z13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36" s="12" t="e">
        <f>_xlfn.XLOOKUP(Portefeuille_MNT_PPS_Access22[[#This Row],[Numéro projet]],Tableau5[Numéro projet],Tableau5[IND_Site_Prioritaire])</f>
        <v>#N/A</v>
      </c>
      <c r="AB136" s="2" t="e">
        <f>_xlfn.XLOOKUP(Portefeuille_MNT_PPS_Access22[[#This Row],[Numéro projet]],Tableau5[Numéro projet],Tableau5[Critère Etat Infrastructure])</f>
        <v>#N/A</v>
      </c>
      <c r="AC136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36" t="s">
        <v>311</v>
      </c>
      <c r="AG136" s="2"/>
      <c r="AH136" s="2"/>
      <c r="AI136">
        <v>595</v>
      </c>
      <c r="AJ136">
        <v>3578</v>
      </c>
      <c r="AL136"/>
      <c r="AM136">
        <v>1</v>
      </c>
      <c r="AV136"/>
      <c r="BI136" s="14">
        <f>SUM(Portefeuille_MNT_PPS_Access22[[#This Row],[AC ANT]:[TR 2035]])</f>
        <v>4174</v>
      </c>
    </row>
    <row r="137" spans="1:61" hidden="1" x14ac:dyDescent="0.3">
      <c r="A137" t="s">
        <v>286</v>
      </c>
      <c r="C137" t="s">
        <v>101</v>
      </c>
      <c r="D137" t="s">
        <v>102</v>
      </c>
      <c r="E137" t="s">
        <v>200</v>
      </c>
      <c r="G137" t="s">
        <v>16</v>
      </c>
      <c r="H137" t="s">
        <v>325</v>
      </c>
      <c r="I137" t="s">
        <v>131</v>
      </c>
      <c r="J137" t="s">
        <v>328</v>
      </c>
      <c r="K137" t="s">
        <v>329</v>
      </c>
      <c r="L137" t="s">
        <v>152</v>
      </c>
      <c r="N137" t="s">
        <v>291</v>
      </c>
      <c r="O137" s="1"/>
      <c r="P137" s="1"/>
      <c r="Q137" s="1"/>
      <c r="R13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7">
        <f>Portefeuille_MNT_PPS_Access22[[#This Row],[Délais PC1 et PC3]]+Portefeuille_MNT_PPS_Access22[[#This Row],[Délais PC3 et PC5]]</f>
        <v>0</v>
      </c>
      <c r="X137">
        <v>1</v>
      </c>
      <c r="Z13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0</v>
      </c>
      <c r="AA137" s="12" t="e">
        <f>_xlfn.XLOOKUP(Portefeuille_MNT_PPS_Access22[[#This Row],[Numéro projet]],Tableau5[Numéro projet],Tableau5[IND_Site_Prioritaire])</f>
        <v>#N/A</v>
      </c>
      <c r="AB137" s="2" t="e">
        <f>_xlfn.XLOOKUP(Portefeuille_MNT_PPS_Access22[[#This Row],[Numéro projet]],Tableau5[Numéro projet],Tableau5[Critère Etat Infrastructure])</f>
        <v>#N/A</v>
      </c>
      <c r="AC13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37" t="s">
        <v>311</v>
      </c>
      <c r="AG137" s="2"/>
      <c r="AH137" s="2"/>
      <c r="AI137">
        <v>186</v>
      </c>
      <c r="AJ137">
        <v>3019</v>
      </c>
      <c r="AL137"/>
      <c r="AM137">
        <v>9</v>
      </c>
      <c r="AV137"/>
      <c r="BI137" s="14">
        <f>SUM(Portefeuille_MNT_PPS_Access22[[#This Row],[AC ANT]:[TR 2035]])</f>
        <v>3214</v>
      </c>
    </row>
    <row r="138" spans="1:61" hidden="1" x14ac:dyDescent="0.3">
      <c r="A138" t="s">
        <v>286</v>
      </c>
      <c r="C138" t="s">
        <v>101</v>
      </c>
      <c r="D138" t="s">
        <v>102</v>
      </c>
      <c r="E138" t="s">
        <v>200</v>
      </c>
      <c r="F138" t="s">
        <v>104</v>
      </c>
      <c r="G138" t="s">
        <v>16</v>
      </c>
      <c r="H138" t="s">
        <v>20</v>
      </c>
      <c r="I138" t="s">
        <v>105</v>
      </c>
      <c r="J138" t="s">
        <v>201</v>
      </c>
      <c r="K138" t="s">
        <v>202</v>
      </c>
      <c r="L138" t="s">
        <v>108</v>
      </c>
      <c r="N138" t="s">
        <v>155</v>
      </c>
      <c r="O138" s="1"/>
      <c r="P138" s="1"/>
      <c r="Q138" s="1"/>
      <c r="R13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38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38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3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3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38">
        <f>Portefeuille_MNT_PPS_Access22[[#This Row],[Délais PC1 et PC3]]+Portefeuille_MNT_PPS_Access22[[#This Row],[Délais PC3 et PC5]]</f>
        <v>0</v>
      </c>
      <c r="X138">
        <v>1</v>
      </c>
      <c r="Z13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1</v>
      </c>
      <c r="AA138" s="12" t="e">
        <f>_xlfn.XLOOKUP(Portefeuille_MNT_PPS_Access22[[#This Row],[Numéro projet]],Tableau5[Numéro projet],Tableau5[IND_Site_Prioritaire])</f>
        <v>#N/A</v>
      </c>
      <c r="AB138" s="2" t="e">
        <f>_xlfn.XLOOKUP(Portefeuille_MNT_PPS_Access22[[#This Row],[Numéro projet]],Tableau5[Numéro projet],Tableau5[Critère Etat Infrastructure])</f>
        <v>#N/A</v>
      </c>
      <c r="AC13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38" t="s">
        <v>156</v>
      </c>
      <c r="AG138" s="2"/>
      <c r="AH138" s="2"/>
      <c r="AI138">
        <v>277</v>
      </c>
      <c r="AJ138">
        <v>4</v>
      </c>
      <c r="AL138"/>
      <c r="AO138">
        <v>127</v>
      </c>
      <c r="AQ138">
        <v>125</v>
      </c>
      <c r="AS138">
        <v>471</v>
      </c>
      <c r="AV138"/>
      <c r="BI138" s="14">
        <f>SUM(Portefeuille_MNT_PPS_Access22[[#This Row],[AC ANT]:[TR 2035]])</f>
        <v>1004</v>
      </c>
    </row>
    <row r="139" spans="1:61" hidden="1" x14ac:dyDescent="0.3">
      <c r="A139" t="s">
        <v>286</v>
      </c>
      <c r="C139" t="s">
        <v>101</v>
      </c>
      <c r="D139" t="s">
        <v>102</v>
      </c>
      <c r="E139" t="s">
        <v>200</v>
      </c>
      <c r="F139" t="s">
        <v>104</v>
      </c>
      <c r="G139" t="s">
        <v>16</v>
      </c>
      <c r="H139" t="s">
        <v>16</v>
      </c>
      <c r="I139" t="s">
        <v>105</v>
      </c>
      <c r="J139" t="s">
        <v>338</v>
      </c>
      <c r="K139" t="s">
        <v>339</v>
      </c>
      <c r="L139" t="s">
        <v>180</v>
      </c>
      <c r="N139" t="s">
        <v>164</v>
      </c>
      <c r="O139" s="1">
        <v>43360</v>
      </c>
      <c r="P139" s="1">
        <v>43671</v>
      </c>
      <c r="Q139" s="1">
        <v>44217</v>
      </c>
      <c r="R139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39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39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3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10</v>
      </c>
      <c r="V13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18</v>
      </c>
      <c r="W139">
        <f>Portefeuille_MNT_PPS_Access22[[#This Row],[Délais PC1 et PC3]]+Portefeuille_MNT_PPS_Access22[[#This Row],[Délais PC3 et PC5]]</f>
        <v>28</v>
      </c>
      <c r="X139">
        <v>1</v>
      </c>
      <c r="Y139">
        <v>5</v>
      </c>
      <c r="Z13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39" s="12" t="e">
        <f>_xlfn.XLOOKUP(Portefeuille_MNT_PPS_Access22[[#This Row],[Numéro projet]],Tableau5[Numéro projet],Tableau5[IND_Site_Prioritaire])</f>
        <v>#N/A</v>
      </c>
      <c r="AB139" s="2" t="e">
        <f>_xlfn.XLOOKUP(Portefeuille_MNT_PPS_Access22[[#This Row],[Numéro projet]],Tableau5[Numéro projet],Tableau5[Critère Etat Infrastructure])</f>
        <v>#N/A</v>
      </c>
      <c r="AC139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39">
        <v>5</v>
      </c>
      <c r="AE139">
        <v>5</v>
      </c>
      <c r="AF139" t="s">
        <v>165</v>
      </c>
      <c r="AG139" s="2">
        <v>5</v>
      </c>
      <c r="AH139" s="2"/>
      <c r="AI139">
        <v>128</v>
      </c>
      <c r="AJ139">
        <v>2061</v>
      </c>
      <c r="AK139">
        <v>142</v>
      </c>
      <c r="AL139"/>
      <c r="AM139">
        <v>65</v>
      </c>
      <c r="AV139"/>
      <c r="BI139" s="14">
        <f>SUM(Portefeuille_MNT_PPS_Access22[[#This Row],[AC ANT]:[TR 2035]])</f>
        <v>2396</v>
      </c>
    </row>
    <row r="140" spans="1:61" hidden="1" x14ac:dyDescent="0.3">
      <c r="A140" t="s">
        <v>286</v>
      </c>
      <c r="C140" t="s">
        <v>118</v>
      </c>
      <c r="D140" t="s">
        <v>102</v>
      </c>
      <c r="E140" t="s">
        <v>103</v>
      </c>
      <c r="F140" t="s">
        <v>340</v>
      </c>
      <c r="G140" t="s">
        <v>16</v>
      </c>
      <c r="H140" t="s">
        <v>16</v>
      </c>
      <c r="I140" t="s">
        <v>131</v>
      </c>
      <c r="J140" t="s">
        <v>341</v>
      </c>
      <c r="K140" t="s">
        <v>342</v>
      </c>
      <c r="L140" t="s">
        <v>147</v>
      </c>
      <c r="N140" t="s">
        <v>164</v>
      </c>
      <c r="O140" s="1">
        <v>44245</v>
      </c>
      <c r="P140" s="1">
        <v>44469</v>
      </c>
      <c r="Q140" s="1">
        <v>44538</v>
      </c>
      <c r="R140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40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40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7</v>
      </c>
      <c r="V14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</v>
      </c>
      <c r="W140">
        <f>Portefeuille_MNT_PPS_Access22[[#This Row],[Délais PC1 et PC3]]+Portefeuille_MNT_PPS_Access22[[#This Row],[Délais PC3 et PC5]]</f>
        <v>10</v>
      </c>
      <c r="X140">
        <v>1</v>
      </c>
      <c r="Y140">
        <v>5</v>
      </c>
      <c r="Z14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0" s="12" t="e">
        <f>_xlfn.XLOOKUP(Portefeuille_MNT_PPS_Access22[[#This Row],[Numéro projet]],Tableau5[Numéro projet],Tableau5[IND_Site_Prioritaire])</f>
        <v>#N/A</v>
      </c>
      <c r="AB140" s="2" t="e">
        <f>_xlfn.XLOOKUP(Portefeuille_MNT_PPS_Access22[[#This Row],[Numéro projet]],Tableau5[Numéro projet],Tableau5[Critère Etat Infrastructure])</f>
        <v>#N/A</v>
      </c>
      <c r="AC140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40">
        <v>5</v>
      </c>
      <c r="AE140">
        <v>5</v>
      </c>
      <c r="AF140" t="s">
        <v>165</v>
      </c>
      <c r="AG140" s="2"/>
      <c r="AH140" s="2"/>
      <c r="AI140">
        <v>603</v>
      </c>
      <c r="AJ140">
        <v>10120</v>
      </c>
      <c r="AK140">
        <v>13</v>
      </c>
      <c r="AL140">
        <v>169</v>
      </c>
      <c r="AM140">
        <v>60</v>
      </c>
      <c r="AV140"/>
      <c r="BI140" s="14">
        <f>SUM(Portefeuille_MNT_PPS_Access22[[#This Row],[AC ANT]:[TR 2035]])</f>
        <v>10965</v>
      </c>
    </row>
    <row r="141" spans="1:61" hidden="1" x14ac:dyDescent="0.3">
      <c r="A141" t="s">
        <v>286</v>
      </c>
      <c r="C141" t="s">
        <v>101</v>
      </c>
      <c r="D141" t="s">
        <v>102</v>
      </c>
      <c r="E141" t="s">
        <v>188</v>
      </c>
      <c r="F141" t="s">
        <v>113</v>
      </c>
      <c r="G141" t="s">
        <v>16</v>
      </c>
      <c r="H141" t="s">
        <v>16</v>
      </c>
      <c r="I141" t="s">
        <v>131</v>
      </c>
      <c r="J141" t="s">
        <v>343</v>
      </c>
      <c r="K141" t="s">
        <v>344</v>
      </c>
      <c r="L141" t="s">
        <v>139</v>
      </c>
      <c r="N141" t="s">
        <v>164</v>
      </c>
      <c r="O141" s="1"/>
      <c r="P141" s="1"/>
      <c r="Q141" s="1">
        <v>44672</v>
      </c>
      <c r="R14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41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4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1467</v>
      </c>
      <c r="W141">
        <f>Portefeuille_MNT_PPS_Access22[[#This Row],[Délais PC1 et PC3]]+Portefeuille_MNT_PPS_Access22[[#This Row],[Délais PC3 et PC5]]</f>
        <v>1467</v>
      </c>
      <c r="X141">
        <v>1</v>
      </c>
      <c r="Y141">
        <v>5</v>
      </c>
      <c r="Z14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1" s="12" t="e">
        <f>_xlfn.XLOOKUP(Portefeuille_MNT_PPS_Access22[[#This Row],[Numéro projet]],Tableau5[Numéro projet],Tableau5[IND_Site_Prioritaire])</f>
        <v>#N/A</v>
      </c>
      <c r="AB141" s="2" t="e">
        <f>_xlfn.XLOOKUP(Portefeuille_MNT_PPS_Access22[[#This Row],[Numéro projet]],Tableau5[Numéro projet],Tableau5[Critère Etat Infrastructure])</f>
        <v>#N/A</v>
      </c>
      <c r="AC141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41" t="s">
        <v>165</v>
      </c>
      <c r="AG141" s="2">
        <v>5</v>
      </c>
      <c r="AH141" s="2"/>
      <c r="AI141">
        <v>84</v>
      </c>
      <c r="AJ141">
        <v>819</v>
      </c>
      <c r="AK141">
        <v>12</v>
      </c>
      <c r="AL141">
        <v>11</v>
      </c>
      <c r="AV141"/>
      <c r="BI141" s="14">
        <f>SUM(Portefeuille_MNT_PPS_Access22[[#This Row],[AC ANT]:[TR 2035]])</f>
        <v>926</v>
      </c>
    </row>
    <row r="142" spans="1:61" hidden="1" x14ac:dyDescent="0.3">
      <c r="A142" t="s">
        <v>286</v>
      </c>
      <c r="C142" t="s">
        <v>118</v>
      </c>
      <c r="D142" t="s">
        <v>102</v>
      </c>
      <c r="E142" t="s">
        <v>136</v>
      </c>
      <c r="F142" t="s">
        <v>129</v>
      </c>
      <c r="G142" t="s">
        <v>16</v>
      </c>
      <c r="H142" t="s">
        <v>16</v>
      </c>
      <c r="I142" t="s">
        <v>131</v>
      </c>
      <c r="J142" t="s">
        <v>345</v>
      </c>
      <c r="K142" t="s">
        <v>346</v>
      </c>
      <c r="L142" t="s">
        <v>147</v>
      </c>
      <c r="N142" t="s">
        <v>164</v>
      </c>
      <c r="O142" s="1"/>
      <c r="P142" s="1"/>
      <c r="Q142" s="1"/>
      <c r="R14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42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4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4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42">
        <f>Portefeuille_MNT_PPS_Access22[[#This Row],[Délais PC1 et PC3]]+Portefeuille_MNT_PPS_Access22[[#This Row],[Délais PC3 et PC5]]</f>
        <v>0</v>
      </c>
      <c r="X142">
        <v>1</v>
      </c>
      <c r="Z14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2" s="12" t="e">
        <f>_xlfn.XLOOKUP(Portefeuille_MNT_PPS_Access22[[#This Row],[Numéro projet]],Tableau5[Numéro projet],Tableau5[IND_Site_Prioritaire])</f>
        <v>#N/A</v>
      </c>
      <c r="AB142" s="2" t="e">
        <f>_xlfn.XLOOKUP(Portefeuille_MNT_PPS_Access22[[#This Row],[Numéro projet]],Tableau5[Numéro projet],Tableau5[Critère Etat Infrastructure])</f>
        <v>#N/A</v>
      </c>
      <c r="AC142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42" t="s">
        <v>165</v>
      </c>
      <c r="AG142" s="2">
        <v>5</v>
      </c>
      <c r="AH142" s="2"/>
      <c r="AJ142">
        <v>151</v>
      </c>
      <c r="AK142">
        <v>1</v>
      </c>
      <c r="AL142">
        <v>44</v>
      </c>
      <c r="AV142"/>
      <c r="BI142" s="14">
        <f>SUM(Portefeuille_MNT_PPS_Access22[[#This Row],[AC ANT]:[TR 2035]])</f>
        <v>196</v>
      </c>
    </row>
    <row r="143" spans="1:61" hidden="1" x14ac:dyDescent="0.3">
      <c r="A143" t="s">
        <v>11</v>
      </c>
      <c r="C143" t="s">
        <v>118</v>
      </c>
      <c r="D143" t="s">
        <v>102</v>
      </c>
      <c r="E143" t="s">
        <v>136</v>
      </c>
      <c r="F143" t="s">
        <v>129</v>
      </c>
      <c r="G143" t="s">
        <v>325</v>
      </c>
      <c r="H143" t="s">
        <v>16</v>
      </c>
      <c r="I143" t="s">
        <v>131</v>
      </c>
      <c r="J143" t="s">
        <v>347</v>
      </c>
      <c r="K143" t="s">
        <v>348</v>
      </c>
      <c r="L143" t="s">
        <v>214</v>
      </c>
      <c r="N143" t="s">
        <v>297</v>
      </c>
      <c r="O143" s="1"/>
      <c r="P143" s="1"/>
      <c r="Q143" s="1">
        <v>45037</v>
      </c>
      <c r="R14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43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4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1479</v>
      </c>
      <c r="W143">
        <f>Portefeuille_MNT_PPS_Access22[[#This Row],[Délais PC1 et PC3]]+Portefeuille_MNT_PPS_Access22[[#This Row],[Délais PC3 et PC5]]</f>
        <v>1479</v>
      </c>
      <c r="X143">
        <v>1</v>
      </c>
      <c r="Y143">
        <v>5</v>
      </c>
      <c r="Z14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6</v>
      </c>
      <c r="AA143" s="12" t="e">
        <f>_xlfn.XLOOKUP(Portefeuille_MNT_PPS_Access22[[#This Row],[Numéro projet]],Tableau5[Numéro projet],Tableau5[IND_Site_Prioritaire])</f>
        <v>#N/A</v>
      </c>
      <c r="AB143" s="2" t="e">
        <f>_xlfn.XLOOKUP(Portefeuille_MNT_PPS_Access22[[#This Row],[Numéro projet]],Tableau5[Numéro projet],Tableau5[Critère Etat Infrastructure])</f>
        <v>#N/A</v>
      </c>
      <c r="AC143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43" t="s">
        <v>349</v>
      </c>
      <c r="AG143" s="2">
        <v>5</v>
      </c>
      <c r="AH143" s="2"/>
      <c r="AJ143">
        <v>36</v>
      </c>
      <c r="AL143">
        <v>4</v>
      </c>
      <c r="AV143"/>
      <c r="BI143" s="14">
        <f>SUM(Portefeuille_MNT_PPS_Access22[[#This Row],[AC ANT]:[TR 2035]])</f>
        <v>40</v>
      </c>
    </row>
    <row r="144" spans="1:61" hidden="1" x14ac:dyDescent="0.3">
      <c r="A144" t="s">
        <v>286</v>
      </c>
      <c r="C144" t="s">
        <v>101</v>
      </c>
      <c r="D144" t="s">
        <v>102</v>
      </c>
      <c r="E144" t="s">
        <v>177</v>
      </c>
      <c r="F144" t="s">
        <v>149</v>
      </c>
      <c r="G144" t="s">
        <v>16</v>
      </c>
      <c r="H144" t="s">
        <v>16</v>
      </c>
      <c r="I144" t="s">
        <v>131</v>
      </c>
      <c r="J144" t="s">
        <v>350</v>
      </c>
      <c r="K144" t="s">
        <v>351</v>
      </c>
      <c r="L144" t="s">
        <v>152</v>
      </c>
      <c r="N144" t="s">
        <v>164</v>
      </c>
      <c r="O144" s="1"/>
      <c r="P144" s="1">
        <v>44880</v>
      </c>
      <c r="Q144" s="1">
        <v>44914</v>
      </c>
      <c r="R144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4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44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4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1474</v>
      </c>
      <c r="V144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</v>
      </c>
      <c r="W144">
        <f>Portefeuille_MNT_PPS_Access22[[#This Row],[Délais PC1 et PC3]]+Portefeuille_MNT_PPS_Access22[[#This Row],[Délais PC3 et PC5]]</f>
        <v>1475</v>
      </c>
      <c r="X144">
        <v>1</v>
      </c>
      <c r="Y144">
        <v>5</v>
      </c>
      <c r="Z144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4" s="12" t="e">
        <f>_xlfn.XLOOKUP(Portefeuille_MNT_PPS_Access22[[#This Row],[Numéro projet]],Tableau5[Numéro projet],Tableau5[IND_Site_Prioritaire])</f>
        <v>#N/A</v>
      </c>
      <c r="AB144" s="2" t="e">
        <f>_xlfn.XLOOKUP(Portefeuille_MNT_PPS_Access22[[#This Row],[Numéro projet]],Tableau5[Numéro projet],Tableau5[Critère Etat Infrastructure])</f>
        <v>#N/A</v>
      </c>
      <c r="AC144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44">
        <v>5</v>
      </c>
      <c r="AF144" t="s">
        <v>165</v>
      </c>
      <c r="AG144" s="2">
        <v>5</v>
      </c>
      <c r="AH144" s="2"/>
      <c r="AI144">
        <v>14</v>
      </c>
      <c r="AJ144">
        <v>2970</v>
      </c>
      <c r="AL144">
        <v>52</v>
      </c>
      <c r="AV144"/>
      <c r="BI144" s="14">
        <f>SUM(Portefeuille_MNT_PPS_Access22[[#This Row],[AC ANT]:[TR 2035]])</f>
        <v>3036</v>
      </c>
    </row>
    <row r="145" spans="1:63" hidden="1" x14ac:dyDescent="0.3">
      <c r="A145" t="s">
        <v>286</v>
      </c>
      <c r="C145" t="s">
        <v>118</v>
      </c>
      <c r="D145" t="s">
        <v>102</v>
      </c>
      <c r="E145" t="s">
        <v>136</v>
      </c>
      <c r="F145" t="s">
        <v>340</v>
      </c>
      <c r="G145" t="s">
        <v>16</v>
      </c>
      <c r="H145" t="s">
        <v>16</v>
      </c>
      <c r="I145" t="s">
        <v>105</v>
      </c>
      <c r="J145" s="2" t="s">
        <v>352</v>
      </c>
      <c r="K145" t="s">
        <v>353</v>
      </c>
      <c r="L145" t="s">
        <v>180</v>
      </c>
      <c r="N145" t="s">
        <v>164</v>
      </c>
      <c r="O145" s="1"/>
      <c r="P145" s="1">
        <v>44965</v>
      </c>
      <c r="Q145" s="1">
        <v>45113</v>
      </c>
      <c r="R145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5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45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5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1477</v>
      </c>
      <c r="V145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5</v>
      </c>
      <c r="W145">
        <f>Portefeuille_MNT_PPS_Access22[[#This Row],[Délais PC1 et PC3]]+Portefeuille_MNT_PPS_Access22[[#This Row],[Délais PC3 et PC5]]</f>
        <v>1482</v>
      </c>
      <c r="X145">
        <v>1</v>
      </c>
      <c r="Y145">
        <v>5</v>
      </c>
      <c r="Z145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5" s="12" t="e">
        <f>_xlfn.XLOOKUP(Portefeuille_MNT_PPS_Access22[[#This Row],[Numéro projet]],Tableau5[Numéro projet],Tableau5[IND_Site_Prioritaire])</f>
        <v>#N/A</v>
      </c>
      <c r="AB145" s="2" t="e">
        <f>_xlfn.XLOOKUP(Portefeuille_MNT_PPS_Access22[[#This Row],[Numéro projet]],Tableau5[Numéro projet],Tableau5[Critère Etat Infrastructure])</f>
        <v>#N/A</v>
      </c>
      <c r="AC145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45">
        <v>5</v>
      </c>
      <c r="AF145" t="s">
        <v>165</v>
      </c>
      <c r="AG145" s="2">
        <v>5</v>
      </c>
      <c r="AH145" s="2"/>
      <c r="AI145">
        <v>87</v>
      </c>
      <c r="AJ145">
        <v>304</v>
      </c>
      <c r="AK145">
        <v>35</v>
      </c>
      <c r="AL145">
        <v>958</v>
      </c>
      <c r="AV145"/>
      <c r="BI145" s="14">
        <f>SUM(Portefeuille_MNT_PPS_Access22[[#This Row],[AC ANT]:[TR 2035]])</f>
        <v>1384</v>
      </c>
    </row>
    <row r="146" spans="1:63" hidden="1" x14ac:dyDescent="0.3">
      <c r="A146" t="s">
        <v>286</v>
      </c>
      <c r="C146" t="s">
        <v>101</v>
      </c>
      <c r="D146" t="s">
        <v>102</v>
      </c>
      <c r="E146" t="s">
        <v>103</v>
      </c>
      <c r="F146" t="s">
        <v>129</v>
      </c>
      <c r="G146" t="s">
        <v>16</v>
      </c>
      <c r="H146" t="s">
        <v>16</v>
      </c>
      <c r="I146" t="s">
        <v>105</v>
      </c>
      <c r="J146" t="s">
        <v>356</v>
      </c>
      <c r="K146" t="s">
        <v>357</v>
      </c>
      <c r="L146" t="s">
        <v>116</v>
      </c>
      <c r="N146" t="s">
        <v>164</v>
      </c>
      <c r="O146" s="1"/>
      <c r="P146" s="1">
        <v>44911</v>
      </c>
      <c r="Q146" s="1">
        <v>45167</v>
      </c>
      <c r="R146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6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46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6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1475</v>
      </c>
      <c r="V146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8</v>
      </c>
      <c r="W146">
        <f>Portefeuille_MNT_PPS_Access22[[#This Row],[Délais PC1 et PC3]]+Portefeuille_MNT_PPS_Access22[[#This Row],[Délais PC3 et PC5]]</f>
        <v>1483</v>
      </c>
      <c r="X146">
        <v>5</v>
      </c>
      <c r="Y146">
        <v>5</v>
      </c>
      <c r="Z146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6" s="12" t="e">
        <f>_xlfn.XLOOKUP(Portefeuille_MNT_PPS_Access22[[#This Row],[Numéro projet]],Tableau5[Numéro projet],Tableau5[IND_Site_Prioritaire])</f>
        <v>#N/A</v>
      </c>
      <c r="AB146" s="2" t="e">
        <f>_xlfn.XLOOKUP(Portefeuille_MNT_PPS_Access22[[#This Row],[Numéro projet]],Tableau5[Numéro projet],Tableau5[Critère Etat Infrastructure])</f>
        <v>#N/A</v>
      </c>
      <c r="AC146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46">
        <v>5</v>
      </c>
      <c r="AF146" t="s">
        <v>165</v>
      </c>
      <c r="AG146" s="2">
        <v>5</v>
      </c>
      <c r="AH146" s="2"/>
      <c r="AI146">
        <v>16</v>
      </c>
      <c r="AK146">
        <v>19</v>
      </c>
      <c r="AL146">
        <v>1816</v>
      </c>
      <c r="AV146"/>
      <c r="BI146" s="14">
        <f>SUM(Portefeuille_MNT_PPS_Access22[[#This Row],[AC ANT]:[TR 2035]])</f>
        <v>1851</v>
      </c>
    </row>
    <row r="147" spans="1:63" hidden="1" x14ac:dyDescent="0.3">
      <c r="A147" t="s">
        <v>286</v>
      </c>
      <c r="C147" t="s">
        <v>118</v>
      </c>
      <c r="D147" t="s">
        <v>102</v>
      </c>
      <c r="E147" t="s">
        <v>103</v>
      </c>
      <c r="F147" t="s">
        <v>340</v>
      </c>
      <c r="G147" t="s">
        <v>16</v>
      </c>
      <c r="H147" t="s">
        <v>16</v>
      </c>
      <c r="I147" t="s">
        <v>105</v>
      </c>
      <c r="J147" t="s">
        <v>354</v>
      </c>
      <c r="K147" t="s">
        <v>355</v>
      </c>
      <c r="L147" t="s">
        <v>143</v>
      </c>
      <c r="N147" t="s">
        <v>164</v>
      </c>
      <c r="O147" s="1"/>
      <c r="P147" s="1"/>
      <c r="Q147" s="1"/>
      <c r="R147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7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47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47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47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47">
        <f>Portefeuille_MNT_PPS_Access22[[#This Row],[Délais PC1 et PC3]]+Portefeuille_MNT_PPS_Access22[[#This Row],[Délais PC3 et PC5]]</f>
        <v>0</v>
      </c>
      <c r="X147">
        <v>1</v>
      </c>
      <c r="Z147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7" s="12" t="e">
        <f>_xlfn.XLOOKUP(Portefeuille_MNT_PPS_Access22[[#This Row],[Numéro projet]],Tableau5[Numéro projet],Tableau5[IND_Site_Prioritaire])</f>
        <v>#N/A</v>
      </c>
      <c r="AB147" s="2" t="e">
        <f>_xlfn.XLOOKUP(Portefeuille_MNT_PPS_Access22[[#This Row],[Numéro projet]],Tableau5[Numéro projet],Tableau5[Critère Etat Infrastructure])</f>
        <v>#N/A</v>
      </c>
      <c r="AC147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F147" t="s">
        <v>165</v>
      </c>
      <c r="AG147" s="2"/>
      <c r="AH147" s="2"/>
      <c r="AI147">
        <v>173</v>
      </c>
      <c r="AJ147">
        <v>7850</v>
      </c>
      <c r="AK147">
        <v>3</v>
      </c>
      <c r="AL147">
        <v>173</v>
      </c>
      <c r="AV147"/>
      <c r="BI147" s="14">
        <f>SUM(Portefeuille_MNT_PPS_Access22[[#This Row],[AC ANT]:[TR 2035]])</f>
        <v>8199</v>
      </c>
    </row>
    <row r="148" spans="1:63" hidden="1" x14ac:dyDescent="0.3">
      <c r="A148" t="s">
        <v>286</v>
      </c>
      <c r="C148" t="s">
        <v>126</v>
      </c>
      <c r="D148" t="s">
        <v>127</v>
      </c>
      <c r="E148" t="s">
        <v>136</v>
      </c>
      <c r="F148" t="s">
        <v>113</v>
      </c>
      <c r="G148" t="s">
        <v>16</v>
      </c>
      <c r="H148" t="s">
        <v>16</v>
      </c>
      <c r="I148" t="s">
        <v>105</v>
      </c>
      <c r="J148" t="s">
        <v>358</v>
      </c>
      <c r="K148" t="s">
        <v>359</v>
      </c>
      <c r="L148" t="s">
        <v>108</v>
      </c>
      <c r="N148" t="s">
        <v>164</v>
      </c>
      <c r="O148" s="1"/>
      <c r="P148" s="1">
        <v>42383</v>
      </c>
      <c r="Q148" s="1">
        <v>43404</v>
      </c>
      <c r="R148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48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48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8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1392</v>
      </c>
      <c r="V148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33</v>
      </c>
      <c r="W148">
        <f>Portefeuille_MNT_PPS_Access22[[#This Row],[Délais PC1 et PC3]]+Portefeuille_MNT_PPS_Access22[[#This Row],[Délais PC3 et PC5]]</f>
        <v>1425</v>
      </c>
      <c r="X148">
        <v>1</v>
      </c>
      <c r="Y148">
        <v>5</v>
      </c>
      <c r="Z148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8" s="12" t="e">
        <f>_xlfn.XLOOKUP(Portefeuille_MNT_PPS_Access22[[#This Row],[Numéro projet]],Tableau5[Numéro projet],Tableau5[IND_Site_Prioritaire])</f>
        <v>#N/A</v>
      </c>
      <c r="AB148" s="2" t="e">
        <f>_xlfn.XLOOKUP(Portefeuille_MNT_PPS_Access22[[#This Row],[Numéro projet]],Tableau5[Numéro projet],Tableau5[Critère Etat Infrastructure])</f>
        <v>#N/A</v>
      </c>
      <c r="AC148" s="12" t="e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#N/A</v>
      </c>
      <c r="AD148">
        <v>5</v>
      </c>
      <c r="AF148" t="s">
        <v>165</v>
      </c>
      <c r="AG148" s="2"/>
      <c r="AH148" s="2"/>
      <c r="AI148">
        <v>2099</v>
      </c>
      <c r="AJ148">
        <v>8991</v>
      </c>
      <c r="AK148">
        <v>93</v>
      </c>
      <c r="AL148"/>
      <c r="AM148">
        <v>29</v>
      </c>
      <c r="AV148"/>
      <c r="BI148" s="14">
        <f>SUM(Portefeuille_MNT_PPS_Access22[[#This Row],[AC ANT]:[TR 2035]])</f>
        <v>11212</v>
      </c>
      <c r="BJ148" s="57"/>
      <c r="BK148" s="57"/>
    </row>
    <row r="149" spans="1:63" hidden="1" x14ac:dyDescent="0.3">
      <c r="A149" t="s">
        <v>286</v>
      </c>
      <c r="C149" t="s">
        <v>101</v>
      </c>
      <c r="D149" t="s">
        <v>102</v>
      </c>
      <c r="E149" t="s">
        <v>136</v>
      </c>
      <c r="F149" t="s">
        <v>140</v>
      </c>
      <c r="G149" t="s">
        <v>16</v>
      </c>
      <c r="H149" t="s">
        <v>16</v>
      </c>
      <c r="I149" t="s">
        <v>131</v>
      </c>
      <c r="J149" t="s">
        <v>360</v>
      </c>
      <c r="K149" t="s">
        <v>361</v>
      </c>
      <c r="L149" t="s">
        <v>134</v>
      </c>
      <c r="N149" t="s">
        <v>164</v>
      </c>
      <c r="O149" s="1">
        <v>43390</v>
      </c>
      <c r="P149" s="1"/>
      <c r="Q149" s="1">
        <v>44890</v>
      </c>
      <c r="R149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49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49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49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-1425</v>
      </c>
      <c r="V149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1474</v>
      </c>
      <c r="W149">
        <f>Portefeuille_MNT_PPS_Access22[[#This Row],[Délais PC1 et PC3]]+Portefeuille_MNT_PPS_Access22[[#This Row],[Délais PC3 et PC5]]</f>
        <v>49</v>
      </c>
      <c r="X149">
        <v>5</v>
      </c>
      <c r="Y149">
        <v>5</v>
      </c>
      <c r="Z149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49" s="12" t="e">
        <f>_xlfn.XLOOKUP(Portefeuille_MNT_PPS_Access22[[#This Row],[Numéro projet]],Tableau5[Numéro projet],Tableau5[IND_Site_Prioritaire])</f>
        <v>#N/A</v>
      </c>
      <c r="AB149" s="2" t="e">
        <f>_xlfn.XLOOKUP(Portefeuille_MNT_PPS_Access22[[#This Row],[Numéro projet]],Tableau5[Numéro projet],Tableau5[Critère Etat Infrastructure])</f>
        <v>#N/A</v>
      </c>
      <c r="AC149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E149">
        <v>5</v>
      </c>
      <c r="AF149" t="s">
        <v>165</v>
      </c>
      <c r="AG149" s="2">
        <v>5</v>
      </c>
      <c r="AH149" s="2"/>
      <c r="AI149">
        <v>37</v>
      </c>
      <c r="AK149">
        <v>18</v>
      </c>
      <c r="AL149">
        <v>288</v>
      </c>
      <c r="AV149"/>
      <c r="BI149" s="14">
        <f>SUM(Portefeuille_MNT_PPS_Access22[[#This Row],[AC ANT]:[TR 2035]])</f>
        <v>343</v>
      </c>
    </row>
    <row r="150" spans="1:63" hidden="1" x14ac:dyDescent="0.3">
      <c r="A150" t="s">
        <v>286</v>
      </c>
      <c r="C150" t="s">
        <v>101</v>
      </c>
      <c r="D150" t="s">
        <v>102</v>
      </c>
      <c r="E150" t="s">
        <v>103</v>
      </c>
      <c r="F150" t="s">
        <v>113</v>
      </c>
      <c r="G150" t="s">
        <v>16</v>
      </c>
      <c r="H150" t="s">
        <v>16</v>
      </c>
      <c r="I150" t="s">
        <v>105</v>
      </c>
      <c r="J150" t="s">
        <v>362</v>
      </c>
      <c r="K150" t="s">
        <v>363</v>
      </c>
      <c r="L150" t="s">
        <v>122</v>
      </c>
      <c r="N150" t="s">
        <v>164</v>
      </c>
      <c r="O150" s="1">
        <v>44316</v>
      </c>
      <c r="P150" s="1">
        <v>44636</v>
      </c>
      <c r="Q150" s="1">
        <v>45084</v>
      </c>
      <c r="R150" s="1" t="e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#NUM!</v>
      </c>
      <c r="S150" s="1" t="e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#NUM!</v>
      </c>
      <c r="T150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50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11</v>
      </c>
      <c r="V150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15</v>
      </c>
      <c r="W150">
        <f>Portefeuille_MNT_PPS_Access22[[#This Row],[Délais PC1 et PC3]]+Portefeuille_MNT_PPS_Access22[[#This Row],[Délais PC3 et PC5]]</f>
        <v>26</v>
      </c>
      <c r="X150">
        <v>5</v>
      </c>
      <c r="Y150">
        <v>5</v>
      </c>
      <c r="Z150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7</v>
      </c>
      <c r="AA150" s="12" t="e">
        <f>_xlfn.XLOOKUP(Portefeuille_MNT_PPS_Access22[[#This Row],[Numéro projet]],Tableau5[Numéro projet],Tableau5[IND_Site_Prioritaire])</f>
        <v>#N/A</v>
      </c>
      <c r="AB150" s="2" t="e">
        <f>_xlfn.XLOOKUP(Portefeuille_MNT_PPS_Access22[[#This Row],[Numéro projet]],Tableau5[Numéro projet],Tableau5[Critère Etat Infrastructure])</f>
        <v>#N/A</v>
      </c>
      <c r="AC150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D150">
        <v>5</v>
      </c>
      <c r="AE150">
        <v>5</v>
      </c>
      <c r="AF150" t="s">
        <v>165</v>
      </c>
      <c r="AG150" s="2">
        <v>5</v>
      </c>
      <c r="AH150" s="2"/>
      <c r="AI150">
        <v>123</v>
      </c>
      <c r="AK150">
        <v>81</v>
      </c>
      <c r="AL150">
        <v>10747</v>
      </c>
      <c r="AM150">
        <v>178</v>
      </c>
      <c r="AV150"/>
      <c r="BI150" s="14">
        <f>SUM(Portefeuille_MNT_PPS_Access22[[#This Row],[AC ANT]:[TR 2035]])</f>
        <v>11129</v>
      </c>
    </row>
    <row r="151" spans="1:63" hidden="1" x14ac:dyDescent="0.3">
      <c r="A151" t="s">
        <v>11</v>
      </c>
      <c r="C151" t="s">
        <v>118</v>
      </c>
      <c r="D151" t="s">
        <v>102</v>
      </c>
      <c r="E151" t="s">
        <v>177</v>
      </c>
      <c r="F151" t="s">
        <v>104</v>
      </c>
      <c r="G151" t="s">
        <v>16</v>
      </c>
      <c r="H151" t="s">
        <v>16</v>
      </c>
      <c r="I151" t="s">
        <v>105</v>
      </c>
      <c r="J151" t="s">
        <v>198</v>
      </c>
      <c r="K151" t="s">
        <v>199</v>
      </c>
      <c r="L151" t="s">
        <v>108</v>
      </c>
      <c r="N151" t="s">
        <v>297</v>
      </c>
      <c r="O151" s="1"/>
      <c r="P151" s="1"/>
      <c r="Q151" s="1">
        <v>45176</v>
      </c>
      <c r="R151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51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51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51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51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1484</v>
      </c>
      <c r="W151">
        <f>Portefeuille_MNT_PPS_Access22[[#This Row],[Délais PC1 et PC3]]+Portefeuille_MNT_PPS_Access22[[#This Row],[Délais PC3 et PC5]]</f>
        <v>1484</v>
      </c>
      <c r="X151">
        <v>5</v>
      </c>
      <c r="Y151">
        <v>5</v>
      </c>
      <c r="Z151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6</v>
      </c>
      <c r="AA151" s="12" t="e">
        <f>_xlfn.XLOOKUP(Portefeuille_MNT_PPS_Access22[[#This Row],[Numéro projet]],Tableau5[Numéro projet],Tableau5[IND_Site_Prioritaire])</f>
        <v>#N/A</v>
      </c>
      <c r="AB151" s="2" t="e">
        <f>_xlfn.XLOOKUP(Portefeuille_MNT_PPS_Access22[[#This Row],[Numéro projet]],Tableau5[Numéro projet],Tableau5[Critère Etat Infrastructure])</f>
        <v>#N/A</v>
      </c>
      <c r="AC151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51" t="s">
        <v>349</v>
      </c>
      <c r="AG151" s="2">
        <v>5</v>
      </c>
      <c r="AH151" s="2"/>
      <c r="AI151">
        <v>269</v>
      </c>
      <c r="AK151">
        <v>14</v>
      </c>
      <c r="AL151">
        <v>5</v>
      </c>
      <c r="AV151"/>
      <c r="BI151" s="14">
        <f>SUM(Portefeuille_MNT_PPS_Access22[[#This Row],[AC ANT]:[TR 2035]])</f>
        <v>288</v>
      </c>
    </row>
    <row r="152" spans="1:63" hidden="1" x14ac:dyDescent="0.3">
      <c r="A152" t="s">
        <v>286</v>
      </c>
      <c r="C152" t="s">
        <v>126</v>
      </c>
      <c r="D152" t="s">
        <v>127</v>
      </c>
      <c r="E152" t="s">
        <v>128</v>
      </c>
      <c r="F152" t="s">
        <v>252</v>
      </c>
      <c r="G152" t="s">
        <v>16</v>
      </c>
      <c r="H152" t="s">
        <v>16</v>
      </c>
      <c r="I152" t="s">
        <v>131</v>
      </c>
      <c r="J152" t="s">
        <v>434</v>
      </c>
      <c r="K152" t="s">
        <v>435</v>
      </c>
      <c r="L152" t="s">
        <v>147</v>
      </c>
      <c r="N152" t="s">
        <v>123</v>
      </c>
      <c r="O152" s="1"/>
      <c r="P152" s="1"/>
      <c r="Q152" s="1">
        <v>45413</v>
      </c>
      <c r="R152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52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52" s="1" t="e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#NUM!</v>
      </c>
      <c r="U152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52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1492</v>
      </c>
      <c r="W152">
        <f>Portefeuille_MNT_PPS_Access22[[#This Row],[Délais PC1 et PC3]]+Portefeuille_MNT_PPS_Access22[[#This Row],[Délais PC3 et PC5]]</f>
        <v>1492</v>
      </c>
      <c r="X152">
        <v>1</v>
      </c>
      <c r="Y152">
        <v>5</v>
      </c>
      <c r="Z152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5</v>
      </c>
      <c r="AA152" s="12" t="e">
        <f>_xlfn.XLOOKUP(Portefeuille_MNT_PPS_Access22[[#This Row],[Numéro projet]],Tableau5[Numéro projet],Tableau5[IND_Site_Prioritaire])</f>
        <v>#N/A</v>
      </c>
      <c r="AB152" s="2" t="e">
        <f>_xlfn.XLOOKUP(Portefeuille_MNT_PPS_Access22[[#This Row],[Numéro projet]],Tableau5[Numéro projet],Tableau5[Critère Etat Infrastructure])</f>
        <v>#N/A</v>
      </c>
      <c r="AC152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52" t="s">
        <v>125</v>
      </c>
      <c r="AG152" s="2">
        <v>5</v>
      </c>
      <c r="AH152" s="2"/>
      <c r="AK152">
        <v>2</v>
      </c>
      <c r="AL152">
        <v>64</v>
      </c>
      <c r="AV152"/>
      <c r="BI152" s="14">
        <f>SUM(Portefeuille_MNT_PPS_Access22[[#This Row],[AC ANT]:[TR 2035]])</f>
        <v>66</v>
      </c>
      <c r="BJ152" s="57"/>
      <c r="BK152" s="57"/>
    </row>
    <row r="153" spans="1:63" hidden="1" x14ac:dyDescent="0.3">
      <c r="A153" t="s">
        <v>11</v>
      </c>
      <c r="C153" t="s">
        <v>118</v>
      </c>
      <c r="D153" t="s">
        <v>102</v>
      </c>
      <c r="E153" t="s">
        <v>103</v>
      </c>
      <c r="F153" t="s">
        <v>252</v>
      </c>
      <c r="G153" t="s">
        <v>20</v>
      </c>
      <c r="H153" t="s">
        <v>16</v>
      </c>
      <c r="I153" t="s">
        <v>131</v>
      </c>
      <c r="J153" t="s">
        <v>387</v>
      </c>
      <c r="K153" t="s">
        <v>388</v>
      </c>
      <c r="L153" t="s">
        <v>180</v>
      </c>
      <c r="N153" t="s">
        <v>297</v>
      </c>
      <c r="O153" s="1"/>
      <c r="P153" s="1"/>
      <c r="Q153" s="1"/>
      <c r="R153" s="1" t="str">
        <f xml:space="preserve"> IF(Portefeuille_MNT_PPS_Access22[[#This Row],[PC-1]] = "", "0.NA",IF(Portefeuille_MNT_PPS_Access22[[#This Row],[PC-1]] &lt;= DATE(Portefeuille_MNT_PPS_Access22[[#This Row],[Année DÉBUT Travaux prévu]]- 3, 12, 15),"5.Respect OPC",IF(Portefeuille_MNT_PPS_Access22[[#This Row],[PC-1]] &lt;= DATE(Portefeuille_MNT_PPS_Access22[[#This Row],[Année DÉBUT Travaux prévu]]-2, 4, 1),"3.À risque","1.Très à risque")))</f>
        <v>0.NA</v>
      </c>
      <c r="S153" s="1" t="str">
        <f xml:space="preserve"> IF(Portefeuille_MNT_PPS_Access22[[#This Row],[PC-3]] = "", "0.NA",IF(Portefeuille_MNT_PPS_Access22[[#This Row],[PC-3]] &lt;= DATE(Portefeuille_MNT_PPS_Access22[[#This Row],[Année DÉBUT Travaux prévu]]- 2, 12, 15),"5.Respect OPC",IF(Portefeuille_MNT_PPS_Access22[[#This Row],[PC-3]] &lt;= DATE(Portefeuille_MNT_PPS_Access22[[#This Row],[Année DÉBUT Travaux prévu]]-1, 4, 1),"3.À risque","1.Très à risque")))</f>
        <v>0.NA</v>
      </c>
      <c r="T153" s="1" t="str">
        <f xml:space="preserve"> IF(Portefeuille_MNT_PPS_Access22[[#This Row],[PC-5]] = "", "0.NA",IF(Portefeuille_MNT_PPS_Access22[[#This Row],[PC-5]] &lt;= DATE(Portefeuille_MNT_PPS_Access22[[#This Row],[Année DÉBUT Travaux prévu]]- 1, 12, 15),"5.Respect OPC",IF(Portefeuille_MNT_PPS_Access22[[#This Row],[PC-5]] &lt;= DATE(Portefeuille_MNT_PPS_Access22[[#This Row],[Année DÉBUT Travaux prévu]], 4, 1),"3.À risque","1.Très à risque")))</f>
        <v>0.NA</v>
      </c>
      <c r="U153">
        <f xml:space="preserve"> (YEAR(Portefeuille_MNT_PPS_Access22[[#This Row],[PC-3]]) - YEAR(Portefeuille_MNT_PPS_Access22[[#This Row],[PC-1]])) * 12 + MONTH(Portefeuille_MNT_PPS_Access22[[#This Row],[PC-3]]) - MONTH(Portefeuille_MNT_PPS_Access22[[#This Row],[PC-1]])</f>
        <v>0</v>
      </c>
      <c r="V153">
        <f xml:space="preserve"> (YEAR(Portefeuille_MNT_PPS_Access22[[#This Row],[PC-5]]) - YEAR(Portefeuille_MNT_PPS_Access22[[#This Row],[PC-3]])) * 12 + MONTH(Portefeuille_MNT_PPS_Access22[[#This Row],[PC-5]]) - MONTH(Portefeuille_MNT_PPS_Access22[[#This Row],[PC-3]])</f>
        <v>0</v>
      </c>
      <c r="W153">
        <f>Portefeuille_MNT_PPS_Access22[[#This Row],[Délais PC1 et PC3]]+Portefeuille_MNT_PPS_Access22[[#This Row],[Délais PC3 et PC5]]</f>
        <v>0</v>
      </c>
      <c r="X153">
        <v>1</v>
      </c>
      <c r="Z153" s="2" t="str">
        <f>IF(AND(Portefeuille_MNT_PPS_Access22[[#This Row],[Année DÉBUT Travaux prévu]]&gt;=2024,Portefeuille_MNT_PPS_Access22[[#This Row],[IND_PC5_TR2025]]=5),5,IF(AND(Portefeuille_MNT_PPS_Access22[[#This Row],[Année DÉBUT Travaux prévu]]&gt;=2026,Portefeuille_MNT_PPS_Access22[[#This Row],[IND_PC3_TR2026]]=5),5,Portefeuille_MNT_PPS_Access22[[#This Row],[IND_Etat_avancement]]))</f>
        <v>6</v>
      </c>
      <c r="AA153" s="12" t="e">
        <f>_xlfn.XLOOKUP(Portefeuille_MNT_PPS_Access22[[#This Row],[Numéro projet]],Tableau5[Numéro projet],Tableau5[IND_Site_Prioritaire])</f>
        <v>#N/A</v>
      </c>
      <c r="AB153" s="2" t="e">
        <f>_xlfn.XLOOKUP(Portefeuille_MNT_PPS_Access22[[#This Row],[Numéro projet]],Tableau5[Numéro projet],Tableau5[Critère Etat Infrastructure])</f>
        <v>#N/A</v>
      </c>
      <c r="AC153" s="12">
        <f>IF(Portefeuille_MNT_PPS_Access22[[#This Row],[IND_Parachèvement]]=5,100, SUM(Portefeuille_MNT_PPS_Access22[[#This Row],[Critère PC Atteint]]*$AG$8/5, Portefeuille_MNT_PPS_Access22[[#This Row],[Critère Etat Infrastructure]]*$AG$10/5,Portefeuille_MNT_PPS_Access22[[#This Row],[Site prioritaire]]* $AG$9/5, Portefeuille_MNT_PPS_Access22[[#This Row],[IND_PROJT_ANNONCE]]*$AG$7/5)*100)</f>
        <v>100</v>
      </c>
      <c r="AF153" t="s">
        <v>349</v>
      </c>
      <c r="AG153" s="2">
        <v>5</v>
      </c>
      <c r="AH153" s="2"/>
      <c r="AL153">
        <v>316</v>
      </c>
      <c r="AV153"/>
      <c r="BI153" s="14">
        <f>SUM(Portefeuille_MNT_PPS_Access22[[#This Row],[AC ANT]:[TR 2035]])</f>
        <v>316</v>
      </c>
    </row>
    <row r="154" spans="1:63" x14ac:dyDescent="0.3">
      <c r="J154">
        <f>SUBTOTAL(103,Portefeuille_MNT_PPS_Access22[Numéro projet])</f>
        <v>21</v>
      </c>
      <c r="AH154" s="25"/>
      <c r="AI154" s="14">
        <f>SUBTOTAL(109,Portefeuille_MNT_PPS_Access22[AC ANT])</f>
        <v>8803</v>
      </c>
      <c r="AJ154" s="14">
        <f>SUBTOTAL(109,Portefeuille_MNT_PPS_Access22[TR ANT])</f>
        <v>53016</v>
      </c>
      <c r="AK154" s="14">
        <f>SUBTOTAL(109,Portefeuille_MNT_PPS_Access22[AC 2024])</f>
        <v>2412</v>
      </c>
      <c r="AL154" s="14">
        <f>SUBTOTAL(109,Portefeuille_MNT_PPS_Access22[TR 2024])</f>
        <v>55621</v>
      </c>
      <c r="AM154" s="14">
        <f>SUBTOTAL(109,Portefeuille_MNT_PPS_Access22[AC 2025])</f>
        <v>3817</v>
      </c>
      <c r="AN154" s="14">
        <f>SUBTOTAL(109,Portefeuille_MNT_PPS_Access22[TR 2025])</f>
        <v>55614</v>
      </c>
      <c r="AO154" s="14">
        <f>SUBTOTAL(109,Portefeuille_MNT_PPS_Access22[AC 2026])</f>
        <v>93</v>
      </c>
      <c r="AP154" s="14">
        <f>SUBTOTAL(109,Portefeuille_MNT_PPS_Access22[TR 2026])</f>
        <v>0</v>
      </c>
      <c r="AQ154" s="14">
        <f>SUBTOTAL(109,Portefeuille_MNT_PPS_Access22[AC 2027])</f>
        <v>0</v>
      </c>
      <c r="AR154" s="14">
        <f>SUBTOTAL(109,Portefeuille_MNT_PPS_Access22[TR 2027])</f>
        <v>0</v>
      </c>
      <c r="AS154" s="14">
        <f>SUBTOTAL(109,Portefeuille_MNT_PPS_Access22[AC 2028])</f>
        <v>0</v>
      </c>
      <c r="AT154" s="14">
        <f>SUBTOTAL(109,Portefeuille_MNT_PPS_Access22[TR 2028])</f>
        <v>0</v>
      </c>
      <c r="AU154" s="14">
        <f>SUBTOTAL(109,Portefeuille_MNT_PPS_Access22[AC 2029])</f>
        <v>0</v>
      </c>
      <c r="AV154" s="14">
        <f>SUBTOTAL(109,Portefeuille_MNT_PPS_Access22[TR 2029])</f>
        <v>0</v>
      </c>
      <c r="AW154" s="14">
        <f>SUBTOTAL(109,Portefeuille_MNT_PPS_Access22[AC 2030])</f>
        <v>0</v>
      </c>
      <c r="AX154" s="14">
        <f>SUBTOTAL(109,Portefeuille_MNT_PPS_Access22[TR 2030])</f>
        <v>0</v>
      </c>
      <c r="AY154" s="14">
        <f>SUBTOTAL(109,Portefeuille_MNT_PPS_Access22[AC 2031])</f>
        <v>0</v>
      </c>
      <c r="AZ154" s="14">
        <f>SUBTOTAL(109,Portefeuille_MNT_PPS_Access22[TR 2031])</f>
        <v>0</v>
      </c>
      <c r="BA154" s="14">
        <f>SUBTOTAL(109,Portefeuille_MNT_PPS_Access22[AC 2032])</f>
        <v>0</v>
      </c>
      <c r="BB154" s="14">
        <f>SUBTOTAL(109,Portefeuille_MNT_PPS_Access22[TR 2032])</f>
        <v>0</v>
      </c>
      <c r="BC154" s="14">
        <f>SUBTOTAL(109,Portefeuille_MNT_PPS_Access22[AC 2033])</f>
        <v>0</v>
      </c>
      <c r="BD154" s="14">
        <f>SUBTOTAL(109,Portefeuille_MNT_PPS_Access22[TR 2033])</f>
        <v>0</v>
      </c>
      <c r="BE154" s="14">
        <f>SUBTOTAL(109,Portefeuille_MNT_PPS_Access22[AC 2034])</f>
        <v>0</v>
      </c>
      <c r="BF154" s="14">
        <f>SUBTOTAL(109,Portefeuille_MNT_PPS_Access22[TR 2034])</f>
        <v>0</v>
      </c>
      <c r="BG154" s="14">
        <f>SUBTOTAL(109,Portefeuille_MNT_PPS_Access22[AC 2035])</f>
        <v>0</v>
      </c>
      <c r="BH154" s="14">
        <f>SUBTOTAL(109,Portefeuille_MNT_PPS_Access22[TR 2035])</f>
        <v>0</v>
      </c>
      <c r="BI154" s="14">
        <f>SUBTOTAL(109,Portefeuille_MNT_PPS_Access22[Total Projet])</f>
        <v>179376</v>
      </c>
    </row>
    <row r="156" spans="1:63" x14ac:dyDescent="0.3"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</row>
  </sheetData>
  <mergeCells count="183">
    <mergeCell ref="AY16:AZ16"/>
    <mergeCell ref="BA16:BB16"/>
    <mergeCell ref="BC16:BD16"/>
    <mergeCell ref="BE16:BF16"/>
    <mergeCell ref="BG16:BH16"/>
    <mergeCell ref="BE15:BF15"/>
    <mergeCell ref="BG15:BH15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S15:AT15"/>
    <mergeCell ref="AU15:AV15"/>
    <mergeCell ref="AW15:AX15"/>
    <mergeCell ref="AY15:AZ15"/>
    <mergeCell ref="BA15:BB15"/>
    <mergeCell ref="BC15:BD15"/>
    <mergeCell ref="AY14:AZ14"/>
    <mergeCell ref="BA14:BB14"/>
    <mergeCell ref="BC14:BD14"/>
    <mergeCell ref="BE14:BF14"/>
    <mergeCell ref="BG14:BH14"/>
    <mergeCell ref="AI15:AJ15"/>
    <mergeCell ref="AK15:AL15"/>
    <mergeCell ref="AM15:AN15"/>
    <mergeCell ref="AO15:AP15"/>
    <mergeCell ref="AQ15:AR15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S13:AT13"/>
    <mergeCell ref="AU13:AV13"/>
    <mergeCell ref="AW13:AX13"/>
    <mergeCell ref="AY12:AZ12"/>
    <mergeCell ref="BA12:BB12"/>
    <mergeCell ref="BC12:BD12"/>
    <mergeCell ref="BE12:BF12"/>
    <mergeCell ref="BG12:BH12"/>
    <mergeCell ref="AI13:AJ13"/>
    <mergeCell ref="AK13:AL13"/>
    <mergeCell ref="AM13:AN13"/>
    <mergeCell ref="AO13:AP13"/>
    <mergeCell ref="AQ13:AR13"/>
    <mergeCell ref="BE13:BF13"/>
    <mergeCell ref="BG13:BH13"/>
    <mergeCell ref="AY13:AZ13"/>
    <mergeCell ref="BA13:BB13"/>
    <mergeCell ref="BC13:BD13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S11:AT11"/>
    <mergeCell ref="AU11:AV11"/>
    <mergeCell ref="AW11:AX11"/>
    <mergeCell ref="AY10:AZ10"/>
    <mergeCell ref="BA10:BB10"/>
    <mergeCell ref="BC10:BD10"/>
    <mergeCell ref="BE10:BF10"/>
    <mergeCell ref="BG10:BH10"/>
    <mergeCell ref="AI11:AJ11"/>
    <mergeCell ref="AK11:AL11"/>
    <mergeCell ref="AM11:AN11"/>
    <mergeCell ref="AO11:AP11"/>
    <mergeCell ref="AQ11:AR11"/>
    <mergeCell ref="BE11:BF11"/>
    <mergeCell ref="BG11:BH11"/>
    <mergeCell ref="AY11:AZ11"/>
    <mergeCell ref="BA11:BB11"/>
    <mergeCell ref="BC11:BD11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S9:AT9"/>
    <mergeCell ref="AU9:AV9"/>
    <mergeCell ref="AW9:AX9"/>
    <mergeCell ref="AY8:AZ8"/>
    <mergeCell ref="BA8:BB8"/>
    <mergeCell ref="BC8:BD8"/>
    <mergeCell ref="BE8:BF8"/>
    <mergeCell ref="BG8:BH8"/>
    <mergeCell ref="AI9:AJ9"/>
    <mergeCell ref="AK9:AL9"/>
    <mergeCell ref="AM9:AN9"/>
    <mergeCell ref="AO9:AP9"/>
    <mergeCell ref="AQ9:AR9"/>
    <mergeCell ref="BE9:BF9"/>
    <mergeCell ref="BG9:BH9"/>
    <mergeCell ref="AY9:AZ9"/>
    <mergeCell ref="BA9:BB9"/>
    <mergeCell ref="BC9:BD9"/>
    <mergeCell ref="AI8:AJ8"/>
    <mergeCell ref="AK8:AL8"/>
    <mergeCell ref="AM8:AN8"/>
    <mergeCell ref="AO8:AP8"/>
    <mergeCell ref="AQ8:AR8"/>
    <mergeCell ref="AS8:AT8"/>
    <mergeCell ref="AU8:AV8"/>
    <mergeCell ref="AW8:AX8"/>
    <mergeCell ref="AS7:AT7"/>
    <mergeCell ref="AU7:AV7"/>
    <mergeCell ref="AW7:AX7"/>
    <mergeCell ref="AY6:AZ6"/>
    <mergeCell ref="BA6:BB6"/>
    <mergeCell ref="BC6:BD6"/>
    <mergeCell ref="BE6:BF6"/>
    <mergeCell ref="BG6:BH6"/>
    <mergeCell ref="AI7:AJ7"/>
    <mergeCell ref="AK7:AL7"/>
    <mergeCell ref="AM7:AN7"/>
    <mergeCell ref="AO7:AP7"/>
    <mergeCell ref="AQ7:AR7"/>
    <mergeCell ref="BE7:BF7"/>
    <mergeCell ref="BG7:BH7"/>
    <mergeCell ref="AY7:AZ7"/>
    <mergeCell ref="BA7:BB7"/>
    <mergeCell ref="BC7:BD7"/>
    <mergeCell ref="AI6:AJ6"/>
    <mergeCell ref="AK6:AL6"/>
    <mergeCell ref="AM6:AN6"/>
    <mergeCell ref="AO6:AP6"/>
    <mergeCell ref="AQ6:AR6"/>
    <mergeCell ref="AS6:AT6"/>
    <mergeCell ref="AU6:AV6"/>
    <mergeCell ref="AW6:AX6"/>
    <mergeCell ref="AS5:AT5"/>
    <mergeCell ref="AU5:AV5"/>
    <mergeCell ref="AW5:AX5"/>
    <mergeCell ref="BC4:BD4"/>
    <mergeCell ref="BE4:BF4"/>
    <mergeCell ref="BG4:BH4"/>
    <mergeCell ref="AI5:AJ5"/>
    <mergeCell ref="AK5:AL5"/>
    <mergeCell ref="AM5:AN5"/>
    <mergeCell ref="AO5:AP5"/>
    <mergeCell ref="AQ5:AR5"/>
    <mergeCell ref="BE5:BF5"/>
    <mergeCell ref="BG5:BH5"/>
    <mergeCell ref="AY5:AZ5"/>
    <mergeCell ref="BA5:BB5"/>
    <mergeCell ref="BC5:BD5"/>
    <mergeCell ref="I3:J3"/>
    <mergeCell ref="AI3:AJ3"/>
    <mergeCell ref="AK3:AL3"/>
    <mergeCell ref="AM3:AN3"/>
    <mergeCell ref="AO3:AP3"/>
    <mergeCell ref="AQ3:AR3"/>
    <mergeCell ref="BE3:BF3"/>
    <mergeCell ref="BG3:BH3"/>
    <mergeCell ref="AI4:AJ4"/>
    <mergeCell ref="AK4:AL4"/>
    <mergeCell ref="AM4:AN4"/>
    <mergeCell ref="AO4:AP4"/>
    <mergeCell ref="AQ4:AR4"/>
    <mergeCell ref="AS4:AT4"/>
    <mergeCell ref="AU4:AV4"/>
    <mergeCell ref="AW4:AX4"/>
    <mergeCell ref="AS3:AT3"/>
    <mergeCell ref="AU3:AV3"/>
    <mergeCell ref="AW3:AX3"/>
    <mergeCell ref="AY3:AZ3"/>
    <mergeCell ref="BA3:BB3"/>
    <mergeCell ref="BC3:BD3"/>
    <mergeCell ref="AY4:AZ4"/>
    <mergeCell ref="BA4:BB4"/>
  </mergeCells>
  <conditionalFormatting sqref="R19:W153">
    <cfRule type="containsText" dxfId="105" priority="1" operator="containsText" text="1.Très à risque">
      <formula>NOT(ISERROR(SEARCH("1.Très à risque",R19)))</formula>
    </cfRule>
    <cfRule type="containsText" dxfId="104" priority="2" operator="containsText" text="3.À risque">
      <formula>NOT(ISERROR(SEARCH("3.À risque",R19)))</formula>
    </cfRule>
    <cfRule type="containsText" dxfId="103" priority="3" operator="containsText" text="5.Respect OPC">
      <formula>NOT(ISERROR(SEARCH("5.Respect OPC",R19)))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09F5BF0-2B7D-4E0F-9B10-574218A4299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Z19:AA153</xm:sqref>
        </x14:conditionalFormatting>
        <x14:conditionalFormatting xmlns:xm="http://schemas.microsoft.com/office/excel/2006/main">
          <x14:cfRule type="iconSet" priority="5" id="{813EAFDD-BE2B-46B9-9043-1DA091DB725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AB19:AC153</xm:sqref>
        </x14:conditionalFormatting>
        <x14:conditionalFormatting xmlns:xm="http://schemas.microsoft.com/office/excel/2006/main">
          <x14:cfRule type="iconSet" priority="6" id="{A1156B81-3CA9-4E6D-B685-236591B46D2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AG19:AH153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9F-7C33-4BA4-8836-C9666C094420}">
  <dimension ref="A1:BU156"/>
  <sheetViews>
    <sheetView topLeftCell="K1" zoomScale="90" zoomScaleNormal="90" workbookViewId="0">
      <pane ySplit="16" topLeftCell="A18" activePane="bottomLeft" state="frozen"/>
      <selection activeCell="R36" sqref="R36"/>
      <selection pane="bottomLeft" activeCell="R36" sqref="R36"/>
    </sheetView>
  </sheetViews>
  <sheetFormatPr baseColWidth="10" defaultColWidth="11.44140625" defaultRowHeight="14.4" outlineLevelCol="1" x14ac:dyDescent="0.3"/>
  <cols>
    <col min="1" max="1" width="14.33203125" hidden="1" customWidth="1" outlineLevel="1"/>
    <col min="2" max="2" width="11.44140625" hidden="1" customWidth="1" outlineLevel="1"/>
    <col min="3" max="3" width="8" hidden="1" customWidth="1" outlineLevel="1"/>
    <col min="4" max="4" width="9.6640625" hidden="1" customWidth="1" outlineLevel="1"/>
    <col min="5" max="5" width="15.88671875" hidden="1" customWidth="1" outlineLevel="1"/>
    <col min="6" max="6" width="16" hidden="1" customWidth="1" outlineLevel="1"/>
    <col min="7" max="7" width="11.33203125" hidden="1" customWidth="1" outlineLevel="1"/>
    <col min="8" max="8" width="12.44140625" hidden="1" customWidth="1" outlineLevel="1"/>
    <col min="9" max="9" width="14.33203125" customWidth="1" collapsed="1"/>
    <col min="10" max="10" width="14.33203125" customWidth="1"/>
    <col min="11" max="11" width="94.5546875" customWidth="1"/>
    <col min="12" max="12" width="17.109375" customWidth="1" collapsed="1"/>
    <col min="13" max="14" width="10.6640625" customWidth="1"/>
    <col min="15" max="15" width="21.6640625" customWidth="1"/>
    <col min="16" max="16" width="14.88671875" customWidth="1"/>
    <col min="17" max="17" width="12.5546875" customWidth="1"/>
    <col min="18" max="18" width="12.33203125" customWidth="1"/>
    <col min="19" max="19" width="13.5546875" customWidth="1"/>
    <col min="20" max="20" width="13.88671875" customWidth="1"/>
    <col min="21" max="21" width="14.6640625" customWidth="1"/>
    <col min="22" max="24" width="12.33203125" hidden="1" customWidth="1" outlineLevel="1"/>
    <col min="25" max="27" width="18.5546875" hidden="1" customWidth="1" outlineLevel="1"/>
    <col min="28" max="28" width="14.6640625" hidden="1" customWidth="1" outlineLevel="1"/>
    <col min="29" max="29" width="10.6640625" hidden="1" customWidth="1" outlineLevel="1"/>
    <col min="30" max="30" width="11.88671875" hidden="1" customWidth="1" outlineLevel="1"/>
    <col min="31" max="31" width="11.44140625" hidden="1" customWidth="1" outlineLevel="1"/>
    <col min="32" max="32" width="12" hidden="1" customWidth="1" outlineLevel="1"/>
    <col min="33" max="33" width="12.88671875" hidden="1" customWidth="1" outlineLevel="1"/>
    <col min="34" max="34" width="10.5546875" hidden="1" customWidth="1" outlineLevel="1"/>
    <col min="35" max="35" width="9.6640625" hidden="1" customWidth="1" outlineLevel="1"/>
    <col min="36" max="36" width="8.109375" hidden="1" customWidth="1" outlineLevel="1"/>
    <col min="37" max="37" width="14.109375" hidden="1" customWidth="1" outlineLevel="1"/>
    <col min="38" max="38" width="32.44140625" customWidth="1" collapsed="1"/>
    <col min="39" max="39" width="9.33203125" hidden="1" customWidth="1" outlineLevel="1"/>
    <col min="40" max="40" width="10.44140625" hidden="1" customWidth="1" outlineLevel="1"/>
    <col min="41" max="41" width="9.88671875" hidden="1" customWidth="1" outlineLevel="1"/>
    <col min="42" max="42" width="9.88671875" style="25" hidden="1" customWidth="1" outlineLevel="1"/>
    <col min="43" max="44" width="9.88671875" hidden="1" customWidth="1" outlineLevel="1"/>
    <col min="45" max="45" width="11.109375" customWidth="1" collapsed="1"/>
    <col min="46" max="46" width="12.33203125" customWidth="1"/>
    <col min="47" max="47" width="11" customWidth="1"/>
    <col min="48" max="51" width="9.88671875" customWidth="1"/>
    <col min="52" max="52" width="9.88671875" style="8" customWidth="1"/>
    <col min="53" max="64" width="9.88671875" customWidth="1"/>
    <col min="65" max="65" width="13.44140625" customWidth="1"/>
    <col min="66" max="66" width="13.5546875" customWidth="1"/>
    <col min="67" max="67" width="18" customWidth="1"/>
    <col min="68" max="68" width="17" customWidth="1"/>
    <col min="69" max="69" width="16.6640625" bestFit="1" customWidth="1"/>
    <col min="70" max="79" width="11.33203125" customWidth="1"/>
    <col min="80" max="80" width="12.5546875" customWidth="1"/>
    <col min="81" max="81" width="13.44140625" customWidth="1"/>
    <col min="82" max="82" width="13.109375" customWidth="1"/>
    <col min="83" max="83" width="14" customWidth="1"/>
    <col min="84" max="89" width="17.33203125" customWidth="1"/>
    <col min="90" max="90" width="18.109375" customWidth="1"/>
    <col min="91" max="91" width="17.5546875" customWidth="1"/>
  </cols>
  <sheetData>
    <row r="1" spans="1:73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7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85"/>
      <c r="BR1" s="85"/>
      <c r="BS1" s="85"/>
      <c r="BT1" s="85"/>
      <c r="BU1" s="85"/>
    </row>
    <row r="2" spans="1:73" x14ac:dyDescent="0.3">
      <c r="AI2" s="25"/>
      <c r="AJ2" s="25"/>
      <c r="AK2" s="25"/>
      <c r="AL2" s="25"/>
      <c r="AM2" s="25"/>
      <c r="AN2" s="25"/>
      <c r="AO2" s="25"/>
      <c r="AQ2" s="8"/>
      <c r="AZ2"/>
    </row>
    <row r="3" spans="1:73" ht="26.4" customHeight="1" x14ac:dyDescent="0.3">
      <c r="I3" s="306" t="s">
        <v>2</v>
      </c>
      <c r="J3" s="307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J3" s="4" t="s">
        <v>3</v>
      </c>
      <c r="AK3" s="80" t="s">
        <v>4</v>
      </c>
      <c r="AL3" s="128" t="s">
        <v>5</v>
      </c>
      <c r="AM3" s="265" t="s">
        <v>6</v>
      </c>
      <c r="AN3" s="264"/>
      <c r="AO3" s="263">
        <v>2024</v>
      </c>
      <c r="AP3" s="264"/>
      <c r="AQ3" s="263">
        <v>2025</v>
      </c>
      <c r="AR3" s="264"/>
      <c r="AS3" s="263">
        <v>2026</v>
      </c>
      <c r="AT3" s="264"/>
      <c r="AU3" s="263">
        <v>2027</v>
      </c>
      <c r="AV3" s="264"/>
      <c r="AW3" s="263">
        <v>2028</v>
      </c>
      <c r="AX3" s="264"/>
      <c r="AY3" s="263">
        <v>2029</v>
      </c>
      <c r="AZ3" s="264"/>
      <c r="BA3" s="263">
        <v>2030</v>
      </c>
      <c r="BB3" s="264"/>
      <c r="BC3" s="263">
        <v>2031</v>
      </c>
      <c r="BD3" s="264"/>
      <c r="BE3" s="263">
        <v>2032</v>
      </c>
      <c r="BF3" s="264"/>
      <c r="BG3" s="263">
        <v>2033</v>
      </c>
      <c r="BH3" s="264"/>
      <c r="BI3" s="263">
        <v>2034</v>
      </c>
      <c r="BJ3" s="264"/>
      <c r="BK3" s="263">
        <v>2035</v>
      </c>
      <c r="BL3" s="264"/>
      <c r="BM3" s="26" t="s">
        <v>560</v>
      </c>
      <c r="BN3" s="26" t="s">
        <v>595</v>
      </c>
    </row>
    <row r="4" spans="1:73" x14ac:dyDescent="0.3">
      <c r="I4" s="27" t="s">
        <v>9</v>
      </c>
      <c r="J4" s="28" t="s">
        <v>10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J4" s="66"/>
      <c r="AK4" s="138"/>
      <c r="AL4" s="104" t="s">
        <v>11</v>
      </c>
      <c r="AM4" s="260"/>
      <c r="AN4" s="260"/>
      <c r="AO4" s="260">
        <f>SUMIFS(Portefeuille_MNT_PPS_Access20[AC 2024],Portefeuille_MNT_PPS_Access20[DES_COMPL_NATR_COMPB],"=Fonctionnement")+SUMIFS(Portefeuille_MNT_PPS_Access20[TR 2024],Portefeuille_MNT_PPS_Access20[DES_COMPL_NATR_COMPB],"=Fonctionnement")</f>
        <v>339</v>
      </c>
      <c r="AP4" s="260"/>
      <c r="AQ4" s="260">
        <f>SUMIFS(Portefeuille_MNT_PPS_Access20[AC 2025],Portefeuille_MNT_PPS_Access20[DES_COMPL_NATR_COMPB],"=Fonctionnement")+SUMIFS(Portefeuille_MNT_PPS_Access20[TR 2025],Portefeuille_MNT_PPS_Access20[DES_COMPL_NATR_COMPB],"=Fonctionnement")</f>
        <v>300</v>
      </c>
      <c r="AR4" s="260"/>
      <c r="AS4" s="260">
        <f>SUMIFS(Portefeuille_MNT_PPS_Access20[AC 2026],Portefeuille_MNT_PPS_Access20[DES_COMPL_NATR_COMPB],"=Fonctionnement")+SUMIFS(Portefeuille_MNT_PPS_Access20[TR 2026],Portefeuille_MNT_PPS_Access20[DES_COMPL_NATR_COMPB],"=Fonctionnement")</f>
        <v>300</v>
      </c>
      <c r="AT4" s="260"/>
      <c r="AU4" s="260">
        <v>300</v>
      </c>
      <c r="AV4" s="260"/>
      <c r="AW4" s="260">
        <f>SUMIFS(Portefeuille_MNT_PPS_Access20[AC 2028],Portefeuille_MNT_PPS_Access20[DES_COMPL_NATR_COMPB],"=Fonctionnement")+SUMIFS(Portefeuille_MNT_PPS_Access20[TR 2028],Portefeuille_MNT_PPS_Access20[DES_COMPL_NATR_COMPB],"=Fonctionnement")</f>
        <v>0</v>
      </c>
      <c r="AX4" s="260"/>
      <c r="AY4" s="260">
        <f>SUMIFS(Portefeuille_MNT_PPS_Access20[AC 2029],Portefeuille_MNT_PPS_Access20[DES_COMPL_NATR_COMPB],"=Fonctionnement")+SUMIFS(Portefeuille_MNT_PPS_Access20[TR 2029],Portefeuille_MNT_PPS_Access20[DES_COMPL_NATR_COMPB],"=Fonctionnement")</f>
        <v>0</v>
      </c>
      <c r="AZ4" s="260"/>
      <c r="BA4" s="260">
        <f>SUMIFS(Portefeuille_MNT_PPS_Access20[AC 2030],Portefeuille_MNT_PPS_Access20[DES_COMPL_NATR_COMPB],"=Fonctionnement")+SUMIFS(Portefeuille_MNT_PPS_Access20[TR 2030],Portefeuille_MNT_PPS_Access20[DES_COMPL_NATR_COMPB],"=Fonctionnement")</f>
        <v>0</v>
      </c>
      <c r="BB4" s="260"/>
      <c r="BC4" s="260">
        <f>SUMIFS(Portefeuille_MNT_PPS_Access20[AC 2031],Portefeuille_MNT_PPS_Access20[DES_COMPL_NATR_COMPB],"=Fonctionnement")+SUMIFS(Portefeuille_MNT_PPS_Access20[TR 2031],Portefeuille_MNT_PPS_Access20[DES_COMPL_NATR_COMPB],"=Fonctionnement")</f>
        <v>0</v>
      </c>
      <c r="BD4" s="260"/>
      <c r="BE4" s="260">
        <f>SUMIFS(Portefeuille_MNT_PPS_Access20[AC 2032],Portefeuille_MNT_PPS_Access20[DES_COMPL_NATR_COMPB],"=Fonctionnement")+SUMIFS(Portefeuille_MNT_PPS_Access20[TR 2032],Portefeuille_MNT_PPS_Access20[DES_COMPL_NATR_COMPB],"=Fonctionnement")</f>
        <v>0</v>
      </c>
      <c r="BF4" s="260"/>
      <c r="BG4" s="260">
        <f>SUMIFS(Portefeuille_MNT_PPS_Access20[AC 2033],Portefeuille_MNT_PPS_Access20[DES_COMPL_NATR_COMPB],"=Fonctionnement")+SUMIFS(Portefeuille_MNT_PPS_Access20[TR 2033],Portefeuille_MNT_PPS_Access20[DES_COMPL_NATR_COMPB],"=Fonctionnement")</f>
        <v>0</v>
      </c>
      <c r="BH4" s="260"/>
      <c r="BI4" s="260">
        <f>SUMIFS(Portefeuille_MNT_PPS_Access20[AC 2034],Portefeuille_MNT_PPS_Access20[DES_COMPL_NATR_COMPB],"=Fonctionnement")+SUMIFS(Portefeuille_MNT_PPS_Access20[TR 2034],Portefeuille_MNT_PPS_Access20[DES_COMPL_NATR_COMPB],"=Fonctionnement")</f>
        <v>0</v>
      </c>
      <c r="BJ4" s="260"/>
      <c r="BK4" s="260">
        <f>SUMIFS(Portefeuille_MNT_PPS_Access20[AC 2035],Portefeuille_MNT_PPS_Access20[DES_COMPL_NATR_COMPB],"=Fonctionnement")+SUMIFS(Portefeuille_MNT_PPS_Access20[TR 2035],Portefeuille_MNT_PPS_Access20[DES_COMPL_NATR_COMPB],"=Fonctionnement")</f>
        <v>0</v>
      </c>
      <c r="BL4" s="260"/>
      <c r="BM4" s="16">
        <f>SUM(AS4:BB4)</f>
        <v>600</v>
      </c>
      <c r="BN4" s="16">
        <f>SUM(AS4:BL4)</f>
        <v>600</v>
      </c>
    </row>
    <row r="5" spans="1:73" x14ac:dyDescent="0.3">
      <c r="I5" s="27" t="s">
        <v>12</v>
      </c>
      <c r="J5" s="28" t="s">
        <v>13</v>
      </c>
      <c r="AJ5" s="67"/>
      <c r="AK5" s="139" t="s">
        <v>299</v>
      </c>
      <c r="AL5" s="104" t="s">
        <v>15</v>
      </c>
      <c r="AM5" s="260">
        <f>SUMIFS(Portefeuille_MNT_PPS_Access20[AC ANT],Portefeuille_MNT_PPS_Access20[État Composante AC],"=PR")</f>
        <v>24010</v>
      </c>
      <c r="AN5" s="260"/>
      <c r="AO5" s="260">
        <f>SUMIFS(Portefeuille_MNT_PPS_Access20[AC 2024],Portefeuille_MNT_PPS_Access20[État Composante AC],"=PR")</f>
        <v>4500</v>
      </c>
      <c r="AP5" s="260"/>
      <c r="AQ5" s="260">
        <f>SUMIFS(Portefeuille_MNT_PPS_Access20[AC 2025],Portefeuille_MNT_PPS_Access20[État Composante AC],"=PR")</f>
        <v>11393</v>
      </c>
      <c r="AR5" s="260"/>
      <c r="AS5" s="260">
        <f>SUMIFS(Portefeuille_MNT_PPS_Access20[AC 2026],Portefeuille_MNT_PPS_Access20[État Composante AC],"=PR")</f>
        <v>10245</v>
      </c>
      <c r="AT5" s="260"/>
      <c r="AU5" s="260">
        <f>SUMIFS(Portefeuille_MNT_PPS_Access20[AC 2027],Portefeuille_MNT_PPS_Access20[État Composante AC],"=PR")</f>
        <v>10333</v>
      </c>
      <c r="AV5" s="260"/>
      <c r="AW5" s="260">
        <f>SUMIFS(Portefeuille_MNT_PPS_Access20[AC 2028],Portefeuille_MNT_PPS_Access20[État Composante AC],"=PR")</f>
        <v>7083</v>
      </c>
      <c r="AX5" s="260"/>
      <c r="AY5" s="260">
        <f>SUMIFS(Portefeuille_MNT_PPS_Access20[AC 2029],Portefeuille_MNT_PPS_Access20[État Composante AC],"=PR")</f>
        <v>3132</v>
      </c>
      <c r="AZ5" s="260"/>
      <c r="BA5" s="260">
        <f>SUMIFS(Portefeuille_MNT_PPS_Access20[AC 2030],Portefeuille_MNT_PPS_Access20[État Composante AC],"=PR")</f>
        <v>2395</v>
      </c>
      <c r="BB5" s="260"/>
      <c r="BC5" s="260">
        <f>SUMIFS(Portefeuille_MNT_PPS_Access20[AC 2031],Portefeuille_MNT_PPS_Access20[État Composante AC],"=PR")</f>
        <v>1918</v>
      </c>
      <c r="BD5" s="260"/>
      <c r="BE5" s="260">
        <f>SUMIFS(Portefeuille_MNT_PPS_Access20[AC 2032],Portefeuille_MNT_PPS_Access20[État Composante AC],"=PR")</f>
        <v>0</v>
      </c>
      <c r="BF5" s="260"/>
      <c r="BG5" s="260">
        <f>SUMIFS(Portefeuille_MNT_PPS_Access20[AC 2033],Portefeuille_MNT_PPS_Access20[État Composante AC],"=PR")</f>
        <v>0</v>
      </c>
      <c r="BH5" s="260"/>
      <c r="BI5" s="260">
        <f>SUMIFS(Portefeuille_MNT_PPS_Access20[AC 2034],Portefeuille_MNT_PPS_Access20[État Composante AC],"=PR")</f>
        <v>0</v>
      </c>
      <c r="BJ5" s="260"/>
      <c r="BK5" s="260">
        <f>SUMIFS(Portefeuille_MNT_PPS_Access20[AC 2035],Portefeuille_MNT_PPS_Access20[État Composante TR],"=PR")</f>
        <v>0</v>
      </c>
      <c r="BL5" s="260"/>
      <c r="BM5" s="16">
        <f>SUM(AS5:BB5)</f>
        <v>33188</v>
      </c>
      <c r="BN5" s="16">
        <f t="shared" ref="BN5:BN6" si="0">SUM(AS5:BL5)</f>
        <v>35106</v>
      </c>
    </row>
    <row r="6" spans="1:73" x14ac:dyDescent="0.3">
      <c r="I6" s="29" t="s">
        <v>16</v>
      </c>
      <c r="J6" s="28" t="s">
        <v>17</v>
      </c>
      <c r="AJ6" s="35" t="s">
        <v>18</v>
      </c>
      <c r="AK6" s="140">
        <v>1</v>
      </c>
      <c r="AL6" s="83" t="s">
        <v>19</v>
      </c>
      <c r="AM6" s="260">
        <f>SUMIFS(Portefeuille_MNT_PPS_Access20[TR ANT],Portefeuille_MNT_PPS_Access20[État Composante TR],"=PR")</f>
        <v>133660</v>
      </c>
      <c r="AN6" s="260"/>
      <c r="AO6" s="260">
        <f>SUMIFS(Portefeuille_MNT_PPS_Access20[TR 2024],Portefeuille_MNT_PPS_Access20[État Composante TR],"=PR")</f>
        <v>70599</v>
      </c>
      <c r="AP6" s="260"/>
      <c r="AQ6" s="260">
        <f>SUMIFS(Portefeuille_MNT_PPS_Access20[TR 2025],Portefeuille_MNT_PPS_Access20[État Composante TR],"=PR")</f>
        <v>55579</v>
      </c>
      <c r="AR6" s="260"/>
      <c r="AS6" s="260">
        <f>SUMIFS(Portefeuille_MNT_PPS_Access20[TR 2026],Portefeuille_MNT_PPS_Access20[État Composante TR],"=PR")</f>
        <v>53208</v>
      </c>
      <c r="AT6" s="260"/>
      <c r="AU6" s="260">
        <f>SUMIFS(Portefeuille_MNT_PPS_Access20[TR 2027],Portefeuille_MNT_PPS_Access20[État Composante TR],"=PR")</f>
        <v>19003</v>
      </c>
      <c r="AV6" s="260"/>
      <c r="AW6" s="260">
        <f>SUMIFS(Portefeuille_MNT_PPS_Access20[TR 2028],Portefeuille_MNT_PPS_Access20[État Composante TR],"=PR")</f>
        <v>4929</v>
      </c>
      <c r="AX6" s="260"/>
      <c r="AY6" s="260">
        <f>SUMIFS(Portefeuille_MNT_PPS_Access20[TR 2029],Portefeuille_MNT_PPS_Access20[État Composante TR],"=PR")</f>
        <v>6707.0000000000009</v>
      </c>
      <c r="AZ6" s="260"/>
      <c r="BA6" s="260">
        <f>SUMIFS(Portefeuille_MNT_PPS_Access20[TR 2030],Portefeuille_MNT_PPS_Access20[État Composante TR],"=PR")</f>
        <v>6846.0000000000018</v>
      </c>
      <c r="BB6" s="260"/>
      <c r="BC6" s="260">
        <f>SUMIFS(Portefeuille_MNT_PPS_Access20[TR 2031],Portefeuille_MNT_PPS_Access20[État Composante TR],"=PR")</f>
        <v>0</v>
      </c>
      <c r="BD6" s="260"/>
      <c r="BE6" s="260">
        <f>SUMIFS(Portefeuille_MNT_PPS_Access20[TR 2032],Portefeuille_MNT_PPS_Access20[État Composante TR],"=PR")</f>
        <v>0</v>
      </c>
      <c r="BF6" s="260"/>
      <c r="BG6" s="260">
        <f>SUMIFS(Portefeuille_MNT_PPS_Access20[TR 2033],Portefeuille_MNT_PPS_Access20[État Composante TR],"=PR")</f>
        <v>0</v>
      </c>
      <c r="BH6" s="260"/>
      <c r="BI6" s="260">
        <f>SUMIFS(Portefeuille_MNT_PPS_Access20[TR 2034],Portefeuille_MNT_PPS_Access20[État Composante TR],"=PR")</f>
        <v>0</v>
      </c>
      <c r="BJ6" s="260"/>
      <c r="BK6" s="260">
        <f>SUMIFS(Portefeuille_MNT_PPS_Access20[TR 2035],Portefeuille_MNT_PPS_Access20[Région],"=PR")</f>
        <v>0</v>
      </c>
      <c r="BL6" s="260"/>
      <c r="BM6" s="16">
        <f>SUM(AS6:BB6)</f>
        <v>90693</v>
      </c>
      <c r="BN6" s="16">
        <f t="shared" si="0"/>
        <v>90693</v>
      </c>
    </row>
    <row r="7" spans="1:73" x14ac:dyDescent="0.3">
      <c r="I7" s="30" t="s">
        <v>20</v>
      </c>
      <c r="J7" s="31" t="s">
        <v>21</v>
      </c>
      <c r="AJ7" s="35" t="s">
        <v>22</v>
      </c>
      <c r="AK7" s="140">
        <v>0.25</v>
      </c>
      <c r="AL7" s="116" t="s">
        <v>23</v>
      </c>
      <c r="AM7" s="262">
        <f>AM5+AM6</f>
        <v>157670</v>
      </c>
      <c r="AN7" s="262"/>
      <c r="AO7" s="262">
        <f>AO5+AO6</f>
        <v>75099</v>
      </c>
      <c r="AP7" s="262"/>
      <c r="AQ7" s="262">
        <f>AQ5+AQ6</f>
        <v>66972</v>
      </c>
      <c r="AR7" s="262"/>
      <c r="AS7" s="262">
        <f>AS5+AS6</f>
        <v>63453</v>
      </c>
      <c r="AT7" s="262"/>
      <c r="AU7" s="262">
        <f>AU5+AU6</f>
        <v>29336</v>
      </c>
      <c r="AV7" s="262"/>
      <c r="AW7" s="262">
        <f>AW5+AW6</f>
        <v>12012</v>
      </c>
      <c r="AX7" s="262"/>
      <c r="AY7" s="262">
        <f>AY5+AY6</f>
        <v>9839</v>
      </c>
      <c r="AZ7" s="262"/>
      <c r="BA7" s="262">
        <f>BA5+BA6</f>
        <v>9241.0000000000018</v>
      </c>
      <c r="BB7" s="262"/>
      <c r="BC7" s="262">
        <f>BC5+BC6</f>
        <v>1918</v>
      </c>
      <c r="BD7" s="262"/>
      <c r="BE7" s="262">
        <f>BE5+BE6</f>
        <v>0</v>
      </c>
      <c r="BF7" s="262"/>
      <c r="BG7" s="262">
        <f>BG5+BG6</f>
        <v>0</v>
      </c>
      <c r="BH7" s="262"/>
      <c r="BI7" s="262">
        <f>BI5+BI6</f>
        <v>0</v>
      </c>
      <c r="BJ7" s="262"/>
      <c r="BK7" s="262">
        <f>BK5+BK6</f>
        <v>0</v>
      </c>
      <c r="BL7" s="262"/>
      <c r="BM7" s="20">
        <f>BM6+BM5+BM4</f>
        <v>124481</v>
      </c>
      <c r="BN7" s="20">
        <f>BN6+BN5+BN4</f>
        <v>126399</v>
      </c>
    </row>
    <row r="8" spans="1:73" x14ac:dyDescent="0.3">
      <c r="I8" s="131"/>
      <c r="J8" s="28" t="s">
        <v>270</v>
      </c>
      <c r="AJ8" s="35" t="s">
        <v>24</v>
      </c>
      <c r="AK8" s="140">
        <v>0.25</v>
      </c>
      <c r="AL8" s="83" t="s">
        <v>25</v>
      </c>
      <c r="AM8" s="260">
        <f>SUMIFS(Portefeuille_MNT_PPS_Access20[AC ANT],Portefeuille_MNT_PPS_Access20[État Composante AC],"&lt;&gt;PR")</f>
        <v>0</v>
      </c>
      <c r="AN8" s="260"/>
      <c r="AO8" s="260">
        <f>SUMIFS(Portefeuille_MNT_PPS_Access20[AC 2024],Portefeuille_MNT_PPS_Access20[État Composante AC],"&lt;&gt;PR")</f>
        <v>0</v>
      </c>
      <c r="AP8" s="260"/>
      <c r="AQ8" s="260">
        <f>SUMIFS(Portefeuille_MNT_PPS_Access20[AC 2025],Portefeuille_MNT_PPS_Access20[État Composante AC],"&lt;&gt;PR")</f>
        <v>0</v>
      </c>
      <c r="AR8" s="260"/>
      <c r="AS8" s="260">
        <f>SUMIFS(Portefeuille_MNT_PPS_Access20[AC 2026],Portefeuille_MNT_PPS_Access20[État Composante AC],"&lt;&gt;PR")</f>
        <v>956</v>
      </c>
      <c r="AT8" s="260"/>
      <c r="AU8" s="260">
        <f>SUMIFS(Portefeuille_MNT_PPS_Access20[AC 2027],Portefeuille_MNT_PPS_Access20[État Composante AC],"&lt;&gt;PR")</f>
        <v>2605</v>
      </c>
      <c r="AV8" s="260"/>
      <c r="AW8" s="260">
        <f>SUMIFS(Portefeuille_MNT_PPS_Access20[AC 2028],Portefeuille_MNT_PPS_Access20[État Composante AC],"&lt;&gt;PR")</f>
        <v>4800</v>
      </c>
      <c r="AX8" s="260"/>
      <c r="AY8" s="260">
        <f>SUMIFS(Portefeuille_MNT_PPS_Access20[AC 2029],Portefeuille_MNT_PPS_Access20[État Composante AC],"&lt;&gt;PR")</f>
        <v>8340</v>
      </c>
      <c r="AZ8" s="260"/>
      <c r="BA8" s="260">
        <f>SUMIFS(Portefeuille_MNT_PPS_Access20[AC 2030],Portefeuille_MNT_PPS_Access20[État Composante AC],"&lt;&gt;PR")</f>
        <v>6775</v>
      </c>
      <c r="BB8" s="260"/>
      <c r="BC8" s="260">
        <f>SUMIFS(Portefeuille_MNT_PPS_Access20[AC 2031],Portefeuille_MNT_PPS_Access20[État Composante AC],"&lt;&gt;PR")</f>
        <v>3650</v>
      </c>
      <c r="BD8" s="260"/>
      <c r="BE8" s="260">
        <f>SUMIFS(Portefeuille_MNT_PPS_Access20[AC 2032],Portefeuille_MNT_PPS_Access20[État Composante AC],"&lt;&gt;PR")</f>
        <v>4900</v>
      </c>
      <c r="BF8" s="260"/>
      <c r="BG8" s="260">
        <f>SUMIFS(Portefeuille_MNT_PPS_Access20[AC 2033],Portefeuille_MNT_PPS_Access20[État Composante AC],"&lt;&gt;PR")</f>
        <v>6800</v>
      </c>
      <c r="BH8" s="260"/>
      <c r="BI8" s="260">
        <f>SUMIFS(Portefeuille_MNT_PPS_Access20[AC 2034],Portefeuille_MNT_PPS_Access20[État Composante AC],"&lt;&gt;PR")</f>
        <v>4625</v>
      </c>
      <c r="BJ8" s="260"/>
      <c r="BK8" s="260">
        <f>SUMIFS(Portefeuille_MNT_PPS_Access20[AC 2035],Portefeuille_MNT_PPS_Access20[État Composante TR],"&lt;&gt;PR")</f>
        <v>3350</v>
      </c>
      <c r="BL8" s="260"/>
      <c r="BM8" s="16">
        <f>SUM(AS8:BB8)</f>
        <v>23476</v>
      </c>
      <c r="BN8" s="16">
        <f>SUM(AS8:BL8)</f>
        <v>46801</v>
      </c>
    </row>
    <row r="9" spans="1:73" x14ac:dyDescent="0.3">
      <c r="I9" s="176"/>
      <c r="J9" s="28" t="s">
        <v>271</v>
      </c>
      <c r="AJ9" s="35" t="s">
        <v>26</v>
      </c>
      <c r="AK9" s="140">
        <v>0.25</v>
      </c>
      <c r="AL9" s="83" t="s">
        <v>27</v>
      </c>
      <c r="AM9" s="260">
        <f>SUMIFS(Portefeuille_MNT_PPS_Access20[TR ANT],Portefeuille_MNT_PPS_Access20[État Composante TR],"&lt;&gt;PR")</f>
        <v>19531</v>
      </c>
      <c r="AN9" s="260"/>
      <c r="AO9" s="260">
        <f>SUMIFS(Portefeuille_MNT_PPS_Access20[TR 2024],Portefeuille_MNT_PPS_Access20[État Composante TR],"&lt;&gt;PR")</f>
        <v>0</v>
      </c>
      <c r="AP9" s="260"/>
      <c r="AQ9" s="260">
        <f>SUMIFS(Portefeuille_MNT_PPS_Access20[TR 2025],Portefeuille_MNT_PPS_Access20[État Composante TR],"&lt;&gt;PR")</f>
        <v>35</v>
      </c>
      <c r="AR9" s="260"/>
      <c r="AS9" s="260">
        <f>SUMIFS(Portefeuille_MNT_PPS_Access20[TR 2026],Portefeuille_MNT_PPS_Access20[État Composante TR],"&lt;&gt;PR")</f>
        <v>2156</v>
      </c>
      <c r="AT9" s="260"/>
      <c r="AU9" s="260">
        <f>SUMIFS(Portefeuille_MNT_PPS_Access20[TR 2027],Portefeuille_MNT_PPS_Access20[État Composante TR],"&lt;&gt;PR")</f>
        <v>53952</v>
      </c>
      <c r="AV9" s="260"/>
      <c r="AW9" s="260">
        <f>SUMIFS(Portefeuille_MNT_PPS_Access20[TR 2028],Portefeuille_MNT_PPS_Access20[État Composante TR],"&lt;&gt;PR")</f>
        <v>80279</v>
      </c>
      <c r="AX9" s="260"/>
      <c r="AY9" s="260">
        <f>SUMIFS(Portefeuille_MNT_PPS_Access20[TR 2029],Portefeuille_MNT_PPS_Access20[État Composante TR],"&lt;&gt;PR")</f>
        <v>108222</v>
      </c>
      <c r="AZ9" s="260"/>
      <c r="BA9" s="260">
        <f>SUMIFS(Portefeuille_MNT_PPS_Access20[TR 2030],Portefeuille_MNT_PPS_Access20[État Composante TR],"&lt;&gt;PR")</f>
        <v>116362</v>
      </c>
      <c r="BB9" s="260"/>
      <c r="BC9" s="260">
        <f>SUMIFS(Portefeuille_MNT_PPS_Access20[TR 2031],Portefeuille_MNT_PPS_Access20[État Composante TR],"&lt;&gt;PR")</f>
        <v>84619</v>
      </c>
      <c r="BD9" s="260"/>
      <c r="BE9" s="260">
        <f>SUMIFS(Portefeuille_MNT_PPS_Access20[TR 2032],Portefeuille_MNT_PPS_Access20[État Composante TR],"&lt;&gt;PR")</f>
        <v>45200</v>
      </c>
      <c r="BF9" s="260"/>
      <c r="BG9" s="260">
        <f>SUMIFS(Portefeuille_MNT_PPS_Access20[TR 2033],Portefeuille_MNT_PPS_Access20[État Composante TR],"&lt;&gt;PR")</f>
        <v>69600</v>
      </c>
      <c r="BH9" s="260"/>
      <c r="BI9" s="260">
        <f>SUMIFS(Portefeuille_MNT_PPS_Access20[TR 2034],Portefeuille_MNT_PPS_Access20[État Composante TR],"&lt;&gt;PR")</f>
        <v>93400</v>
      </c>
      <c r="BJ9" s="260"/>
      <c r="BK9" s="260">
        <f>SUMIFS(Portefeuille_MNT_PPS_Access20[TR 2035],Portefeuille_MNT_PPS_Access20[Région],"&lt;&gt;PR")</f>
        <v>112000</v>
      </c>
      <c r="BL9" s="260"/>
      <c r="BM9" s="16">
        <f>SUM(AS9:BB9)</f>
        <v>360971</v>
      </c>
      <c r="BN9" s="16">
        <f>SUM(AS9:BL9)</f>
        <v>765790</v>
      </c>
    </row>
    <row r="10" spans="1:73" x14ac:dyDescent="0.3">
      <c r="I10" s="175"/>
      <c r="J10" s="31" t="s">
        <v>521</v>
      </c>
      <c r="AJ10" s="35" t="s">
        <v>28</v>
      </c>
      <c r="AK10" s="140">
        <v>0.25</v>
      </c>
      <c r="AL10" s="117" t="s">
        <v>29</v>
      </c>
      <c r="AM10" s="262">
        <f>AM8+AM9</f>
        <v>19531</v>
      </c>
      <c r="AN10" s="262"/>
      <c r="AO10" s="262">
        <f>AO8+AO9</f>
        <v>0</v>
      </c>
      <c r="AP10" s="262"/>
      <c r="AQ10" s="262">
        <f>AQ8+AQ9</f>
        <v>35</v>
      </c>
      <c r="AR10" s="262"/>
      <c r="AS10" s="262">
        <f>AS8+AS9</f>
        <v>3112</v>
      </c>
      <c r="AT10" s="262"/>
      <c r="AU10" s="262">
        <f>AU8+AU9</f>
        <v>56557</v>
      </c>
      <c r="AV10" s="262"/>
      <c r="AW10" s="262">
        <f>AW8+AW9</f>
        <v>85079</v>
      </c>
      <c r="AX10" s="262"/>
      <c r="AY10" s="262">
        <f>AY8+AY9</f>
        <v>116562</v>
      </c>
      <c r="AZ10" s="262"/>
      <c r="BA10" s="262">
        <f>BA8+BA9</f>
        <v>123137</v>
      </c>
      <c r="BB10" s="262"/>
      <c r="BC10" s="262">
        <f>BC8+BC9</f>
        <v>88269</v>
      </c>
      <c r="BD10" s="262"/>
      <c r="BE10" s="262">
        <f>BE8+BE9</f>
        <v>50100</v>
      </c>
      <c r="BF10" s="262"/>
      <c r="BG10" s="262">
        <f>BG8+BG9</f>
        <v>76400</v>
      </c>
      <c r="BH10" s="262"/>
      <c r="BI10" s="262">
        <f>BI8+BI9</f>
        <v>98025</v>
      </c>
      <c r="BJ10" s="262"/>
      <c r="BK10" s="262">
        <f>BK8+BK9</f>
        <v>115350</v>
      </c>
      <c r="BL10" s="262"/>
      <c r="BM10" s="20">
        <f>BM9+BM8</f>
        <v>384447</v>
      </c>
      <c r="BN10" s="20">
        <f>BN9+BN8</f>
        <v>812591</v>
      </c>
    </row>
    <row r="11" spans="1:73" ht="15.6" x14ac:dyDescent="0.3">
      <c r="AJ11" s="24" t="s">
        <v>30</v>
      </c>
      <c r="AK11" s="212">
        <f>SUM(AK7:AK10)</f>
        <v>1</v>
      </c>
      <c r="AL11" s="143" t="s">
        <v>31</v>
      </c>
      <c r="AM11" s="261">
        <f>AM10+AM7</f>
        <v>177201</v>
      </c>
      <c r="AN11" s="259"/>
      <c r="AO11" s="258">
        <f>AO10+AO7</f>
        <v>75099</v>
      </c>
      <c r="AP11" s="259"/>
      <c r="AQ11" s="258">
        <f>AQ10+AQ7</f>
        <v>67007</v>
      </c>
      <c r="AR11" s="259"/>
      <c r="AS11" s="258">
        <f>AS10+AS7</f>
        <v>66565</v>
      </c>
      <c r="AT11" s="259"/>
      <c r="AU11" s="258">
        <f>AU10+AU7</f>
        <v>85893</v>
      </c>
      <c r="AV11" s="259"/>
      <c r="AW11" s="258">
        <f>AW10+AW7</f>
        <v>97091</v>
      </c>
      <c r="AX11" s="259"/>
      <c r="AY11" s="258">
        <f>AY10+AY7</f>
        <v>126401</v>
      </c>
      <c r="AZ11" s="259"/>
      <c r="BA11" s="258">
        <f>BA10+BA7</f>
        <v>132378</v>
      </c>
      <c r="BB11" s="259"/>
      <c r="BC11" s="258">
        <f t="shared" ref="BC11" si="1">BC10+BC7</f>
        <v>90187</v>
      </c>
      <c r="BD11" s="259"/>
      <c r="BE11" s="258">
        <f t="shared" ref="BE11" si="2">BE10+BE7</f>
        <v>50100</v>
      </c>
      <c r="BF11" s="259"/>
      <c r="BG11" s="258">
        <f t="shared" ref="BG11" si="3">BG10+BG7</f>
        <v>76400</v>
      </c>
      <c r="BH11" s="259"/>
      <c r="BI11" s="258">
        <f t="shared" ref="BI11" si="4">BI10+BI7</f>
        <v>98025</v>
      </c>
      <c r="BJ11" s="259"/>
      <c r="BK11" s="258">
        <f>BK10+BK7</f>
        <v>115350</v>
      </c>
      <c r="BL11" s="259"/>
      <c r="BM11" s="21">
        <f>BM7+BM10</f>
        <v>508928</v>
      </c>
      <c r="BN11" s="21">
        <f>BN7+BN10</f>
        <v>938990</v>
      </c>
    </row>
    <row r="12" spans="1:73" ht="15.6" x14ac:dyDescent="0.3">
      <c r="AG12" s="24"/>
      <c r="AI12" s="7"/>
      <c r="AK12" s="209"/>
      <c r="AL12" s="83" t="s">
        <v>591</v>
      </c>
      <c r="AM12" s="260"/>
      <c r="AN12" s="260"/>
      <c r="AO12" s="260"/>
      <c r="AP12" s="28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260">
        <v>0</v>
      </c>
      <c r="BJ12" s="260"/>
      <c r="BK12" s="260">
        <v>0</v>
      </c>
      <c r="BL12" s="260"/>
      <c r="BM12" s="76">
        <v>0</v>
      </c>
      <c r="BN12" s="76">
        <v>0</v>
      </c>
    </row>
    <row r="13" spans="1:73" ht="15.6" x14ac:dyDescent="0.3">
      <c r="AG13" s="24"/>
      <c r="AK13" s="142"/>
      <c r="AL13" s="159" t="s">
        <v>592</v>
      </c>
      <c r="AM13" s="258">
        <f>AM12+AM11</f>
        <v>177201</v>
      </c>
      <c r="AN13" s="259"/>
      <c r="AO13" s="258">
        <f t="shared" ref="AO13" si="5">AO12+AO11</f>
        <v>75099</v>
      </c>
      <c r="AP13" s="259"/>
      <c r="AQ13" s="258">
        <f>AQ12+AQ11</f>
        <v>67007</v>
      </c>
      <c r="AR13" s="259"/>
      <c r="AS13" s="258">
        <f>AS12+AS11</f>
        <v>66565</v>
      </c>
      <c r="AT13" s="259"/>
      <c r="AU13" s="258">
        <f>AU12+AU11</f>
        <v>85893</v>
      </c>
      <c r="AV13" s="259"/>
      <c r="AW13" s="258">
        <f>AW12+AW11</f>
        <v>97091</v>
      </c>
      <c r="AX13" s="259"/>
      <c r="AY13" s="258">
        <f>AY12+AY11</f>
        <v>126401</v>
      </c>
      <c r="AZ13" s="259"/>
      <c r="BA13" s="258">
        <f>BA12+BA11</f>
        <v>132378</v>
      </c>
      <c r="BB13" s="259"/>
      <c r="BC13" s="258">
        <f>BC12+BC11</f>
        <v>90187</v>
      </c>
      <c r="BD13" s="259"/>
      <c r="BE13" s="258">
        <f>BE12+BE11</f>
        <v>50100</v>
      </c>
      <c r="BF13" s="259"/>
      <c r="BG13" s="258">
        <f>BG12+BG11</f>
        <v>76400</v>
      </c>
      <c r="BH13" s="259"/>
      <c r="BI13" s="258">
        <f>BI12+BI11</f>
        <v>98025</v>
      </c>
      <c r="BJ13" s="259"/>
      <c r="BK13" s="258">
        <f>BK12+BK11</f>
        <v>115350</v>
      </c>
      <c r="BL13" s="259"/>
      <c r="BM13" s="21">
        <f>BM12+BM11</f>
        <v>508928</v>
      </c>
      <c r="BN13" s="21">
        <f>BN12+BN11</f>
        <v>938990</v>
      </c>
    </row>
    <row r="14" spans="1:73" ht="15.6" x14ac:dyDescent="0.3">
      <c r="AK14" s="210"/>
      <c r="AL14" s="144" t="s">
        <v>539</v>
      </c>
      <c r="AM14" s="256"/>
      <c r="AN14" s="257"/>
      <c r="AO14" s="256">
        <v>75857</v>
      </c>
      <c r="AP14" s="257"/>
      <c r="AQ14" s="256">
        <v>71000</v>
      </c>
      <c r="AR14" s="257"/>
      <c r="AS14" s="256">
        <v>75500</v>
      </c>
      <c r="AT14" s="257"/>
      <c r="AU14" s="256">
        <v>80500</v>
      </c>
      <c r="AV14" s="257"/>
      <c r="AW14" s="256">
        <v>80500</v>
      </c>
      <c r="AX14" s="257"/>
      <c r="AY14" s="256">
        <v>80500</v>
      </c>
      <c r="AZ14" s="257"/>
      <c r="BA14" s="256">
        <v>80500</v>
      </c>
      <c r="BB14" s="257"/>
      <c r="BC14" s="256">
        <v>20233</v>
      </c>
      <c r="BD14" s="257"/>
      <c r="BE14" s="256">
        <v>56733</v>
      </c>
      <c r="BF14" s="257"/>
      <c r="BG14" s="256">
        <v>47783</v>
      </c>
      <c r="BH14" s="257"/>
      <c r="BI14" s="256">
        <v>51334</v>
      </c>
      <c r="BJ14" s="257"/>
      <c r="BK14" s="256"/>
      <c r="BL14" s="257"/>
      <c r="BM14" s="17">
        <f>SUM(AS14:BB14)</f>
        <v>397500</v>
      </c>
      <c r="BN14" s="17">
        <f>SUM(AS14:BL14)</f>
        <v>573583</v>
      </c>
    </row>
    <row r="15" spans="1:73" ht="15.6" x14ac:dyDescent="0.3">
      <c r="AK15" s="210"/>
      <c r="AL15" s="84" t="s">
        <v>555</v>
      </c>
      <c r="AM15" s="252">
        <f>AM14-AM13</f>
        <v>-177201</v>
      </c>
      <c r="AN15" s="253"/>
      <c r="AO15" s="252">
        <f>AO14-AO13</f>
        <v>758</v>
      </c>
      <c r="AP15" s="253"/>
      <c r="AQ15" s="252">
        <f>AQ14-AQ13</f>
        <v>3993</v>
      </c>
      <c r="AR15" s="253"/>
      <c r="AS15" s="252">
        <f>AS14-AS13</f>
        <v>8935</v>
      </c>
      <c r="AT15" s="253"/>
      <c r="AU15" s="252">
        <f t="shared" ref="AU15" si="6">AU14-AU13</f>
        <v>-5393</v>
      </c>
      <c r="AV15" s="253"/>
      <c r="AW15" s="252">
        <f t="shared" ref="AW15" si="7">AW14-AW13</f>
        <v>-16591</v>
      </c>
      <c r="AX15" s="253"/>
      <c r="AY15" s="252">
        <f t="shared" ref="AY15" si="8">AY14-AY13</f>
        <v>-45901</v>
      </c>
      <c r="AZ15" s="253"/>
      <c r="BA15" s="252">
        <f t="shared" ref="BA15" si="9">BA14-BA13</f>
        <v>-51878</v>
      </c>
      <c r="BB15" s="253"/>
      <c r="BC15" s="252">
        <f t="shared" ref="BC15" si="10">BC14-BC13</f>
        <v>-69954</v>
      </c>
      <c r="BD15" s="253"/>
      <c r="BE15" s="252">
        <f t="shared" ref="BE15" si="11">BE14-BE13</f>
        <v>6633</v>
      </c>
      <c r="BF15" s="253"/>
      <c r="BG15" s="252">
        <f>BG14-BG13</f>
        <v>-28617</v>
      </c>
      <c r="BH15" s="253"/>
      <c r="BI15" s="252">
        <f>BI14-BI13</f>
        <v>-46691</v>
      </c>
      <c r="BJ15" s="253"/>
      <c r="BK15" s="252">
        <f>BK14-BK13</f>
        <v>-115350</v>
      </c>
      <c r="BL15" s="253"/>
      <c r="BM15" s="23">
        <f>BM14-BM13</f>
        <v>-111428</v>
      </c>
      <c r="BN15" s="23">
        <f>BN14-BN13</f>
        <v>-365407</v>
      </c>
    </row>
    <row r="16" spans="1:73" ht="15.6" x14ac:dyDescent="0.3">
      <c r="AK16" s="211"/>
      <c r="AL16" s="145" t="s">
        <v>556</v>
      </c>
      <c r="AM16" s="254" t="e">
        <f>(AM13-AM14)/AM14</f>
        <v>#DIV/0!</v>
      </c>
      <c r="AN16" s="255"/>
      <c r="AO16" s="254">
        <f t="shared" ref="AO16" si="12">(AO13-AO14)/AO14</f>
        <v>-9.9924858615552947E-3</v>
      </c>
      <c r="AP16" s="255"/>
      <c r="AQ16" s="254">
        <f>(AQ14-AQ13)/AQ14</f>
        <v>5.6239436619718308E-2</v>
      </c>
      <c r="AR16" s="255"/>
      <c r="AS16" s="254">
        <f>(AS14-AS13)/AS14</f>
        <v>0.11834437086092715</v>
      </c>
      <c r="AT16" s="255"/>
      <c r="AU16" s="254">
        <f t="shared" ref="AU16" si="13">(AU14-AU13)/AU14</f>
        <v>-6.6993788819875777E-2</v>
      </c>
      <c r="AV16" s="255"/>
      <c r="AW16" s="254">
        <f t="shared" ref="AW16" si="14">(AW14-AW13)/AW14</f>
        <v>-0.20609937888198757</v>
      </c>
      <c r="AX16" s="255"/>
      <c r="AY16" s="254">
        <f t="shared" ref="AY16" si="15">(AY14-AY13)/AY14</f>
        <v>-0.57019875776397511</v>
      </c>
      <c r="AZ16" s="255"/>
      <c r="BA16" s="254">
        <f t="shared" ref="BA16" si="16">(BA14-BA13)/BA14</f>
        <v>-0.64444720496894414</v>
      </c>
      <c r="BB16" s="255"/>
      <c r="BC16" s="254">
        <f t="shared" ref="BC16" si="17">(BC14-BC13)/BC14</f>
        <v>-3.4574210448277567</v>
      </c>
      <c r="BD16" s="255"/>
      <c r="BE16" s="254">
        <f t="shared" ref="BE16" si="18">(BE14-BE13)/BE14</f>
        <v>0.11691608058801756</v>
      </c>
      <c r="BF16" s="255"/>
      <c r="BG16" s="254">
        <f>(BG14-BG13)/BG14</f>
        <v>-0.59889500449950817</v>
      </c>
      <c r="BH16" s="255"/>
      <c r="BI16" s="254">
        <f>(BI14-BI13)/BI14</f>
        <v>-0.9095531226867184</v>
      </c>
      <c r="BJ16" s="255"/>
      <c r="BK16" s="254" t="e">
        <f>(BK14-BK13)/BK14</f>
        <v>#DIV/0!</v>
      </c>
      <c r="BL16" s="255"/>
      <c r="BM16" s="22">
        <f>(BM14-BM13)/BM14</f>
        <v>-0.28032201257861633</v>
      </c>
      <c r="BN16" s="22">
        <f>(BN14-BN13)/BN14</f>
        <v>-0.6370603731282134</v>
      </c>
    </row>
    <row r="17" spans="1:65" ht="13.95" customHeight="1" thickBot="1" x14ac:dyDescent="0.35">
      <c r="AO17" s="8"/>
      <c r="AP17"/>
      <c r="AZ17"/>
    </row>
    <row r="18" spans="1:65" s="11" customFormat="1" ht="75.599999999999994" customHeight="1" x14ac:dyDescent="0.3">
      <c r="A18" s="11" t="s">
        <v>273</v>
      </c>
      <c r="B18" s="11" t="s">
        <v>274</v>
      </c>
      <c r="C18" s="11" t="s">
        <v>37</v>
      </c>
      <c r="D18" s="11" t="s">
        <v>38</v>
      </c>
      <c r="E18" s="11" t="s">
        <v>39</v>
      </c>
      <c r="F18" s="11" t="s">
        <v>40</v>
      </c>
      <c r="G18" s="11" t="s">
        <v>41</v>
      </c>
      <c r="H18" s="11" t="s">
        <v>42</v>
      </c>
      <c r="I18" s="11" t="s">
        <v>44</v>
      </c>
      <c r="J18" s="11" t="s">
        <v>45</v>
      </c>
      <c r="K18" s="11" t="s">
        <v>46</v>
      </c>
      <c r="L18" s="11" t="s">
        <v>47</v>
      </c>
      <c r="M18" s="11" t="s">
        <v>48</v>
      </c>
      <c r="N18" s="11" t="s">
        <v>605</v>
      </c>
      <c r="O18" s="11" t="s">
        <v>49</v>
      </c>
      <c r="P18" s="11" t="s">
        <v>50</v>
      </c>
      <c r="Q18" s="11" t="s">
        <v>51</v>
      </c>
      <c r="R18" s="11" t="s">
        <v>52</v>
      </c>
      <c r="S18" s="11" t="s">
        <v>548</v>
      </c>
      <c r="T18" s="11" t="s">
        <v>538</v>
      </c>
      <c r="U18" s="11" t="s">
        <v>537</v>
      </c>
      <c r="V18" s="11" t="s">
        <v>535</v>
      </c>
      <c r="W18" s="11" t="s">
        <v>534</v>
      </c>
      <c r="X18" s="11" t="s">
        <v>536</v>
      </c>
      <c r="Y18" s="11" t="s">
        <v>640</v>
      </c>
      <c r="Z18" s="11" t="s">
        <v>641</v>
      </c>
      <c r="AA18" s="11" t="s">
        <v>642</v>
      </c>
      <c r="AB18" s="9" t="s">
        <v>53</v>
      </c>
      <c r="AC18" s="9" t="s">
        <v>54</v>
      </c>
      <c r="AD18" s="9" t="s">
        <v>72</v>
      </c>
      <c r="AE18" s="9" t="s">
        <v>26</v>
      </c>
      <c r="AF18" s="9" t="s">
        <v>73</v>
      </c>
      <c r="AG18" s="9" t="s">
        <v>74</v>
      </c>
      <c r="AH18" s="9" t="s">
        <v>55</v>
      </c>
      <c r="AI18" s="9" t="s">
        <v>56</v>
      </c>
      <c r="AJ18" s="9" t="s">
        <v>69</v>
      </c>
      <c r="AK18" s="9" t="s">
        <v>71</v>
      </c>
      <c r="AL18" s="10" t="s">
        <v>75</v>
      </c>
      <c r="AM18" s="9" t="s">
        <v>76</v>
      </c>
      <c r="AN18" s="9" t="s">
        <v>77</v>
      </c>
      <c r="AO18" s="9" t="s">
        <v>78</v>
      </c>
      <c r="AP18" s="9" t="s">
        <v>79</v>
      </c>
      <c r="AQ18" s="9" t="s">
        <v>80</v>
      </c>
      <c r="AR18" s="9" t="s">
        <v>81</v>
      </c>
      <c r="AS18" s="9" t="s">
        <v>82</v>
      </c>
      <c r="AT18" s="9" t="s">
        <v>83</v>
      </c>
      <c r="AU18" s="9" t="s">
        <v>84</v>
      </c>
      <c r="AV18" s="9" t="s">
        <v>85</v>
      </c>
      <c r="AW18" s="9" t="s">
        <v>86</v>
      </c>
      <c r="AX18" s="9" t="s">
        <v>87</v>
      </c>
      <c r="AY18" s="9" t="s">
        <v>88</v>
      </c>
      <c r="AZ18" s="9" t="s">
        <v>89</v>
      </c>
      <c r="BA18" s="9" t="s">
        <v>90</v>
      </c>
      <c r="BB18" s="9" t="s">
        <v>91</v>
      </c>
      <c r="BC18" s="9" t="s">
        <v>92</v>
      </c>
      <c r="BD18" s="9" t="s">
        <v>93</v>
      </c>
      <c r="BE18" s="9" t="s">
        <v>94</v>
      </c>
      <c r="BF18" s="9" t="s">
        <v>95</v>
      </c>
      <c r="BG18" s="9" t="s">
        <v>96</v>
      </c>
      <c r="BH18" s="9" t="s">
        <v>97</v>
      </c>
      <c r="BI18" s="9" t="s">
        <v>98</v>
      </c>
      <c r="BJ18" s="9" t="s">
        <v>99</v>
      </c>
      <c r="BK18" s="9" t="s">
        <v>593</v>
      </c>
      <c r="BL18" s="9" t="s">
        <v>594</v>
      </c>
      <c r="BM18" s="9" t="s">
        <v>100</v>
      </c>
    </row>
    <row r="19" spans="1:65" x14ac:dyDescent="0.3">
      <c r="A19" t="s">
        <v>286</v>
      </c>
      <c r="C19" t="s">
        <v>101</v>
      </c>
      <c r="D19" t="s">
        <v>102</v>
      </c>
      <c r="E19" t="s">
        <v>103</v>
      </c>
      <c r="F19" t="s">
        <v>113</v>
      </c>
      <c r="G19" t="s">
        <v>16</v>
      </c>
      <c r="H19" t="s">
        <v>16</v>
      </c>
      <c r="I19" t="s">
        <v>105</v>
      </c>
      <c r="J19">
        <v>154180736</v>
      </c>
      <c r="K19" t="s">
        <v>115</v>
      </c>
      <c r="L19" t="s">
        <v>116</v>
      </c>
      <c r="M19">
        <v>2026</v>
      </c>
      <c r="N19">
        <v>2026</v>
      </c>
      <c r="O19" t="s">
        <v>123</v>
      </c>
      <c r="P19" s="1">
        <v>45105</v>
      </c>
      <c r="Q19" s="1">
        <v>45789</v>
      </c>
      <c r="R19" s="1">
        <v>45925</v>
      </c>
      <c r="S1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1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1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1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23</v>
      </c>
      <c r="W1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4</v>
      </c>
      <c r="X19">
        <f>Portefeuille_MNT_PPS_Access20[[#This Row],[Délais PC1 et PC3]]+Portefeuille_MNT_PPS_Access20[[#This Row],[Délais PC3 et PC5]]</f>
        <v>27</v>
      </c>
      <c r="Y19" s="218">
        <f xml:space="preserve"> DATE(Portefeuille_MNT_PPS_Access20[[#This Row],[Année DÉBUT Travaux prévu]]- 3, 12, 15)</f>
        <v>45275</v>
      </c>
      <c r="Z19" s="218">
        <f xml:space="preserve"> DATE(Portefeuille_MNT_PPS_Access20[[#This Row],[Année DÉBUT Travaux prévu]]- 2, 12, 15)</f>
        <v>45641</v>
      </c>
      <c r="AA19" s="218">
        <f xml:space="preserve"> DATE(Portefeuille_MNT_PPS_Access20[[#This Row],[Année DÉBUT Travaux prévu]]- 1, 12, 15)</f>
        <v>46006</v>
      </c>
      <c r="AB19">
        <v>1</v>
      </c>
      <c r="AC19">
        <v>1</v>
      </c>
      <c r="AD1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19" s="12">
        <f>_xlfn.XLOOKUP(Portefeuille_MNT_PPS_Access20[[#This Row],[Numéro projet]],Tableau5[Numéro projet],Tableau5[IND_Site_Prioritaire])</f>
        <v>3</v>
      </c>
      <c r="AF19" s="2">
        <f>_xlfn.XLOOKUP(Portefeuille_MNT_PPS_Access20[[#This Row],[Numéro projet]],Tableau5[Numéro projet],Tableau5[Critère Etat Infrastructure])</f>
        <v>4</v>
      </c>
      <c r="AG1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65</v>
      </c>
      <c r="AH19">
        <v>1</v>
      </c>
      <c r="AI19">
        <v>5</v>
      </c>
      <c r="AJ19" t="s">
        <v>125</v>
      </c>
      <c r="AK19" s="2"/>
      <c r="AL19" s="63"/>
      <c r="AM19">
        <v>25</v>
      </c>
      <c r="AO19">
        <v>17</v>
      </c>
      <c r="AP19"/>
      <c r="AQ19">
        <v>48</v>
      </c>
      <c r="AS19">
        <v>520</v>
      </c>
      <c r="AT19">
        <v>19125</v>
      </c>
      <c r="AZ19"/>
      <c r="BM19" s="14">
        <f>SUM(Portefeuille_MNT_PPS_Access20[[#This Row],[AC ANT]:[TR 2035]])</f>
        <v>19735</v>
      </c>
    </row>
    <row r="20" spans="1:65" x14ac:dyDescent="0.3">
      <c r="A20" t="s">
        <v>286</v>
      </c>
      <c r="C20" t="s">
        <v>101</v>
      </c>
      <c r="D20" t="s">
        <v>102</v>
      </c>
      <c r="E20" t="s">
        <v>103</v>
      </c>
      <c r="F20" t="s">
        <v>104</v>
      </c>
      <c r="G20" t="s">
        <v>16</v>
      </c>
      <c r="H20" t="s">
        <v>16</v>
      </c>
      <c r="I20" t="s">
        <v>105</v>
      </c>
      <c r="J20">
        <v>154190692</v>
      </c>
      <c r="K20" t="s">
        <v>107</v>
      </c>
      <c r="L20" t="s">
        <v>108</v>
      </c>
      <c r="M20">
        <v>2026</v>
      </c>
      <c r="N20">
        <v>2026</v>
      </c>
      <c r="O20" t="s">
        <v>123</v>
      </c>
      <c r="P20" s="1">
        <v>45014</v>
      </c>
      <c r="Q20" s="1">
        <v>45799</v>
      </c>
      <c r="R20" s="1">
        <v>45991</v>
      </c>
      <c r="S2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2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26</v>
      </c>
      <c r="W2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6</v>
      </c>
      <c r="X20">
        <f>Portefeuille_MNT_PPS_Access20[[#This Row],[Délais PC1 et PC3]]+Portefeuille_MNT_PPS_Access20[[#This Row],[Délais PC3 et PC5]]</f>
        <v>32</v>
      </c>
      <c r="Y20" s="218">
        <f xml:space="preserve"> DATE(Portefeuille_MNT_PPS_Access20[[#This Row],[Année DÉBUT Travaux prévu]]- 3, 12, 15)</f>
        <v>45275</v>
      </c>
      <c r="Z20" s="218">
        <f xml:space="preserve"> DATE(Portefeuille_MNT_PPS_Access20[[#This Row],[Année DÉBUT Travaux prévu]]- 2, 12, 15)</f>
        <v>45641</v>
      </c>
      <c r="AA20" s="218">
        <f xml:space="preserve"> DATE(Portefeuille_MNT_PPS_Access20[[#This Row],[Année DÉBUT Travaux prévu]]- 1, 12, 15)</f>
        <v>46006</v>
      </c>
      <c r="AB20">
        <v>1</v>
      </c>
      <c r="AC20">
        <v>1</v>
      </c>
      <c r="AD2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0" s="12">
        <f>_xlfn.XLOOKUP(Portefeuille_MNT_PPS_Access20[[#This Row],[Numéro projet]],Tableau5[Numéro projet],Tableau5[IND_Site_Prioritaire])</f>
        <v>4</v>
      </c>
      <c r="AF20" s="2">
        <f>_xlfn.XLOOKUP(Portefeuille_MNT_PPS_Access20[[#This Row],[Numéro projet]],Tableau5[Numéro projet],Tableau5[Critère Etat Infrastructure])</f>
        <v>2</v>
      </c>
      <c r="AG2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20">
        <v>1</v>
      </c>
      <c r="AI20">
        <v>5</v>
      </c>
      <c r="AJ20" t="s">
        <v>125</v>
      </c>
      <c r="AK20" s="2"/>
      <c r="AL20" s="63"/>
      <c r="AM20">
        <v>69</v>
      </c>
      <c r="AO20">
        <v>213</v>
      </c>
      <c r="AP20"/>
      <c r="AQ20">
        <v>272</v>
      </c>
      <c r="AS20">
        <v>318</v>
      </c>
      <c r="AT20">
        <v>8253</v>
      </c>
      <c r="AU20" s="102">
        <v>318</v>
      </c>
      <c r="AV20" s="102">
        <v>8254</v>
      </c>
      <c r="AZ20"/>
      <c r="BM20" s="14">
        <f>SUM(Portefeuille_MNT_PPS_Access20[[#This Row],[AC ANT]:[TR 2035]])</f>
        <v>17697</v>
      </c>
    </row>
    <row r="21" spans="1:65" x14ac:dyDescent="0.3">
      <c r="A21" t="s">
        <v>286</v>
      </c>
      <c r="C21" t="s">
        <v>101</v>
      </c>
      <c r="D21" t="s">
        <v>102</v>
      </c>
      <c r="E21" t="s">
        <v>136</v>
      </c>
      <c r="F21" t="s">
        <v>113</v>
      </c>
      <c r="G21" t="s">
        <v>16</v>
      </c>
      <c r="H21" t="s">
        <v>16</v>
      </c>
      <c r="I21" t="s">
        <v>131</v>
      </c>
      <c r="J21">
        <v>154081840</v>
      </c>
      <c r="K21" t="s">
        <v>138</v>
      </c>
      <c r="L21" t="s">
        <v>139</v>
      </c>
      <c r="M21">
        <v>2026</v>
      </c>
      <c r="N21">
        <v>2026</v>
      </c>
      <c r="O21" t="s">
        <v>123</v>
      </c>
      <c r="P21" s="1">
        <v>45062</v>
      </c>
      <c r="Q21" s="1">
        <v>45754</v>
      </c>
      <c r="R21" s="1">
        <v>45945</v>
      </c>
      <c r="S2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2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23</v>
      </c>
      <c r="W2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6</v>
      </c>
      <c r="X21">
        <f>Portefeuille_MNT_PPS_Access20[[#This Row],[Délais PC1 et PC3]]+Portefeuille_MNT_PPS_Access20[[#This Row],[Délais PC3 et PC5]]</f>
        <v>29</v>
      </c>
      <c r="Y21" s="218">
        <f xml:space="preserve"> DATE(Portefeuille_MNT_PPS_Access20[[#This Row],[Année DÉBUT Travaux prévu]]- 3, 12, 15)</f>
        <v>45275</v>
      </c>
      <c r="Z21" s="218">
        <f xml:space="preserve"> DATE(Portefeuille_MNT_PPS_Access20[[#This Row],[Année DÉBUT Travaux prévu]]- 2, 12, 15)</f>
        <v>45641</v>
      </c>
      <c r="AA21" s="218">
        <f xml:space="preserve"> DATE(Portefeuille_MNT_PPS_Access20[[#This Row],[Année DÉBUT Travaux prévu]]- 1, 12, 15)</f>
        <v>46006</v>
      </c>
      <c r="AB21">
        <v>1</v>
      </c>
      <c r="AC21">
        <v>1</v>
      </c>
      <c r="AD2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1" s="12">
        <f>_xlfn.XLOOKUP(Portefeuille_MNT_PPS_Access20[[#This Row],[Numéro projet]],Tableau5[Numéro projet],Tableau5[IND_Site_Prioritaire])</f>
        <v>2.3333333333333335</v>
      </c>
      <c r="AF21" s="2">
        <f>_xlfn.XLOOKUP(Portefeuille_MNT_PPS_Access20[[#This Row],[Numéro projet]],Tableau5[Numéro projet],Tableau5[Critère Etat Infrastructure])</f>
        <v>5</v>
      </c>
      <c r="AG2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66.666666666666671</v>
      </c>
      <c r="AH21">
        <v>1</v>
      </c>
      <c r="AI21">
        <v>5</v>
      </c>
      <c r="AJ21" t="s">
        <v>125</v>
      </c>
      <c r="AK21" s="2"/>
      <c r="AL21" s="63"/>
      <c r="AM21">
        <v>337</v>
      </c>
      <c r="AN21">
        <v>41</v>
      </c>
      <c r="AO21">
        <v>327</v>
      </c>
      <c r="AP21"/>
      <c r="AQ21">
        <v>363</v>
      </c>
      <c r="AS21">
        <v>1006</v>
      </c>
      <c r="AT21">
        <v>5870</v>
      </c>
      <c r="AZ21"/>
      <c r="BM21" s="14">
        <f>SUM(Portefeuille_MNT_PPS_Access20[[#This Row],[AC ANT]:[TR 2035]])</f>
        <v>7944</v>
      </c>
    </row>
    <row r="22" spans="1:65" x14ac:dyDescent="0.3">
      <c r="A22" t="s">
        <v>286</v>
      </c>
      <c r="C22" t="s">
        <v>101</v>
      </c>
      <c r="D22" t="s">
        <v>102</v>
      </c>
      <c r="E22" t="s">
        <v>128</v>
      </c>
      <c r="F22" t="s">
        <v>140</v>
      </c>
      <c r="G22" t="s">
        <v>16</v>
      </c>
      <c r="H22" t="s">
        <v>16</v>
      </c>
      <c r="I22" t="s">
        <v>105</v>
      </c>
      <c r="J22">
        <v>154160008</v>
      </c>
      <c r="K22" t="s">
        <v>142</v>
      </c>
      <c r="L22" t="s">
        <v>143</v>
      </c>
      <c r="M22">
        <v>2026</v>
      </c>
      <c r="N22">
        <v>2026</v>
      </c>
      <c r="O22" t="s">
        <v>123</v>
      </c>
      <c r="P22" s="1">
        <v>42900</v>
      </c>
      <c r="Q22" s="1">
        <v>45323</v>
      </c>
      <c r="R22" s="1">
        <v>45889</v>
      </c>
      <c r="S2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2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80</v>
      </c>
      <c r="W2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18</v>
      </c>
      <c r="X22">
        <f>Portefeuille_MNT_PPS_Access20[[#This Row],[Délais PC1 et PC3]]+Portefeuille_MNT_PPS_Access20[[#This Row],[Délais PC3 et PC5]]</f>
        <v>98</v>
      </c>
      <c r="Y22" s="218">
        <f xml:space="preserve"> DATE(Portefeuille_MNT_PPS_Access20[[#This Row],[Année DÉBUT Travaux prévu]]- 3, 12, 15)</f>
        <v>45275</v>
      </c>
      <c r="Z22" s="218">
        <f xml:space="preserve"> DATE(Portefeuille_MNT_PPS_Access20[[#This Row],[Année DÉBUT Travaux prévu]]- 2, 12, 15)</f>
        <v>45641</v>
      </c>
      <c r="AA22" s="218">
        <f xml:space="preserve"> DATE(Portefeuille_MNT_PPS_Access20[[#This Row],[Année DÉBUT Travaux prévu]]- 1, 12, 15)</f>
        <v>46006</v>
      </c>
      <c r="AB22">
        <v>5</v>
      </c>
      <c r="AC22">
        <v>1</v>
      </c>
      <c r="AD22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2" s="12">
        <f>_xlfn.XLOOKUP(Portefeuille_MNT_PPS_Access20[[#This Row],[Numéro projet]],Tableau5[Numéro projet],Tableau5[IND_Site_Prioritaire])</f>
        <v>4.333333333333333</v>
      </c>
      <c r="AF22" s="2">
        <f>_xlfn.XLOOKUP(Portefeuille_MNT_PPS_Access20[[#This Row],[Numéro projet]],Tableau5[Numéro projet],Tableau5[Critère Etat Infrastructure])</f>
        <v>0</v>
      </c>
      <c r="AG2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71.666666666666671</v>
      </c>
      <c r="AH22">
        <v>5</v>
      </c>
      <c r="AI22">
        <v>5</v>
      </c>
      <c r="AJ22" t="s">
        <v>125</v>
      </c>
      <c r="AK22" s="2"/>
      <c r="AL22" s="63"/>
      <c r="AM22">
        <v>61</v>
      </c>
      <c r="AP22"/>
      <c r="AS22">
        <v>370</v>
      </c>
      <c r="AT22">
        <v>4948</v>
      </c>
      <c r="AZ22"/>
      <c r="BM22" s="14">
        <f>SUM(Portefeuille_MNT_PPS_Access20[[#This Row],[AC ANT]:[TR 2035]])</f>
        <v>5379</v>
      </c>
    </row>
    <row r="23" spans="1:65" x14ac:dyDescent="0.3">
      <c r="A23" t="s">
        <v>286</v>
      </c>
      <c r="C23" t="s">
        <v>126</v>
      </c>
      <c r="D23" t="s">
        <v>127</v>
      </c>
      <c r="E23" t="s">
        <v>103</v>
      </c>
      <c r="F23" t="s">
        <v>144</v>
      </c>
      <c r="G23" t="s">
        <v>16</v>
      </c>
      <c r="H23" t="s">
        <v>16</v>
      </c>
      <c r="I23" t="s">
        <v>131</v>
      </c>
      <c r="J23">
        <v>154190674</v>
      </c>
      <c r="K23" t="s">
        <v>146</v>
      </c>
      <c r="L23" t="s">
        <v>147</v>
      </c>
      <c r="M23" s="2">
        <v>2026</v>
      </c>
      <c r="N23" s="2">
        <v>2026</v>
      </c>
      <c r="O23" t="s">
        <v>110</v>
      </c>
      <c r="P23" s="1">
        <v>44609</v>
      </c>
      <c r="Q23" s="1">
        <v>45905</v>
      </c>
      <c r="R23" s="1">
        <v>46045</v>
      </c>
      <c r="S2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2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2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43</v>
      </c>
      <c r="W2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4</v>
      </c>
      <c r="X23">
        <f>Portefeuille_MNT_PPS_Access20[[#This Row],[Délais PC1 et PC3]]+Portefeuille_MNT_PPS_Access20[[#This Row],[Délais PC3 et PC5]]</f>
        <v>47</v>
      </c>
      <c r="Y23" s="218">
        <f xml:space="preserve"> DATE(Portefeuille_MNT_PPS_Access20[[#This Row],[Année DÉBUT Travaux prévu]]- 3, 12, 15)</f>
        <v>45275</v>
      </c>
      <c r="Z23" s="218">
        <f xml:space="preserve"> DATE(Portefeuille_MNT_PPS_Access20[[#This Row],[Année DÉBUT Travaux prévu]]- 2, 12, 15)</f>
        <v>45641</v>
      </c>
      <c r="AA23" s="218">
        <f xml:space="preserve"> DATE(Portefeuille_MNT_PPS_Access20[[#This Row],[Année DÉBUT Travaux prévu]]- 1, 12, 15)</f>
        <v>46006</v>
      </c>
      <c r="AB23">
        <v>5</v>
      </c>
      <c r="AC23">
        <v>1</v>
      </c>
      <c r="AD2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23" s="12">
        <f>_xlfn.XLOOKUP(Portefeuille_MNT_PPS_Access20[[#This Row],[Numéro projet]],Tableau5[Numéro projet],Tableau5[IND_Site_Prioritaire])</f>
        <v>3</v>
      </c>
      <c r="AF23" s="2">
        <f>_xlfn.XLOOKUP(Portefeuille_MNT_PPS_Access20[[#This Row],[Numéro projet]],Tableau5[Numéro projet],Tableau5[Critère Etat Infrastructure])</f>
        <v>5</v>
      </c>
      <c r="AG2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80</v>
      </c>
      <c r="AH23">
        <v>1</v>
      </c>
      <c r="AI23">
        <v>5</v>
      </c>
      <c r="AJ23" t="s">
        <v>112</v>
      </c>
      <c r="AK23" s="2"/>
      <c r="AL23" s="63"/>
      <c r="AM23">
        <v>117</v>
      </c>
      <c r="AO23">
        <v>84</v>
      </c>
      <c r="AP23"/>
      <c r="AQ23">
        <v>105</v>
      </c>
      <c r="AS23">
        <v>200</v>
      </c>
      <c r="AT23">
        <v>4684</v>
      </c>
      <c r="AU23" s="102">
        <v>217</v>
      </c>
      <c r="AV23" s="102">
        <v>5000</v>
      </c>
      <c r="AZ23"/>
      <c r="BM23" s="14">
        <f>SUM(Portefeuille_MNT_PPS_Access20[[#This Row],[AC ANT]:[TR 2035]])</f>
        <v>10407</v>
      </c>
    </row>
    <row r="24" spans="1:65" x14ac:dyDescent="0.3">
      <c r="A24" t="s">
        <v>286</v>
      </c>
      <c r="C24" t="s">
        <v>101</v>
      </c>
      <c r="D24" t="s">
        <v>102</v>
      </c>
      <c r="E24" t="s">
        <v>103</v>
      </c>
      <c r="F24" t="s">
        <v>129</v>
      </c>
      <c r="G24" t="s">
        <v>16</v>
      </c>
      <c r="H24" t="s">
        <v>16</v>
      </c>
      <c r="I24" t="s">
        <v>131</v>
      </c>
      <c r="J24">
        <v>154151060</v>
      </c>
      <c r="K24" t="s">
        <v>288</v>
      </c>
      <c r="L24" t="s">
        <v>134</v>
      </c>
      <c r="M24">
        <v>2026</v>
      </c>
      <c r="N24">
        <v>2026</v>
      </c>
      <c r="O24" t="s">
        <v>123</v>
      </c>
      <c r="P24" s="1">
        <v>45218</v>
      </c>
      <c r="Q24" s="1">
        <v>45722</v>
      </c>
      <c r="R24" s="1">
        <v>45945</v>
      </c>
      <c r="S2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2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17</v>
      </c>
      <c r="W2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7</v>
      </c>
      <c r="X24">
        <f>Portefeuille_MNT_PPS_Access20[[#This Row],[Délais PC1 et PC3]]+Portefeuille_MNT_PPS_Access20[[#This Row],[Délais PC3 et PC5]]</f>
        <v>24</v>
      </c>
      <c r="Y24" s="218">
        <f xml:space="preserve"> DATE(Portefeuille_MNT_PPS_Access20[[#This Row],[Année DÉBUT Travaux prévu]]- 3, 12, 15)</f>
        <v>45275</v>
      </c>
      <c r="Z24" s="218">
        <f xml:space="preserve"> DATE(Portefeuille_MNT_PPS_Access20[[#This Row],[Année DÉBUT Travaux prévu]]- 2, 12, 15)</f>
        <v>45641</v>
      </c>
      <c r="AA24" s="218">
        <f xml:space="preserve"> DATE(Portefeuille_MNT_PPS_Access20[[#This Row],[Année DÉBUT Travaux prévu]]- 1, 12, 15)</f>
        <v>46006</v>
      </c>
      <c r="AB24">
        <v>1</v>
      </c>
      <c r="AC24">
        <v>1</v>
      </c>
      <c r="AD2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4" s="12">
        <f>_xlfn.XLOOKUP(Portefeuille_MNT_PPS_Access20[[#This Row],[Numéro projet]],Tableau5[Numéro projet],Tableau5[IND_Site_Prioritaire])</f>
        <v>1.3333333333333333</v>
      </c>
      <c r="AF24" s="2">
        <f>_xlfn.XLOOKUP(Portefeuille_MNT_PPS_Access20[[#This Row],[Numéro projet]],Tableau5[Numéro projet],Tableau5[Critère Etat Infrastructure])</f>
        <v>5</v>
      </c>
      <c r="AG2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H24">
        <v>1</v>
      </c>
      <c r="AI24">
        <v>5</v>
      </c>
      <c r="AJ24" t="s">
        <v>125</v>
      </c>
      <c r="AK24" s="2"/>
      <c r="AL24" s="63"/>
      <c r="AO24">
        <v>12</v>
      </c>
      <c r="AP24"/>
      <c r="AQ24">
        <v>10</v>
      </c>
      <c r="AS24">
        <v>350</v>
      </c>
      <c r="AT24">
        <v>4669</v>
      </c>
      <c r="AZ24"/>
      <c r="BM24" s="14">
        <f>SUM(Portefeuille_MNT_PPS_Access20[[#This Row],[AC ANT]:[TR 2035]])</f>
        <v>5041</v>
      </c>
    </row>
    <row r="25" spans="1:65" x14ac:dyDescent="0.3">
      <c r="A25" t="s">
        <v>286</v>
      </c>
      <c r="C25" t="s">
        <v>101</v>
      </c>
      <c r="D25" t="s">
        <v>102</v>
      </c>
      <c r="E25" t="s">
        <v>128</v>
      </c>
      <c r="F25" t="s">
        <v>149</v>
      </c>
      <c r="G25" t="s">
        <v>16</v>
      </c>
      <c r="H25" t="s">
        <v>16</v>
      </c>
      <c r="I25" t="s">
        <v>131</v>
      </c>
      <c r="J25">
        <v>154200665</v>
      </c>
      <c r="K25" t="s">
        <v>151</v>
      </c>
      <c r="L25" t="s">
        <v>152</v>
      </c>
      <c r="M25">
        <v>2026</v>
      </c>
      <c r="N25">
        <v>2026</v>
      </c>
      <c r="O25" t="s">
        <v>123</v>
      </c>
      <c r="P25" s="1">
        <v>45079</v>
      </c>
      <c r="Q25" s="1">
        <v>45685</v>
      </c>
      <c r="R25" s="1">
        <v>46142</v>
      </c>
      <c r="S2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2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2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2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19</v>
      </c>
      <c r="W2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</v>
      </c>
      <c r="X25">
        <f>Portefeuille_MNT_PPS_Access20[[#This Row],[Délais PC1 et PC3]]+Portefeuille_MNT_PPS_Access20[[#This Row],[Délais PC3 et PC5]]</f>
        <v>34</v>
      </c>
      <c r="Y25" s="218">
        <f xml:space="preserve"> DATE(Portefeuille_MNT_PPS_Access20[[#This Row],[Année DÉBUT Travaux prévu]]- 3, 12, 15)</f>
        <v>45275</v>
      </c>
      <c r="Z25" s="218">
        <f xml:space="preserve"> DATE(Portefeuille_MNT_PPS_Access20[[#This Row],[Année DÉBUT Travaux prévu]]- 2, 12, 15)</f>
        <v>45641</v>
      </c>
      <c r="AA25" s="218">
        <f xml:space="preserve"> DATE(Portefeuille_MNT_PPS_Access20[[#This Row],[Année DÉBUT Travaux prévu]]- 1, 12, 15)</f>
        <v>46006</v>
      </c>
      <c r="AB25">
        <v>1</v>
      </c>
      <c r="AC25">
        <v>1</v>
      </c>
      <c r="AD2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5" s="12">
        <f>_xlfn.XLOOKUP(Portefeuille_MNT_PPS_Access20[[#This Row],[Numéro projet]],Tableau5[Numéro projet],Tableau5[IND_Site_Prioritaire])</f>
        <v>3.6666666666666665</v>
      </c>
      <c r="AF25" s="2">
        <f>_xlfn.XLOOKUP(Portefeuille_MNT_PPS_Access20[[#This Row],[Numéro projet]],Tableau5[Numéro projet],Tableau5[Critère Etat Infrastructure])</f>
        <v>4</v>
      </c>
      <c r="AG2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68.333333333333329</v>
      </c>
      <c r="AH25">
        <v>1</v>
      </c>
      <c r="AI25">
        <v>5</v>
      </c>
      <c r="AJ25" t="s">
        <v>125</v>
      </c>
      <c r="AK25" s="2"/>
      <c r="AL25" s="63"/>
      <c r="AM25">
        <v>12</v>
      </c>
      <c r="AO25">
        <v>163</v>
      </c>
      <c r="AP25"/>
      <c r="AQ25">
        <v>100</v>
      </c>
      <c r="AS25">
        <v>300</v>
      </c>
      <c r="AT25">
        <v>4221</v>
      </c>
      <c r="AU25" s="102">
        <v>42</v>
      </c>
      <c r="AV25" s="102">
        <v>4139</v>
      </c>
      <c r="AZ25"/>
      <c r="BM25" s="14">
        <f>SUM(Portefeuille_MNT_PPS_Access20[[#This Row],[AC ANT]:[TR 2035]])</f>
        <v>8977</v>
      </c>
    </row>
    <row r="26" spans="1:65" x14ac:dyDescent="0.3">
      <c r="A26" t="s">
        <v>286</v>
      </c>
      <c r="C26" t="s">
        <v>118</v>
      </c>
      <c r="D26" t="s">
        <v>102</v>
      </c>
      <c r="E26" t="s">
        <v>188</v>
      </c>
      <c r="F26" t="s">
        <v>113</v>
      </c>
      <c r="G26" t="s">
        <v>16</v>
      </c>
      <c r="H26" t="s">
        <v>130</v>
      </c>
      <c r="I26" t="s">
        <v>131</v>
      </c>
      <c r="J26">
        <v>154151031</v>
      </c>
      <c r="K26" t="s">
        <v>190</v>
      </c>
      <c r="L26" t="s">
        <v>191</v>
      </c>
      <c r="M26" s="213">
        <v>2027</v>
      </c>
      <c r="N26" s="103">
        <v>2026</v>
      </c>
      <c r="O26" t="s">
        <v>110</v>
      </c>
      <c r="P26" s="1">
        <v>45684</v>
      </c>
      <c r="Q26" s="1"/>
      <c r="R26" s="1">
        <v>45945</v>
      </c>
      <c r="S2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2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2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-1500</v>
      </c>
      <c r="W2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1509</v>
      </c>
      <c r="X26">
        <f>Portefeuille_MNT_PPS_Access20[[#This Row],[Délais PC1 et PC3]]+Portefeuille_MNT_PPS_Access20[[#This Row],[Délais PC3 et PC5]]</f>
        <v>9</v>
      </c>
      <c r="Y26" s="218">
        <f xml:space="preserve"> DATE(Portefeuille_MNT_PPS_Access20[[#This Row],[Année DÉBUT Travaux prévu]]- 3, 12, 15)</f>
        <v>45641</v>
      </c>
      <c r="Z26" s="218">
        <f xml:space="preserve"> DATE(Portefeuille_MNT_PPS_Access20[[#This Row],[Année DÉBUT Travaux prévu]]- 2, 12, 15)</f>
        <v>46006</v>
      </c>
      <c r="AA26" s="218">
        <f xml:space="preserve"> DATE(Portefeuille_MNT_PPS_Access20[[#This Row],[Année DÉBUT Travaux prévu]]- 1, 12, 15)</f>
        <v>46371</v>
      </c>
      <c r="AB26">
        <v>1</v>
      </c>
      <c r="AC26">
        <v>1</v>
      </c>
      <c r="AD2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26" s="12">
        <f>_xlfn.XLOOKUP(Portefeuille_MNT_PPS_Access20[[#This Row],[Numéro projet]],Tableau5[Numéro projet],Tableau5[IND_Site_Prioritaire])</f>
        <v>1.6666666666666667</v>
      </c>
      <c r="AF26" s="2">
        <f>_xlfn.XLOOKUP(Portefeuille_MNT_PPS_Access20[[#This Row],[Numéro projet]],Tableau5[Numéro projet],Tableau5[Critère Etat Infrastructure])</f>
        <v>0</v>
      </c>
      <c r="AG2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28.333333333333332</v>
      </c>
      <c r="AH26">
        <v>1</v>
      </c>
      <c r="AI26">
        <v>1</v>
      </c>
      <c r="AJ26" t="s">
        <v>112</v>
      </c>
      <c r="AK26" s="2"/>
      <c r="AL26" s="63"/>
      <c r="AP26"/>
      <c r="AQ26">
        <v>80</v>
      </c>
      <c r="AS26" s="102">
        <v>314</v>
      </c>
      <c r="AT26" s="103">
        <v>899</v>
      </c>
      <c r="AU26" s="102"/>
      <c r="AV26" s="103">
        <v>0</v>
      </c>
      <c r="AZ26"/>
      <c r="BM26" s="14">
        <f>SUM(Portefeuille_MNT_PPS_Access20[[#This Row],[AC ANT]:[TR 2035]])</f>
        <v>1293</v>
      </c>
    </row>
    <row r="27" spans="1:65" x14ac:dyDescent="0.3">
      <c r="A27" t="s">
        <v>286</v>
      </c>
      <c r="C27" t="s">
        <v>101</v>
      </c>
      <c r="D27" t="s">
        <v>102</v>
      </c>
      <c r="E27" t="s">
        <v>119</v>
      </c>
      <c r="F27" t="s">
        <v>129</v>
      </c>
      <c r="G27" t="s">
        <v>16</v>
      </c>
      <c r="H27" t="s">
        <v>16</v>
      </c>
      <c r="I27" t="s">
        <v>131</v>
      </c>
      <c r="J27">
        <v>154200653</v>
      </c>
      <c r="K27" t="s">
        <v>154</v>
      </c>
      <c r="L27" t="s">
        <v>134</v>
      </c>
      <c r="M27">
        <v>2026</v>
      </c>
      <c r="N27">
        <v>2026</v>
      </c>
      <c r="O27" t="s">
        <v>123</v>
      </c>
      <c r="P27" s="1">
        <v>45601</v>
      </c>
      <c r="Q27" s="1">
        <v>45731</v>
      </c>
      <c r="R27" s="1">
        <v>45976</v>
      </c>
      <c r="S2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2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2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4</v>
      </c>
      <c r="W2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8</v>
      </c>
      <c r="X27">
        <f>Portefeuille_MNT_PPS_Access20[[#This Row],[Délais PC1 et PC3]]+Portefeuille_MNT_PPS_Access20[[#This Row],[Délais PC3 et PC5]]</f>
        <v>12</v>
      </c>
      <c r="Y27" s="218">
        <f xml:space="preserve"> DATE(Portefeuille_MNT_PPS_Access20[[#This Row],[Année DÉBUT Travaux prévu]]- 3, 12, 15)</f>
        <v>45275</v>
      </c>
      <c r="Z27" s="218">
        <f xml:space="preserve"> DATE(Portefeuille_MNT_PPS_Access20[[#This Row],[Année DÉBUT Travaux prévu]]- 2, 12, 15)</f>
        <v>45641</v>
      </c>
      <c r="AA27" s="218">
        <f xml:space="preserve"> DATE(Portefeuille_MNT_PPS_Access20[[#This Row],[Année DÉBUT Travaux prévu]]- 1, 12, 15)</f>
        <v>46006</v>
      </c>
      <c r="AB27">
        <v>1</v>
      </c>
      <c r="AC27">
        <v>1</v>
      </c>
      <c r="AD2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7" s="12">
        <f>_xlfn.XLOOKUP(Portefeuille_MNT_PPS_Access20[[#This Row],[Numéro projet]],Tableau5[Numéro projet],Tableau5[IND_Site_Prioritaire])</f>
        <v>1.3333333333333333</v>
      </c>
      <c r="AF27" s="2">
        <f>_xlfn.XLOOKUP(Portefeuille_MNT_PPS_Access20[[#This Row],[Numéro projet]],Tableau5[Numéro projet],Tableau5[Critère Etat Infrastructure])</f>
        <v>0</v>
      </c>
      <c r="AG2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36.666666666666664</v>
      </c>
      <c r="AH27">
        <v>1</v>
      </c>
      <c r="AI27">
        <v>5</v>
      </c>
      <c r="AJ27" t="s">
        <v>125</v>
      </c>
      <c r="AK27" s="2"/>
      <c r="AL27" s="63"/>
      <c r="AP27"/>
      <c r="AQ27">
        <v>20</v>
      </c>
      <c r="AS27">
        <v>55</v>
      </c>
      <c r="AT27">
        <v>543</v>
      </c>
      <c r="AZ27"/>
      <c r="BM27" s="14">
        <f>SUM(Portefeuille_MNT_PPS_Access20[[#This Row],[AC ANT]:[TR 2035]])</f>
        <v>618</v>
      </c>
    </row>
    <row r="28" spans="1:65" x14ac:dyDescent="0.3">
      <c r="A28" t="s">
        <v>286</v>
      </c>
      <c r="C28" t="s">
        <v>101</v>
      </c>
      <c r="D28" t="s">
        <v>102</v>
      </c>
      <c r="E28" t="s">
        <v>119</v>
      </c>
      <c r="F28" t="s">
        <v>129</v>
      </c>
      <c r="G28" t="s">
        <v>20</v>
      </c>
      <c r="H28" t="s">
        <v>20</v>
      </c>
      <c r="I28" t="s">
        <v>131</v>
      </c>
      <c r="J28">
        <v>154230793</v>
      </c>
      <c r="K28" t="s">
        <v>441</v>
      </c>
      <c r="L28" t="s">
        <v>152</v>
      </c>
      <c r="M28">
        <v>2026</v>
      </c>
      <c r="N28">
        <v>2026</v>
      </c>
      <c r="O28" t="s">
        <v>123</v>
      </c>
      <c r="P28" s="1"/>
      <c r="Q28" s="1"/>
      <c r="R28" s="1">
        <v>45992</v>
      </c>
      <c r="S2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2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2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2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2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1511</v>
      </c>
      <c r="X28">
        <f>Portefeuille_MNT_PPS_Access20[[#This Row],[Délais PC1 et PC3]]+Portefeuille_MNT_PPS_Access20[[#This Row],[Délais PC3 et PC5]]</f>
        <v>1511</v>
      </c>
      <c r="Y28" s="218">
        <f xml:space="preserve"> DATE(Portefeuille_MNT_PPS_Access20[[#This Row],[Année DÉBUT Travaux prévu]]- 3, 12, 15)</f>
        <v>45275</v>
      </c>
      <c r="Z28" s="218">
        <f xml:space="preserve"> DATE(Portefeuille_MNT_PPS_Access20[[#This Row],[Année DÉBUT Travaux prévu]]- 2, 12, 15)</f>
        <v>45641</v>
      </c>
      <c r="AA28" s="218">
        <f xml:space="preserve"> DATE(Portefeuille_MNT_PPS_Access20[[#This Row],[Année DÉBUT Travaux prévu]]- 1, 12, 15)</f>
        <v>46006</v>
      </c>
      <c r="AB28">
        <v>1</v>
      </c>
      <c r="AC28">
        <v>1</v>
      </c>
      <c r="AD2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28" s="12">
        <f>_xlfn.XLOOKUP(Portefeuille_MNT_PPS_Access20[[#This Row],[Numéro projet]],Tableau5[Numéro projet],Tableau5[IND_Site_Prioritaire])</f>
        <v>3.6666666666666665</v>
      </c>
      <c r="AF28" s="2">
        <f>_xlfn.XLOOKUP(Portefeuille_MNT_PPS_Access20[[#This Row],[Numéro projet]],Tableau5[Numéro projet],Tableau5[Critère Etat Infrastructure])</f>
        <v>0</v>
      </c>
      <c r="AG2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48.333333333333336</v>
      </c>
      <c r="AH28">
        <v>1</v>
      </c>
      <c r="AI28">
        <v>1</v>
      </c>
      <c r="AJ28" t="s">
        <v>125</v>
      </c>
      <c r="AK28" s="2"/>
      <c r="AL28" s="63"/>
      <c r="AP28"/>
      <c r="AS28">
        <v>55</v>
      </c>
      <c r="AT28">
        <v>543</v>
      </c>
      <c r="AZ28"/>
      <c r="BM28" s="14">
        <f>SUM(Portefeuille_MNT_PPS_Access20[[#This Row],[AC ANT]:[TR 2035]])</f>
        <v>598</v>
      </c>
    </row>
    <row r="29" spans="1:65" x14ac:dyDescent="0.3">
      <c r="A29" t="s">
        <v>286</v>
      </c>
      <c r="C29" t="s">
        <v>118</v>
      </c>
      <c r="D29" t="s">
        <v>102</v>
      </c>
      <c r="E29" t="s">
        <v>136</v>
      </c>
      <c r="F29" t="s">
        <v>252</v>
      </c>
      <c r="G29" t="s">
        <v>16</v>
      </c>
      <c r="H29" t="s">
        <v>16</v>
      </c>
      <c r="I29" t="s">
        <v>131</v>
      </c>
      <c r="J29">
        <v>154240497</v>
      </c>
      <c r="K29" t="s">
        <v>529</v>
      </c>
      <c r="L29" t="s">
        <v>209</v>
      </c>
      <c r="M29">
        <v>2026</v>
      </c>
      <c r="N29">
        <v>2026</v>
      </c>
      <c r="O29" t="s">
        <v>291</v>
      </c>
      <c r="P29" s="1"/>
      <c r="Q29" s="1"/>
      <c r="R29" s="1"/>
      <c r="S2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2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2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2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2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29">
        <f>Portefeuille_MNT_PPS_Access20[[#This Row],[Délais PC1 et PC3]]+Portefeuille_MNT_PPS_Access20[[#This Row],[Délais PC3 et PC5]]</f>
        <v>0</v>
      </c>
      <c r="Y29" s="218">
        <f xml:space="preserve"> DATE(Portefeuille_MNT_PPS_Access20[[#This Row],[Année DÉBUT Travaux prévu]]- 3, 12, 15)</f>
        <v>45275</v>
      </c>
      <c r="Z29" s="218">
        <f xml:space="preserve"> DATE(Portefeuille_MNT_PPS_Access20[[#This Row],[Année DÉBUT Travaux prévu]]- 2, 12, 15)</f>
        <v>45641</v>
      </c>
      <c r="AA29" s="218">
        <f xml:space="preserve"> DATE(Portefeuille_MNT_PPS_Access20[[#This Row],[Année DÉBUT Travaux prévu]]- 1, 12, 15)</f>
        <v>46006</v>
      </c>
      <c r="AB29">
        <v>1</v>
      </c>
      <c r="AD2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29" s="12">
        <f>_xlfn.XLOOKUP(Portefeuille_MNT_PPS_Access20[[#This Row],[Numéro projet]],Tableau5[Numéro projet],Tableau5[IND_Site_Prioritaire])</f>
        <v>3</v>
      </c>
      <c r="AF29" s="2">
        <f>_xlfn.XLOOKUP(Portefeuille_MNT_PPS_Access20[[#This Row],[Numéro projet]],Tableau5[Numéro projet],Tableau5[Critère Etat Infrastructure])</f>
        <v>5</v>
      </c>
      <c r="AG2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J29" t="s">
        <v>311</v>
      </c>
      <c r="AK29" s="2"/>
      <c r="AL29" s="63"/>
      <c r="AP29"/>
      <c r="AQ29">
        <v>60</v>
      </c>
      <c r="AS29">
        <v>20</v>
      </c>
      <c r="AT29">
        <v>540</v>
      </c>
      <c r="AZ29"/>
      <c r="BM29" s="14">
        <f>SUM(Portefeuille_MNT_PPS_Access20[[#This Row],[AC ANT]:[TR 2035]])</f>
        <v>620</v>
      </c>
    </row>
    <row r="30" spans="1:65" x14ac:dyDescent="0.3">
      <c r="A30" t="s">
        <v>286</v>
      </c>
      <c r="C30" t="s">
        <v>126</v>
      </c>
      <c r="D30" t="s">
        <v>127</v>
      </c>
      <c r="E30" t="s">
        <v>177</v>
      </c>
      <c r="F30" t="s">
        <v>206</v>
      </c>
      <c r="G30" t="s">
        <v>16</v>
      </c>
      <c r="H30" t="s">
        <v>16</v>
      </c>
      <c r="I30" t="s">
        <v>223</v>
      </c>
      <c r="J30">
        <v>154190529</v>
      </c>
      <c r="K30" t="s">
        <v>520</v>
      </c>
      <c r="L30" t="s">
        <v>180</v>
      </c>
      <c r="M30">
        <v>2026</v>
      </c>
      <c r="N30" s="2">
        <v>2026</v>
      </c>
      <c r="O30" t="s">
        <v>123</v>
      </c>
      <c r="P30" s="1">
        <v>44623</v>
      </c>
      <c r="Q30" s="1">
        <v>45698</v>
      </c>
      <c r="R30" s="1">
        <v>46218</v>
      </c>
      <c r="S3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3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3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3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35</v>
      </c>
      <c r="W3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17</v>
      </c>
      <c r="X30">
        <f>Portefeuille_MNT_PPS_Access20[[#This Row],[Délais PC1 et PC3]]+Portefeuille_MNT_PPS_Access20[[#This Row],[Délais PC3 et PC5]]</f>
        <v>52</v>
      </c>
      <c r="Y30" s="218">
        <f xml:space="preserve"> DATE(Portefeuille_MNT_PPS_Access20[[#This Row],[Année DÉBUT Travaux prévu]]- 3, 12, 15)</f>
        <v>45275</v>
      </c>
      <c r="Z30" s="218">
        <f xml:space="preserve"> DATE(Portefeuille_MNT_PPS_Access20[[#This Row],[Année DÉBUT Travaux prévu]]- 2, 12, 15)</f>
        <v>45641</v>
      </c>
      <c r="AA30" s="218">
        <f xml:space="preserve"> DATE(Portefeuille_MNT_PPS_Access20[[#This Row],[Année DÉBUT Travaux prévu]]- 1, 12, 15)</f>
        <v>46006</v>
      </c>
      <c r="AB30">
        <v>1</v>
      </c>
      <c r="AC30">
        <v>1</v>
      </c>
      <c r="AD3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30" s="12">
        <f>_xlfn.XLOOKUP(Portefeuille_MNT_PPS_Access20[[#This Row],[Numéro projet]],Tableau5[Numéro projet],Tableau5[IND_Site_Prioritaire])</f>
        <v>3.25</v>
      </c>
      <c r="AF30" s="2">
        <f>_xlfn.XLOOKUP(Portefeuille_MNT_PPS_Access20[[#This Row],[Numéro projet]],Tableau5[Numéro projet],Tableau5[Critère Etat Infrastructure])</f>
        <v>0</v>
      </c>
      <c r="AG3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46.25</v>
      </c>
      <c r="AH30">
        <v>1</v>
      </c>
      <c r="AI30">
        <v>5</v>
      </c>
      <c r="AJ30" t="s">
        <v>125</v>
      </c>
      <c r="AK30" s="2"/>
      <c r="AL30" s="63"/>
      <c r="AM30">
        <v>180.00000000000003</v>
      </c>
      <c r="AO30">
        <v>53.000000000000007</v>
      </c>
      <c r="AP30"/>
      <c r="AQ30">
        <v>150</v>
      </c>
      <c r="AS30">
        <v>133</v>
      </c>
      <c r="AT30">
        <v>354.99999999999994</v>
      </c>
      <c r="AU30">
        <v>53.000000000000007</v>
      </c>
      <c r="AV30">
        <v>1610</v>
      </c>
      <c r="AW30">
        <v>159</v>
      </c>
      <c r="AX30">
        <v>4929</v>
      </c>
      <c r="AY30">
        <v>212.00000000000006</v>
      </c>
      <c r="AZ30">
        <v>6707.0000000000009</v>
      </c>
      <c r="BA30">
        <v>260.99999999999994</v>
      </c>
      <c r="BB30">
        <v>6846.0000000000018</v>
      </c>
      <c r="BM30" s="14">
        <f>SUM(Portefeuille_MNT_PPS_Access20[[#This Row],[AC ANT]:[TR 2035]])</f>
        <v>21648</v>
      </c>
    </row>
    <row r="31" spans="1:65" x14ac:dyDescent="0.3">
      <c r="A31" t="s">
        <v>11</v>
      </c>
      <c r="C31" t="s">
        <v>118</v>
      </c>
      <c r="D31" t="s">
        <v>102</v>
      </c>
      <c r="E31" t="s">
        <v>103</v>
      </c>
      <c r="F31" t="s">
        <v>252</v>
      </c>
      <c r="G31" t="s">
        <v>20</v>
      </c>
      <c r="H31" t="s">
        <v>20</v>
      </c>
      <c r="I31" t="s">
        <v>131</v>
      </c>
      <c r="J31">
        <v>154250176</v>
      </c>
      <c r="K31" t="s">
        <v>598</v>
      </c>
      <c r="L31" t="s">
        <v>214</v>
      </c>
      <c r="M31" s="2">
        <v>2026</v>
      </c>
      <c r="N31" s="2">
        <v>2026</v>
      </c>
      <c r="P31" s="1"/>
      <c r="Q31" s="1"/>
      <c r="R31" s="1"/>
      <c r="S3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3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3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3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3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31">
        <f>Portefeuille_MNT_PPS_Access20[[#This Row],[Délais PC1 et PC3]]+Portefeuille_MNT_PPS_Access20[[#This Row],[Délais PC3 et PC5]]</f>
        <v>0</v>
      </c>
      <c r="Y31" s="218">
        <f xml:space="preserve"> DATE(Portefeuille_MNT_PPS_Access20[[#This Row],[Année DÉBUT Travaux prévu]]- 3, 12, 15)</f>
        <v>45275</v>
      </c>
      <c r="Z31" s="218">
        <f xml:space="preserve"> DATE(Portefeuille_MNT_PPS_Access20[[#This Row],[Année DÉBUT Travaux prévu]]- 2, 12, 15)</f>
        <v>45641</v>
      </c>
      <c r="AA31" s="218">
        <f xml:space="preserve"> DATE(Portefeuille_MNT_PPS_Access20[[#This Row],[Année DÉBUT Travaux prévu]]- 1, 12, 15)</f>
        <v>46006</v>
      </c>
      <c r="AB31">
        <v>1</v>
      </c>
      <c r="AD31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31" s="12" t="e">
        <f>_xlfn.XLOOKUP(Portefeuille_MNT_PPS_Access20[[#This Row],[Numéro projet]],Tableau5[Numéro projet],Tableau5[IND_Site_Prioritaire])</f>
        <v>#N/A</v>
      </c>
      <c r="AF31" s="2" t="e">
        <f>_xlfn.XLOOKUP(Portefeuille_MNT_PPS_Access20[[#This Row],[Numéro projet]],Tableau5[Numéro projet],Tableau5[Critère Etat Infrastructure])</f>
        <v>#N/A</v>
      </c>
      <c r="AG31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K31" s="2"/>
      <c r="AL31" s="63"/>
      <c r="AP31"/>
      <c r="AT31">
        <v>300</v>
      </c>
      <c r="AZ31"/>
      <c r="BM31" s="14">
        <f>SUM(Portefeuille_MNT_PPS_Access20[[#This Row],[AC ANT]:[TR 2035]])</f>
        <v>300</v>
      </c>
    </row>
    <row r="32" spans="1:65" x14ac:dyDescent="0.3">
      <c r="A32" t="s">
        <v>286</v>
      </c>
      <c r="C32" t="s">
        <v>118</v>
      </c>
      <c r="D32" t="s">
        <v>102</v>
      </c>
      <c r="E32" t="s">
        <v>136</v>
      </c>
      <c r="F32" t="s">
        <v>104</v>
      </c>
      <c r="G32" t="s">
        <v>16</v>
      </c>
      <c r="H32" t="s">
        <v>20</v>
      </c>
      <c r="I32" t="s">
        <v>105</v>
      </c>
      <c r="J32">
        <v>154240756</v>
      </c>
      <c r="K32" t="s">
        <v>517</v>
      </c>
      <c r="L32" t="s">
        <v>302</v>
      </c>
      <c r="M32" s="103">
        <v>2027</v>
      </c>
      <c r="N32" s="103">
        <v>2026</v>
      </c>
      <c r="O32" t="s">
        <v>291</v>
      </c>
      <c r="P32" s="1"/>
      <c r="Q32" s="1"/>
      <c r="R32" s="1"/>
      <c r="S3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3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3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3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3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32">
        <f>Portefeuille_MNT_PPS_Access20[[#This Row],[Délais PC1 et PC3]]+Portefeuille_MNT_PPS_Access20[[#This Row],[Délais PC3 et PC5]]</f>
        <v>0</v>
      </c>
      <c r="Y32" s="218">
        <f xml:space="preserve"> DATE(Portefeuille_MNT_PPS_Access20[[#This Row],[Année DÉBUT Travaux prévu]]- 3, 12, 15)</f>
        <v>45641</v>
      </c>
      <c r="Z32" s="218">
        <f xml:space="preserve"> DATE(Portefeuille_MNT_PPS_Access20[[#This Row],[Année DÉBUT Travaux prévu]]- 2, 12, 15)</f>
        <v>46006</v>
      </c>
      <c r="AA32" s="218">
        <f xml:space="preserve"> DATE(Portefeuille_MNT_PPS_Access20[[#This Row],[Année DÉBUT Travaux prévu]]- 1, 12, 15)</f>
        <v>46371</v>
      </c>
      <c r="AB32">
        <v>1</v>
      </c>
      <c r="AD3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32" s="12" t="e">
        <f>_xlfn.XLOOKUP(Portefeuille_MNT_PPS_Access20[[#This Row],[Numéro projet]],Tableau5[Numéro projet],Tableau5[IND_Site_Prioritaire])</f>
        <v>#N/A</v>
      </c>
      <c r="AF32" s="2" t="e">
        <f>_xlfn.XLOOKUP(Portefeuille_MNT_PPS_Access20[[#This Row],[Numéro projet]],Tableau5[Numéro projet],Tableau5[Critère Etat Infrastructure])</f>
        <v>#N/A</v>
      </c>
      <c r="AG32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J32" t="s">
        <v>311</v>
      </c>
      <c r="AK32" s="2"/>
      <c r="AL32" s="63"/>
      <c r="AP32"/>
      <c r="AQ32">
        <v>25</v>
      </c>
      <c r="AS32">
        <v>25</v>
      </c>
      <c r="AT32" s="103">
        <v>250</v>
      </c>
      <c r="AV32" s="103">
        <v>0</v>
      </c>
      <c r="AZ32"/>
      <c r="BM32" s="14">
        <f>SUM(Portefeuille_MNT_PPS_Access20[[#This Row],[AC ANT]:[TR 2035]])</f>
        <v>300</v>
      </c>
    </row>
    <row r="33" spans="1:65" x14ac:dyDescent="0.3">
      <c r="A33" t="s">
        <v>286</v>
      </c>
      <c r="C33" t="s">
        <v>118</v>
      </c>
      <c r="D33" t="s">
        <v>102</v>
      </c>
      <c r="E33" t="s">
        <v>136</v>
      </c>
      <c r="F33" t="s">
        <v>113</v>
      </c>
      <c r="G33" t="s">
        <v>20</v>
      </c>
      <c r="H33" t="s">
        <v>20</v>
      </c>
      <c r="I33" t="s">
        <v>131</v>
      </c>
      <c r="J33">
        <v>154250021</v>
      </c>
      <c r="K33" t="s">
        <v>544</v>
      </c>
      <c r="L33" t="s">
        <v>187</v>
      </c>
      <c r="M33">
        <v>2026</v>
      </c>
      <c r="N33">
        <v>2026</v>
      </c>
      <c r="O33" t="s">
        <v>291</v>
      </c>
      <c r="P33" s="1"/>
      <c r="Q33" s="1"/>
      <c r="R33" s="1"/>
      <c r="S3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3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3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3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3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33">
        <f>Portefeuille_MNT_PPS_Access20[[#This Row],[Délais PC1 et PC3]]+Portefeuille_MNT_PPS_Access20[[#This Row],[Délais PC3 et PC5]]</f>
        <v>0</v>
      </c>
      <c r="Y33" s="218">
        <f xml:space="preserve"> DATE(Portefeuille_MNT_PPS_Access20[[#This Row],[Année DÉBUT Travaux prévu]]- 3, 12, 15)</f>
        <v>45275</v>
      </c>
      <c r="Z33" s="218">
        <f xml:space="preserve"> DATE(Portefeuille_MNT_PPS_Access20[[#This Row],[Année DÉBUT Travaux prévu]]- 2, 12, 15)</f>
        <v>45641</v>
      </c>
      <c r="AA33" s="218">
        <f xml:space="preserve"> DATE(Portefeuille_MNT_PPS_Access20[[#This Row],[Année DÉBUT Travaux prévu]]- 1, 12, 15)</f>
        <v>46006</v>
      </c>
      <c r="AB33">
        <v>1</v>
      </c>
      <c r="AD33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33" s="12" t="e">
        <f>_xlfn.XLOOKUP(Portefeuille_MNT_PPS_Access20[[#This Row],[Numéro projet]],Tableau5[Numéro projet],Tableau5[IND_Site_Prioritaire])</f>
        <v>#N/A</v>
      </c>
      <c r="AF33" s="2" t="e">
        <f>_xlfn.XLOOKUP(Portefeuille_MNT_PPS_Access20[[#This Row],[Numéro projet]],Tableau5[Numéro projet],Tableau5[Critère Etat Infrastructure])</f>
        <v>#N/A</v>
      </c>
      <c r="AG33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K33" s="2"/>
      <c r="AL33" s="63"/>
      <c r="AP33"/>
      <c r="AS33">
        <v>1</v>
      </c>
      <c r="AT33">
        <v>164</v>
      </c>
      <c r="AZ33"/>
      <c r="BM33" s="14">
        <f>SUM(Portefeuille_MNT_PPS_Access20[[#This Row],[AC ANT]:[TR 2035]])</f>
        <v>165</v>
      </c>
    </row>
    <row r="34" spans="1:65" x14ac:dyDescent="0.3">
      <c r="A34" t="s">
        <v>286</v>
      </c>
      <c r="C34" t="s">
        <v>101</v>
      </c>
      <c r="D34" t="s">
        <v>102</v>
      </c>
      <c r="E34" t="s">
        <v>103</v>
      </c>
      <c r="F34" t="s">
        <v>149</v>
      </c>
      <c r="G34" t="s">
        <v>16</v>
      </c>
      <c r="H34" t="s">
        <v>20</v>
      </c>
      <c r="I34" t="s">
        <v>105</v>
      </c>
      <c r="J34">
        <v>154190684</v>
      </c>
      <c r="K34" t="s">
        <v>510</v>
      </c>
      <c r="L34" t="s">
        <v>205</v>
      </c>
      <c r="M34">
        <v>2027</v>
      </c>
      <c r="N34">
        <v>2027</v>
      </c>
      <c r="O34" t="s">
        <v>110</v>
      </c>
      <c r="P34" s="1">
        <v>45706</v>
      </c>
      <c r="Q34" s="1">
        <v>46055</v>
      </c>
      <c r="R34" s="1">
        <v>46273</v>
      </c>
      <c r="S3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3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3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3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7</v>
      </c>
      <c r="X34">
        <f>Portefeuille_MNT_PPS_Access20[[#This Row],[Délais PC1 et PC3]]+Portefeuille_MNT_PPS_Access20[[#This Row],[Délais PC3 et PC5]]</f>
        <v>19</v>
      </c>
      <c r="Y34" s="218">
        <f xml:space="preserve"> DATE(Portefeuille_MNT_PPS_Access20[[#This Row],[Année DÉBUT Travaux prévu]]- 3, 12, 15)</f>
        <v>45641</v>
      </c>
      <c r="Z34" s="218">
        <f xml:space="preserve"> DATE(Portefeuille_MNT_PPS_Access20[[#This Row],[Année DÉBUT Travaux prévu]]- 2, 12, 15)</f>
        <v>46006</v>
      </c>
      <c r="AA34" s="218">
        <f xml:space="preserve"> DATE(Portefeuille_MNT_PPS_Access20[[#This Row],[Année DÉBUT Travaux prévu]]- 1, 12, 15)</f>
        <v>46371</v>
      </c>
      <c r="AB34">
        <v>1</v>
      </c>
      <c r="AC34">
        <v>1</v>
      </c>
      <c r="AD3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34" s="12">
        <f>_xlfn.XLOOKUP(Portefeuille_MNT_PPS_Access20[[#This Row],[Numéro projet]],Tableau5[Numéro projet],Tableau5[IND_Site_Prioritaire])</f>
        <v>3.3333333333333335</v>
      </c>
      <c r="AF34" s="2">
        <f>_xlfn.XLOOKUP(Portefeuille_MNT_PPS_Access20[[#This Row],[Numéro projet]],Tableau5[Numéro projet],Tableau5[Critère Etat Infrastructure])</f>
        <v>5</v>
      </c>
      <c r="AG3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H34">
        <v>1</v>
      </c>
      <c r="AI34">
        <v>1</v>
      </c>
      <c r="AJ34" t="s">
        <v>112</v>
      </c>
      <c r="AK34" s="2"/>
      <c r="AL34" s="63"/>
      <c r="AP34"/>
      <c r="AQ34">
        <v>90</v>
      </c>
      <c r="AS34">
        <v>200</v>
      </c>
      <c r="AU34">
        <v>970</v>
      </c>
      <c r="AV34">
        <v>13608</v>
      </c>
      <c r="AZ34"/>
      <c r="BM34" s="14">
        <f>SUM(Portefeuille_MNT_PPS_Access20[[#This Row],[AC ANT]:[TR 2035]])</f>
        <v>14868</v>
      </c>
    </row>
    <row r="35" spans="1:65" x14ac:dyDescent="0.3">
      <c r="A35" t="s">
        <v>286</v>
      </c>
      <c r="C35" t="s">
        <v>101</v>
      </c>
      <c r="D35" t="s">
        <v>102</v>
      </c>
      <c r="E35" t="s">
        <v>103</v>
      </c>
      <c r="F35" t="s">
        <v>149</v>
      </c>
      <c r="G35" t="s">
        <v>16</v>
      </c>
      <c r="H35" t="s">
        <v>20</v>
      </c>
      <c r="I35" t="s">
        <v>105</v>
      </c>
      <c r="J35">
        <v>154190686</v>
      </c>
      <c r="K35" t="s">
        <v>238</v>
      </c>
      <c r="L35" t="s">
        <v>239</v>
      </c>
      <c r="M35">
        <v>2027</v>
      </c>
      <c r="N35">
        <v>2027</v>
      </c>
      <c r="O35" t="s">
        <v>155</v>
      </c>
      <c r="P35" s="1">
        <v>45915</v>
      </c>
      <c r="Q35" s="1">
        <v>46037</v>
      </c>
      <c r="R35" s="1">
        <v>46310</v>
      </c>
      <c r="S3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3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3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4</v>
      </c>
      <c r="W3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35">
        <f>Portefeuille_MNT_PPS_Access20[[#This Row],[Délais PC1 et PC3]]+Portefeuille_MNT_PPS_Access20[[#This Row],[Délais PC3 et PC5]]</f>
        <v>13</v>
      </c>
      <c r="Y35" s="218">
        <f xml:space="preserve"> DATE(Portefeuille_MNT_PPS_Access20[[#This Row],[Année DÉBUT Travaux prévu]]- 3, 12, 15)</f>
        <v>45641</v>
      </c>
      <c r="Z35" s="218">
        <f xml:space="preserve"> DATE(Portefeuille_MNT_PPS_Access20[[#This Row],[Année DÉBUT Travaux prévu]]- 2, 12, 15)</f>
        <v>46006</v>
      </c>
      <c r="AA35" s="218">
        <f xml:space="preserve"> DATE(Portefeuille_MNT_PPS_Access20[[#This Row],[Année DÉBUT Travaux prévu]]- 1, 12, 15)</f>
        <v>46371</v>
      </c>
      <c r="AB35">
        <v>1</v>
      </c>
      <c r="AC35">
        <v>1</v>
      </c>
      <c r="AD3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35" s="12">
        <f>_xlfn.XLOOKUP(Portefeuille_MNT_PPS_Access20[[#This Row],[Numéro projet]],Tableau5[Numéro projet],Tableau5[IND_Site_Prioritaire])</f>
        <v>3.3333333333333335</v>
      </c>
      <c r="AF35" s="2">
        <f>_xlfn.XLOOKUP(Portefeuille_MNT_PPS_Access20[[#This Row],[Numéro projet]],Tableau5[Numéro projet],Tableau5[Critère Etat Infrastructure])</f>
        <v>4</v>
      </c>
      <c r="AG3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H35">
        <v>1</v>
      </c>
      <c r="AI35">
        <v>1</v>
      </c>
      <c r="AJ35" t="s">
        <v>156</v>
      </c>
      <c r="AK35" s="2"/>
      <c r="AL35" s="63"/>
      <c r="AP35"/>
      <c r="AQ35">
        <v>100</v>
      </c>
      <c r="AS35">
        <v>200</v>
      </c>
      <c r="AU35">
        <v>475</v>
      </c>
      <c r="AV35">
        <v>11000</v>
      </c>
      <c r="AZ35"/>
      <c r="BM35" s="14">
        <f>SUM(Portefeuille_MNT_PPS_Access20[[#This Row],[AC ANT]:[TR 2035]])</f>
        <v>11775</v>
      </c>
    </row>
    <row r="36" spans="1:65" x14ac:dyDescent="0.3">
      <c r="A36" t="s">
        <v>286</v>
      </c>
      <c r="C36" t="s">
        <v>101</v>
      </c>
      <c r="D36" t="s">
        <v>102</v>
      </c>
      <c r="E36" t="s">
        <v>136</v>
      </c>
      <c r="F36" t="s">
        <v>104</v>
      </c>
      <c r="G36" t="s">
        <v>16</v>
      </c>
      <c r="H36" t="s">
        <v>130</v>
      </c>
      <c r="I36" t="s">
        <v>105</v>
      </c>
      <c r="J36">
        <v>154062002</v>
      </c>
      <c r="K36" t="s">
        <v>171</v>
      </c>
      <c r="L36" t="s">
        <v>172</v>
      </c>
      <c r="M36">
        <v>2027</v>
      </c>
      <c r="N36">
        <v>2027</v>
      </c>
      <c r="O36" t="s">
        <v>110</v>
      </c>
      <c r="P36" s="1">
        <v>44833</v>
      </c>
      <c r="Q36" s="1">
        <v>45945</v>
      </c>
      <c r="R36" s="1">
        <v>46310</v>
      </c>
      <c r="S3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3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3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37</v>
      </c>
      <c r="W3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36">
        <f>Portefeuille_MNT_PPS_Access20[[#This Row],[Délais PC1 et PC3]]+Portefeuille_MNT_PPS_Access20[[#This Row],[Délais PC3 et PC5]]</f>
        <v>49</v>
      </c>
      <c r="Y36" s="218">
        <f xml:space="preserve"> DATE(Portefeuille_MNT_PPS_Access20[[#This Row],[Année DÉBUT Travaux prévu]]- 3, 12, 15)</f>
        <v>45641</v>
      </c>
      <c r="Z36" s="218">
        <f xml:space="preserve"> DATE(Portefeuille_MNT_PPS_Access20[[#This Row],[Année DÉBUT Travaux prévu]]- 2, 12, 15)</f>
        <v>46006</v>
      </c>
      <c r="AA36" s="218">
        <f xml:space="preserve"> DATE(Portefeuille_MNT_PPS_Access20[[#This Row],[Année DÉBUT Travaux prévu]]- 1, 12, 15)</f>
        <v>46371</v>
      </c>
      <c r="AB36">
        <v>1</v>
      </c>
      <c r="AC36">
        <v>1</v>
      </c>
      <c r="AD3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36" s="12">
        <f>_xlfn.XLOOKUP(Portefeuille_MNT_PPS_Access20[[#This Row],[Numéro projet]],Tableau5[Numéro projet],Tableau5[IND_Site_Prioritaire])</f>
        <v>3.6666666666666665</v>
      </c>
      <c r="AF36" s="2">
        <f>_xlfn.XLOOKUP(Portefeuille_MNT_PPS_Access20[[#This Row],[Numéro projet]],Tableau5[Numéro projet],Tableau5[Critère Etat Infrastructure])</f>
        <v>4</v>
      </c>
      <c r="AG3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58.333333333333336</v>
      </c>
      <c r="AH36">
        <v>1</v>
      </c>
      <c r="AI36">
        <v>5</v>
      </c>
      <c r="AJ36" t="s">
        <v>112</v>
      </c>
      <c r="AK36" s="2"/>
      <c r="AL36" s="63"/>
      <c r="AM36">
        <v>497</v>
      </c>
      <c r="AN36">
        <v>8</v>
      </c>
      <c r="AO36">
        <v>199</v>
      </c>
      <c r="AP36"/>
      <c r="AQ36">
        <v>1064</v>
      </c>
      <c r="AS36">
        <v>1008</v>
      </c>
      <c r="AU36">
        <v>1886</v>
      </c>
      <c r="AV36" s="103">
        <v>6580</v>
      </c>
      <c r="AW36">
        <v>722</v>
      </c>
      <c r="AX36" s="103">
        <v>6581</v>
      </c>
      <c r="AZ36" s="103">
        <v>6576</v>
      </c>
      <c r="BM36" s="14">
        <f>SUM(Portefeuille_MNT_PPS_Access20[[#This Row],[AC ANT]:[TR 2035]])</f>
        <v>25121</v>
      </c>
    </row>
    <row r="37" spans="1:65" x14ac:dyDescent="0.3">
      <c r="A37" t="s">
        <v>286</v>
      </c>
      <c r="C37" t="s">
        <v>126</v>
      </c>
      <c r="D37" t="s">
        <v>127</v>
      </c>
      <c r="E37" t="s">
        <v>136</v>
      </c>
      <c r="F37" t="s">
        <v>144</v>
      </c>
      <c r="G37" t="s">
        <v>16</v>
      </c>
      <c r="H37" t="s">
        <v>20</v>
      </c>
      <c r="I37" t="s">
        <v>131</v>
      </c>
      <c r="J37">
        <v>154190675</v>
      </c>
      <c r="K37" t="s">
        <v>232</v>
      </c>
      <c r="L37" t="s">
        <v>147</v>
      </c>
      <c r="M37">
        <v>2027</v>
      </c>
      <c r="N37">
        <v>2027</v>
      </c>
      <c r="O37" t="s">
        <v>110</v>
      </c>
      <c r="P37" s="1">
        <v>45099</v>
      </c>
      <c r="Q37" s="1">
        <v>46013</v>
      </c>
      <c r="R37" s="1">
        <v>46283</v>
      </c>
      <c r="S3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3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3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30</v>
      </c>
      <c r="W3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37">
        <f>Portefeuille_MNT_PPS_Access20[[#This Row],[Délais PC1 et PC3]]+Portefeuille_MNT_PPS_Access20[[#This Row],[Délais PC3 et PC5]]</f>
        <v>39</v>
      </c>
      <c r="Y37" s="218">
        <f xml:space="preserve"> DATE(Portefeuille_MNT_PPS_Access20[[#This Row],[Année DÉBUT Travaux prévu]]- 3, 12, 15)</f>
        <v>45641</v>
      </c>
      <c r="Z37" s="218">
        <f xml:space="preserve"> DATE(Portefeuille_MNT_PPS_Access20[[#This Row],[Année DÉBUT Travaux prévu]]- 2, 12, 15)</f>
        <v>46006</v>
      </c>
      <c r="AA37" s="218">
        <f xml:space="preserve"> DATE(Portefeuille_MNT_PPS_Access20[[#This Row],[Année DÉBUT Travaux prévu]]- 1, 12, 15)</f>
        <v>46371</v>
      </c>
      <c r="AB37">
        <v>1</v>
      </c>
      <c r="AC37">
        <v>1</v>
      </c>
      <c r="AD3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37" s="12">
        <f>_xlfn.XLOOKUP(Portefeuille_MNT_PPS_Access20[[#This Row],[Numéro projet]],Tableau5[Numéro projet],Tableau5[IND_Site_Prioritaire])</f>
        <v>3</v>
      </c>
      <c r="AF37" s="2">
        <f>_xlfn.XLOOKUP(Portefeuille_MNT_PPS_Access20[[#This Row],[Numéro projet]],Tableau5[Numéro projet],Tableau5[Critère Etat Infrastructure])</f>
        <v>5</v>
      </c>
      <c r="AG3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37">
        <v>1</v>
      </c>
      <c r="AI37">
        <v>5</v>
      </c>
      <c r="AJ37" t="s">
        <v>112</v>
      </c>
      <c r="AK37" s="2"/>
      <c r="AL37" s="63"/>
      <c r="AM37">
        <v>9</v>
      </c>
      <c r="AO37">
        <v>21</v>
      </c>
      <c r="AP37"/>
      <c r="AQ37">
        <v>672</v>
      </c>
      <c r="AS37">
        <v>553</v>
      </c>
      <c r="AU37">
        <v>1175</v>
      </c>
      <c r="AV37">
        <v>6475</v>
      </c>
      <c r="AW37">
        <v>1602</v>
      </c>
      <c r="AX37">
        <v>6677</v>
      </c>
      <c r="AZ37"/>
      <c r="BM37" s="14">
        <f>SUM(Portefeuille_MNT_PPS_Access20[[#This Row],[AC ANT]:[TR 2035]])</f>
        <v>17184</v>
      </c>
    </row>
    <row r="38" spans="1:65" x14ac:dyDescent="0.3">
      <c r="A38" t="s">
        <v>286</v>
      </c>
      <c r="C38" t="s">
        <v>118</v>
      </c>
      <c r="D38" t="s">
        <v>102</v>
      </c>
      <c r="E38" t="s">
        <v>177</v>
      </c>
      <c r="F38" t="s">
        <v>113</v>
      </c>
      <c r="G38" t="s">
        <v>16</v>
      </c>
      <c r="H38" t="s">
        <v>20</v>
      </c>
      <c r="I38" t="s">
        <v>131</v>
      </c>
      <c r="J38">
        <v>154200650</v>
      </c>
      <c r="K38" t="s">
        <v>241</v>
      </c>
      <c r="L38" t="s">
        <v>187</v>
      </c>
      <c r="M38">
        <v>2027</v>
      </c>
      <c r="N38">
        <v>2027</v>
      </c>
      <c r="O38" t="s">
        <v>110</v>
      </c>
      <c r="P38" s="1">
        <v>45708</v>
      </c>
      <c r="Q38" s="1">
        <v>45939</v>
      </c>
      <c r="R38" s="1">
        <v>46296</v>
      </c>
      <c r="S3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3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3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8</v>
      </c>
      <c r="W3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38">
        <f>Portefeuille_MNT_PPS_Access20[[#This Row],[Délais PC1 et PC3]]+Portefeuille_MNT_PPS_Access20[[#This Row],[Délais PC3 et PC5]]</f>
        <v>20</v>
      </c>
      <c r="Y38" s="218">
        <f xml:space="preserve"> DATE(Portefeuille_MNT_PPS_Access20[[#This Row],[Année DÉBUT Travaux prévu]]- 3, 12, 15)</f>
        <v>45641</v>
      </c>
      <c r="Z38" s="218">
        <f xml:space="preserve"> DATE(Portefeuille_MNT_PPS_Access20[[#This Row],[Année DÉBUT Travaux prévu]]- 2, 12, 15)</f>
        <v>46006</v>
      </c>
      <c r="AA38" s="218">
        <f xml:space="preserve"> DATE(Portefeuille_MNT_PPS_Access20[[#This Row],[Année DÉBUT Travaux prévu]]- 1, 12, 15)</f>
        <v>46371</v>
      </c>
      <c r="AB38">
        <v>1</v>
      </c>
      <c r="AC38">
        <v>1</v>
      </c>
      <c r="AD3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38" s="12">
        <f>_xlfn.XLOOKUP(Portefeuille_MNT_PPS_Access20[[#This Row],[Numéro projet]],Tableau5[Numéro projet],Tableau5[IND_Site_Prioritaire])</f>
        <v>3</v>
      </c>
      <c r="AF38" s="2">
        <f>_xlfn.XLOOKUP(Portefeuille_MNT_PPS_Access20[[#This Row],[Numéro projet]],Tableau5[Numéro projet],Tableau5[Critère Etat Infrastructure])</f>
        <v>5</v>
      </c>
      <c r="AG3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38">
        <v>1</v>
      </c>
      <c r="AI38">
        <v>1</v>
      </c>
      <c r="AJ38" t="s">
        <v>112</v>
      </c>
      <c r="AK38" s="2"/>
      <c r="AL38" s="63"/>
      <c r="AP38"/>
      <c r="AQ38">
        <v>178</v>
      </c>
      <c r="AS38">
        <v>176</v>
      </c>
      <c r="AU38">
        <v>212</v>
      </c>
      <c r="AV38">
        <v>4831</v>
      </c>
      <c r="AW38">
        <v>151</v>
      </c>
      <c r="AX38">
        <v>3298</v>
      </c>
      <c r="AZ38"/>
      <c r="BM38" s="14">
        <f>SUM(Portefeuille_MNT_PPS_Access20[[#This Row],[AC ANT]:[TR 2035]])</f>
        <v>8846</v>
      </c>
    </row>
    <row r="39" spans="1:65" x14ac:dyDescent="0.3">
      <c r="A39" t="s">
        <v>286</v>
      </c>
      <c r="C39" t="s">
        <v>101</v>
      </c>
      <c r="D39" t="s">
        <v>102</v>
      </c>
      <c r="E39" t="s">
        <v>103</v>
      </c>
      <c r="F39" t="s">
        <v>140</v>
      </c>
      <c r="G39" t="s">
        <v>16</v>
      </c>
      <c r="H39" t="s">
        <v>20</v>
      </c>
      <c r="I39" t="s">
        <v>131</v>
      </c>
      <c r="J39">
        <v>154210528</v>
      </c>
      <c r="K39" t="s">
        <v>515</v>
      </c>
      <c r="L39" t="s">
        <v>180</v>
      </c>
      <c r="M39" s="2">
        <v>2027</v>
      </c>
      <c r="N39" s="2">
        <v>2027</v>
      </c>
      <c r="O39" t="s">
        <v>110</v>
      </c>
      <c r="P39" s="1">
        <v>45679</v>
      </c>
      <c r="Q39" s="1">
        <v>46006</v>
      </c>
      <c r="R39" s="1">
        <v>46371</v>
      </c>
      <c r="S3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3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3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3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3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39">
        <f>Portefeuille_MNT_PPS_Access20[[#This Row],[Délais PC1 et PC3]]+Portefeuille_MNT_PPS_Access20[[#This Row],[Délais PC3 et PC5]]</f>
        <v>23</v>
      </c>
      <c r="Y39" s="218">
        <f xml:space="preserve"> DATE(Portefeuille_MNT_PPS_Access20[[#This Row],[Année DÉBUT Travaux prévu]]- 3, 12, 15)</f>
        <v>45641</v>
      </c>
      <c r="Z39" s="218">
        <f xml:space="preserve"> DATE(Portefeuille_MNT_PPS_Access20[[#This Row],[Année DÉBUT Travaux prévu]]- 2, 12, 15)</f>
        <v>46006</v>
      </c>
      <c r="AA39" s="218">
        <f xml:space="preserve"> DATE(Portefeuille_MNT_PPS_Access20[[#This Row],[Année DÉBUT Travaux prévu]]- 1, 12, 15)</f>
        <v>46371</v>
      </c>
      <c r="AB39">
        <v>1</v>
      </c>
      <c r="AC39">
        <v>1</v>
      </c>
      <c r="AD3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39" s="12">
        <f>_xlfn.XLOOKUP(Portefeuille_MNT_PPS_Access20[[#This Row],[Numéro projet]],Tableau5[Numéro projet],Tableau5[IND_Site_Prioritaire])</f>
        <v>1.8333333333333335</v>
      </c>
      <c r="AF39" s="2">
        <f>_xlfn.XLOOKUP(Portefeuille_MNT_PPS_Access20[[#This Row],[Numéro projet]],Tableau5[Numéro projet],Tableau5[Critère Etat Infrastructure])</f>
        <v>5</v>
      </c>
      <c r="AG3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54.166666666666671</v>
      </c>
      <c r="AH39">
        <v>1</v>
      </c>
      <c r="AI39">
        <v>1</v>
      </c>
      <c r="AJ39" t="s">
        <v>112</v>
      </c>
      <c r="AK39" s="2"/>
      <c r="AL39" s="63"/>
      <c r="AP39"/>
      <c r="AQ39">
        <v>130</v>
      </c>
      <c r="AS39">
        <v>60</v>
      </c>
      <c r="AU39">
        <v>283</v>
      </c>
      <c r="AV39">
        <v>3902</v>
      </c>
      <c r="AZ39"/>
      <c r="BM39" s="14">
        <f>SUM(Portefeuille_MNT_PPS_Access20[[#This Row],[AC ANT]:[TR 2035]])</f>
        <v>4375</v>
      </c>
    </row>
    <row r="40" spans="1:65" x14ac:dyDescent="0.3">
      <c r="A40" t="s">
        <v>286</v>
      </c>
      <c r="C40" t="s">
        <v>118</v>
      </c>
      <c r="D40" t="s">
        <v>102</v>
      </c>
      <c r="E40" t="s">
        <v>136</v>
      </c>
      <c r="F40" t="s">
        <v>113</v>
      </c>
      <c r="G40" t="s">
        <v>16</v>
      </c>
      <c r="H40" t="s">
        <v>20</v>
      </c>
      <c r="I40" t="s">
        <v>105</v>
      </c>
      <c r="J40">
        <v>154230630</v>
      </c>
      <c r="K40" t="s">
        <v>249</v>
      </c>
      <c r="L40" t="s">
        <v>180</v>
      </c>
      <c r="M40">
        <v>2027</v>
      </c>
      <c r="N40">
        <v>2027</v>
      </c>
      <c r="O40" t="s">
        <v>110</v>
      </c>
      <c r="P40" s="1">
        <v>45476</v>
      </c>
      <c r="Q40" s="1">
        <v>45945</v>
      </c>
      <c r="R40" s="1">
        <v>46310</v>
      </c>
      <c r="S4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4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4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4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15</v>
      </c>
      <c r="W4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40">
        <f>Portefeuille_MNT_PPS_Access20[[#This Row],[Délais PC1 et PC3]]+Portefeuille_MNT_PPS_Access20[[#This Row],[Délais PC3 et PC5]]</f>
        <v>27</v>
      </c>
      <c r="Y40" s="218">
        <f xml:space="preserve"> DATE(Portefeuille_MNT_PPS_Access20[[#This Row],[Année DÉBUT Travaux prévu]]- 3, 12, 15)</f>
        <v>45641</v>
      </c>
      <c r="Z40" s="218">
        <f xml:space="preserve"> DATE(Portefeuille_MNT_PPS_Access20[[#This Row],[Année DÉBUT Travaux prévu]]- 2, 12, 15)</f>
        <v>46006</v>
      </c>
      <c r="AA40" s="218">
        <f xml:space="preserve"> DATE(Portefeuille_MNT_PPS_Access20[[#This Row],[Année DÉBUT Travaux prévu]]- 1, 12, 15)</f>
        <v>46371</v>
      </c>
      <c r="AB40">
        <v>1</v>
      </c>
      <c r="AC40">
        <v>1</v>
      </c>
      <c r="AD4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40" s="12">
        <f>_xlfn.XLOOKUP(Portefeuille_MNT_PPS_Access20[[#This Row],[Numéro projet]],Tableau5[Numéro projet],Tableau5[IND_Site_Prioritaire])</f>
        <v>3.166666666666667</v>
      </c>
      <c r="AF40" s="2">
        <f>_xlfn.XLOOKUP(Portefeuille_MNT_PPS_Access20[[#This Row],[Numéro projet]],Tableau5[Numéro projet],Tableau5[Critère Etat Infrastructure])</f>
        <v>5</v>
      </c>
      <c r="AG4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60.833333333333343</v>
      </c>
      <c r="AH40">
        <v>1</v>
      </c>
      <c r="AI40">
        <v>5</v>
      </c>
      <c r="AJ40" t="s">
        <v>112</v>
      </c>
      <c r="AK40" s="2"/>
      <c r="AL40" s="63"/>
      <c r="AP40"/>
      <c r="AQ40">
        <v>100</v>
      </c>
      <c r="AS40">
        <v>110</v>
      </c>
      <c r="AU40">
        <v>110</v>
      </c>
      <c r="AV40">
        <v>3445</v>
      </c>
      <c r="AZ40"/>
      <c r="BM40" s="14">
        <f>SUM(Portefeuille_MNT_PPS_Access20[[#This Row],[AC ANT]:[TR 2035]])</f>
        <v>3765</v>
      </c>
    </row>
    <row r="41" spans="1:65" x14ac:dyDescent="0.3">
      <c r="A41" t="s">
        <v>286</v>
      </c>
      <c r="C41" t="s">
        <v>118</v>
      </c>
      <c r="D41" t="s">
        <v>102</v>
      </c>
      <c r="E41" t="s">
        <v>119</v>
      </c>
      <c r="F41" t="s">
        <v>206</v>
      </c>
      <c r="G41" t="s">
        <v>16</v>
      </c>
      <c r="H41" t="s">
        <v>130</v>
      </c>
      <c r="I41" t="s">
        <v>131</v>
      </c>
      <c r="J41">
        <v>154180745</v>
      </c>
      <c r="K41" t="s">
        <v>208</v>
      </c>
      <c r="L41" t="s">
        <v>209</v>
      </c>
      <c r="M41">
        <v>2027</v>
      </c>
      <c r="N41">
        <v>2027</v>
      </c>
      <c r="O41" t="s">
        <v>155</v>
      </c>
      <c r="P41" s="1">
        <v>45976</v>
      </c>
      <c r="Q41" s="1">
        <v>46096</v>
      </c>
      <c r="R41" s="1">
        <v>46280</v>
      </c>
      <c r="S4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4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4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4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4</v>
      </c>
      <c r="W4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6</v>
      </c>
      <c r="X41">
        <f>Portefeuille_MNT_PPS_Access20[[#This Row],[Délais PC1 et PC3]]+Portefeuille_MNT_PPS_Access20[[#This Row],[Délais PC3 et PC5]]</f>
        <v>10</v>
      </c>
      <c r="Y41" s="218">
        <f xml:space="preserve"> DATE(Portefeuille_MNT_PPS_Access20[[#This Row],[Année DÉBUT Travaux prévu]]- 3, 12, 15)</f>
        <v>45641</v>
      </c>
      <c r="Z41" s="218">
        <f xml:space="preserve"> DATE(Portefeuille_MNT_PPS_Access20[[#This Row],[Année DÉBUT Travaux prévu]]- 2, 12, 15)</f>
        <v>46006</v>
      </c>
      <c r="AA41" s="218">
        <f xml:space="preserve"> DATE(Portefeuille_MNT_PPS_Access20[[#This Row],[Année DÉBUT Travaux prévu]]- 1, 12, 15)</f>
        <v>46371</v>
      </c>
      <c r="AB41">
        <v>1</v>
      </c>
      <c r="AC41">
        <v>1</v>
      </c>
      <c r="AD4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41" s="12">
        <f>_xlfn.XLOOKUP(Portefeuille_MNT_PPS_Access20[[#This Row],[Numéro projet]],Tableau5[Numéro projet],Tableau5[IND_Site_Prioritaire])</f>
        <v>3</v>
      </c>
      <c r="AF41" s="2">
        <f>_xlfn.XLOOKUP(Portefeuille_MNT_PPS_Access20[[#This Row],[Numéro projet]],Tableau5[Numéro projet],Tableau5[Critère Etat Infrastructure])</f>
        <v>0</v>
      </c>
      <c r="AG4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25</v>
      </c>
      <c r="AH41">
        <v>1</v>
      </c>
      <c r="AI41">
        <v>1</v>
      </c>
      <c r="AJ41" t="s">
        <v>156</v>
      </c>
      <c r="AK41" s="2"/>
      <c r="AL41" s="63"/>
      <c r="AM41">
        <v>196</v>
      </c>
      <c r="AP41"/>
      <c r="AQ41">
        <v>40</v>
      </c>
      <c r="AS41">
        <v>255</v>
      </c>
      <c r="AU41">
        <v>396</v>
      </c>
      <c r="AV41">
        <v>1500</v>
      </c>
      <c r="AZ41"/>
      <c r="BM41" s="14">
        <f>SUM(Portefeuille_MNT_PPS_Access20[[#This Row],[AC ANT]:[TR 2035]])</f>
        <v>2387</v>
      </c>
    </row>
    <row r="42" spans="1:65" x14ac:dyDescent="0.3">
      <c r="A42" t="s">
        <v>286</v>
      </c>
      <c r="C42" t="s">
        <v>101</v>
      </c>
      <c r="D42" t="s">
        <v>102</v>
      </c>
      <c r="E42" t="s">
        <v>136</v>
      </c>
      <c r="F42" t="s">
        <v>140</v>
      </c>
      <c r="G42" t="s">
        <v>16</v>
      </c>
      <c r="H42" t="s">
        <v>20</v>
      </c>
      <c r="I42" t="s">
        <v>131</v>
      </c>
      <c r="J42">
        <v>154101522</v>
      </c>
      <c r="K42" t="s">
        <v>296</v>
      </c>
      <c r="L42" t="s">
        <v>183</v>
      </c>
      <c r="M42">
        <v>2027</v>
      </c>
      <c r="N42">
        <v>2027</v>
      </c>
      <c r="O42" t="s">
        <v>110</v>
      </c>
      <c r="P42" s="1">
        <v>45590</v>
      </c>
      <c r="Q42" s="1">
        <v>46157</v>
      </c>
      <c r="R42" s="1">
        <v>46157</v>
      </c>
      <c r="S4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4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4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4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19</v>
      </c>
      <c r="W4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42">
        <f>Portefeuille_MNT_PPS_Access20[[#This Row],[Délais PC1 et PC3]]+Portefeuille_MNT_PPS_Access20[[#This Row],[Délais PC3 et PC5]]</f>
        <v>19</v>
      </c>
      <c r="Y42" s="218">
        <f xml:space="preserve"> DATE(Portefeuille_MNT_PPS_Access20[[#This Row],[Année DÉBUT Travaux prévu]]- 3, 12, 15)</f>
        <v>45641</v>
      </c>
      <c r="Z42" s="218">
        <f xml:space="preserve"> DATE(Portefeuille_MNT_PPS_Access20[[#This Row],[Année DÉBUT Travaux prévu]]- 2, 12, 15)</f>
        <v>46006</v>
      </c>
      <c r="AA42" s="218">
        <f xml:space="preserve"> DATE(Portefeuille_MNT_PPS_Access20[[#This Row],[Année DÉBUT Travaux prévu]]- 1, 12, 15)</f>
        <v>46371</v>
      </c>
      <c r="AB42">
        <v>1</v>
      </c>
      <c r="AC42">
        <v>1</v>
      </c>
      <c r="AD4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42" s="12">
        <f>_xlfn.XLOOKUP(Portefeuille_MNT_PPS_Access20[[#This Row],[Numéro projet]],Tableau5[Numéro projet],Tableau5[IND_Site_Prioritaire])</f>
        <v>2.3333333333333335</v>
      </c>
      <c r="AF42" s="2">
        <f>_xlfn.XLOOKUP(Portefeuille_MNT_PPS_Access20[[#This Row],[Numéro projet]],Tableau5[Numéro projet],Tableau5[Critère Etat Infrastructure])</f>
        <v>3</v>
      </c>
      <c r="AG4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H42">
        <v>1</v>
      </c>
      <c r="AI42">
        <v>5</v>
      </c>
      <c r="AJ42" t="s">
        <v>112</v>
      </c>
      <c r="AK42" s="2"/>
      <c r="AL42" s="63"/>
      <c r="AP42"/>
      <c r="AQ42">
        <v>466</v>
      </c>
      <c r="AS42">
        <v>475</v>
      </c>
      <c r="AU42">
        <v>468</v>
      </c>
      <c r="AV42">
        <v>1461</v>
      </c>
      <c r="AZ42"/>
      <c r="BM42" s="14">
        <f>SUM(Portefeuille_MNT_PPS_Access20[[#This Row],[AC ANT]:[TR 2035]])</f>
        <v>2870</v>
      </c>
    </row>
    <row r="43" spans="1:65" x14ac:dyDescent="0.3">
      <c r="A43" t="s">
        <v>286</v>
      </c>
      <c r="C43" t="s">
        <v>118</v>
      </c>
      <c r="D43" t="s">
        <v>102</v>
      </c>
      <c r="E43" t="s">
        <v>136</v>
      </c>
      <c r="F43" t="s">
        <v>104</v>
      </c>
      <c r="G43" t="s">
        <v>16</v>
      </c>
      <c r="H43" t="s">
        <v>20</v>
      </c>
      <c r="I43" t="s">
        <v>131</v>
      </c>
      <c r="J43">
        <v>154230792</v>
      </c>
      <c r="K43" t="s">
        <v>158</v>
      </c>
      <c r="L43" t="s">
        <v>159</v>
      </c>
      <c r="M43">
        <v>2027</v>
      </c>
      <c r="N43">
        <v>2027</v>
      </c>
      <c r="O43" t="s">
        <v>155</v>
      </c>
      <c r="P43" s="1">
        <v>46068</v>
      </c>
      <c r="Q43" s="1">
        <v>46433</v>
      </c>
      <c r="R43" s="1">
        <v>46433</v>
      </c>
      <c r="S4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4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4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4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4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43">
        <f>Portefeuille_MNT_PPS_Access20[[#This Row],[Délais PC1 et PC3]]+Portefeuille_MNT_PPS_Access20[[#This Row],[Délais PC3 et PC5]]</f>
        <v>12</v>
      </c>
      <c r="Y43" s="218">
        <f xml:space="preserve"> DATE(Portefeuille_MNT_PPS_Access20[[#This Row],[Année DÉBUT Travaux prévu]]- 3, 12, 15)</f>
        <v>45641</v>
      </c>
      <c r="Z43" s="218">
        <f xml:space="preserve"> DATE(Portefeuille_MNT_PPS_Access20[[#This Row],[Année DÉBUT Travaux prévu]]- 2, 12, 15)</f>
        <v>46006</v>
      </c>
      <c r="AA43" s="218">
        <f xml:space="preserve"> DATE(Portefeuille_MNT_PPS_Access20[[#This Row],[Année DÉBUT Travaux prévu]]- 1, 12, 15)</f>
        <v>46371</v>
      </c>
      <c r="AB43">
        <v>1</v>
      </c>
      <c r="AC43">
        <v>1</v>
      </c>
      <c r="AD4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43" s="12">
        <f>_xlfn.XLOOKUP(Portefeuille_MNT_PPS_Access20[[#This Row],[Numéro projet]],Tableau5[Numéro projet],Tableau5[IND_Site_Prioritaire])</f>
        <v>4.333333333333333</v>
      </c>
      <c r="AF43" s="2">
        <f>_xlfn.XLOOKUP(Portefeuille_MNT_PPS_Access20[[#This Row],[Numéro projet]],Tableau5[Numéro projet],Tableau5[Critère Etat Infrastructure])</f>
        <v>5</v>
      </c>
      <c r="AG4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56.666666666666664</v>
      </c>
      <c r="AI43">
        <v>1</v>
      </c>
      <c r="AJ43" t="s">
        <v>156</v>
      </c>
      <c r="AK43" s="2"/>
      <c r="AL43" s="63"/>
      <c r="AP43"/>
      <c r="AQ43">
        <v>75</v>
      </c>
      <c r="AS43">
        <v>75</v>
      </c>
      <c r="AU43">
        <v>150</v>
      </c>
      <c r="AV43">
        <v>650</v>
      </c>
      <c r="AZ43"/>
      <c r="BM43" s="14">
        <f>SUM(Portefeuille_MNT_PPS_Access20[[#This Row],[AC ANT]:[TR 2035]])</f>
        <v>950</v>
      </c>
    </row>
    <row r="44" spans="1:65" x14ac:dyDescent="0.3">
      <c r="A44" t="s">
        <v>286</v>
      </c>
      <c r="C44" t="s">
        <v>101</v>
      </c>
      <c r="D44" t="s">
        <v>102</v>
      </c>
      <c r="E44" t="s">
        <v>136</v>
      </c>
      <c r="F44" t="s">
        <v>149</v>
      </c>
      <c r="G44" t="s">
        <v>20</v>
      </c>
      <c r="H44" t="s">
        <v>20</v>
      </c>
      <c r="I44" t="s">
        <v>131</v>
      </c>
      <c r="J44">
        <v>154220313</v>
      </c>
      <c r="K44" t="s">
        <v>382</v>
      </c>
      <c r="L44" t="s">
        <v>194</v>
      </c>
      <c r="M44">
        <v>2027</v>
      </c>
      <c r="N44">
        <v>2027</v>
      </c>
      <c r="O44" t="s">
        <v>291</v>
      </c>
      <c r="P44" s="1"/>
      <c r="Q44" s="1"/>
      <c r="R44" s="1"/>
      <c r="S4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4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4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4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4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44">
        <f>Portefeuille_MNT_PPS_Access20[[#This Row],[Délais PC1 et PC3]]+Portefeuille_MNT_PPS_Access20[[#This Row],[Délais PC3 et PC5]]</f>
        <v>0</v>
      </c>
      <c r="Y44" s="218">
        <f xml:space="preserve"> DATE(Portefeuille_MNT_PPS_Access20[[#This Row],[Année DÉBUT Travaux prévu]]- 3, 12, 15)</f>
        <v>45641</v>
      </c>
      <c r="Z44" s="218">
        <f xml:space="preserve"> DATE(Portefeuille_MNT_PPS_Access20[[#This Row],[Année DÉBUT Travaux prévu]]- 2, 12, 15)</f>
        <v>46006</v>
      </c>
      <c r="AA44" s="218">
        <f xml:space="preserve"> DATE(Portefeuille_MNT_PPS_Access20[[#This Row],[Année DÉBUT Travaux prévu]]- 1, 12, 15)</f>
        <v>46371</v>
      </c>
      <c r="AB44">
        <v>1</v>
      </c>
      <c r="AD4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44" s="12">
        <f>_xlfn.XLOOKUP(Portefeuille_MNT_PPS_Access20[[#This Row],[Numéro projet]],Tableau5[Numéro projet],Tableau5[IND_Site_Prioritaire])</f>
        <v>3.3333333333333335</v>
      </c>
      <c r="AF44" s="2">
        <f>_xlfn.XLOOKUP(Portefeuille_MNT_PPS_Access20[[#This Row],[Numéro projet]],Tableau5[Numéro projet],Tableau5[Critère Etat Infrastructure])</f>
        <v>5</v>
      </c>
      <c r="AG4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J44" t="s">
        <v>311</v>
      </c>
      <c r="AK44" s="2"/>
      <c r="AL44" s="63"/>
      <c r="AP44"/>
      <c r="AS44">
        <v>50</v>
      </c>
      <c r="AU44">
        <v>50</v>
      </c>
      <c r="AV44">
        <v>250</v>
      </c>
      <c r="AZ44"/>
      <c r="BM44" s="14">
        <f>SUM(Portefeuille_MNT_PPS_Access20[[#This Row],[AC ANT]:[TR 2035]])</f>
        <v>350</v>
      </c>
    </row>
    <row r="45" spans="1:65" x14ac:dyDescent="0.3">
      <c r="A45" t="s">
        <v>286</v>
      </c>
      <c r="C45" t="s">
        <v>118</v>
      </c>
      <c r="D45" t="s">
        <v>102</v>
      </c>
      <c r="E45" t="s">
        <v>136</v>
      </c>
      <c r="F45" t="s">
        <v>104</v>
      </c>
      <c r="G45" t="s">
        <v>16</v>
      </c>
      <c r="H45" t="s">
        <v>20</v>
      </c>
      <c r="I45" t="s">
        <v>105</v>
      </c>
      <c r="J45">
        <v>154240757</v>
      </c>
      <c r="K45" t="s">
        <v>519</v>
      </c>
      <c r="L45" t="s">
        <v>143</v>
      </c>
      <c r="M45">
        <v>2027</v>
      </c>
      <c r="N45">
        <v>2027</v>
      </c>
      <c r="O45" t="s">
        <v>291</v>
      </c>
      <c r="P45" s="1"/>
      <c r="Q45" s="1"/>
      <c r="R45" s="1"/>
      <c r="S4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4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4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4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4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45">
        <f>Portefeuille_MNT_PPS_Access20[[#This Row],[Délais PC1 et PC3]]+Portefeuille_MNT_PPS_Access20[[#This Row],[Délais PC3 et PC5]]</f>
        <v>0</v>
      </c>
      <c r="Y45" s="218">
        <f xml:space="preserve"> DATE(Portefeuille_MNT_PPS_Access20[[#This Row],[Année DÉBUT Travaux prévu]]- 3, 12, 15)</f>
        <v>45641</v>
      </c>
      <c r="Z45" s="218">
        <f xml:space="preserve"> DATE(Portefeuille_MNT_PPS_Access20[[#This Row],[Année DÉBUT Travaux prévu]]- 2, 12, 15)</f>
        <v>46006</v>
      </c>
      <c r="AA45" s="218">
        <f xml:space="preserve"> DATE(Portefeuille_MNT_PPS_Access20[[#This Row],[Année DÉBUT Travaux prévu]]- 1, 12, 15)</f>
        <v>46371</v>
      </c>
      <c r="AB45">
        <v>1</v>
      </c>
      <c r="AD4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45" s="12" t="e">
        <f>_xlfn.XLOOKUP(Portefeuille_MNT_PPS_Access20[[#This Row],[Numéro projet]],Tableau5[Numéro projet],Tableau5[IND_Site_Prioritaire])</f>
        <v>#N/A</v>
      </c>
      <c r="AF45" s="2" t="e">
        <f>_xlfn.XLOOKUP(Portefeuille_MNT_PPS_Access20[[#This Row],[Numéro projet]],Tableau5[Numéro projet],Tableau5[Critère Etat Infrastructure])</f>
        <v>#N/A</v>
      </c>
      <c r="AG45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J45" t="s">
        <v>311</v>
      </c>
      <c r="AK45" s="2"/>
      <c r="AL45" s="63"/>
      <c r="AP45"/>
      <c r="AQ45">
        <v>25</v>
      </c>
      <c r="AS45">
        <v>25</v>
      </c>
      <c r="AV45">
        <v>150</v>
      </c>
      <c r="AZ45"/>
      <c r="BM45" s="14">
        <f>SUM(Portefeuille_MNT_PPS_Access20[[#This Row],[AC ANT]:[TR 2035]])</f>
        <v>200</v>
      </c>
    </row>
    <row r="46" spans="1:65" x14ac:dyDescent="0.3">
      <c r="A46" t="s">
        <v>11</v>
      </c>
      <c r="C46" t="s">
        <v>118</v>
      </c>
      <c r="D46" t="s">
        <v>102</v>
      </c>
      <c r="E46" t="s">
        <v>177</v>
      </c>
      <c r="F46" t="s">
        <v>252</v>
      </c>
      <c r="G46" t="s">
        <v>20</v>
      </c>
      <c r="H46" t="s">
        <v>20</v>
      </c>
      <c r="I46" t="s">
        <v>131</v>
      </c>
      <c r="J46">
        <v>154240494</v>
      </c>
      <c r="K46" t="s">
        <v>449</v>
      </c>
      <c r="L46" t="s">
        <v>159</v>
      </c>
      <c r="M46" s="103">
        <v>2026</v>
      </c>
      <c r="N46" s="103">
        <v>2027</v>
      </c>
      <c r="O46" t="s">
        <v>291</v>
      </c>
      <c r="P46" s="1"/>
      <c r="Q46" s="1"/>
      <c r="R46" s="1"/>
      <c r="S4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4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4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4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4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46">
        <f>Portefeuille_MNT_PPS_Access20[[#This Row],[Délais PC1 et PC3]]+Portefeuille_MNT_PPS_Access20[[#This Row],[Délais PC3 et PC5]]</f>
        <v>0</v>
      </c>
      <c r="Y46" s="218">
        <f xml:space="preserve"> DATE(Portefeuille_MNT_PPS_Access20[[#This Row],[Année DÉBUT Travaux prévu]]- 3, 12, 15)</f>
        <v>45275</v>
      </c>
      <c r="Z46" s="218">
        <f xml:space="preserve"> DATE(Portefeuille_MNT_PPS_Access20[[#This Row],[Année DÉBUT Travaux prévu]]- 2, 12, 15)</f>
        <v>45641</v>
      </c>
      <c r="AA46" s="218">
        <f xml:space="preserve"> DATE(Portefeuille_MNT_PPS_Access20[[#This Row],[Année DÉBUT Travaux prévu]]- 1, 12, 15)</f>
        <v>46006</v>
      </c>
      <c r="AB46">
        <v>1</v>
      </c>
      <c r="AD4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46" s="12">
        <f>_xlfn.XLOOKUP(Portefeuille_MNT_PPS_Access20[[#This Row],[Numéro projet]],Tableau5[Numéro projet],Tableau5[IND_Site_Prioritaire])</f>
        <v>4.333333333333333</v>
      </c>
      <c r="AF46" s="2">
        <f>_xlfn.XLOOKUP(Portefeuille_MNT_PPS_Access20[[#This Row],[Numéro projet]],Tableau5[Numéro projet],Tableau5[Critère Etat Infrastructure])</f>
        <v>0</v>
      </c>
      <c r="AG4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26.666666666666668</v>
      </c>
      <c r="AJ46" t="s">
        <v>311</v>
      </c>
      <c r="AK46" s="2"/>
      <c r="AL46" s="63"/>
      <c r="AP46"/>
      <c r="AT46" s="103"/>
      <c r="AV46" s="103">
        <v>100</v>
      </c>
      <c r="AZ46"/>
      <c r="BM46" s="14">
        <f>SUM(Portefeuille_MNT_PPS_Access20[[#This Row],[AC ANT]:[TR 2035]])</f>
        <v>100</v>
      </c>
    </row>
    <row r="47" spans="1:65" x14ac:dyDescent="0.3">
      <c r="A47" t="s">
        <v>286</v>
      </c>
      <c r="C47" t="s">
        <v>126</v>
      </c>
      <c r="D47" t="s">
        <v>127</v>
      </c>
      <c r="E47" t="s">
        <v>103</v>
      </c>
      <c r="F47" t="s">
        <v>104</v>
      </c>
      <c r="G47" t="s">
        <v>16</v>
      </c>
      <c r="H47" t="s">
        <v>130</v>
      </c>
      <c r="I47" t="s">
        <v>131</v>
      </c>
      <c r="J47">
        <v>154190517</v>
      </c>
      <c r="K47" t="s">
        <v>221</v>
      </c>
      <c r="L47" t="s">
        <v>159</v>
      </c>
      <c r="M47" s="213">
        <v>2027</v>
      </c>
      <c r="N47" s="213">
        <v>2028</v>
      </c>
      <c r="O47" t="s">
        <v>155</v>
      </c>
      <c r="P47" s="1">
        <v>45945</v>
      </c>
      <c r="Q47" s="1">
        <v>46280</v>
      </c>
      <c r="R47" s="1">
        <v>46553</v>
      </c>
      <c r="S4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4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4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4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4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47">
        <f>Portefeuille_MNT_PPS_Access20[[#This Row],[Délais PC1 et PC3]]+Portefeuille_MNT_PPS_Access20[[#This Row],[Délais PC3 et PC5]]</f>
        <v>20</v>
      </c>
      <c r="Y47" s="218">
        <f xml:space="preserve"> DATE(Portefeuille_MNT_PPS_Access20[[#This Row],[Année DÉBUT Travaux prévu]]- 3, 12, 15)</f>
        <v>45641</v>
      </c>
      <c r="Z47" s="218">
        <f xml:space="preserve"> DATE(Portefeuille_MNT_PPS_Access20[[#This Row],[Année DÉBUT Travaux prévu]]- 2, 12, 15)</f>
        <v>46006</v>
      </c>
      <c r="AA47" s="218">
        <f xml:space="preserve"> DATE(Portefeuille_MNT_PPS_Access20[[#This Row],[Année DÉBUT Travaux prévu]]- 1, 12, 15)</f>
        <v>46371</v>
      </c>
      <c r="AB47">
        <v>1</v>
      </c>
      <c r="AC47">
        <v>1</v>
      </c>
      <c r="AD4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47" s="12">
        <f>_xlfn.XLOOKUP(Portefeuille_MNT_PPS_Access20[[#This Row],[Numéro projet]],Tableau5[Numéro projet],Tableau5[IND_Site_Prioritaire])</f>
        <v>4.333333333333333</v>
      </c>
      <c r="AF47" s="2">
        <f>_xlfn.XLOOKUP(Portefeuille_MNT_PPS_Access20[[#This Row],[Numéro projet]],Tableau5[Numéro projet],Tableau5[Critère Etat Infrastructure])</f>
        <v>5</v>
      </c>
      <c r="AG4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56.666666666666664</v>
      </c>
      <c r="AH47">
        <v>1</v>
      </c>
      <c r="AI47">
        <v>1</v>
      </c>
      <c r="AJ47" t="s">
        <v>156</v>
      </c>
      <c r="AK47" s="2"/>
      <c r="AL47" s="63"/>
      <c r="AP47"/>
      <c r="AQ47" s="102"/>
      <c r="AS47">
        <v>100</v>
      </c>
      <c r="AU47">
        <v>125</v>
      </c>
      <c r="AV47" s="103">
        <v>0</v>
      </c>
      <c r="AW47">
        <v>130</v>
      </c>
      <c r="AX47">
        <v>13660</v>
      </c>
      <c r="AY47">
        <v>125</v>
      </c>
      <c r="AZ47">
        <v>16340</v>
      </c>
      <c r="BM47" s="14">
        <f>SUM(Portefeuille_MNT_PPS_Access20[[#This Row],[AC ANT]:[TR 2035]])</f>
        <v>30480</v>
      </c>
    </row>
    <row r="48" spans="1:65" x14ac:dyDescent="0.3">
      <c r="A48" t="s">
        <v>286</v>
      </c>
      <c r="C48" t="s">
        <v>126</v>
      </c>
      <c r="D48" t="s">
        <v>127</v>
      </c>
      <c r="E48" t="s">
        <v>103</v>
      </c>
      <c r="F48" t="s">
        <v>149</v>
      </c>
      <c r="G48" t="s">
        <v>16</v>
      </c>
      <c r="H48" t="s">
        <v>20</v>
      </c>
      <c r="I48" t="s">
        <v>131</v>
      </c>
      <c r="J48">
        <v>154190681</v>
      </c>
      <c r="K48" t="s">
        <v>542</v>
      </c>
      <c r="L48" t="s">
        <v>152</v>
      </c>
      <c r="M48" s="213">
        <v>2027</v>
      </c>
      <c r="N48" s="213">
        <v>2028</v>
      </c>
      <c r="O48" t="s">
        <v>155</v>
      </c>
      <c r="P48" s="1">
        <v>45976</v>
      </c>
      <c r="Q48" s="1">
        <v>46310</v>
      </c>
      <c r="R48" s="1">
        <v>46645</v>
      </c>
      <c r="S4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4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4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4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4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11</v>
      </c>
      <c r="X48">
        <f>Portefeuille_MNT_PPS_Access20[[#This Row],[Délais PC1 et PC3]]+Portefeuille_MNT_PPS_Access20[[#This Row],[Délais PC3 et PC5]]</f>
        <v>22</v>
      </c>
      <c r="Y48" s="218">
        <f xml:space="preserve"> DATE(Portefeuille_MNT_PPS_Access20[[#This Row],[Année DÉBUT Travaux prévu]]- 3, 12, 15)</f>
        <v>45641</v>
      </c>
      <c r="Z48" s="218">
        <f xml:space="preserve"> DATE(Portefeuille_MNT_PPS_Access20[[#This Row],[Année DÉBUT Travaux prévu]]- 2, 12, 15)</f>
        <v>46006</v>
      </c>
      <c r="AA48" s="218">
        <f xml:space="preserve"> DATE(Portefeuille_MNT_PPS_Access20[[#This Row],[Année DÉBUT Travaux prévu]]- 1, 12, 15)</f>
        <v>46371</v>
      </c>
      <c r="AB48">
        <v>1</v>
      </c>
      <c r="AC48">
        <v>1</v>
      </c>
      <c r="AD4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48" s="12">
        <f>_xlfn.XLOOKUP(Portefeuille_MNT_PPS_Access20[[#This Row],[Numéro projet]],Tableau5[Numéro projet],Tableau5[IND_Site_Prioritaire])</f>
        <v>3.6666666666666665</v>
      </c>
      <c r="AF48" s="2">
        <f>_xlfn.XLOOKUP(Portefeuille_MNT_PPS_Access20[[#This Row],[Numéro projet]],Tableau5[Numéro projet],Tableau5[Critère Etat Infrastructure])</f>
        <v>4</v>
      </c>
      <c r="AG4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48.333333333333336</v>
      </c>
      <c r="AH48">
        <v>1</v>
      </c>
      <c r="AI48">
        <v>1</v>
      </c>
      <c r="AJ48" t="s">
        <v>156</v>
      </c>
      <c r="AK48" s="2"/>
      <c r="AL48" s="63"/>
      <c r="AP48"/>
      <c r="AQ48" s="102"/>
      <c r="AS48">
        <v>100</v>
      </c>
      <c r="AU48">
        <v>267</v>
      </c>
      <c r="AV48" s="103">
        <v>0</v>
      </c>
      <c r="AW48">
        <v>588</v>
      </c>
      <c r="AX48">
        <v>7500</v>
      </c>
      <c r="AZ48"/>
      <c r="BM48" s="14">
        <f>SUM(Portefeuille_MNT_PPS_Access20[[#This Row],[AC ANT]:[TR 2035]])</f>
        <v>8455</v>
      </c>
    </row>
    <row r="49" spans="1:65" x14ac:dyDescent="0.3">
      <c r="A49" t="s">
        <v>286</v>
      </c>
      <c r="C49" t="s">
        <v>118</v>
      </c>
      <c r="D49" t="s">
        <v>102</v>
      </c>
      <c r="E49" t="s">
        <v>242</v>
      </c>
      <c r="F49" t="s">
        <v>113</v>
      </c>
      <c r="G49" t="s">
        <v>16</v>
      </c>
      <c r="H49" t="s">
        <v>20</v>
      </c>
      <c r="I49" t="s">
        <v>131</v>
      </c>
      <c r="J49">
        <v>154210524</v>
      </c>
      <c r="K49" t="s">
        <v>244</v>
      </c>
      <c r="L49" t="s">
        <v>245</v>
      </c>
      <c r="M49" s="213">
        <v>2027</v>
      </c>
      <c r="N49" s="213">
        <v>2028</v>
      </c>
      <c r="O49" t="s">
        <v>155</v>
      </c>
      <c r="P49" s="1">
        <v>45915</v>
      </c>
      <c r="Q49" s="1">
        <v>46280</v>
      </c>
      <c r="R49" s="1">
        <v>46433</v>
      </c>
      <c r="S4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4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4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4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4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5</v>
      </c>
      <c r="X49">
        <f>Portefeuille_MNT_PPS_Access20[[#This Row],[Délais PC1 et PC3]]+Portefeuille_MNT_PPS_Access20[[#This Row],[Délais PC3 et PC5]]</f>
        <v>17</v>
      </c>
      <c r="Y49" s="218">
        <f xml:space="preserve"> DATE(Portefeuille_MNT_PPS_Access20[[#This Row],[Année DÉBUT Travaux prévu]]- 3, 12, 15)</f>
        <v>45641</v>
      </c>
      <c r="Z49" s="218">
        <f xml:space="preserve"> DATE(Portefeuille_MNT_PPS_Access20[[#This Row],[Année DÉBUT Travaux prévu]]- 2, 12, 15)</f>
        <v>46006</v>
      </c>
      <c r="AA49" s="218">
        <f xml:space="preserve"> DATE(Portefeuille_MNT_PPS_Access20[[#This Row],[Année DÉBUT Travaux prévu]]- 1, 12, 15)</f>
        <v>46371</v>
      </c>
      <c r="AB49">
        <v>1</v>
      </c>
      <c r="AC49">
        <v>1</v>
      </c>
      <c r="AD4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49" s="12">
        <f>_xlfn.XLOOKUP(Portefeuille_MNT_PPS_Access20[[#This Row],[Numéro projet]],Tableau5[Numéro projet],Tableau5[IND_Site_Prioritaire])</f>
        <v>1.6666666666666667</v>
      </c>
      <c r="AF49" s="2">
        <f>_xlfn.XLOOKUP(Portefeuille_MNT_PPS_Access20[[#This Row],[Numéro projet]],Tableau5[Numéro projet],Tableau5[Critère Etat Infrastructure])</f>
        <v>5</v>
      </c>
      <c r="AG4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43.333333333333329</v>
      </c>
      <c r="AH49">
        <v>1</v>
      </c>
      <c r="AI49">
        <v>1</v>
      </c>
      <c r="AJ49" t="s">
        <v>156</v>
      </c>
      <c r="AK49" s="2"/>
      <c r="AL49" s="63"/>
      <c r="AP49"/>
      <c r="AQ49" s="102"/>
      <c r="AS49">
        <v>50</v>
      </c>
      <c r="AU49">
        <v>150</v>
      </c>
      <c r="AV49" s="103">
        <v>0</v>
      </c>
      <c r="AW49">
        <v>150</v>
      </c>
      <c r="AX49">
        <v>2000</v>
      </c>
      <c r="AZ49"/>
      <c r="BM49" s="14">
        <f>SUM(Portefeuille_MNT_PPS_Access20[[#This Row],[AC ANT]:[TR 2035]])</f>
        <v>2350</v>
      </c>
    </row>
    <row r="50" spans="1:65" x14ac:dyDescent="0.3">
      <c r="A50" t="s">
        <v>286</v>
      </c>
      <c r="C50" t="s">
        <v>101</v>
      </c>
      <c r="D50" t="s">
        <v>102</v>
      </c>
      <c r="E50" t="s">
        <v>136</v>
      </c>
      <c r="F50" t="s">
        <v>113</v>
      </c>
      <c r="G50" t="s">
        <v>16</v>
      </c>
      <c r="H50" t="s">
        <v>20</v>
      </c>
      <c r="I50" t="s">
        <v>131</v>
      </c>
      <c r="J50">
        <v>154140339</v>
      </c>
      <c r="K50" t="s">
        <v>186</v>
      </c>
      <c r="L50" t="s">
        <v>187</v>
      </c>
      <c r="M50" s="103">
        <v>2027</v>
      </c>
      <c r="N50" s="103">
        <v>2028</v>
      </c>
      <c r="O50" t="s">
        <v>110</v>
      </c>
      <c r="P50" s="1">
        <v>44823</v>
      </c>
      <c r="Q50" s="1">
        <v>46310</v>
      </c>
      <c r="R50" s="1">
        <v>46521</v>
      </c>
      <c r="S5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5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5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49</v>
      </c>
      <c r="W5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7</v>
      </c>
      <c r="X50">
        <f>Portefeuille_MNT_PPS_Access20[[#This Row],[Délais PC1 et PC3]]+Portefeuille_MNT_PPS_Access20[[#This Row],[Délais PC3 et PC5]]</f>
        <v>56</v>
      </c>
      <c r="Y50" s="218">
        <f xml:space="preserve"> DATE(Portefeuille_MNT_PPS_Access20[[#This Row],[Année DÉBUT Travaux prévu]]- 3, 12, 15)</f>
        <v>45641</v>
      </c>
      <c r="Z50" s="218">
        <f xml:space="preserve"> DATE(Portefeuille_MNT_PPS_Access20[[#This Row],[Année DÉBUT Travaux prévu]]- 2, 12, 15)</f>
        <v>46006</v>
      </c>
      <c r="AA50" s="218">
        <f xml:space="preserve"> DATE(Portefeuille_MNT_PPS_Access20[[#This Row],[Année DÉBUT Travaux prévu]]- 1, 12, 15)</f>
        <v>46371</v>
      </c>
      <c r="AB50">
        <v>1</v>
      </c>
      <c r="AC50">
        <v>1</v>
      </c>
      <c r="AD5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50" s="12">
        <f>_xlfn.XLOOKUP(Portefeuille_MNT_PPS_Access20[[#This Row],[Numéro projet]],Tableau5[Numéro projet],Tableau5[IND_Site_Prioritaire])</f>
        <v>3</v>
      </c>
      <c r="AF50" s="2">
        <f>_xlfn.XLOOKUP(Portefeuille_MNT_PPS_Access20[[#This Row],[Numéro projet]],Tableau5[Numéro projet],Tableau5[Critère Etat Infrastructure])</f>
        <v>5</v>
      </c>
      <c r="AG5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50">
        <v>1</v>
      </c>
      <c r="AI50">
        <v>5</v>
      </c>
      <c r="AJ50" t="s">
        <v>112</v>
      </c>
      <c r="AK50" s="2"/>
      <c r="AL50" s="63"/>
      <c r="AM50">
        <v>282</v>
      </c>
      <c r="AO50">
        <v>175</v>
      </c>
      <c r="AP50"/>
      <c r="AQ50">
        <v>835</v>
      </c>
      <c r="AS50">
        <v>630</v>
      </c>
      <c r="AU50">
        <v>225</v>
      </c>
      <c r="AV50" s="103">
        <v>0</v>
      </c>
      <c r="AW50">
        <v>225</v>
      </c>
      <c r="AX50">
        <v>5369</v>
      </c>
      <c r="AY50">
        <v>502</v>
      </c>
      <c r="AZ50" s="103">
        <v>10806</v>
      </c>
      <c r="BM50" s="14">
        <f>SUM(Portefeuille_MNT_PPS_Access20[[#This Row],[AC ANT]:[TR 2035]])</f>
        <v>19049</v>
      </c>
    </row>
    <row r="51" spans="1:65" x14ac:dyDescent="0.3">
      <c r="A51" t="s">
        <v>286</v>
      </c>
      <c r="C51" t="s">
        <v>101</v>
      </c>
      <c r="D51" t="s">
        <v>102</v>
      </c>
      <c r="E51" t="s">
        <v>103</v>
      </c>
      <c r="F51" t="s">
        <v>140</v>
      </c>
      <c r="G51" t="s">
        <v>16</v>
      </c>
      <c r="H51" t="s">
        <v>16</v>
      </c>
      <c r="I51" t="s">
        <v>105</v>
      </c>
      <c r="J51">
        <v>154171517</v>
      </c>
      <c r="K51" t="s">
        <v>175</v>
      </c>
      <c r="L51" t="s">
        <v>143</v>
      </c>
      <c r="M51">
        <v>2025</v>
      </c>
      <c r="N51">
        <v>2025</v>
      </c>
      <c r="O51" t="s">
        <v>164</v>
      </c>
      <c r="P51" s="1">
        <v>44014</v>
      </c>
      <c r="Q51" s="1">
        <v>44294</v>
      </c>
      <c r="R51" s="1">
        <v>45239</v>
      </c>
      <c r="S5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5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9</v>
      </c>
      <c r="W5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31</v>
      </c>
      <c r="X51">
        <f>Portefeuille_MNT_PPS_Access20[[#This Row],[Délais PC1 et PC3]]+Portefeuille_MNT_PPS_Access20[[#This Row],[Délais PC3 et PC5]]</f>
        <v>40</v>
      </c>
      <c r="Y51" s="218">
        <f xml:space="preserve"> DATE(Portefeuille_MNT_PPS_Access20[[#This Row],[Année DÉBUT Travaux prévu]]- 3, 12, 15)</f>
        <v>44910</v>
      </c>
      <c r="Z51" s="218">
        <f xml:space="preserve"> DATE(Portefeuille_MNT_PPS_Access20[[#This Row],[Année DÉBUT Travaux prévu]]- 2, 12, 15)</f>
        <v>45275</v>
      </c>
      <c r="AA51" s="218">
        <f xml:space="preserve"> DATE(Portefeuille_MNT_PPS_Access20[[#This Row],[Année DÉBUT Travaux prévu]]- 1, 12, 15)</f>
        <v>45641</v>
      </c>
      <c r="AB51">
        <v>5</v>
      </c>
      <c r="AC51">
        <v>5</v>
      </c>
      <c r="AD51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1" s="12">
        <f>_xlfn.XLOOKUP(Portefeuille_MNT_PPS_Access20[[#This Row],[Numéro projet]],Tableau5[Numéro projet],Tableau5[IND_Site_Prioritaire])</f>
        <v>4.333333333333333</v>
      </c>
      <c r="AF51" s="2">
        <f>_xlfn.XLOOKUP(Portefeuille_MNT_PPS_Access20[[#This Row],[Numéro projet]],Tableau5[Numéro projet],Tableau5[Critère Etat Infrastructure])</f>
        <v>4</v>
      </c>
      <c r="AG5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51">
        <v>5</v>
      </c>
      <c r="AI51">
        <v>5</v>
      </c>
      <c r="AJ51" t="s">
        <v>165</v>
      </c>
      <c r="AK51" s="2">
        <v>5</v>
      </c>
      <c r="AL51" s="63"/>
      <c r="AM51">
        <v>389</v>
      </c>
      <c r="AN51">
        <v>4986</v>
      </c>
      <c r="AO51">
        <v>450</v>
      </c>
      <c r="AP51">
        <v>25618</v>
      </c>
      <c r="AQ51">
        <v>678</v>
      </c>
      <c r="AR51">
        <v>14983</v>
      </c>
      <c r="AZ51"/>
      <c r="BM51" s="14">
        <f>SUM(Portefeuille_MNT_PPS_Access20[[#This Row],[AC ANT]:[TR 2035]])</f>
        <v>47104</v>
      </c>
    </row>
    <row r="52" spans="1:65" x14ac:dyDescent="0.3">
      <c r="A52" t="s">
        <v>286</v>
      </c>
      <c r="C52" t="s">
        <v>101</v>
      </c>
      <c r="D52" t="s">
        <v>102</v>
      </c>
      <c r="E52" t="s">
        <v>103</v>
      </c>
      <c r="G52" t="s">
        <v>16</v>
      </c>
      <c r="H52" t="s">
        <v>16</v>
      </c>
      <c r="I52" t="s">
        <v>105</v>
      </c>
      <c r="J52">
        <v>154150340</v>
      </c>
      <c r="K52" t="s">
        <v>310</v>
      </c>
      <c r="L52" t="s">
        <v>108</v>
      </c>
      <c r="M52">
        <v>2025</v>
      </c>
      <c r="N52">
        <v>2025</v>
      </c>
      <c r="O52" t="s">
        <v>291</v>
      </c>
      <c r="P52" s="1"/>
      <c r="Q52" s="1"/>
      <c r="R52" s="1"/>
      <c r="S5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5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5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5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5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52">
        <f>Portefeuille_MNT_PPS_Access20[[#This Row],[Délais PC1 et PC3]]+Portefeuille_MNT_PPS_Access20[[#This Row],[Délais PC3 et PC5]]</f>
        <v>0</v>
      </c>
      <c r="Y52" s="218">
        <f xml:space="preserve"> DATE(Portefeuille_MNT_PPS_Access20[[#This Row],[Année DÉBUT Travaux prévu]]- 3, 12, 15)</f>
        <v>44910</v>
      </c>
      <c r="Z52" s="218">
        <f xml:space="preserve"> DATE(Portefeuille_MNT_PPS_Access20[[#This Row],[Année DÉBUT Travaux prévu]]- 2, 12, 15)</f>
        <v>45275</v>
      </c>
      <c r="AA52" s="218">
        <f xml:space="preserve"> DATE(Portefeuille_MNT_PPS_Access20[[#This Row],[Année DÉBUT Travaux prévu]]- 1, 12, 15)</f>
        <v>45641</v>
      </c>
      <c r="AB52">
        <v>1</v>
      </c>
      <c r="AD5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52" s="12">
        <f>_xlfn.XLOOKUP(Portefeuille_MNT_PPS_Access20[[#This Row],[Numéro projet]],Tableau5[Numéro projet],Tableau5[IND_Site_Prioritaire])</f>
        <v>4</v>
      </c>
      <c r="AF52" s="2">
        <f>_xlfn.XLOOKUP(Portefeuille_MNT_PPS_Access20[[#This Row],[Numéro projet]],Tableau5[Numéro projet],Tableau5[Critère Etat Infrastructure])</f>
        <v>0</v>
      </c>
      <c r="AG5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25</v>
      </c>
      <c r="AJ52" t="s">
        <v>311</v>
      </c>
      <c r="AK52" s="2"/>
      <c r="AL52" s="63"/>
      <c r="AM52">
        <v>467</v>
      </c>
      <c r="AN52">
        <v>5053</v>
      </c>
      <c r="AP52"/>
      <c r="AQ52">
        <v>27</v>
      </c>
      <c r="AR52">
        <v>135</v>
      </c>
      <c r="AZ52"/>
      <c r="BM52" s="14">
        <f>SUM(Portefeuille_MNT_PPS_Access20[[#This Row],[AC ANT]:[TR 2035]])</f>
        <v>5682</v>
      </c>
    </row>
    <row r="53" spans="1:65" x14ac:dyDescent="0.3">
      <c r="A53" t="s">
        <v>286</v>
      </c>
      <c r="C53" t="s">
        <v>101</v>
      </c>
      <c r="D53" t="s">
        <v>102</v>
      </c>
      <c r="E53" t="s">
        <v>103</v>
      </c>
      <c r="F53" t="s">
        <v>104</v>
      </c>
      <c r="G53" t="s">
        <v>16</v>
      </c>
      <c r="H53" t="s">
        <v>16</v>
      </c>
      <c r="I53" t="s">
        <v>105</v>
      </c>
      <c r="J53">
        <v>154101261</v>
      </c>
      <c r="K53" t="s">
        <v>216</v>
      </c>
      <c r="L53" t="s">
        <v>217</v>
      </c>
      <c r="M53">
        <v>2025</v>
      </c>
      <c r="N53">
        <v>2025</v>
      </c>
      <c r="O53" t="s">
        <v>164</v>
      </c>
      <c r="P53" s="1">
        <v>44838</v>
      </c>
      <c r="Q53" s="1">
        <v>45441</v>
      </c>
      <c r="R53" s="1">
        <v>45623</v>
      </c>
      <c r="S5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5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19</v>
      </c>
      <c r="W5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6</v>
      </c>
      <c r="X53">
        <f>Portefeuille_MNT_PPS_Access20[[#This Row],[Délais PC1 et PC3]]+Portefeuille_MNT_PPS_Access20[[#This Row],[Délais PC3 et PC5]]</f>
        <v>25</v>
      </c>
      <c r="Y53" s="218">
        <f xml:space="preserve"> DATE(Portefeuille_MNT_PPS_Access20[[#This Row],[Année DÉBUT Travaux prévu]]- 3, 12, 15)</f>
        <v>44910</v>
      </c>
      <c r="Z53" s="218">
        <f xml:space="preserve"> DATE(Portefeuille_MNT_PPS_Access20[[#This Row],[Année DÉBUT Travaux prévu]]- 2, 12, 15)</f>
        <v>45275</v>
      </c>
      <c r="AA53" s="218">
        <f xml:space="preserve"> DATE(Portefeuille_MNT_PPS_Access20[[#This Row],[Année DÉBUT Travaux prévu]]- 1, 12, 15)</f>
        <v>45641</v>
      </c>
      <c r="AB53">
        <v>1</v>
      </c>
      <c r="AC53">
        <v>5</v>
      </c>
      <c r="AD53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3" s="12">
        <f>_xlfn.XLOOKUP(Portefeuille_MNT_PPS_Access20[[#This Row],[Numéro projet]],Tableau5[Numéro projet],Tableau5[IND_Site_Prioritaire])</f>
        <v>2.3333333333333335</v>
      </c>
      <c r="AF53" s="2">
        <f>_xlfn.XLOOKUP(Portefeuille_MNT_PPS_Access20[[#This Row],[Numéro projet]],Tableau5[Numéro projet],Tableau5[Critère Etat Infrastructure])</f>
        <v>4</v>
      </c>
      <c r="AG5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H53">
        <v>5</v>
      </c>
      <c r="AI53">
        <v>5</v>
      </c>
      <c r="AJ53" t="s">
        <v>165</v>
      </c>
      <c r="AK53" s="2"/>
      <c r="AL53" s="63"/>
      <c r="AM53">
        <v>218</v>
      </c>
      <c r="AN53">
        <v>3</v>
      </c>
      <c r="AO53">
        <v>96</v>
      </c>
      <c r="AP53"/>
      <c r="AQ53">
        <v>643</v>
      </c>
      <c r="AR53">
        <v>12563</v>
      </c>
      <c r="AZ53"/>
      <c r="BM53" s="14">
        <f>SUM(Portefeuille_MNT_PPS_Access20[[#This Row],[AC ANT]:[TR 2035]])</f>
        <v>13523</v>
      </c>
    </row>
    <row r="54" spans="1:65" x14ac:dyDescent="0.3">
      <c r="A54" t="s">
        <v>286</v>
      </c>
      <c r="C54" t="s">
        <v>101</v>
      </c>
      <c r="D54" t="s">
        <v>102</v>
      </c>
      <c r="E54" t="s">
        <v>103</v>
      </c>
      <c r="F54" t="s">
        <v>149</v>
      </c>
      <c r="G54" t="s">
        <v>16</v>
      </c>
      <c r="H54" t="s">
        <v>16</v>
      </c>
      <c r="I54" t="s">
        <v>105</v>
      </c>
      <c r="J54">
        <v>154190480</v>
      </c>
      <c r="K54" t="s">
        <v>229</v>
      </c>
      <c r="L54" t="s">
        <v>230</v>
      </c>
      <c r="M54">
        <v>2025</v>
      </c>
      <c r="N54">
        <v>2025</v>
      </c>
      <c r="O54" t="s">
        <v>164</v>
      </c>
      <c r="P54" s="1">
        <v>45022</v>
      </c>
      <c r="Q54" s="1">
        <v>45463</v>
      </c>
      <c r="R54" s="1">
        <v>45590</v>
      </c>
      <c r="S5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5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5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</v>
      </c>
      <c r="W5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4</v>
      </c>
      <c r="X54">
        <f>Portefeuille_MNT_PPS_Access20[[#This Row],[Délais PC1 et PC3]]+Portefeuille_MNT_PPS_Access20[[#This Row],[Délais PC3 et PC5]]</f>
        <v>18</v>
      </c>
      <c r="Y54" s="218">
        <f xml:space="preserve"> DATE(Portefeuille_MNT_PPS_Access20[[#This Row],[Année DÉBUT Travaux prévu]]- 3, 12, 15)</f>
        <v>44910</v>
      </c>
      <c r="Z54" s="218">
        <f xml:space="preserve"> DATE(Portefeuille_MNT_PPS_Access20[[#This Row],[Année DÉBUT Travaux prévu]]- 2, 12, 15)</f>
        <v>45275</v>
      </c>
      <c r="AA54" s="218">
        <f xml:space="preserve"> DATE(Portefeuille_MNT_PPS_Access20[[#This Row],[Année DÉBUT Travaux prévu]]- 1, 12, 15)</f>
        <v>45641</v>
      </c>
      <c r="AB54">
        <v>1</v>
      </c>
      <c r="AC54">
        <v>5</v>
      </c>
      <c r="AD54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4" s="12">
        <f>_xlfn.XLOOKUP(Portefeuille_MNT_PPS_Access20[[#This Row],[Numéro projet]],Tableau5[Numéro projet],Tableau5[IND_Site_Prioritaire])</f>
        <v>3</v>
      </c>
      <c r="AF54" s="2">
        <f>_xlfn.XLOOKUP(Portefeuille_MNT_PPS_Access20[[#This Row],[Numéro projet]],Tableau5[Numéro projet],Tableau5[Critère Etat Infrastructure])</f>
        <v>4</v>
      </c>
      <c r="AG5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65</v>
      </c>
      <c r="AH54">
        <v>5</v>
      </c>
      <c r="AI54">
        <v>5</v>
      </c>
      <c r="AJ54" t="s">
        <v>165</v>
      </c>
      <c r="AK54" s="2"/>
      <c r="AL54" s="63"/>
      <c r="AM54">
        <v>61</v>
      </c>
      <c r="AP54"/>
      <c r="AQ54">
        <v>601</v>
      </c>
      <c r="AR54">
        <v>11581</v>
      </c>
      <c r="AZ54"/>
      <c r="BM54" s="14">
        <f>SUM(Portefeuille_MNT_PPS_Access20[[#This Row],[AC ANT]:[TR 2035]])</f>
        <v>12243</v>
      </c>
    </row>
    <row r="55" spans="1:65" x14ac:dyDescent="0.3">
      <c r="A55" t="s">
        <v>286</v>
      </c>
      <c r="C55" t="s">
        <v>126</v>
      </c>
      <c r="D55" t="s">
        <v>127</v>
      </c>
      <c r="E55" t="s">
        <v>136</v>
      </c>
      <c r="F55" t="s">
        <v>104</v>
      </c>
      <c r="G55" t="s">
        <v>16</v>
      </c>
      <c r="H55" t="s">
        <v>16</v>
      </c>
      <c r="I55" t="s">
        <v>105</v>
      </c>
      <c r="J55">
        <v>154061996</v>
      </c>
      <c r="K55" t="s">
        <v>163</v>
      </c>
      <c r="L55" t="s">
        <v>122</v>
      </c>
      <c r="M55">
        <v>2025</v>
      </c>
      <c r="N55">
        <v>2025</v>
      </c>
      <c r="O55" t="s">
        <v>164</v>
      </c>
      <c r="P55" s="1"/>
      <c r="Q55" s="1"/>
      <c r="R55" s="1"/>
      <c r="S5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5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5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5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5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55">
        <f>Portefeuille_MNT_PPS_Access20[[#This Row],[Délais PC1 et PC3]]+Portefeuille_MNT_PPS_Access20[[#This Row],[Délais PC3 et PC5]]</f>
        <v>0</v>
      </c>
      <c r="Y55" s="218">
        <f xml:space="preserve"> DATE(Portefeuille_MNT_PPS_Access20[[#This Row],[Année DÉBUT Travaux prévu]]- 3, 12, 15)</f>
        <v>44910</v>
      </c>
      <c r="Z55" s="218">
        <f xml:space="preserve"> DATE(Portefeuille_MNT_PPS_Access20[[#This Row],[Année DÉBUT Travaux prévu]]- 2, 12, 15)</f>
        <v>45275</v>
      </c>
      <c r="AA55" s="218">
        <f xml:space="preserve"> DATE(Portefeuille_MNT_PPS_Access20[[#This Row],[Année DÉBUT Travaux prévu]]- 1, 12, 15)</f>
        <v>45641</v>
      </c>
      <c r="AB55">
        <v>1</v>
      </c>
      <c r="AD5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55" s="12">
        <f>_xlfn.XLOOKUP(Portefeuille_MNT_PPS_Access20[[#This Row],[Numéro projet]],Tableau5[Numéro projet],Tableau5[IND_Site_Prioritaire])</f>
        <v>4</v>
      </c>
      <c r="AF55" s="2">
        <f>_xlfn.XLOOKUP(Portefeuille_MNT_PPS_Access20[[#This Row],[Numéro projet]],Tableau5[Numéro projet],Tableau5[Critère Etat Infrastructure])</f>
        <v>0</v>
      </c>
      <c r="AG5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55" t="s">
        <v>165</v>
      </c>
      <c r="AK55" s="2">
        <v>5</v>
      </c>
      <c r="AL55" s="63"/>
      <c r="AM55">
        <v>5398</v>
      </c>
      <c r="AN55">
        <v>28152</v>
      </c>
      <c r="AO55">
        <v>46</v>
      </c>
      <c r="AP55">
        <v>891</v>
      </c>
      <c r="AQ55">
        <v>399</v>
      </c>
      <c r="AR55">
        <v>67</v>
      </c>
      <c r="AS55">
        <v>93</v>
      </c>
      <c r="AZ55"/>
      <c r="BM55" s="14">
        <f>SUM(Portefeuille_MNT_PPS_Access20[[#This Row],[AC ANT]:[TR 2035]])</f>
        <v>35046</v>
      </c>
    </row>
    <row r="56" spans="1:65" x14ac:dyDescent="0.3">
      <c r="A56" t="s">
        <v>286</v>
      </c>
      <c r="C56" t="s">
        <v>101</v>
      </c>
      <c r="D56" t="s">
        <v>102</v>
      </c>
      <c r="E56" t="s">
        <v>103</v>
      </c>
      <c r="F56" t="s">
        <v>113</v>
      </c>
      <c r="G56" t="s">
        <v>16</v>
      </c>
      <c r="H56" t="s">
        <v>16</v>
      </c>
      <c r="I56" t="s">
        <v>105</v>
      </c>
      <c r="J56">
        <v>154160152</v>
      </c>
      <c r="K56" t="s">
        <v>313</v>
      </c>
      <c r="L56" t="s">
        <v>168</v>
      </c>
      <c r="M56">
        <v>2025</v>
      </c>
      <c r="N56">
        <v>2025</v>
      </c>
      <c r="O56" t="s">
        <v>164</v>
      </c>
      <c r="P56" s="1">
        <v>44055</v>
      </c>
      <c r="Q56" s="1">
        <v>44315</v>
      </c>
      <c r="R56" s="1">
        <v>44589</v>
      </c>
      <c r="S5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5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8</v>
      </c>
      <c r="W5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56">
        <f>Portefeuille_MNT_PPS_Access20[[#This Row],[Délais PC1 et PC3]]+Portefeuille_MNT_PPS_Access20[[#This Row],[Délais PC3 et PC5]]</f>
        <v>17</v>
      </c>
      <c r="Y56" s="218">
        <f xml:space="preserve"> DATE(Portefeuille_MNT_PPS_Access20[[#This Row],[Année DÉBUT Travaux prévu]]- 3, 12, 15)</f>
        <v>44910</v>
      </c>
      <c r="Z56" s="218">
        <f xml:space="preserve"> DATE(Portefeuille_MNT_PPS_Access20[[#This Row],[Année DÉBUT Travaux prévu]]- 2, 12, 15)</f>
        <v>45275</v>
      </c>
      <c r="AA56" s="218">
        <f xml:space="preserve"> DATE(Portefeuille_MNT_PPS_Access20[[#This Row],[Année DÉBUT Travaux prévu]]- 1, 12, 15)</f>
        <v>45641</v>
      </c>
      <c r="AB56">
        <v>5</v>
      </c>
      <c r="AC56">
        <v>5</v>
      </c>
      <c r="AD56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6" s="12">
        <f>_xlfn.XLOOKUP(Portefeuille_MNT_PPS_Access20[[#This Row],[Numéro projet]],Tableau5[Numéro projet],Tableau5[IND_Site_Prioritaire])</f>
        <v>3.3333333333333335</v>
      </c>
      <c r="AF56" s="2">
        <f>_xlfn.XLOOKUP(Portefeuille_MNT_PPS_Access20[[#This Row],[Numéro projet]],Tableau5[Numéro projet],Tableau5[Critère Etat Infrastructure])</f>
        <v>2</v>
      </c>
      <c r="AG5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56">
        <v>5</v>
      </c>
      <c r="AI56">
        <v>5</v>
      </c>
      <c r="AJ56" t="s">
        <v>165</v>
      </c>
      <c r="AK56" s="2">
        <v>5</v>
      </c>
      <c r="AL56" s="63"/>
      <c r="AM56">
        <v>448</v>
      </c>
      <c r="AN56">
        <v>5849</v>
      </c>
      <c r="AO56">
        <v>290</v>
      </c>
      <c r="AP56">
        <v>3895</v>
      </c>
      <c r="AQ56">
        <v>93</v>
      </c>
      <c r="AR56">
        <v>390</v>
      </c>
      <c r="AZ56"/>
      <c r="BM56" s="14">
        <f>SUM(Portefeuille_MNT_PPS_Access20[[#This Row],[AC ANT]:[TR 2035]])</f>
        <v>10965</v>
      </c>
    </row>
    <row r="57" spans="1:65" x14ac:dyDescent="0.3">
      <c r="A57" t="s">
        <v>286</v>
      </c>
      <c r="C57" t="s">
        <v>101</v>
      </c>
      <c r="D57" t="s">
        <v>102</v>
      </c>
      <c r="E57" t="s">
        <v>103</v>
      </c>
      <c r="F57" t="s">
        <v>206</v>
      </c>
      <c r="G57" t="s">
        <v>16</v>
      </c>
      <c r="H57" t="s">
        <v>16</v>
      </c>
      <c r="I57" t="s">
        <v>105</v>
      </c>
      <c r="J57">
        <v>154160743</v>
      </c>
      <c r="K57" t="s">
        <v>315</v>
      </c>
      <c r="L57" t="s">
        <v>316</v>
      </c>
      <c r="M57">
        <v>2025</v>
      </c>
      <c r="N57">
        <v>2025</v>
      </c>
      <c r="O57" t="s">
        <v>164</v>
      </c>
      <c r="P57" s="1">
        <v>43882</v>
      </c>
      <c r="Q57" s="1">
        <v>44033</v>
      </c>
      <c r="R57" s="1">
        <v>45225</v>
      </c>
      <c r="S5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5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5</v>
      </c>
      <c r="W5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39</v>
      </c>
      <c r="X57">
        <f>Portefeuille_MNT_PPS_Access20[[#This Row],[Délais PC1 et PC3]]+Portefeuille_MNT_PPS_Access20[[#This Row],[Délais PC3 et PC5]]</f>
        <v>44</v>
      </c>
      <c r="Y57" s="218">
        <f xml:space="preserve"> DATE(Portefeuille_MNT_PPS_Access20[[#This Row],[Année DÉBUT Travaux prévu]]- 3, 12, 15)</f>
        <v>44910</v>
      </c>
      <c r="Z57" s="218">
        <f xml:space="preserve"> DATE(Portefeuille_MNT_PPS_Access20[[#This Row],[Année DÉBUT Travaux prévu]]- 2, 12, 15)</f>
        <v>45275</v>
      </c>
      <c r="AA57" s="218">
        <f xml:space="preserve"> DATE(Portefeuille_MNT_PPS_Access20[[#This Row],[Année DÉBUT Travaux prévu]]- 1, 12, 15)</f>
        <v>45641</v>
      </c>
      <c r="AB57">
        <v>5</v>
      </c>
      <c r="AC57">
        <v>5</v>
      </c>
      <c r="AD57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7" s="12">
        <f>_xlfn.XLOOKUP(Portefeuille_MNT_PPS_Access20[[#This Row],[Numéro projet]],Tableau5[Numéro projet],Tableau5[IND_Site_Prioritaire])</f>
        <v>3</v>
      </c>
      <c r="AF57" s="2">
        <f>_xlfn.XLOOKUP(Portefeuille_MNT_PPS_Access20[[#This Row],[Numéro projet]],Tableau5[Numéro projet],Tableau5[Critère Etat Infrastructure])</f>
        <v>4</v>
      </c>
      <c r="AG5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57">
        <v>5</v>
      </c>
      <c r="AI57">
        <v>5</v>
      </c>
      <c r="AJ57" t="s">
        <v>165</v>
      </c>
      <c r="AK57" s="2">
        <v>5</v>
      </c>
      <c r="AL57" s="63"/>
      <c r="AM57">
        <v>257</v>
      </c>
      <c r="AN57">
        <v>2407</v>
      </c>
      <c r="AO57">
        <v>439</v>
      </c>
      <c r="AP57">
        <v>7751</v>
      </c>
      <c r="AQ57">
        <v>79</v>
      </c>
      <c r="AR57">
        <v>385</v>
      </c>
      <c r="AZ57"/>
      <c r="BM57" s="14">
        <f>SUM(Portefeuille_MNT_PPS_Access20[[#This Row],[AC ANT]:[TR 2035]])</f>
        <v>11318</v>
      </c>
    </row>
    <row r="58" spans="1:65" x14ac:dyDescent="0.3">
      <c r="A58" t="s">
        <v>286</v>
      </c>
      <c r="C58" t="s">
        <v>118</v>
      </c>
      <c r="D58" t="s">
        <v>102</v>
      </c>
      <c r="E58" t="s">
        <v>103</v>
      </c>
      <c r="F58" t="s">
        <v>149</v>
      </c>
      <c r="G58" t="s">
        <v>16</v>
      </c>
      <c r="H58" t="s">
        <v>16</v>
      </c>
      <c r="I58" t="s">
        <v>131</v>
      </c>
      <c r="J58">
        <v>154190478</v>
      </c>
      <c r="K58" t="s">
        <v>193</v>
      </c>
      <c r="L58" t="s">
        <v>194</v>
      </c>
      <c r="M58">
        <v>2025</v>
      </c>
      <c r="N58">
        <v>2025</v>
      </c>
      <c r="O58" t="s">
        <v>164</v>
      </c>
      <c r="P58" s="1">
        <v>44547</v>
      </c>
      <c r="Q58" s="1">
        <v>45091</v>
      </c>
      <c r="R58" s="1">
        <v>45375</v>
      </c>
      <c r="S5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5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5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5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18</v>
      </c>
      <c r="W5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58">
        <f>Portefeuille_MNT_PPS_Access20[[#This Row],[Délais PC1 et PC3]]+Portefeuille_MNT_PPS_Access20[[#This Row],[Délais PC3 et PC5]]</f>
        <v>27</v>
      </c>
      <c r="Y58" s="218">
        <f xml:space="preserve"> DATE(Portefeuille_MNT_PPS_Access20[[#This Row],[Année DÉBUT Travaux prévu]]- 3, 12, 15)</f>
        <v>44910</v>
      </c>
      <c r="Z58" s="218">
        <f xml:space="preserve"> DATE(Portefeuille_MNT_PPS_Access20[[#This Row],[Année DÉBUT Travaux prévu]]- 2, 12, 15)</f>
        <v>45275</v>
      </c>
      <c r="AA58" s="218">
        <f xml:space="preserve"> DATE(Portefeuille_MNT_PPS_Access20[[#This Row],[Année DÉBUT Travaux prévu]]- 1, 12, 15)</f>
        <v>45641</v>
      </c>
      <c r="AB58">
        <v>5</v>
      </c>
      <c r="AC58">
        <v>5</v>
      </c>
      <c r="AD58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58" s="12">
        <f>_xlfn.XLOOKUP(Portefeuille_MNT_PPS_Access20[[#This Row],[Numéro projet]],Tableau5[Numéro projet],Tableau5[IND_Site_Prioritaire])</f>
        <v>3.3333333333333335</v>
      </c>
      <c r="AF58" s="2">
        <f>_xlfn.XLOOKUP(Portefeuille_MNT_PPS_Access20[[#This Row],[Numéro projet]],Tableau5[Numéro projet],Tableau5[Critère Etat Infrastructure])</f>
        <v>5</v>
      </c>
      <c r="AG5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58">
        <v>5</v>
      </c>
      <c r="AI58">
        <v>5</v>
      </c>
      <c r="AJ58" t="s">
        <v>165</v>
      </c>
      <c r="AK58" s="2">
        <v>5</v>
      </c>
      <c r="AL58" s="63"/>
      <c r="AM58">
        <v>7</v>
      </c>
      <c r="AO58">
        <v>45</v>
      </c>
      <c r="AP58">
        <v>1057</v>
      </c>
      <c r="AQ58">
        <v>221</v>
      </c>
      <c r="AR58">
        <v>4691</v>
      </c>
      <c r="AZ58"/>
      <c r="BM58" s="14">
        <f>SUM(Portefeuille_MNT_PPS_Access20[[#This Row],[AC ANT]:[TR 2035]])</f>
        <v>6021</v>
      </c>
    </row>
    <row r="59" spans="1:65" x14ac:dyDescent="0.3">
      <c r="A59" t="s">
        <v>286</v>
      </c>
      <c r="C59" t="s">
        <v>101</v>
      </c>
      <c r="D59" t="s">
        <v>102</v>
      </c>
      <c r="E59" t="s">
        <v>128</v>
      </c>
      <c r="F59" t="s">
        <v>113</v>
      </c>
      <c r="G59" t="s">
        <v>16</v>
      </c>
      <c r="H59" t="s">
        <v>16</v>
      </c>
      <c r="I59" t="s">
        <v>105</v>
      </c>
      <c r="J59">
        <v>154171105</v>
      </c>
      <c r="K59" t="s">
        <v>161</v>
      </c>
      <c r="L59" t="s">
        <v>122</v>
      </c>
      <c r="M59">
        <v>2025</v>
      </c>
      <c r="N59">
        <v>2025</v>
      </c>
      <c r="O59" t="s">
        <v>164</v>
      </c>
      <c r="P59" s="1">
        <v>44956</v>
      </c>
      <c r="Q59" s="1">
        <v>45321</v>
      </c>
      <c r="R59" s="1">
        <v>45687</v>
      </c>
      <c r="S5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5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5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5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5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59">
        <f>Portefeuille_MNT_PPS_Access20[[#This Row],[Délais PC1 et PC3]]+Portefeuille_MNT_PPS_Access20[[#This Row],[Délais PC3 et PC5]]</f>
        <v>24</v>
      </c>
      <c r="Y59" s="218">
        <f xml:space="preserve"> DATE(Portefeuille_MNT_PPS_Access20[[#This Row],[Année DÉBUT Travaux prévu]]- 3, 12, 15)</f>
        <v>44910</v>
      </c>
      <c r="Z59" s="218">
        <f xml:space="preserve"> DATE(Portefeuille_MNT_PPS_Access20[[#This Row],[Année DÉBUT Travaux prévu]]- 2, 12, 15)</f>
        <v>45275</v>
      </c>
      <c r="AA59" s="218">
        <f xml:space="preserve"> DATE(Portefeuille_MNT_PPS_Access20[[#This Row],[Année DÉBUT Travaux prévu]]- 1, 12, 15)</f>
        <v>45641</v>
      </c>
      <c r="AB59">
        <v>1</v>
      </c>
      <c r="AC59">
        <v>1</v>
      </c>
      <c r="AD5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59" s="12">
        <f>_xlfn.XLOOKUP(Portefeuille_MNT_PPS_Access20[[#This Row],[Numéro projet]],Tableau5[Numéro projet],Tableau5[IND_Site_Prioritaire])</f>
        <v>4</v>
      </c>
      <c r="AF59" s="2">
        <f>_xlfn.XLOOKUP(Portefeuille_MNT_PPS_Access20[[#This Row],[Numéro projet]],Tableau5[Numéro projet],Tableau5[Critère Etat Infrastructure])</f>
        <v>0</v>
      </c>
      <c r="AG5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59">
        <v>5</v>
      </c>
      <c r="AI59">
        <v>5</v>
      </c>
      <c r="AJ59" t="s">
        <v>165</v>
      </c>
      <c r="AK59" s="2"/>
      <c r="AL59" s="63"/>
      <c r="AM59">
        <v>6</v>
      </c>
      <c r="AO59">
        <v>14</v>
      </c>
      <c r="AP59"/>
      <c r="AQ59">
        <v>325</v>
      </c>
      <c r="AR59">
        <v>4503</v>
      </c>
      <c r="AZ59"/>
      <c r="BM59" s="14">
        <f>SUM(Portefeuille_MNT_PPS_Access20[[#This Row],[AC ANT]:[TR 2035]])</f>
        <v>4848</v>
      </c>
    </row>
    <row r="60" spans="1:65" x14ac:dyDescent="0.3">
      <c r="A60" t="s">
        <v>286</v>
      </c>
      <c r="C60" t="s">
        <v>118</v>
      </c>
      <c r="D60" t="s">
        <v>102</v>
      </c>
      <c r="E60" t="s">
        <v>119</v>
      </c>
      <c r="F60" t="s">
        <v>113</v>
      </c>
      <c r="G60" t="s">
        <v>16</v>
      </c>
      <c r="H60" t="s">
        <v>16</v>
      </c>
      <c r="I60" t="s">
        <v>105</v>
      </c>
      <c r="J60">
        <v>154230987</v>
      </c>
      <c r="K60" t="s">
        <v>289</v>
      </c>
      <c r="L60" t="s">
        <v>122</v>
      </c>
      <c r="M60">
        <v>2025</v>
      </c>
      <c r="N60">
        <v>2025</v>
      </c>
      <c r="O60" t="s">
        <v>164</v>
      </c>
      <c r="P60" s="1"/>
      <c r="Q60" s="1"/>
      <c r="R60" s="1">
        <v>45712</v>
      </c>
      <c r="S6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6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6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1501</v>
      </c>
      <c r="X60">
        <f>Portefeuille_MNT_PPS_Access20[[#This Row],[Délais PC1 et PC3]]+Portefeuille_MNT_PPS_Access20[[#This Row],[Délais PC3 et PC5]]</f>
        <v>1501</v>
      </c>
      <c r="Y60" s="218">
        <f xml:space="preserve"> DATE(Portefeuille_MNT_PPS_Access20[[#This Row],[Année DÉBUT Travaux prévu]]- 3, 12, 15)</f>
        <v>44910</v>
      </c>
      <c r="Z60" s="218">
        <f xml:space="preserve"> DATE(Portefeuille_MNT_PPS_Access20[[#This Row],[Année DÉBUT Travaux prévu]]- 2, 12, 15)</f>
        <v>45275</v>
      </c>
      <c r="AA60" s="218">
        <f xml:space="preserve"> DATE(Portefeuille_MNT_PPS_Access20[[#This Row],[Année DÉBUT Travaux prévu]]- 1, 12, 15)</f>
        <v>45641</v>
      </c>
      <c r="AB60">
        <v>1</v>
      </c>
      <c r="AC60">
        <v>1</v>
      </c>
      <c r="AD6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60" s="12">
        <f>_xlfn.XLOOKUP(Portefeuille_MNT_PPS_Access20[[#This Row],[Numéro projet]],Tableau5[Numéro projet],Tableau5[IND_Site_Prioritaire])</f>
        <v>4</v>
      </c>
      <c r="AF60" s="2">
        <f>_xlfn.XLOOKUP(Portefeuille_MNT_PPS_Access20[[#This Row],[Numéro projet]],Tableau5[Numéro projet],Tableau5[Critère Etat Infrastructure])</f>
        <v>5</v>
      </c>
      <c r="AG6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85.000000000000014</v>
      </c>
      <c r="AJ60" t="s">
        <v>165</v>
      </c>
      <c r="AK60" s="2"/>
      <c r="AL60" s="63"/>
      <c r="AP60"/>
      <c r="AQ60">
        <v>20</v>
      </c>
      <c r="AR60">
        <v>895</v>
      </c>
      <c r="AZ60"/>
      <c r="BM60" s="14">
        <f>SUM(Portefeuille_MNT_PPS_Access20[[#This Row],[AC ANT]:[TR 2035]])</f>
        <v>915</v>
      </c>
    </row>
    <row r="61" spans="1:65" x14ac:dyDescent="0.3">
      <c r="A61" t="s">
        <v>286</v>
      </c>
      <c r="C61" t="s">
        <v>101</v>
      </c>
      <c r="D61" t="s">
        <v>102</v>
      </c>
      <c r="E61" t="s">
        <v>103</v>
      </c>
      <c r="G61" t="s">
        <v>20</v>
      </c>
      <c r="H61" t="s">
        <v>20</v>
      </c>
      <c r="I61" t="s">
        <v>131</v>
      </c>
      <c r="J61">
        <v>154180771</v>
      </c>
      <c r="K61" t="s">
        <v>384</v>
      </c>
      <c r="L61" t="s">
        <v>183</v>
      </c>
      <c r="M61" s="103">
        <v>2030</v>
      </c>
      <c r="N61" s="213">
        <v>2035</v>
      </c>
      <c r="O61" t="s">
        <v>291</v>
      </c>
      <c r="P61" s="1"/>
      <c r="Q61" s="1"/>
      <c r="R61" s="1"/>
      <c r="S6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6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6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61">
        <f>Portefeuille_MNT_PPS_Access20[[#This Row],[Délais PC1 et PC3]]+Portefeuille_MNT_PPS_Access20[[#This Row],[Délais PC3 et PC5]]</f>
        <v>0</v>
      </c>
      <c r="Y61" s="218">
        <f xml:space="preserve"> DATE(Portefeuille_MNT_PPS_Access20[[#This Row],[Année DÉBUT Travaux prévu]]- 3, 12, 15)</f>
        <v>46736</v>
      </c>
      <c r="Z61" s="218">
        <f xml:space="preserve"> DATE(Portefeuille_MNT_PPS_Access20[[#This Row],[Année DÉBUT Travaux prévu]]- 2, 12, 15)</f>
        <v>47102</v>
      </c>
      <c r="AA61" s="218">
        <f xml:space="preserve"> DATE(Portefeuille_MNT_PPS_Access20[[#This Row],[Année DÉBUT Travaux prévu]]- 1, 12, 15)</f>
        <v>47467</v>
      </c>
      <c r="AB61">
        <v>1</v>
      </c>
      <c r="AD6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61" s="12">
        <f>_xlfn.XLOOKUP(Portefeuille_MNT_PPS_Access20[[#This Row],[Numéro projet]],Tableau5[Numéro projet],Tableau5[IND_Site_Prioritaire])</f>
        <v>2.3333333333333335</v>
      </c>
      <c r="AF61" s="2">
        <f>_xlfn.XLOOKUP(Portefeuille_MNT_PPS_Access20[[#This Row],[Numéro projet]],Tableau5[Numéro projet],Tableau5[Critère Etat Infrastructure])</f>
        <v>3</v>
      </c>
      <c r="AG6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31.666666666666664</v>
      </c>
      <c r="AJ61" t="s">
        <v>311</v>
      </c>
      <c r="AK61" s="2"/>
      <c r="AL61" s="63"/>
      <c r="AP61"/>
      <c r="BI61">
        <v>150</v>
      </c>
      <c r="BK61">
        <v>250</v>
      </c>
      <c r="BL61">
        <v>5000</v>
      </c>
      <c r="BM61" s="14">
        <f>SUM(Portefeuille_MNT_PPS_Access20[[#This Row],[AC ANT]:[TR 2035]])</f>
        <v>5400</v>
      </c>
    </row>
    <row r="62" spans="1:65" x14ac:dyDescent="0.3">
      <c r="A62" t="s">
        <v>286</v>
      </c>
      <c r="C62" t="s">
        <v>101</v>
      </c>
      <c r="D62" t="s">
        <v>102</v>
      </c>
      <c r="E62" t="s">
        <v>200</v>
      </c>
      <c r="F62" t="s">
        <v>149</v>
      </c>
      <c r="G62" t="s">
        <v>16</v>
      </c>
      <c r="H62" t="s">
        <v>16</v>
      </c>
      <c r="I62" t="s">
        <v>105</v>
      </c>
      <c r="J62">
        <v>154180629</v>
      </c>
      <c r="K62" t="s">
        <v>335</v>
      </c>
      <c r="L62" t="s">
        <v>205</v>
      </c>
      <c r="M62">
        <v>2025</v>
      </c>
      <c r="N62">
        <v>2025</v>
      </c>
      <c r="O62" t="s">
        <v>164</v>
      </c>
      <c r="P62" s="1">
        <v>44228</v>
      </c>
      <c r="Q62" s="1">
        <v>44579</v>
      </c>
      <c r="R62" s="1">
        <v>44865</v>
      </c>
      <c r="S6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6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6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6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6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62">
        <f>Portefeuille_MNT_PPS_Access20[[#This Row],[Délais PC1 et PC3]]+Portefeuille_MNT_PPS_Access20[[#This Row],[Délais PC3 et PC5]]</f>
        <v>20</v>
      </c>
      <c r="Y62" s="218">
        <f xml:space="preserve"> DATE(Portefeuille_MNT_PPS_Access20[[#This Row],[Année DÉBUT Travaux prévu]]- 3, 12, 15)</f>
        <v>44910</v>
      </c>
      <c r="Z62" s="218">
        <f xml:space="preserve"> DATE(Portefeuille_MNT_PPS_Access20[[#This Row],[Année DÉBUT Travaux prévu]]- 2, 12, 15)</f>
        <v>45275</v>
      </c>
      <c r="AA62" s="218">
        <f xml:space="preserve"> DATE(Portefeuille_MNT_PPS_Access20[[#This Row],[Année DÉBUT Travaux prévu]]- 1, 12, 15)</f>
        <v>45641</v>
      </c>
      <c r="AB62">
        <v>5</v>
      </c>
      <c r="AC62">
        <v>5</v>
      </c>
      <c r="AD62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62" s="12">
        <f>_xlfn.XLOOKUP(Portefeuille_MNT_PPS_Access20[[#This Row],[Numéro projet]],Tableau5[Numéro projet],Tableau5[IND_Site_Prioritaire])</f>
        <v>3.3333333333333335</v>
      </c>
      <c r="AF62" s="2">
        <f>_xlfn.XLOOKUP(Portefeuille_MNT_PPS_Access20[[#This Row],[Numéro projet]],Tableau5[Numéro projet],Tableau5[Critère Etat Infrastructure])</f>
        <v>0</v>
      </c>
      <c r="AG6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62">
        <v>5</v>
      </c>
      <c r="AI62">
        <v>5</v>
      </c>
      <c r="AJ62" t="s">
        <v>165</v>
      </c>
      <c r="AK62" s="2">
        <v>5</v>
      </c>
      <c r="AL62" s="63"/>
      <c r="AM62">
        <v>262</v>
      </c>
      <c r="AN62">
        <v>16</v>
      </c>
      <c r="AO62">
        <v>265</v>
      </c>
      <c r="AP62">
        <v>6205</v>
      </c>
      <c r="AQ62">
        <v>183</v>
      </c>
      <c r="AR62">
        <v>282</v>
      </c>
      <c r="AZ62"/>
      <c r="BM62" s="14">
        <f>SUM(Portefeuille_MNT_PPS_Access20[[#This Row],[AC ANT]:[TR 2035]])</f>
        <v>7213</v>
      </c>
    </row>
    <row r="63" spans="1:65" x14ac:dyDescent="0.3">
      <c r="A63" t="s">
        <v>286</v>
      </c>
      <c r="C63" t="s">
        <v>126</v>
      </c>
      <c r="D63" t="s">
        <v>127</v>
      </c>
      <c r="E63" t="s">
        <v>128</v>
      </c>
      <c r="F63" t="s">
        <v>252</v>
      </c>
      <c r="G63" t="s">
        <v>16</v>
      </c>
      <c r="H63" t="s">
        <v>16</v>
      </c>
      <c r="I63" t="s">
        <v>131</v>
      </c>
      <c r="J63">
        <v>154240500</v>
      </c>
      <c r="K63" t="s">
        <v>260</v>
      </c>
      <c r="L63" t="s">
        <v>159</v>
      </c>
      <c r="M63">
        <v>2025</v>
      </c>
      <c r="N63">
        <v>2025</v>
      </c>
      <c r="O63" t="s">
        <v>291</v>
      </c>
      <c r="P63" s="1"/>
      <c r="Q63" s="1"/>
      <c r="R63" s="1"/>
      <c r="S6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6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6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63">
        <f>Portefeuille_MNT_PPS_Access20[[#This Row],[Délais PC1 et PC3]]+Portefeuille_MNT_PPS_Access20[[#This Row],[Délais PC3 et PC5]]</f>
        <v>0</v>
      </c>
      <c r="Y63" s="218">
        <f xml:space="preserve"> DATE(Portefeuille_MNT_PPS_Access20[[#This Row],[Année DÉBUT Travaux prévu]]- 3, 12, 15)</f>
        <v>44910</v>
      </c>
      <c r="Z63" s="218">
        <f xml:space="preserve"> DATE(Portefeuille_MNT_PPS_Access20[[#This Row],[Année DÉBUT Travaux prévu]]- 2, 12, 15)</f>
        <v>45275</v>
      </c>
      <c r="AA63" s="218">
        <f xml:space="preserve"> DATE(Portefeuille_MNT_PPS_Access20[[#This Row],[Année DÉBUT Travaux prévu]]- 1, 12, 15)</f>
        <v>45641</v>
      </c>
      <c r="AB63">
        <v>1</v>
      </c>
      <c r="AD6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63" s="12">
        <f>_xlfn.XLOOKUP(Portefeuille_MNT_PPS_Access20[[#This Row],[Numéro projet]],Tableau5[Numéro projet],Tableau5[IND_Site_Prioritaire])</f>
        <v>4.333333333333333</v>
      </c>
      <c r="AF63" s="2">
        <f>_xlfn.XLOOKUP(Portefeuille_MNT_PPS_Access20[[#This Row],[Numéro projet]],Tableau5[Numéro projet],Tableau5[Critère Etat Infrastructure])</f>
        <v>0</v>
      </c>
      <c r="AG6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26.666666666666668</v>
      </c>
      <c r="AJ63" t="s">
        <v>311</v>
      </c>
      <c r="AK63" s="2"/>
      <c r="AL63" s="63"/>
      <c r="AP63"/>
      <c r="AQ63">
        <v>15</v>
      </c>
      <c r="AR63">
        <v>85</v>
      </c>
      <c r="AZ63"/>
      <c r="BM63" s="14">
        <f>SUM(Portefeuille_MNT_PPS_Access20[[#This Row],[AC ANT]:[TR 2035]])</f>
        <v>100</v>
      </c>
    </row>
    <row r="64" spans="1:65" x14ac:dyDescent="0.3">
      <c r="A64" t="s">
        <v>286</v>
      </c>
      <c r="C64" t="s">
        <v>101</v>
      </c>
      <c r="D64" t="s">
        <v>102</v>
      </c>
      <c r="E64" t="s">
        <v>119</v>
      </c>
      <c r="F64" t="s">
        <v>113</v>
      </c>
      <c r="G64" t="s">
        <v>16</v>
      </c>
      <c r="H64" t="s">
        <v>16</v>
      </c>
      <c r="I64" t="s">
        <v>105</v>
      </c>
      <c r="J64">
        <v>154180091</v>
      </c>
      <c r="K64" t="s">
        <v>333</v>
      </c>
      <c r="L64" t="s">
        <v>122</v>
      </c>
      <c r="M64">
        <v>2025</v>
      </c>
      <c r="N64">
        <v>2025</v>
      </c>
      <c r="O64" t="s">
        <v>164</v>
      </c>
      <c r="P64" s="1">
        <v>44162</v>
      </c>
      <c r="Q64" s="1">
        <v>44489</v>
      </c>
      <c r="R64" s="1">
        <v>44608</v>
      </c>
      <c r="S6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6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6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6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6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4</v>
      </c>
      <c r="X64">
        <f>Portefeuille_MNT_PPS_Access20[[#This Row],[Délais PC1 et PC3]]+Portefeuille_MNT_PPS_Access20[[#This Row],[Délais PC3 et PC5]]</f>
        <v>15</v>
      </c>
      <c r="Y64" s="218">
        <f xml:space="preserve"> DATE(Portefeuille_MNT_PPS_Access20[[#This Row],[Année DÉBUT Travaux prévu]]- 3, 12, 15)</f>
        <v>44910</v>
      </c>
      <c r="Z64" s="218">
        <f xml:space="preserve"> DATE(Portefeuille_MNT_PPS_Access20[[#This Row],[Année DÉBUT Travaux prévu]]- 2, 12, 15)</f>
        <v>45275</v>
      </c>
      <c r="AA64" s="218">
        <f xml:space="preserve"> DATE(Portefeuille_MNT_PPS_Access20[[#This Row],[Année DÉBUT Travaux prévu]]- 1, 12, 15)</f>
        <v>45641</v>
      </c>
      <c r="AB64">
        <v>5</v>
      </c>
      <c r="AC64">
        <v>5</v>
      </c>
      <c r="AD64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64" s="12">
        <f>_xlfn.XLOOKUP(Portefeuille_MNT_PPS_Access20[[#This Row],[Numéro projet]],Tableau5[Numéro projet],Tableau5[IND_Site_Prioritaire])</f>
        <v>4</v>
      </c>
      <c r="AF64" s="2">
        <f>_xlfn.XLOOKUP(Portefeuille_MNT_PPS_Access20[[#This Row],[Numéro projet]],Tableau5[Numéro projet],Tableau5[Critère Etat Infrastructure])</f>
        <v>5</v>
      </c>
      <c r="AG6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64">
        <v>5</v>
      </c>
      <c r="AI64">
        <v>5</v>
      </c>
      <c r="AJ64" t="s">
        <v>165</v>
      </c>
      <c r="AK64" s="2">
        <v>5</v>
      </c>
      <c r="AL64" s="63"/>
      <c r="AM64">
        <v>183</v>
      </c>
      <c r="AN64">
        <v>33</v>
      </c>
      <c r="AO64">
        <v>297</v>
      </c>
      <c r="AP64">
        <v>6350</v>
      </c>
      <c r="AQ64">
        <v>162</v>
      </c>
      <c r="AR64">
        <v>50</v>
      </c>
      <c r="AZ64"/>
      <c r="BM64" s="14">
        <f>SUM(Portefeuille_MNT_PPS_Access20[[#This Row],[AC ANT]:[TR 2035]])</f>
        <v>7075</v>
      </c>
    </row>
    <row r="65" spans="1:65" x14ac:dyDescent="0.3">
      <c r="A65" t="s">
        <v>286</v>
      </c>
      <c r="C65" t="s">
        <v>126</v>
      </c>
      <c r="D65" t="s">
        <v>127</v>
      </c>
      <c r="E65" t="s">
        <v>128</v>
      </c>
      <c r="F65" t="s">
        <v>252</v>
      </c>
      <c r="G65" t="s">
        <v>16</v>
      </c>
      <c r="H65" t="s">
        <v>16</v>
      </c>
      <c r="I65" t="s">
        <v>131</v>
      </c>
      <c r="J65">
        <v>154240039</v>
      </c>
      <c r="K65" t="s">
        <v>254</v>
      </c>
      <c r="L65" t="s">
        <v>147</v>
      </c>
      <c r="M65">
        <v>2025</v>
      </c>
      <c r="N65">
        <v>2025</v>
      </c>
      <c r="O65" t="s">
        <v>110</v>
      </c>
      <c r="P65" s="1">
        <v>45378</v>
      </c>
      <c r="Q65" s="1"/>
      <c r="R65" s="1">
        <v>45611</v>
      </c>
      <c r="S6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6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6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-1490</v>
      </c>
      <c r="W6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1498</v>
      </c>
      <c r="X65">
        <f>Portefeuille_MNT_PPS_Access20[[#This Row],[Délais PC1 et PC3]]+Portefeuille_MNT_PPS_Access20[[#This Row],[Délais PC3 et PC5]]</f>
        <v>8</v>
      </c>
      <c r="Y65" s="218">
        <f xml:space="preserve"> DATE(Portefeuille_MNT_PPS_Access20[[#This Row],[Année DÉBUT Travaux prévu]]- 3, 12, 15)</f>
        <v>44910</v>
      </c>
      <c r="Z65" s="218">
        <f xml:space="preserve"> DATE(Portefeuille_MNT_PPS_Access20[[#This Row],[Année DÉBUT Travaux prévu]]- 2, 12, 15)</f>
        <v>45275</v>
      </c>
      <c r="AA65" s="218">
        <f xml:space="preserve"> DATE(Portefeuille_MNT_PPS_Access20[[#This Row],[Année DÉBUT Travaux prévu]]- 1, 12, 15)</f>
        <v>45641</v>
      </c>
      <c r="AB65">
        <v>1</v>
      </c>
      <c r="AC65">
        <v>5</v>
      </c>
      <c r="AD65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65" s="12">
        <f>_xlfn.XLOOKUP(Portefeuille_MNT_PPS_Access20[[#This Row],[Numéro projet]],Tableau5[Numéro projet],Tableau5[IND_Site_Prioritaire])</f>
        <v>3</v>
      </c>
      <c r="AF65" s="2">
        <f>_xlfn.XLOOKUP(Portefeuille_MNT_PPS_Access20[[#This Row],[Numéro projet]],Tableau5[Numéro projet],Tableau5[Critère Etat Infrastructure])</f>
        <v>0</v>
      </c>
      <c r="AG6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I65">
        <v>5</v>
      </c>
      <c r="AJ65" t="s">
        <v>112</v>
      </c>
      <c r="AK65" s="2"/>
      <c r="AL65" s="63"/>
      <c r="AP65"/>
      <c r="AQ65">
        <v>10</v>
      </c>
      <c r="AR65">
        <v>39</v>
      </c>
      <c r="AZ65"/>
      <c r="BM65" s="14">
        <f>SUM(Portefeuille_MNT_PPS_Access20[[#This Row],[AC ANT]:[TR 2035]])</f>
        <v>49</v>
      </c>
    </row>
    <row r="66" spans="1:65" x14ac:dyDescent="0.3">
      <c r="A66" t="s">
        <v>286</v>
      </c>
      <c r="C66" t="s">
        <v>118</v>
      </c>
      <c r="D66" t="s">
        <v>102</v>
      </c>
      <c r="E66" t="s">
        <v>136</v>
      </c>
      <c r="F66" t="s">
        <v>129</v>
      </c>
      <c r="G66" t="s">
        <v>16</v>
      </c>
      <c r="H66" t="s">
        <v>16</v>
      </c>
      <c r="I66" t="s">
        <v>131</v>
      </c>
      <c r="J66">
        <v>154101520</v>
      </c>
      <c r="K66" t="s">
        <v>219</v>
      </c>
      <c r="L66" t="s">
        <v>152</v>
      </c>
      <c r="M66">
        <v>2025</v>
      </c>
      <c r="N66">
        <v>2025</v>
      </c>
      <c r="O66" t="s">
        <v>164</v>
      </c>
      <c r="P66" s="1">
        <v>45370</v>
      </c>
      <c r="Q66" s="1"/>
      <c r="R66" s="1">
        <v>45706</v>
      </c>
      <c r="S6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6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6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-1490</v>
      </c>
      <c r="W6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1501</v>
      </c>
      <c r="X66">
        <f>Portefeuille_MNT_PPS_Access20[[#This Row],[Délais PC1 et PC3]]+Portefeuille_MNT_PPS_Access20[[#This Row],[Délais PC3 et PC5]]</f>
        <v>11</v>
      </c>
      <c r="Y66" s="218">
        <f xml:space="preserve"> DATE(Portefeuille_MNT_PPS_Access20[[#This Row],[Année DÉBUT Travaux prévu]]- 3, 12, 15)</f>
        <v>44910</v>
      </c>
      <c r="Z66" s="218">
        <f xml:space="preserve"> DATE(Portefeuille_MNT_PPS_Access20[[#This Row],[Année DÉBUT Travaux prévu]]- 2, 12, 15)</f>
        <v>45275</v>
      </c>
      <c r="AA66" s="218">
        <f xml:space="preserve"> DATE(Portefeuille_MNT_PPS_Access20[[#This Row],[Année DÉBUT Travaux prévu]]- 1, 12, 15)</f>
        <v>45641</v>
      </c>
      <c r="AB66">
        <v>1</v>
      </c>
      <c r="AC66">
        <v>1</v>
      </c>
      <c r="AD6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66" s="12">
        <f>_xlfn.XLOOKUP(Portefeuille_MNT_PPS_Access20[[#This Row],[Numéro projet]],Tableau5[Numéro projet],Tableau5[IND_Site_Prioritaire])</f>
        <v>3.6666666666666665</v>
      </c>
      <c r="AF66" s="2">
        <f>_xlfn.XLOOKUP(Portefeuille_MNT_PPS_Access20[[#This Row],[Numéro projet]],Tableau5[Numéro projet],Tableau5[Critère Etat Infrastructure])</f>
        <v>5</v>
      </c>
      <c r="AG6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83.333333333333343</v>
      </c>
      <c r="AI66">
        <v>5</v>
      </c>
      <c r="AJ66" t="s">
        <v>165</v>
      </c>
      <c r="AK66" s="2"/>
      <c r="AL66" s="63"/>
      <c r="AM66">
        <v>6</v>
      </c>
      <c r="AO66">
        <v>45</v>
      </c>
      <c r="AP66"/>
      <c r="AQ66">
        <v>38</v>
      </c>
      <c r="AR66">
        <v>605</v>
      </c>
      <c r="AZ66"/>
      <c r="BM66" s="14">
        <f>SUM(Portefeuille_MNT_PPS_Access20[[#This Row],[AC ANT]:[TR 2035]])</f>
        <v>694</v>
      </c>
    </row>
    <row r="67" spans="1:65" x14ac:dyDescent="0.3">
      <c r="A67" t="s">
        <v>286</v>
      </c>
      <c r="C67" t="s">
        <v>118</v>
      </c>
      <c r="D67" t="s">
        <v>102</v>
      </c>
      <c r="E67" t="s">
        <v>136</v>
      </c>
      <c r="F67" t="s">
        <v>252</v>
      </c>
      <c r="G67" t="s">
        <v>20</v>
      </c>
      <c r="H67" t="s">
        <v>20</v>
      </c>
      <c r="I67" t="s">
        <v>131</v>
      </c>
      <c r="J67">
        <v>154250180</v>
      </c>
      <c r="K67" t="s">
        <v>600</v>
      </c>
      <c r="L67" t="s">
        <v>139</v>
      </c>
      <c r="M67">
        <v>2025</v>
      </c>
      <c r="N67">
        <v>2025</v>
      </c>
      <c r="P67" s="1"/>
      <c r="Q67" s="1"/>
      <c r="R67" s="1"/>
      <c r="S6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6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6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67">
        <f>Portefeuille_MNT_PPS_Access20[[#This Row],[Délais PC1 et PC3]]+Portefeuille_MNT_PPS_Access20[[#This Row],[Délais PC3 et PC5]]</f>
        <v>0</v>
      </c>
      <c r="Y67" s="218">
        <f xml:space="preserve"> DATE(Portefeuille_MNT_PPS_Access20[[#This Row],[Année DÉBUT Travaux prévu]]- 3, 12, 15)</f>
        <v>44910</v>
      </c>
      <c r="Z67" s="218">
        <f xml:space="preserve"> DATE(Portefeuille_MNT_PPS_Access20[[#This Row],[Année DÉBUT Travaux prévu]]- 2, 12, 15)</f>
        <v>45275</v>
      </c>
      <c r="AA67" s="218">
        <f xml:space="preserve"> DATE(Portefeuille_MNT_PPS_Access20[[#This Row],[Année DÉBUT Travaux prévu]]- 1, 12, 15)</f>
        <v>45641</v>
      </c>
      <c r="AB67">
        <v>1</v>
      </c>
      <c r="AD67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67" s="12" t="e">
        <f>_xlfn.XLOOKUP(Portefeuille_MNT_PPS_Access20[[#This Row],[Numéro projet]],Tableau5[Numéro projet],Tableau5[IND_Site_Prioritaire])</f>
        <v>#N/A</v>
      </c>
      <c r="AF67" s="2" t="e">
        <f>_xlfn.XLOOKUP(Portefeuille_MNT_PPS_Access20[[#This Row],[Numéro projet]],Tableau5[Numéro projet],Tableau5[Critère Etat Infrastructure])</f>
        <v>#N/A</v>
      </c>
      <c r="AG67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K67" s="2"/>
      <c r="AL67" s="63"/>
      <c r="AP67"/>
      <c r="AR67">
        <v>35</v>
      </c>
      <c r="AZ67"/>
      <c r="BM67" s="14">
        <f>SUM(Portefeuille_MNT_PPS_Access20[[#This Row],[AC ANT]:[TR 2035]])</f>
        <v>35</v>
      </c>
    </row>
    <row r="68" spans="1:65" x14ac:dyDescent="0.3">
      <c r="A68" t="s">
        <v>286</v>
      </c>
      <c r="C68" t="s">
        <v>101</v>
      </c>
      <c r="D68" t="s">
        <v>102</v>
      </c>
      <c r="E68" t="s">
        <v>103</v>
      </c>
      <c r="G68" t="s">
        <v>16</v>
      </c>
      <c r="H68" t="s">
        <v>325</v>
      </c>
      <c r="I68" t="s">
        <v>131</v>
      </c>
      <c r="J68">
        <v>154171402</v>
      </c>
      <c r="K68" t="s">
        <v>327</v>
      </c>
      <c r="L68" t="s">
        <v>183</v>
      </c>
      <c r="O68" t="s">
        <v>291</v>
      </c>
      <c r="P68" s="1"/>
      <c r="Q68" s="1"/>
      <c r="R68" s="1"/>
      <c r="S6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6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6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6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68">
        <f>Portefeuille_MNT_PPS_Access20[[#This Row],[Délais PC1 et PC3]]+Portefeuille_MNT_PPS_Access20[[#This Row],[Délais PC3 et PC5]]</f>
        <v>0</v>
      </c>
      <c r="Y68" s="218" t="e">
        <f xml:space="preserve"> DATE(Portefeuille_MNT_PPS_Access20[[#This Row],[Année DÉBUT Travaux prévu]]- 3, 12, 15)</f>
        <v>#NUM!</v>
      </c>
      <c r="Z68" s="218" t="e">
        <f xml:space="preserve"> DATE(Portefeuille_MNT_PPS_Access20[[#This Row],[Année DÉBUT Travaux prévu]]- 2, 12, 15)</f>
        <v>#NUM!</v>
      </c>
      <c r="AA68" s="218" t="e">
        <f xml:space="preserve"> DATE(Portefeuille_MNT_PPS_Access20[[#This Row],[Année DÉBUT Travaux prévu]]- 1, 12, 15)</f>
        <v>#NUM!</v>
      </c>
      <c r="AB68">
        <v>1</v>
      </c>
      <c r="AD6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68" s="12">
        <f>_xlfn.XLOOKUP(Portefeuille_MNT_PPS_Access20[[#This Row],[Numéro projet]],Tableau5[Numéro projet],Tableau5[IND_Site_Prioritaire])</f>
        <v>2.3333333333333335</v>
      </c>
      <c r="AF68" s="2">
        <f>_xlfn.XLOOKUP(Portefeuille_MNT_PPS_Access20[[#This Row],[Numéro projet]],Tableau5[Numéro projet],Tableau5[Critère Etat Infrastructure])</f>
        <v>0</v>
      </c>
      <c r="AG6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16.666666666666668</v>
      </c>
      <c r="AJ68" t="s">
        <v>311</v>
      </c>
      <c r="AK68" s="2"/>
      <c r="AL68" s="63"/>
      <c r="AM68">
        <v>595</v>
      </c>
      <c r="AN68">
        <v>3578</v>
      </c>
      <c r="AP68"/>
      <c r="AQ68">
        <v>1</v>
      </c>
      <c r="AZ68"/>
      <c r="BM68" s="14">
        <f>SUM(Portefeuille_MNT_PPS_Access20[[#This Row],[AC ANT]:[TR 2035]])</f>
        <v>4174</v>
      </c>
    </row>
    <row r="69" spans="1:65" x14ac:dyDescent="0.3">
      <c r="A69" t="s">
        <v>286</v>
      </c>
      <c r="C69" t="s">
        <v>118</v>
      </c>
      <c r="D69" t="s">
        <v>102</v>
      </c>
      <c r="E69" t="s">
        <v>177</v>
      </c>
      <c r="F69" t="s">
        <v>129</v>
      </c>
      <c r="G69" t="s">
        <v>16</v>
      </c>
      <c r="H69" t="s">
        <v>16</v>
      </c>
      <c r="I69" t="s">
        <v>131</v>
      </c>
      <c r="J69">
        <v>154240647</v>
      </c>
      <c r="K69" t="s">
        <v>294</v>
      </c>
      <c r="L69" t="s">
        <v>134</v>
      </c>
      <c r="M69">
        <v>2025</v>
      </c>
      <c r="N69">
        <v>2025</v>
      </c>
      <c r="O69" t="s">
        <v>164</v>
      </c>
      <c r="P69" s="1">
        <v>45702</v>
      </c>
      <c r="Q69" s="1">
        <v>45702</v>
      </c>
      <c r="R69" s="1">
        <v>45702</v>
      </c>
      <c r="S6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6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6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3.À risque</v>
      </c>
      <c r="V6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6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69">
        <f>Portefeuille_MNT_PPS_Access20[[#This Row],[Délais PC1 et PC3]]+Portefeuille_MNT_PPS_Access20[[#This Row],[Délais PC3 et PC5]]</f>
        <v>0</v>
      </c>
      <c r="Y69" s="218">
        <f xml:space="preserve"> DATE(Portefeuille_MNT_PPS_Access20[[#This Row],[Année DÉBUT Travaux prévu]]- 3, 12, 15)</f>
        <v>44910</v>
      </c>
      <c r="Z69" s="218">
        <f xml:space="preserve"> DATE(Portefeuille_MNT_PPS_Access20[[#This Row],[Année DÉBUT Travaux prévu]]- 2, 12, 15)</f>
        <v>45275</v>
      </c>
      <c r="AA69" s="218">
        <f xml:space="preserve"> DATE(Portefeuille_MNT_PPS_Access20[[#This Row],[Année DÉBUT Travaux prévu]]- 1, 12, 15)</f>
        <v>45641</v>
      </c>
      <c r="AB69">
        <v>1</v>
      </c>
      <c r="AC69">
        <v>1</v>
      </c>
      <c r="AD6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69" s="12" t="e">
        <f>_xlfn.XLOOKUP(Portefeuille_MNT_PPS_Access20[[#This Row],[Numéro projet]],Tableau5[Numéro projet],Tableau5[IND_Site_Prioritaire])</f>
        <v>#N/A</v>
      </c>
      <c r="AF69" s="2" t="e">
        <f>_xlfn.XLOOKUP(Portefeuille_MNT_PPS_Access20[[#This Row],[Numéro projet]],Tableau5[Numéro projet],Tableau5[Critère Etat Infrastructure])</f>
        <v>#N/A</v>
      </c>
      <c r="AG69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H69">
        <v>1</v>
      </c>
      <c r="AI69">
        <v>1</v>
      </c>
      <c r="AJ69" t="s">
        <v>165</v>
      </c>
      <c r="AK69" s="2"/>
      <c r="AL69" s="63"/>
      <c r="AP69"/>
      <c r="AQ69">
        <v>50</v>
      </c>
      <c r="AR69">
        <v>2894</v>
      </c>
      <c r="AZ69"/>
      <c r="BM69" s="14">
        <f>SUM(Portefeuille_MNT_PPS_Access20[[#This Row],[AC ANT]:[TR 2035]])</f>
        <v>2944</v>
      </c>
    </row>
    <row r="70" spans="1:65" x14ac:dyDescent="0.3">
      <c r="A70" t="s">
        <v>286</v>
      </c>
      <c r="C70" t="s">
        <v>118</v>
      </c>
      <c r="D70" t="s">
        <v>102</v>
      </c>
      <c r="E70" t="s">
        <v>242</v>
      </c>
      <c r="F70" t="s">
        <v>129</v>
      </c>
      <c r="G70" t="s">
        <v>16</v>
      </c>
      <c r="H70" t="s">
        <v>20</v>
      </c>
      <c r="I70" t="s">
        <v>131</v>
      </c>
      <c r="J70">
        <v>154180774</v>
      </c>
      <c r="K70" t="s">
        <v>386</v>
      </c>
      <c r="L70" t="s">
        <v>134</v>
      </c>
      <c r="M70">
        <v>2028</v>
      </c>
      <c r="N70">
        <v>2028</v>
      </c>
      <c r="O70" t="s">
        <v>155</v>
      </c>
      <c r="P70" s="1">
        <v>45897</v>
      </c>
      <c r="Q70" s="1">
        <v>46235</v>
      </c>
      <c r="R70" s="1">
        <v>46600</v>
      </c>
      <c r="S7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7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7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7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7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70">
        <f>Portefeuille_MNT_PPS_Access20[[#This Row],[Délais PC1 et PC3]]+Portefeuille_MNT_PPS_Access20[[#This Row],[Délais PC3 et PC5]]</f>
        <v>24</v>
      </c>
      <c r="Y70" s="218">
        <f xml:space="preserve"> DATE(Portefeuille_MNT_PPS_Access20[[#This Row],[Année DÉBUT Travaux prévu]]- 3, 12, 15)</f>
        <v>46006</v>
      </c>
      <c r="Z70" s="218">
        <f xml:space="preserve"> DATE(Portefeuille_MNT_PPS_Access20[[#This Row],[Année DÉBUT Travaux prévu]]- 2, 12, 15)</f>
        <v>46371</v>
      </c>
      <c r="AA70" s="218">
        <f xml:space="preserve"> DATE(Portefeuille_MNT_PPS_Access20[[#This Row],[Année DÉBUT Travaux prévu]]- 1, 12, 15)</f>
        <v>46736</v>
      </c>
      <c r="AB70">
        <v>1</v>
      </c>
      <c r="AC70">
        <v>1</v>
      </c>
      <c r="AD7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70" s="12">
        <f>_xlfn.XLOOKUP(Portefeuille_MNT_PPS_Access20[[#This Row],[Numéro projet]],Tableau5[Numéro projet],Tableau5[IND_Site_Prioritaire])</f>
        <v>2</v>
      </c>
      <c r="AF70" s="2">
        <f>_xlfn.XLOOKUP(Portefeuille_MNT_PPS_Access20[[#This Row],[Numéro projet]],Tableau5[Numéro projet],Tableau5[Critère Etat Infrastructure])</f>
        <v>5</v>
      </c>
      <c r="AG7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H70">
        <v>1</v>
      </c>
      <c r="AI70">
        <v>1</v>
      </c>
      <c r="AJ70" t="s">
        <v>156</v>
      </c>
      <c r="AK70" s="2"/>
      <c r="AL70" s="63"/>
      <c r="AP70"/>
      <c r="AQ70">
        <v>20</v>
      </c>
      <c r="AS70">
        <v>50</v>
      </c>
      <c r="AU70">
        <v>50</v>
      </c>
      <c r="AW70">
        <v>200</v>
      </c>
      <c r="AX70">
        <v>2000</v>
      </c>
      <c r="AZ70"/>
      <c r="BM70" s="14">
        <f>SUM(Portefeuille_MNT_PPS_Access20[[#This Row],[AC ANT]:[TR 2035]])</f>
        <v>2320</v>
      </c>
    </row>
    <row r="71" spans="1:65" x14ac:dyDescent="0.3">
      <c r="A71" t="s">
        <v>286</v>
      </c>
      <c r="C71" t="s">
        <v>101</v>
      </c>
      <c r="D71" t="s">
        <v>102</v>
      </c>
      <c r="E71" t="s">
        <v>103</v>
      </c>
      <c r="G71" t="s">
        <v>20</v>
      </c>
      <c r="H71" t="s">
        <v>20</v>
      </c>
      <c r="I71" t="s">
        <v>131</v>
      </c>
      <c r="J71">
        <v>154180769</v>
      </c>
      <c r="K71" t="s">
        <v>380</v>
      </c>
      <c r="L71" t="s">
        <v>134</v>
      </c>
      <c r="M71" s="214">
        <v>2035</v>
      </c>
      <c r="N71" s="214">
        <v>2035</v>
      </c>
      <c r="O71" t="s">
        <v>291</v>
      </c>
      <c r="P71" s="1"/>
      <c r="Q71" s="1"/>
      <c r="R71" s="1"/>
      <c r="S7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7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7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7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7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71">
        <f>Portefeuille_MNT_PPS_Access20[[#This Row],[Délais PC1 et PC3]]+Portefeuille_MNT_PPS_Access20[[#This Row],[Délais PC3 et PC5]]</f>
        <v>0</v>
      </c>
      <c r="Y71" s="218">
        <f xml:space="preserve"> DATE(Portefeuille_MNT_PPS_Access20[[#This Row],[Année DÉBUT Travaux prévu]]- 3, 12, 15)</f>
        <v>48563</v>
      </c>
      <c r="Z71" s="218">
        <f xml:space="preserve"> DATE(Portefeuille_MNT_PPS_Access20[[#This Row],[Année DÉBUT Travaux prévu]]- 2, 12, 15)</f>
        <v>48928</v>
      </c>
      <c r="AA71" s="218">
        <f xml:space="preserve"> DATE(Portefeuille_MNT_PPS_Access20[[#This Row],[Année DÉBUT Travaux prévu]]- 1, 12, 15)</f>
        <v>49293</v>
      </c>
      <c r="AB71">
        <v>1</v>
      </c>
      <c r="AD7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71" s="12">
        <f>_xlfn.XLOOKUP(Portefeuille_MNT_PPS_Access20[[#This Row],[Numéro projet]],Tableau5[Numéro projet],Tableau5[IND_Site_Prioritaire])</f>
        <v>1.3333333333333333</v>
      </c>
      <c r="AF71" s="2">
        <f>_xlfn.XLOOKUP(Portefeuille_MNT_PPS_Access20[[#This Row],[Numéro projet]],Tableau5[Numéro projet],Tableau5[Critère Etat Infrastructure])</f>
        <v>2</v>
      </c>
      <c r="AG7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21.666666666666668</v>
      </c>
      <c r="AJ71" t="s">
        <v>311</v>
      </c>
      <c r="AK71" s="2"/>
      <c r="AL71" s="63"/>
      <c r="AP71"/>
      <c r="AZ71"/>
      <c r="BI71">
        <v>150</v>
      </c>
      <c r="BK71">
        <v>250</v>
      </c>
      <c r="BL71">
        <v>5000</v>
      </c>
      <c r="BM71" s="14">
        <f>SUM(Portefeuille_MNT_PPS_Access20[[#This Row],[AC ANT]:[TR 2035]])</f>
        <v>5400</v>
      </c>
    </row>
    <row r="72" spans="1:65" x14ac:dyDescent="0.3">
      <c r="A72" t="s">
        <v>286</v>
      </c>
      <c r="C72" t="s">
        <v>118</v>
      </c>
      <c r="D72" t="s">
        <v>102</v>
      </c>
      <c r="E72" t="s">
        <v>119</v>
      </c>
      <c r="F72" t="s">
        <v>252</v>
      </c>
      <c r="G72" t="s">
        <v>20</v>
      </c>
      <c r="H72" t="s">
        <v>20</v>
      </c>
      <c r="I72" t="s">
        <v>131</v>
      </c>
      <c r="J72">
        <v>154240496</v>
      </c>
      <c r="K72" t="s">
        <v>451</v>
      </c>
      <c r="L72" t="s">
        <v>214</v>
      </c>
      <c r="M72" s="103">
        <v>2026</v>
      </c>
      <c r="N72" s="103"/>
      <c r="O72" t="s">
        <v>291</v>
      </c>
      <c r="P72" s="1"/>
      <c r="Q72" s="1"/>
      <c r="R72" s="1"/>
      <c r="S7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7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7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7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7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72">
        <f>Portefeuille_MNT_PPS_Access20[[#This Row],[Délais PC1 et PC3]]+Portefeuille_MNT_PPS_Access20[[#This Row],[Délais PC3 et PC5]]</f>
        <v>0</v>
      </c>
      <c r="Y72" s="218">
        <f xml:space="preserve"> DATE(Portefeuille_MNT_PPS_Access20[[#This Row],[Année DÉBUT Travaux prévu]]- 3, 12, 15)</f>
        <v>45275</v>
      </c>
      <c r="Z72" s="218">
        <f xml:space="preserve"> DATE(Portefeuille_MNT_PPS_Access20[[#This Row],[Année DÉBUT Travaux prévu]]- 2, 12, 15)</f>
        <v>45641</v>
      </c>
      <c r="AA72" s="218">
        <f xml:space="preserve"> DATE(Portefeuille_MNT_PPS_Access20[[#This Row],[Année DÉBUT Travaux prévu]]- 1, 12, 15)</f>
        <v>46006</v>
      </c>
      <c r="AB72">
        <v>1</v>
      </c>
      <c r="AD7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72" s="12">
        <f>_xlfn.XLOOKUP(Portefeuille_MNT_PPS_Access20[[#This Row],[Numéro projet]],Tableau5[Numéro projet],Tableau5[IND_Site_Prioritaire])</f>
        <v>3</v>
      </c>
      <c r="AF72" s="2">
        <f>_xlfn.XLOOKUP(Portefeuille_MNT_PPS_Access20[[#This Row],[Numéro projet]],Tableau5[Numéro projet],Tableau5[Critère Etat Infrastructure])</f>
        <v>0</v>
      </c>
      <c r="AG7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20</v>
      </c>
      <c r="AJ72" t="s">
        <v>311</v>
      </c>
      <c r="AK72" s="2"/>
      <c r="AL72" s="63"/>
      <c r="AP72"/>
      <c r="AT72" s="103"/>
      <c r="AZ72"/>
      <c r="BM72" s="14">
        <f>SUM(Portefeuille_MNT_PPS_Access20[[#This Row],[AC ANT]:[TR 2035]])</f>
        <v>0</v>
      </c>
    </row>
    <row r="73" spans="1:65" x14ac:dyDescent="0.3">
      <c r="A73" t="s">
        <v>286</v>
      </c>
      <c r="C73" t="s">
        <v>101</v>
      </c>
      <c r="D73" t="s">
        <v>102</v>
      </c>
      <c r="E73" t="s">
        <v>177</v>
      </c>
      <c r="F73" t="s">
        <v>129</v>
      </c>
      <c r="G73" t="s">
        <v>16</v>
      </c>
      <c r="H73" t="s">
        <v>16</v>
      </c>
      <c r="I73" t="s">
        <v>131</v>
      </c>
      <c r="J73">
        <v>154180922</v>
      </c>
      <c r="K73" t="s">
        <v>179</v>
      </c>
      <c r="L73" t="s">
        <v>180</v>
      </c>
      <c r="M73">
        <v>2025</v>
      </c>
      <c r="N73">
        <v>2025</v>
      </c>
      <c r="O73" t="s">
        <v>164</v>
      </c>
      <c r="P73" s="1"/>
      <c r="Q73" s="1"/>
      <c r="R73" s="1">
        <v>45195</v>
      </c>
      <c r="S7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7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7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7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7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1484</v>
      </c>
      <c r="X73">
        <f>Portefeuille_MNT_PPS_Access20[[#This Row],[Délais PC1 et PC3]]+Portefeuille_MNT_PPS_Access20[[#This Row],[Délais PC3 et PC5]]</f>
        <v>1484</v>
      </c>
      <c r="Y73" s="218">
        <f xml:space="preserve"> DATE(Portefeuille_MNT_PPS_Access20[[#This Row],[Année DÉBUT Travaux prévu]]- 3, 12, 15)</f>
        <v>44910</v>
      </c>
      <c r="Z73" s="218">
        <f xml:space="preserve"> DATE(Portefeuille_MNT_PPS_Access20[[#This Row],[Année DÉBUT Travaux prévu]]- 2, 12, 15)</f>
        <v>45275</v>
      </c>
      <c r="AA73" s="218">
        <f xml:space="preserve"> DATE(Portefeuille_MNT_PPS_Access20[[#This Row],[Année DÉBUT Travaux prévu]]- 1, 12, 15)</f>
        <v>45641</v>
      </c>
      <c r="AB73">
        <v>5</v>
      </c>
      <c r="AC73">
        <v>5</v>
      </c>
      <c r="AD73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73" s="12">
        <f>_xlfn.XLOOKUP(Portefeuille_MNT_PPS_Access20[[#This Row],[Numéro projet]],Tableau5[Numéro projet],Tableau5[IND_Site_Prioritaire])</f>
        <v>2.666666666666667</v>
      </c>
      <c r="AF73" s="2">
        <f>_xlfn.XLOOKUP(Portefeuille_MNT_PPS_Access20[[#This Row],[Numéro projet]],Tableau5[Numéro projet],Tableau5[Critère Etat Infrastructure])</f>
        <v>0</v>
      </c>
      <c r="AG7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73" t="s">
        <v>165</v>
      </c>
      <c r="AK73" s="2">
        <v>5</v>
      </c>
      <c r="AL73" s="63"/>
      <c r="AM73">
        <v>74.999999999999972</v>
      </c>
      <c r="AN73">
        <v>101.00000000000001</v>
      </c>
      <c r="AO73">
        <v>25</v>
      </c>
      <c r="AP73">
        <v>1137</v>
      </c>
      <c r="AQ73">
        <v>73</v>
      </c>
      <c r="AR73">
        <v>596</v>
      </c>
      <c r="AZ73"/>
      <c r="BM73" s="14">
        <f>SUM(Portefeuille_MNT_PPS_Access20[[#This Row],[AC ANT]:[TR 2035]])</f>
        <v>2007</v>
      </c>
    </row>
    <row r="74" spans="1:65" x14ac:dyDescent="0.3">
      <c r="A74" t="s">
        <v>286</v>
      </c>
      <c r="C74" t="s">
        <v>101</v>
      </c>
      <c r="D74" t="s">
        <v>102</v>
      </c>
      <c r="E74" t="s">
        <v>200</v>
      </c>
      <c r="F74" t="s">
        <v>113</v>
      </c>
      <c r="G74" t="s">
        <v>16</v>
      </c>
      <c r="H74" t="s">
        <v>16</v>
      </c>
      <c r="I74" t="s">
        <v>131</v>
      </c>
      <c r="J74">
        <v>154190163</v>
      </c>
      <c r="K74" t="s">
        <v>337</v>
      </c>
      <c r="L74" t="s">
        <v>180</v>
      </c>
      <c r="M74">
        <v>2025</v>
      </c>
      <c r="N74">
        <v>2025</v>
      </c>
      <c r="O74" t="s">
        <v>164</v>
      </c>
      <c r="P74" s="1"/>
      <c r="Q74" s="1">
        <v>44518</v>
      </c>
      <c r="R74" s="1">
        <v>44657</v>
      </c>
      <c r="S7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7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7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7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1462</v>
      </c>
      <c r="W7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5</v>
      </c>
      <c r="X74">
        <f>Portefeuille_MNT_PPS_Access20[[#This Row],[Délais PC1 et PC3]]+Portefeuille_MNT_PPS_Access20[[#This Row],[Délais PC3 et PC5]]</f>
        <v>1467</v>
      </c>
      <c r="Y74" s="218">
        <f xml:space="preserve"> DATE(Portefeuille_MNT_PPS_Access20[[#This Row],[Année DÉBUT Travaux prévu]]- 3, 12, 15)</f>
        <v>44910</v>
      </c>
      <c r="Z74" s="218">
        <f xml:space="preserve"> DATE(Portefeuille_MNT_PPS_Access20[[#This Row],[Année DÉBUT Travaux prévu]]- 2, 12, 15)</f>
        <v>45275</v>
      </c>
      <c r="AA74" s="218">
        <f xml:space="preserve"> DATE(Portefeuille_MNT_PPS_Access20[[#This Row],[Année DÉBUT Travaux prévu]]- 1, 12, 15)</f>
        <v>45641</v>
      </c>
      <c r="AB74">
        <v>5</v>
      </c>
      <c r="AC74">
        <v>5</v>
      </c>
      <c r="AD74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74" s="12">
        <f>_xlfn.XLOOKUP(Portefeuille_MNT_PPS_Access20[[#This Row],[Numéro projet]],Tableau5[Numéro projet],Tableau5[IND_Site_Prioritaire])</f>
        <v>2.6666666666666665</v>
      </c>
      <c r="AF74" s="2">
        <f>_xlfn.XLOOKUP(Portefeuille_MNT_PPS_Access20[[#This Row],[Numéro projet]],Tableau5[Numéro projet],Tableau5[Critère Etat Infrastructure])</f>
        <v>5</v>
      </c>
      <c r="AG7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74">
        <v>5</v>
      </c>
      <c r="AJ74" t="s">
        <v>165</v>
      </c>
      <c r="AK74" s="2">
        <v>5</v>
      </c>
      <c r="AL74" s="63"/>
      <c r="AM74">
        <v>594</v>
      </c>
      <c r="AN74">
        <v>3359</v>
      </c>
      <c r="AO74">
        <v>264</v>
      </c>
      <c r="AP74">
        <v>2717</v>
      </c>
      <c r="AQ74">
        <v>63</v>
      </c>
      <c r="AR74">
        <v>462</v>
      </c>
      <c r="AZ74"/>
      <c r="BM74" s="14">
        <f>SUM(Portefeuille_MNT_PPS_Access20[[#This Row],[AC ANT]:[TR 2035]])</f>
        <v>7459</v>
      </c>
    </row>
    <row r="75" spans="1:65" x14ac:dyDescent="0.3">
      <c r="A75" t="s">
        <v>286</v>
      </c>
      <c r="C75" t="s">
        <v>101</v>
      </c>
      <c r="D75" t="s">
        <v>102</v>
      </c>
      <c r="E75" t="s">
        <v>136</v>
      </c>
      <c r="F75" t="s">
        <v>149</v>
      </c>
      <c r="G75" t="s">
        <v>16</v>
      </c>
      <c r="H75" t="s">
        <v>20</v>
      </c>
      <c r="I75" t="s">
        <v>105</v>
      </c>
      <c r="J75">
        <v>154180731</v>
      </c>
      <c r="K75" t="s">
        <v>204</v>
      </c>
      <c r="L75" t="s">
        <v>205</v>
      </c>
      <c r="M75">
        <v>2027</v>
      </c>
      <c r="N75" s="103">
        <v>2028</v>
      </c>
      <c r="O75" t="s">
        <v>155</v>
      </c>
      <c r="P75" s="1">
        <v>45960</v>
      </c>
      <c r="Q75" s="1">
        <v>46264</v>
      </c>
      <c r="R75" s="1">
        <v>46629</v>
      </c>
      <c r="S7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7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7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7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10</v>
      </c>
      <c r="W7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75">
        <f>Portefeuille_MNT_PPS_Access20[[#This Row],[Délais PC1 et PC3]]+Portefeuille_MNT_PPS_Access20[[#This Row],[Délais PC3 et PC5]]</f>
        <v>22</v>
      </c>
      <c r="Y75" s="218">
        <f xml:space="preserve"> DATE(Portefeuille_MNT_PPS_Access20[[#This Row],[Année DÉBUT Travaux prévu]]- 3, 12, 15)</f>
        <v>45641</v>
      </c>
      <c r="Z75" s="218">
        <f xml:space="preserve"> DATE(Portefeuille_MNT_PPS_Access20[[#This Row],[Année DÉBUT Travaux prévu]]- 2, 12, 15)</f>
        <v>46006</v>
      </c>
      <c r="AA75" s="218">
        <f xml:space="preserve"> DATE(Portefeuille_MNT_PPS_Access20[[#This Row],[Année DÉBUT Travaux prévu]]- 1, 12, 15)</f>
        <v>46371</v>
      </c>
      <c r="AB75">
        <v>1</v>
      </c>
      <c r="AC75">
        <v>1</v>
      </c>
      <c r="AD7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75" s="12">
        <f>_xlfn.XLOOKUP(Portefeuille_MNT_PPS_Access20[[#This Row],[Numéro projet]],Tableau5[Numéro projet],Tableau5[IND_Site_Prioritaire])</f>
        <v>3.3333333333333335</v>
      </c>
      <c r="AF75" s="2">
        <f>_xlfn.XLOOKUP(Portefeuille_MNT_PPS_Access20[[#This Row],[Numéro projet]],Tableau5[Numéro projet],Tableau5[Critère Etat Infrastructure])</f>
        <v>5</v>
      </c>
      <c r="AG7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51.666666666666671</v>
      </c>
      <c r="AH75">
        <v>1</v>
      </c>
      <c r="AI75">
        <v>1</v>
      </c>
      <c r="AJ75" t="s">
        <v>156</v>
      </c>
      <c r="AK75" s="2"/>
      <c r="AL75" s="63"/>
      <c r="AP75"/>
      <c r="AQ75" s="102"/>
      <c r="AS75">
        <v>85</v>
      </c>
      <c r="AU75">
        <v>85</v>
      </c>
      <c r="AW75" s="102">
        <v>170</v>
      </c>
      <c r="AX75" s="103">
        <v>2000</v>
      </c>
      <c r="AZ75"/>
      <c r="BM75" s="14">
        <f>SUM(Portefeuille_MNT_PPS_Access20[[#This Row],[AC ANT]:[TR 2035]])</f>
        <v>2340</v>
      </c>
    </row>
    <row r="76" spans="1:65" x14ac:dyDescent="0.3">
      <c r="A76" t="s">
        <v>286</v>
      </c>
      <c r="C76" t="s">
        <v>101</v>
      </c>
      <c r="D76" t="s">
        <v>102</v>
      </c>
      <c r="E76" t="s">
        <v>136</v>
      </c>
      <c r="F76" t="s">
        <v>144</v>
      </c>
      <c r="G76" t="s">
        <v>16</v>
      </c>
      <c r="H76" t="s">
        <v>20</v>
      </c>
      <c r="I76" t="s">
        <v>131</v>
      </c>
      <c r="J76">
        <v>154171403</v>
      </c>
      <c r="K76" t="s">
        <v>196</v>
      </c>
      <c r="L76" t="s">
        <v>180</v>
      </c>
      <c r="M76">
        <v>2028</v>
      </c>
      <c r="N76">
        <v>2028</v>
      </c>
      <c r="O76" t="s">
        <v>110</v>
      </c>
      <c r="P76" s="1">
        <v>44889</v>
      </c>
      <c r="Q76" s="1">
        <v>46068</v>
      </c>
      <c r="R76" s="1">
        <v>46583</v>
      </c>
      <c r="S7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7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7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7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39</v>
      </c>
      <c r="W7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17</v>
      </c>
      <c r="X76">
        <f>Portefeuille_MNT_PPS_Access20[[#This Row],[Délais PC1 et PC3]]+Portefeuille_MNT_PPS_Access20[[#This Row],[Délais PC3 et PC5]]</f>
        <v>56</v>
      </c>
      <c r="Y76" s="218">
        <f xml:space="preserve"> DATE(Portefeuille_MNT_PPS_Access20[[#This Row],[Année DÉBUT Travaux prévu]]- 3, 12, 15)</f>
        <v>46006</v>
      </c>
      <c r="Z76" s="218">
        <f xml:space="preserve"> DATE(Portefeuille_MNT_PPS_Access20[[#This Row],[Année DÉBUT Travaux prévu]]- 2, 12, 15)</f>
        <v>46371</v>
      </c>
      <c r="AA76" s="218">
        <f xml:space="preserve"> DATE(Portefeuille_MNT_PPS_Access20[[#This Row],[Année DÉBUT Travaux prévu]]- 1, 12, 15)</f>
        <v>46736</v>
      </c>
      <c r="AB76">
        <v>1</v>
      </c>
      <c r="AC76">
        <v>1</v>
      </c>
      <c r="AD7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76" s="12">
        <f>_xlfn.XLOOKUP(Portefeuille_MNT_PPS_Access20[[#This Row],[Numéro projet]],Tableau5[Numéro projet],Tableau5[IND_Site_Prioritaire])</f>
        <v>2.6666666666666665</v>
      </c>
      <c r="AF76" s="2">
        <f>_xlfn.XLOOKUP(Portefeuille_MNT_PPS_Access20[[#This Row],[Numéro projet]],Tableau5[Numéro projet],Tableau5[Critère Etat Infrastructure])</f>
        <v>5</v>
      </c>
      <c r="AG7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58.333333333333336</v>
      </c>
      <c r="AH76">
        <v>1</v>
      </c>
      <c r="AI76">
        <v>5</v>
      </c>
      <c r="AJ76" t="s">
        <v>112</v>
      </c>
      <c r="AK76" s="2"/>
      <c r="AL76" s="63"/>
      <c r="AM76">
        <v>337</v>
      </c>
      <c r="AO76">
        <v>76</v>
      </c>
      <c r="AP76"/>
      <c r="AQ76">
        <v>1657.9999999999998</v>
      </c>
      <c r="AS76">
        <v>1529</v>
      </c>
      <c r="AU76">
        <v>1529</v>
      </c>
      <c r="AW76">
        <v>1325</v>
      </c>
      <c r="AX76">
        <v>7500</v>
      </c>
      <c r="AY76">
        <v>1200</v>
      </c>
      <c r="AZ76">
        <v>9500</v>
      </c>
      <c r="BA76">
        <v>439</v>
      </c>
      <c r="BB76">
        <v>18000</v>
      </c>
      <c r="BM76" s="14">
        <f>SUM(Portefeuille_MNT_PPS_Access20[[#This Row],[AC ANT]:[TR 2035]])</f>
        <v>43093</v>
      </c>
    </row>
    <row r="77" spans="1:65" x14ac:dyDescent="0.3">
      <c r="A77" t="s">
        <v>11</v>
      </c>
      <c r="C77" t="s">
        <v>118</v>
      </c>
      <c r="D77" t="s">
        <v>102</v>
      </c>
      <c r="E77" t="s">
        <v>103</v>
      </c>
      <c r="F77" t="s">
        <v>252</v>
      </c>
      <c r="G77" t="s">
        <v>20</v>
      </c>
      <c r="H77" t="s">
        <v>16</v>
      </c>
      <c r="I77" t="s">
        <v>131</v>
      </c>
      <c r="J77">
        <v>154240498</v>
      </c>
      <c r="K77" t="s">
        <v>258</v>
      </c>
      <c r="L77" t="s">
        <v>180</v>
      </c>
      <c r="M77">
        <v>2025</v>
      </c>
      <c r="N77">
        <v>2025</v>
      </c>
      <c r="O77" t="s">
        <v>291</v>
      </c>
      <c r="P77" s="1"/>
      <c r="Q77" s="1"/>
      <c r="R77" s="1"/>
      <c r="S7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7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7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7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7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77">
        <f>Portefeuille_MNT_PPS_Access20[[#This Row],[Délais PC1 et PC3]]+Portefeuille_MNT_PPS_Access20[[#This Row],[Délais PC3 et PC5]]</f>
        <v>0</v>
      </c>
      <c r="Y77" s="218">
        <f xml:space="preserve"> DATE(Portefeuille_MNT_PPS_Access20[[#This Row],[Année DÉBUT Travaux prévu]]- 3, 12, 15)</f>
        <v>44910</v>
      </c>
      <c r="Z77" s="218">
        <f xml:space="preserve"> DATE(Portefeuille_MNT_PPS_Access20[[#This Row],[Année DÉBUT Travaux prévu]]- 2, 12, 15)</f>
        <v>45275</v>
      </c>
      <c r="AA77" s="218">
        <f xml:space="preserve"> DATE(Portefeuille_MNT_PPS_Access20[[#This Row],[Année DÉBUT Travaux prévu]]- 1, 12, 15)</f>
        <v>45641</v>
      </c>
      <c r="AB77">
        <v>1</v>
      </c>
      <c r="AD7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77" s="12">
        <f>_xlfn.XLOOKUP(Portefeuille_MNT_PPS_Access20[[#This Row],[Numéro projet]],Tableau5[Numéro projet],Tableau5[IND_Site_Prioritaire])</f>
        <v>2.9393939393939394</v>
      </c>
      <c r="AF77" s="2">
        <f>_xlfn.XLOOKUP(Portefeuille_MNT_PPS_Access20[[#This Row],[Numéro projet]],Tableau5[Numéro projet],Tableau5[Critère Etat Infrastructure])</f>
        <v>0</v>
      </c>
      <c r="AG7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19.696969696969695</v>
      </c>
      <c r="AJ77" t="s">
        <v>311</v>
      </c>
      <c r="AK77" s="2"/>
      <c r="AL77" s="63"/>
      <c r="AP77"/>
      <c r="AR77">
        <v>300</v>
      </c>
      <c r="AZ77"/>
      <c r="BM77" s="14">
        <f>SUM(Portefeuille_MNT_PPS_Access20[[#This Row],[AC ANT]:[TR 2035]])</f>
        <v>300</v>
      </c>
    </row>
    <row r="78" spans="1:65" x14ac:dyDescent="0.3">
      <c r="A78" t="s">
        <v>286</v>
      </c>
      <c r="C78" t="s">
        <v>101</v>
      </c>
      <c r="D78" t="s">
        <v>102</v>
      </c>
      <c r="E78" t="s">
        <v>136</v>
      </c>
      <c r="F78" t="s">
        <v>206</v>
      </c>
      <c r="G78" t="s">
        <v>130</v>
      </c>
      <c r="H78" t="s">
        <v>20</v>
      </c>
      <c r="I78" t="s">
        <v>131</v>
      </c>
      <c r="J78">
        <v>154171404</v>
      </c>
      <c r="K78" t="s">
        <v>376</v>
      </c>
      <c r="L78" t="s">
        <v>209</v>
      </c>
      <c r="M78" s="213">
        <v>2028</v>
      </c>
      <c r="N78" s="213">
        <v>2029</v>
      </c>
      <c r="O78" t="s">
        <v>155</v>
      </c>
      <c r="P78" s="1">
        <v>46068</v>
      </c>
      <c r="Q78" s="1">
        <v>46540</v>
      </c>
      <c r="R78" s="1">
        <v>46899</v>
      </c>
      <c r="S7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3.À risque</v>
      </c>
      <c r="T7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7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7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7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11</v>
      </c>
      <c r="X78">
        <f>Portefeuille_MNT_PPS_Access20[[#This Row],[Délais PC1 et PC3]]+Portefeuille_MNT_PPS_Access20[[#This Row],[Délais PC3 et PC5]]</f>
        <v>27</v>
      </c>
      <c r="Y78" s="218">
        <f xml:space="preserve"> DATE(Portefeuille_MNT_PPS_Access20[[#This Row],[Année DÉBUT Travaux prévu]]- 3, 12, 15)</f>
        <v>46006</v>
      </c>
      <c r="Z78" s="218">
        <f xml:space="preserve"> DATE(Portefeuille_MNT_PPS_Access20[[#This Row],[Année DÉBUT Travaux prévu]]- 2, 12, 15)</f>
        <v>46371</v>
      </c>
      <c r="AA78" s="218">
        <f xml:space="preserve"> DATE(Portefeuille_MNT_PPS_Access20[[#This Row],[Année DÉBUT Travaux prévu]]- 1, 12, 15)</f>
        <v>46736</v>
      </c>
      <c r="AB78">
        <v>1</v>
      </c>
      <c r="AC78">
        <v>1</v>
      </c>
      <c r="AD7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78" s="12">
        <f>_xlfn.XLOOKUP(Portefeuille_MNT_PPS_Access20[[#This Row],[Numéro projet]],Tableau5[Numéro projet],Tableau5[IND_Site_Prioritaire])</f>
        <v>3</v>
      </c>
      <c r="AF78" s="2">
        <f>_xlfn.XLOOKUP(Portefeuille_MNT_PPS_Access20[[#This Row],[Numéro projet]],Tableau5[Numéro projet],Tableau5[Critère Etat Infrastructure])</f>
        <v>4</v>
      </c>
      <c r="AG7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H78">
        <v>1</v>
      </c>
      <c r="AI78">
        <v>1</v>
      </c>
      <c r="AJ78" t="s">
        <v>156</v>
      </c>
      <c r="AK78" s="2"/>
      <c r="AL78" s="63"/>
      <c r="AP78"/>
      <c r="AS78" s="103">
        <v>125</v>
      </c>
      <c r="AU78">
        <v>125</v>
      </c>
      <c r="AW78">
        <v>300</v>
      </c>
      <c r="AX78" s="103">
        <v>0</v>
      </c>
      <c r="AY78">
        <v>500</v>
      </c>
      <c r="AZ78">
        <v>4000</v>
      </c>
      <c r="BA78">
        <v>800</v>
      </c>
      <c r="BB78">
        <v>15000</v>
      </c>
      <c r="BM78" s="14">
        <f>SUM(Portefeuille_MNT_PPS_Access20[[#This Row],[AC ANT]:[TR 2035]])</f>
        <v>20850</v>
      </c>
    </row>
    <row r="79" spans="1:65" x14ac:dyDescent="0.3">
      <c r="A79" t="s">
        <v>286</v>
      </c>
      <c r="C79" t="s">
        <v>101</v>
      </c>
      <c r="D79" t="s">
        <v>102</v>
      </c>
      <c r="E79" t="s">
        <v>103</v>
      </c>
      <c r="F79" t="s">
        <v>129</v>
      </c>
      <c r="G79" t="s">
        <v>20</v>
      </c>
      <c r="H79" t="s">
        <v>20</v>
      </c>
      <c r="I79" t="s">
        <v>105</v>
      </c>
      <c r="J79">
        <v>154190687</v>
      </c>
      <c r="K79" t="s">
        <v>401</v>
      </c>
      <c r="L79" t="s">
        <v>402</v>
      </c>
      <c r="M79">
        <v>2028</v>
      </c>
      <c r="N79">
        <v>2028</v>
      </c>
      <c r="O79" t="s">
        <v>155</v>
      </c>
      <c r="P79" s="1">
        <v>45981</v>
      </c>
      <c r="Q79" s="1">
        <v>46461</v>
      </c>
      <c r="R79" s="1">
        <v>46629</v>
      </c>
      <c r="S7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7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3.À risque</v>
      </c>
      <c r="U7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7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7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5</v>
      </c>
      <c r="X79">
        <f>Portefeuille_MNT_PPS_Access20[[#This Row],[Délais PC1 et PC3]]+Portefeuille_MNT_PPS_Access20[[#This Row],[Délais PC3 et PC5]]</f>
        <v>21</v>
      </c>
      <c r="Y79" s="218">
        <f xml:space="preserve"> DATE(Portefeuille_MNT_PPS_Access20[[#This Row],[Année DÉBUT Travaux prévu]]- 3, 12, 15)</f>
        <v>46006</v>
      </c>
      <c r="Z79" s="218">
        <f xml:space="preserve"> DATE(Portefeuille_MNT_PPS_Access20[[#This Row],[Année DÉBUT Travaux prévu]]- 2, 12, 15)</f>
        <v>46371</v>
      </c>
      <c r="AA79" s="218">
        <f xml:space="preserve"> DATE(Portefeuille_MNT_PPS_Access20[[#This Row],[Année DÉBUT Travaux prévu]]- 1, 12, 15)</f>
        <v>46736</v>
      </c>
      <c r="AB79">
        <v>1</v>
      </c>
      <c r="AC79">
        <v>1</v>
      </c>
      <c r="AD7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79" s="12">
        <f>_xlfn.XLOOKUP(Portefeuille_MNT_PPS_Access20[[#This Row],[Numéro projet]],Tableau5[Numéro projet],Tableau5[IND_Site_Prioritaire])</f>
        <v>2.6666666666666665</v>
      </c>
      <c r="AF79" s="2">
        <f>_xlfn.XLOOKUP(Portefeuille_MNT_PPS_Access20[[#This Row],[Numéro projet]],Tableau5[Numéro projet],Tableau5[Critère Etat Infrastructure])</f>
        <v>5</v>
      </c>
      <c r="AG7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48.333333333333336</v>
      </c>
      <c r="AH79">
        <v>1</v>
      </c>
      <c r="AI79">
        <v>1</v>
      </c>
      <c r="AJ79" t="s">
        <v>156</v>
      </c>
      <c r="AK79" s="2"/>
      <c r="AL79" s="63"/>
      <c r="AP79"/>
      <c r="AS79">
        <v>200</v>
      </c>
      <c r="AU79">
        <v>200</v>
      </c>
      <c r="AW79">
        <v>800</v>
      </c>
      <c r="AX79">
        <v>16000</v>
      </c>
      <c r="AZ79"/>
      <c r="BM79" s="14">
        <f>SUM(Portefeuille_MNT_PPS_Access20[[#This Row],[AC ANT]:[TR 2035]])</f>
        <v>17200</v>
      </c>
    </row>
    <row r="80" spans="1:65" x14ac:dyDescent="0.3">
      <c r="A80" t="s">
        <v>286</v>
      </c>
      <c r="C80" t="s">
        <v>118</v>
      </c>
      <c r="D80" t="s">
        <v>102</v>
      </c>
      <c r="E80" t="s">
        <v>103</v>
      </c>
      <c r="F80" t="s">
        <v>206</v>
      </c>
      <c r="G80" t="s">
        <v>16</v>
      </c>
      <c r="H80" t="s">
        <v>20</v>
      </c>
      <c r="I80" t="s">
        <v>131</v>
      </c>
      <c r="J80">
        <v>154180768</v>
      </c>
      <c r="K80" t="s">
        <v>211</v>
      </c>
      <c r="L80" t="s">
        <v>209</v>
      </c>
      <c r="M80" s="2">
        <v>2028</v>
      </c>
      <c r="N80" s="2">
        <v>2028</v>
      </c>
      <c r="O80" t="s">
        <v>155</v>
      </c>
      <c r="P80" s="1">
        <v>45976</v>
      </c>
      <c r="Q80" s="1">
        <v>46341</v>
      </c>
      <c r="R80" s="1">
        <v>46645</v>
      </c>
      <c r="S8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8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8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8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8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10</v>
      </c>
      <c r="X80">
        <f>Portefeuille_MNT_PPS_Access20[[#This Row],[Délais PC1 et PC3]]+Portefeuille_MNT_PPS_Access20[[#This Row],[Délais PC3 et PC5]]</f>
        <v>22</v>
      </c>
      <c r="Y80" s="218">
        <f xml:space="preserve"> DATE(Portefeuille_MNT_PPS_Access20[[#This Row],[Année DÉBUT Travaux prévu]]- 3, 12, 15)</f>
        <v>46006</v>
      </c>
      <c r="Z80" s="218">
        <f xml:space="preserve"> DATE(Portefeuille_MNT_PPS_Access20[[#This Row],[Année DÉBUT Travaux prévu]]- 2, 12, 15)</f>
        <v>46371</v>
      </c>
      <c r="AA80" s="218">
        <f xml:space="preserve"> DATE(Portefeuille_MNT_PPS_Access20[[#This Row],[Année DÉBUT Travaux prévu]]- 1, 12, 15)</f>
        <v>46736</v>
      </c>
      <c r="AB80">
        <v>1</v>
      </c>
      <c r="AC80">
        <v>1</v>
      </c>
      <c r="AD8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80" s="12">
        <f>_xlfn.XLOOKUP(Portefeuille_MNT_PPS_Access20[[#This Row],[Numéro projet]],Tableau5[Numéro projet],Tableau5[IND_Site_Prioritaire])</f>
        <v>3</v>
      </c>
      <c r="AF80" s="2">
        <f>_xlfn.XLOOKUP(Portefeuille_MNT_PPS_Access20[[#This Row],[Numéro projet]],Tableau5[Numéro projet],Tableau5[Critère Etat Infrastructure])</f>
        <v>5</v>
      </c>
      <c r="AG8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49.999999999999993</v>
      </c>
      <c r="AH80">
        <v>1</v>
      </c>
      <c r="AI80">
        <v>1</v>
      </c>
      <c r="AJ80" t="s">
        <v>156</v>
      </c>
      <c r="AK80" s="2"/>
      <c r="AL80" s="63"/>
      <c r="AM80">
        <v>8</v>
      </c>
      <c r="AP80"/>
      <c r="AQ80">
        <v>100</v>
      </c>
      <c r="AS80">
        <v>100</v>
      </c>
      <c r="AU80">
        <v>100</v>
      </c>
      <c r="AW80">
        <v>250</v>
      </c>
      <c r="AX80">
        <v>7500</v>
      </c>
      <c r="AZ80"/>
      <c r="BM80" s="14">
        <f>SUM(Portefeuille_MNT_PPS_Access20[[#This Row],[AC ANT]:[TR 2035]])</f>
        <v>8058</v>
      </c>
    </row>
    <row r="81" spans="1:65" x14ac:dyDescent="0.3">
      <c r="A81" t="s">
        <v>286</v>
      </c>
      <c r="C81" t="s">
        <v>101</v>
      </c>
      <c r="D81" t="s">
        <v>102</v>
      </c>
      <c r="E81" t="s">
        <v>200</v>
      </c>
      <c r="F81" t="s">
        <v>104</v>
      </c>
      <c r="G81" t="s">
        <v>16</v>
      </c>
      <c r="H81" t="s">
        <v>16</v>
      </c>
      <c r="I81" t="s">
        <v>105</v>
      </c>
      <c r="J81">
        <v>154180001</v>
      </c>
      <c r="K81" s="82" t="s">
        <v>331</v>
      </c>
      <c r="L81" t="s">
        <v>180</v>
      </c>
      <c r="M81">
        <v>2025</v>
      </c>
      <c r="N81">
        <v>2025</v>
      </c>
      <c r="O81" t="s">
        <v>164</v>
      </c>
      <c r="P81" s="1">
        <v>43360</v>
      </c>
      <c r="Q81" s="1">
        <v>43671</v>
      </c>
      <c r="R81" s="1">
        <v>44217</v>
      </c>
      <c r="S8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8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8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8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10</v>
      </c>
      <c r="W8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18</v>
      </c>
      <c r="X81">
        <f>Portefeuille_MNT_PPS_Access20[[#This Row],[Délais PC1 et PC3]]+Portefeuille_MNT_PPS_Access20[[#This Row],[Délais PC3 et PC5]]</f>
        <v>28</v>
      </c>
      <c r="Y81" s="218">
        <f xml:space="preserve"> DATE(Portefeuille_MNT_PPS_Access20[[#This Row],[Année DÉBUT Travaux prévu]]- 3, 12, 15)</f>
        <v>44910</v>
      </c>
      <c r="Z81" s="218">
        <f xml:space="preserve"> DATE(Portefeuille_MNT_PPS_Access20[[#This Row],[Année DÉBUT Travaux prévu]]- 2, 12, 15)</f>
        <v>45275</v>
      </c>
      <c r="AA81" s="218">
        <f xml:space="preserve"> DATE(Portefeuille_MNT_PPS_Access20[[#This Row],[Année DÉBUT Travaux prévu]]- 1, 12, 15)</f>
        <v>45641</v>
      </c>
      <c r="AB81">
        <v>1</v>
      </c>
      <c r="AC81">
        <v>5</v>
      </c>
      <c r="AD81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81" s="12">
        <f>_xlfn.XLOOKUP(Portefeuille_MNT_PPS_Access20[[#This Row],[Numéro projet]],Tableau5[Numéro projet],Tableau5[IND_Site_Prioritaire])</f>
        <v>2.8333333333333335</v>
      </c>
      <c r="AF81" s="2">
        <f>_xlfn.XLOOKUP(Portefeuille_MNT_PPS_Access20[[#This Row],[Numéro projet]],Tableau5[Numéro projet],Tableau5[Critère Etat Infrastructure])</f>
        <v>0</v>
      </c>
      <c r="AG8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81">
        <v>5</v>
      </c>
      <c r="AI81">
        <v>5</v>
      </c>
      <c r="AJ81" t="s">
        <v>165</v>
      </c>
      <c r="AK81" s="2">
        <v>5</v>
      </c>
      <c r="AL81" s="63"/>
      <c r="AM81">
        <v>432</v>
      </c>
      <c r="AN81">
        <v>3057</v>
      </c>
      <c r="AO81">
        <v>136</v>
      </c>
      <c r="AP81"/>
      <c r="AQ81">
        <v>137</v>
      </c>
      <c r="AR81">
        <v>73</v>
      </c>
      <c r="AZ81"/>
      <c r="BM81" s="14">
        <f>SUM(Portefeuille_MNT_PPS_Access20[[#This Row],[AC ANT]:[TR 2035]])</f>
        <v>3835</v>
      </c>
    </row>
    <row r="82" spans="1:65" x14ac:dyDescent="0.3">
      <c r="A82" t="s">
        <v>286</v>
      </c>
      <c r="C82" t="s">
        <v>101</v>
      </c>
      <c r="D82" t="s">
        <v>102</v>
      </c>
      <c r="E82" t="s">
        <v>128</v>
      </c>
      <c r="F82" t="s">
        <v>129</v>
      </c>
      <c r="G82" t="s">
        <v>16</v>
      </c>
      <c r="H82" t="s">
        <v>20</v>
      </c>
      <c r="I82" t="s">
        <v>131</v>
      </c>
      <c r="J82">
        <v>154240034</v>
      </c>
      <c r="K82" t="s">
        <v>251</v>
      </c>
      <c r="L82" t="s">
        <v>214</v>
      </c>
      <c r="M82" s="2">
        <v>2028</v>
      </c>
      <c r="N82" s="2">
        <v>2028</v>
      </c>
      <c r="O82" t="s">
        <v>110</v>
      </c>
      <c r="P82" s="1"/>
      <c r="Q82" s="1"/>
      <c r="R82" s="1">
        <v>46447</v>
      </c>
      <c r="S8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8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8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8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8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1526</v>
      </c>
      <c r="X82">
        <f>Portefeuille_MNT_PPS_Access20[[#This Row],[Délais PC1 et PC3]]+Portefeuille_MNT_PPS_Access20[[#This Row],[Délais PC3 et PC5]]</f>
        <v>1526</v>
      </c>
      <c r="Y82" s="218">
        <f xml:space="preserve"> DATE(Portefeuille_MNT_PPS_Access20[[#This Row],[Année DÉBUT Travaux prévu]]- 3, 12, 15)</f>
        <v>46006</v>
      </c>
      <c r="Z82" s="218">
        <f xml:space="preserve"> DATE(Portefeuille_MNT_PPS_Access20[[#This Row],[Année DÉBUT Travaux prévu]]- 2, 12, 15)</f>
        <v>46371</v>
      </c>
      <c r="AA82" s="218">
        <f xml:space="preserve"> DATE(Portefeuille_MNT_PPS_Access20[[#This Row],[Année DÉBUT Travaux prévu]]- 1, 12, 15)</f>
        <v>46736</v>
      </c>
      <c r="AB82">
        <v>1</v>
      </c>
      <c r="AC82">
        <v>1</v>
      </c>
      <c r="AD8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82" s="12">
        <f>_xlfn.XLOOKUP(Portefeuille_MNT_PPS_Access20[[#This Row],[Numéro projet]],Tableau5[Numéro projet],Tableau5[IND_Site_Prioritaire])</f>
        <v>3</v>
      </c>
      <c r="AF82" s="2">
        <f>_xlfn.XLOOKUP(Portefeuille_MNT_PPS_Access20[[#This Row],[Numéro projet]],Tableau5[Numéro projet],Tableau5[Critère Etat Infrastructure])</f>
        <v>0</v>
      </c>
      <c r="AG8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35</v>
      </c>
      <c r="AI82">
        <v>5</v>
      </c>
      <c r="AJ82" t="s">
        <v>112</v>
      </c>
      <c r="AK82" s="2"/>
      <c r="AL82" s="63"/>
      <c r="AP82"/>
      <c r="AQ82">
        <v>37</v>
      </c>
      <c r="AS82">
        <v>10</v>
      </c>
      <c r="AU82">
        <v>12</v>
      </c>
      <c r="AW82">
        <v>30</v>
      </c>
      <c r="AX82">
        <v>194</v>
      </c>
      <c r="AZ82"/>
      <c r="BM82" s="14">
        <f>SUM(Portefeuille_MNT_PPS_Access20[[#This Row],[AC ANT]:[TR 2035]])</f>
        <v>283</v>
      </c>
    </row>
    <row r="83" spans="1:65" x14ac:dyDescent="0.3">
      <c r="A83" t="s">
        <v>286</v>
      </c>
      <c r="C83" t="s">
        <v>118</v>
      </c>
      <c r="D83" t="s">
        <v>102</v>
      </c>
      <c r="E83" t="s">
        <v>103</v>
      </c>
      <c r="F83" t="s">
        <v>149</v>
      </c>
      <c r="G83" t="s">
        <v>20</v>
      </c>
      <c r="H83" t="s">
        <v>20</v>
      </c>
      <c r="I83" t="s">
        <v>131</v>
      </c>
      <c r="J83">
        <v>154220351</v>
      </c>
      <c r="K83" t="s">
        <v>397</v>
      </c>
      <c r="L83" t="s">
        <v>194</v>
      </c>
      <c r="M83" s="213">
        <v>2028</v>
      </c>
      <c r="N83" s="213">
        <v>2029</v>
      </c>
      <c r="O83" t="s">
        <v>155</v>
      </c>
      <c r="P83" s="1">
        <v>46280</v>
      </c>
      <c r="Q83" s="1">
        <v>46645</v>
      </c>
      <c r="R83" s="1">
        <v>47011</v>
      </c>
      <c r="S8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1.Très à risque</v>
      </c>
      <c r="T8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1.Très à risque</v>
      </c>
      <c r="U8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1.Très à risque</v>
      </c>
      <c r="V8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8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83">
        <f>Portefeuille_MNT_PPS_Access20[[#This Row],[Délais PC1 et PC3]]+Portefeuille_MNT_PPS_Access20[[#This Row],[Délais PC3 et PC5]]</f>
        <v>24</v>
      </c>
      <c r="Y83" s="218">
        <f xml:space="preserve"> DATE(Portefeuille_MNT_PPS_Access20[[#This Row],[Année DÉBUT Travaux prévu]]- 3, 12, 15)</f>
        <v>46006</v>
      </c>
      <c r="Z83" s="218">
        <f xml:space="preserve"> DATE(Portefeuille_MNT_PPS_Access20[[#This Row],[Année DÉBUT Travaux prévu]]- 2, 12, 15)</f>
        <v>46371</v>
      </c>
      <c r="AA83" s="218">
        <f xml:space="preserve"> DATE(Portefeuille_MNT_PPS_Access20[[#This Row],[Année DÉBUT Travaux prévu]]- 1, 12, 15)</f>
        <v>46736</v>
      </c>
      <c r="AB83">
        <v>1</v>
      </c>
      <c r="AC83">
        <v>1</v>
      </c>
      <c r="AD8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83" s="12">
        <f>_xlfn.XLOOKUP(Portefeuille_MNT_PPS_Access20[[#This Row],[Numéro projet]],Tableau5[Numéro projet],Tableau5[IND_Site_Prioritaire])</f>
        <v>3.3333333333333335</v>
      </c>
      <c r="AF83" s="2">
        <f>_xlfn.XLOOKUP(Portefeuille_MNT_PPS_Access20[[#This Row],[Numéro projet]],Tableau5[Numéro projet],Tableau5[Critère Etat Infrastructure])</f>
        <v>4</v>
      </c>
      <c r="AG8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H83">
        <v>1</v>
      </c>
      <c r="AI83">
        <v>1</v>
      </c>
      <c r="AJ83" t="s">
        <v>156</v>
      </c>
      <c r="AK83" s="2"/>
      <c r="AL83" s="63"/>
      <c r="AP83"/>
      <c r="AS83" s="103">
        <v>75</v>
      </c>
      <c r="AU83">
        <v>75</v>
      </c>
      <c r="AW83">
        <v>250</v>
      </c>
      <c r="AX83" s="103">
        <v>0</v>
      </c>
      <c r="AY83">
        <v>600</v>
      </c>
      <c r="AZ83">
        <v>10500</v>
      </c>
      <c r="BM83" s="14">
        <f>SUM(Portefeuille_MNT_PPS_Access20[[#This Row],[AC ANT]:[TR 2035]])</f>
        <v>11500</v>
      </c>
    </row>
    <row r="84" spans="1:65" x14ac:dyDescent="0.3">
      <c r="A84" t="s">
        <v>286</v>
      </c>
      <c r="C84" t="s">
        <v>118</v>
      </c>
      <c r="D84" t="s">
        <v>102</v>
      </c>
      <c r="E84" t="s">
        <v>177</v>
      </c>
      <c r="F84" t="s">
        <v>113</v>
      </c>
      <c r="G84" t="s">
        <v>20</v>
      </c>
      <c r="H84" t="s">
        <v>20</v>
      </c>
      <c r="I84" t="s">
        <v>131</v>
      </c>
      <c r="J84">
        <v>154240709</v>
      </c>
      <c r="K84" t="s">
        <v>512</v>
      </c>
      <c r="L84" t="s">
        <v>187</v>
      </c>
      <c r="M84" s="213">
        <v>2028</v>
      </c>
      <c r="N84" s="213">
        <v>2029</v>
      </c>
      <c r="O84" t="s">
        <v>291</v>
      </c>
      <c r="P84" s="1"/>
      <c r="Q84" s="1"/>
      <c r="R84" s="1"/>
      <c r="S8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8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8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8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8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84">
        <f>Portefeuille_MNT_PPS_Access20[[#This Row],[Délais PC1 et PC3]]+Portefeuille_MNT_PPS_Access20[[#This Row],[Délais PC3 et PC5]]</f>
        <v>0</v>
      </c>
      <c r="Y84" s="218">
        <f xml:space="preserve"> DATE(Portefeuille_MNT_PPS_Access20[[#This Row],[Année DÉBUT Travaux prévu]]- 3, 12, 15)</f>
        <v>46006</v>
      </c>
      <c r="Z84" s="218">
        <f xml:space="preserve"> DATE(Portefeuille_MNT_PPS_Access20[[#This Row],[Année DÉBUT Travaux prévu]]- 2, 12, 15)</f>
        <v>46371</v>
      </c>
      <c r="AA84" s="218">
        <f xml:space="preserve"> DATE(Portefeuille_MNT_PPS_Access20[[#This Row],[Année DÉBUT Travaux prévu]]- 1, 12, 15)</f>
        <v>46736</v>
      </c>
      <c r="AB84">
        <v>1</v>
      </c>
      <c r="AD8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84" s="12" t="e">
        <f>_xlfn.XLOOKUP(Portefeuille_MNT_PPS_Access20[[#This Row],[Numéro projet]],Tableau5[Numéro projet],Tableau5[IND_Site_Prioritaire])</f>
        <v>#N/A</v>
      </c>
      <c r="AF84" s="2" t="e">
        <f>_xlfn.XLOOKUP(Portefeuille_MNT_PPS_Access20[[#This Row],[Numéro projet]],Tableau5[Numéro projet],Tableau5[Critère Etat Infrastructure])</f>
        <v>#N/A</v>
      </c>
      <c r="AG84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J84" t="s">
        <v>311</v>
      </c>
      <c r="AK84" s="2"/>
      <c r="AL84" s="63"/>
      <c r="AP84"/>
      <c r="AU84">
        <v>75</v>
      </c>
      <c r="AW84">
        <v>75</v>
      </c>
      <c r="AX84" s="103">
        <v>0</v>
      </c>
      <c r="AY84">
        <v>150</v>
      </c>
      <c r="AZ84">
        <v>1000</v>
      </c>
      <c r="BM84" s="14">
        <f>SUM(Portefeuille_MNT_PPS_Access20[[#This Row],[AC ANT]:[TR 2035]])</f>
        <v>1300</v>
      </c>
    </row>
    <row r="85" spans="1:65" x14ac:dyDescent="0.3">
      <c r="A85" t="s">
        <v>286</v>
      </c>
      <c r="C85" t="s">
        <v>118</v>
      </c>
      <c r="D85" t="s">
        <v>102</v>
      </c>
      <c r="E85" t="s">
        <v>103</v>
      </c>
      <c r="F85" t="s">
        <v>113</v>
      </c>
      <c r="G85" t="s">
        <v>20</v>
      </c>
      <c r="H85" t="s">
        <v>20</v>
      </c>
      <c r="I85" t="s">
        <v>131</v>
      </c>
      <c r="J85">
        <v>154180766</v>
      </c>
      <c r="K85" t="s">
        <v>378</v>
      </c>
      <c r="L85" t="s">
        <v>191</v>
      </c>
      <c r="M85" s="213">
        <v>2028</v>
      </c>
      <c r="N85" s="213">
        <v>2029</v>
      </c>
      <c r="O85" t="s">
        <v>291</v>
      </c>
      <c r="P85" s="1"/>
      <c r="Q85" s="1"/>
      <c r="R85" s="1"/>
      <c r="S8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8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8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8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8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85">
        <f>Portefeuille_MNT_PPS_Access20[[#This Row],[Délais PC1 et PC3]]+Portefeuille_MNT_PPS_Access20[[#This Row],[Délais PC3 et PC5]]</f>
        <v>0</v>
      </c>
      <c r="Y85" s="218">
        <f xml:space="preserve"> DATE(Portefeuille_MNT_PPS_Access20[[#This Row],[Année DÉBUT Travaux prévu]]- 3, 12, 15)</f>
        <v>46006</v>
      </c>
      <c r="Z85" s="218">
        <f xml:space="preserve"> DATE(Portefeuille_MNT_PPS_Access20[[#This Row],[Année DÉBUT Travaux prévu]]- 2, 12, 15)</f>
        <v>46371</v>
      </c>
      <c r="AA85" s="218">
        <f xml:space="preserve"> DATE(Portefeuille_MNT_PPS_Access20[[#This Row],[Année DÉBUT Travaux prévu]]- 1, 12, 15)</f>
        <v>46736</v>
      </c>
      <c r="AB85">
        <v>1</v>
      </c>
      <c r="AD8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85" s="12">
        <f>_xlfn.XLOOKUP(Portefeuille_MNT_PPS_Access20[[#This Row],[Numéro projet]],Tableau5[Numéro projet],Tableau5[IND_Site_Prioritaire])</f>
        <v>1.6666666666666667</v>
      </c>
      <c r="AF85" s="2">
        <f>_xlfn.XLOOKUP(Portefeuille_MNT_PPS_Access20[[#This Row],[Numéro projet]],Tableau5[Numéro projet],Tableau5[Critère Etat Infrastructure])</f>
        <v>5</v>
      </c>
      <c r="AG8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38.333333333333336</v>
      </c>
      <c r="AJ85" t="s">
        <v>311</v>
      </c>
      <c r="AK85" s="2"/>
      <c r="AL85" s="63"/>
      <c r="AP85"/>
      <c r="AU85">
        <v>100</v>
      </c>
      <c r="AW85">
        <v>200</v>
      </c>
      <c r="AX85" s="103">
        <v>0</v>
      </c>
      <c r="AY85">
        <v>495</v>
      </c>
      <c r="AZ85">
        <v>8000</v>
      </c>
      <c r="BM85" s="14">
        <f>SUM(Portefeuille_MNT_PPS_Access20[[#This Row],[AC ANT]:[TR 2035]])</f>
        <v>8795</v>
      </c>
    </row>
    <row r="86" spans="1:65" x14ac:dyDescent="0.3">
      <c r="A86" t="s">
        <v>286</v>
      </c>
      <c r="C86" t="s">
        <v>101</v>
      </c>
      <c r="D86" t="s">
        <v>102</v>
      </c>
      <c r="E86" t="s">
        <v>136</v>
      </c>
      <c r="G86" t="s">
        <v>130</v>
      </c>
      <c r="H86" t="s">
        <v>130</v>
      </c>
      <c r="I86" t="s">
        <v>105</v>
      </c>
      <c r="J86">
        <v>154200684</v>
      </c>
      <c r="K86" t="s">
        <v>514</v>
      </c>
      <c r="L86" t="s">
        <v>108</v>
      </c>
      <c r="M86" s="213">
        <v>2028</v>
      </c>
      <c r="N86" s="213">
        <v>2029</v>
      </c>
      <c r="O86" t="s">
        <v>291</v>
      </c>
      <c r="P86" s="1"/>
      <c r="Q86" s="1"/>
      <c r="R86" s="1"/>
      <c r="S8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8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8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8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8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86">
        <f>Portefeuille_MNT_PPS_Access20[[#This Row],[Délais PC1 et PC3]]+Portefeuille_MNT_PPS_Access20[[#This Row],[Délais PC3 et PC5]]</f>
        <v>0</v>
      </c>
      <c r="Y86" s="218">
        <f xml:space="preserve"> DATE(Portefeuille_MNT_PPS_Access20[[#This Row],[Année DÉBUT Travaux prévu]]- 3, 12, 15)</f>
        <v>46006</v>
      </c>
      <c r="Z86" s="218">
        <f xml:space="preserve"> DATE(Portefeuille_MNT_PPS_Access20[[#This Row],[Année DÉBUT Travaux prévu]]- 2, 12, 15)</f>
        <v>46371</v>
      </c>
      <c r="AA86" s="218">
        <f xml:space="preserve"> DATE(Portefeuille_MNT_PPS_Access20[[#This Row],[Année DÉBUT Travaux prévu]]- 1, 12, 15)</f>
        <v>46736</v>
      </c>
      <c r="AB86">
        <v>1</v>
      </c>
      <c r="AD8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86" s="12">
        <f>_xlfn.XLOOKUP(Portefeuille_MNT_PPS_Access20[[#This Row],[Numéro projet]],Tableau5[Numéro projet],Tableau5[IND_Site_Prioritaire])</f>
        <v>4</v>
      </c>
      <c r="AF86" s="2">
        <f>_xlfn.XLOOKUP(Portefeuille_MNT_PPS_Access20[[#This Row],[Numéro projet]],Tableau5[Numéro projet],Tableau5[Critère Etat Infrastructure])</f>
        <v>5</v>
      </c>
      <c r="AG8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50</v>
      </c>
      <c r="AJ86" t="s">
        <v>311</v>
      </c>
      <c r="AK86" s="2"/>
      <c r="AL86" s="63"/>
      <c r="AP86"/>
      <c r="AU86">
        <v>150</v>
      </c>
      <c r="AW86">
        <v>150</v>
      </c>
      <c r="AX86" s="103">
        <v>0</v>
      </c>
      <c r="AY86">
        <v>550</v>
      </c>
      <c r="AZ86">
        <v>4000</v>
      </c>
      <c r="BM86" s="14">
        <f>SUM(Portefeuille_MNT_PPS_Access20[[#This Row],[AC ANT]:[TR 2035]])</f>
        <v>4850</v>
      </c>
    </row>
    <row r="87" spans="1:65" x14ac:dyDescent="0.3">
      <c r="A87" t="s">
        <v>286</v>
      </c>
      <c r="C87" t="s">
        <v>101</v>
      </c>
      <c r="D87" t="s">
        <v>102</v>
      </c>
      <c r="E87" t="s">
        <v>136</v>
      </c>
      <c r="F87" t="s">
        <v>129</v>
      </c>
      <c r="G87" t="s">
        <v>130</v>
      </c>
      <c r="H87" t="s">
        <v>20</v>
      </c>
      <c r="I87" t="s">
        <v>131</v>
      </c>
      <c r="J87">
        <v>154210517</v>
      </c>
      <c r="K87" t="s">
        <v>406</v>
      </c>
      <c r="L87" t="s">
        <v>152</v>
      </c>
      <c r="M87">
        <v>2029</v>
      </c>
      <c r="N87">
        <v>2029</v>
      </c>
      <c r="O87" t="s">
        <v>155</v>
      </c>
      <c r="P87" s="1">
        <v>45944</v>
      </c>
      <c r="Q87" s="1">
        <v>46427</v>
      </c>
      <c r="R87" s="1">
        <v>46813</v>
      </c>
      <c r="S8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8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8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8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8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13</v>
      </c>
      <c r="X87">
        <f>Portefeuille_MNT_PPS_Access20[[#This Row],[Délais PC1 et PC3]]+Portefeuille_MNT_PPS_Access20[[#This Row],[Délais PC3 et PC5]]</f>
        <v>29</v>
      </c>
      <c r="Y87" s="218">
        <f xml:space="preserve"> DATE(Portefeuille_MNT_PPS_Access20[[#This Row],[Année DÉBUT Travaux prévu]]- 3, 12, 15)</f>
        <v>46371</v>
      </c>
      <c r="Z87" s="218">
        <f xml:space="preserve"> DATE(Portefeuille_MNT_PPS_Access20[[#This Row],[Année DÉBUT Travaux prévu]]- 2, 12, 15)</f>
        <v>46736</v>
      </c>
      <c r="AA87" s="218">
        <f xml:space="preserve"> DATE(Portefeuille_MNT_PPS_Access20[[#This Row],[Année DÉBUT Travaux prévu]]- 1, 12, 15)</f>
        <v>47102</v>
      </c>
      <c r="AB87">
        <v>1</v>
      </c>
      <c r="AC87">
        <v>1</v>
      </c>
      <c r="AD8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87" s="12">
        <f>_xlfn.XLOOKUP(Portefeuille_MNT_PPS_Access20[[#This Row],[Numéro projet]],Tableau5[Numéro projet],Tableau5[IND_Site_Prioritaire])</f>
        <v>3.6666666666666665</v>
      </c>
      <c r="AF87" s="2">
        <f>_xlfn.XLOOKUP(Portefeuille_MNT_PPS_Access20[[#This Row],[Numéro projet]],Tableau5[Numéro projet],Tableau5[Critère Etat Infrastructure])</f>
        <v>5</v>
      </c>
      <c r="AG8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53.333333333333336</v>
      </c>
      <c r="AH87">
        <v>1</v>
      </c>
      <c r="AI87">
        <v>1</v>
      </c>
      <c r="AJ87" t="s">
        <v>156</v>
      </c>
      <c r="AK87" s="2"/>
      <c r="AL87" s="63"/>
      <c r="AP87"/>
      <c r="AS87">
        <v>150</v>
      </c>
      <c r="AU87">
        <v>200</v>
      </c>
      <c r="AW87">
        <v>200</v>
      </c>
      <c r="AY87">
        <v>500</v>
      </c>
      <c r="AZ87">
        <v>2500</v>
      </c>
      <c r="BA87">
        <v>850</v>
      </c>
      <c r="BB87">
        <v>13000</v>
      </c>
      <c r="BM87" s="14">
        <f>SUM(Portefeuille_MNT_PPS_Access20[[#This Row],[AC ANT]:[TR 2035]])</f>
        <v>17400</v>
      </c>
    </row>
    <row r="88" spans="1:65" x14ac:dyDescent="0.3">
      <c r="A88" t="s">
        <v>286</v>
      </c>
      <c r="C88" t="s">
        <v>101</v>
      </c>
      <c r="D88" t="s">
        <v>102</v>
      </c>
      <c r="E88" t="s">
        <v>136</v>
      </c>
      <c r="F88" t="s">
        <v>113</v>
      </c>
      <c r="G88" t="s">
        <v>16</v>
      </c>
      <c r="H88" t="s">
        <v>20</v>
      </c>
      <c r="I88" t="s">
        <v>105</v>
      </c>
      <c r="J88">
        <v>154061997</v>
      </c>
      <c r="K88" t="s">
        <v>167</v>
      </c>
      <c r="L88" t="s">
        <v>168</v>
      </c>
      <c r="M88">
        <v>2029</v>
      </c>
      <c r="N88">
        <v>2029</v>
      </c>
      <c r="O88" t="s">
        <v>155</v>
      </c>
      <c r="P88" s="1">
        <v>45915</v>
      </c>
      <c r="Q88" s="1">
        <v>46402</v>
      </c>
      <c r="R88" s="1">
        <v>46980</v>
      </c>
      <c r="S8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8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8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8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8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19</v>
      </c>
      <c r="X88">
        <f>Portefeuille_MNT_PPS_Access20[[#This Row],[Délais PC1 et PC3]]+Portefeuille_MNT_PPS_Access20[[#This Row],[Délais PC3 et PC5]]</f>
        <v>35</v>
      </c>
      <c r="Y88" s="218">
        <f xml:space="preserve"> DATE(Portefeuille_MNT_PPS_Access20[[#This Row],[Année DÉBUT Travaux prévu]]- 3, 12, 15)</f>
        <v>46371</v>
      </c>
      <c r="Z88" s="218">
        <f xml:space="preserve"> DATE(Portefeuille_MNT_PPS_Access20[[#This Row],[Année DÉBUT Travaux prévu]]- 2, 12, 15)</f>
        <v>46736</v>
      </c>
      <c r="AA88" s="218">
        <f xml:space="preserve"> DATE(Portefeuille_MNT_PPS_Access20[[#This Row],[Année DÉBUT Travaux prévu]]- 1, 12, 15)</f>
        <v>47102</v>
      </c>
      <c r="AB88">
        <v>1</v>
      </c>
      <c r="AC88">
        <v>1</v>
      </c>
      <c r="AD8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88" s="12">
        <f>_xlfn.XLOOKUP(Portefeuille_MNT_PPS_Access20[[#This Row],[Numéro projet]],Tableau5[Numéro projet],Tableau5[IND_Site_Prioritaire])</f>
        <v>3.3333333333333335</v>
      </c>
      <c r="AF88" s="2">
        <f>_xlfn.XLOOKUP(Portefeuille_MNT_PPS_Access20[[#This Row],[Numéro projet]],Tableau5[Numéro projet],Tableau5[Critère Etat Infrastructure])</f>
        <v>5</v>
      </c>
      <c r="AG8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51.666666666666671</v>
      </c>
      <c r="AH88">
        <v>1</v>
      </c>
      <c r="AI88">
        <v>1</v>
      </c>
      <c r="AJ88" t="s">
        <v>156</v>
      </c>
      <c r="AK88" s="2"/>
      <c r="AL88" s="63"/>
      <c r="AM88">
        <v>71</v>
      </c>
      <c r="AP88"/>
      <c r="AQ88">
        <v>120</v>
      </c>
      <c r="AS88">
        <v>210</v>
      </c>
      <c r="AU88">
        <v>310</v>
      </c>
      <c r="AW88">
        <v>310</v>
      </c>
      <c r="AY88">
        <v>395</v>
      </c>
      <c r="AZ88">
        <v>2000</v>
      </c>
      <c r="BA88">
        <v>395</v>
      </c>
      <c r="BB88">
        <v>2000</v>
      </c>
      <c r="BC88">
        <v>400</v>
      </c>
      <c r="BD88">
        <v>18319</v>
      </c>
      <c r="BM88" s="14">
        <f>SUM(Portefeuille_MNT_PPS_Access20[[#This Row],[AC ANT]:[TR 2035]])</f>
        <v>24530</v>
      </c>
    </row>
    <row r="89" spans="1:65" x14ac:dyDescent="0.3">
      <c r="A89" t="s">
        <v>286</v>
      </c>
      <c r="C89" t="s">
        <v>101</v>
      </c>
      <c r="D89" t="s">
        <v>102</v>
      </c>
      <c r="E89" t="s">
        <v>200</v>
      </c>
      <c r="F89" t="s">
        <v>113</v>
      </c>
      <c r="G89" t="s">
        <v>20</v>
      </c>
      <c r="H89" t="s">
        <v>20</v>
      </c>
      <c r="I89" t="s">
        <v>131</v>
      </c>
      <c r="J89">
        <v>154230556</v>
      </c>
      <c r="K89" t="s">
        <v>437</v>
      </c>
      <c r="L89" t="s">
        <v>139</v>
      </c>
      <c r="M89">
        <v>2029</v>
      </c>
      <c r="N89">
        <v>2029</v>
      </c>
      <c r="O89" t="s">
        <v>291</v>
      </c>
      <c r="P89" s="1"/>
      <c r="Q89" s="1"/>
      <c r="R89" s="1"/>
      <c r="S8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8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8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8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8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89">
        <f>Portefeuille_MNT_PPS_Access20[[#This Row],[Délais PC1 et PC3]]+Portefeuille_MNT_PPS_Access20[[#This Row],[Délais PC3 et PC5]]</f>
        <v>0</v>
      </c>
      <c r="Y89" s="218">
        <f xml:space="preserve"> DATE(Portefeuille_MNT_PPS_Access20[[#This Row],[Année DÉBUT Travaux prévu]]- 3, 12, 15)</f>
        <v>46371</v>
      </c>
      <c r="Z89" s="218">
        <f xml:space="preserve"> DATE(Portefeuille_MNT_PPS_Access20[[#This Row],[Année DÉBUT Travaux prévu]]- 2, 12, 15)</f>
        <v>46736</v>
      </c>
      <c r="AA89" s="218">
        <f xml:space="preserve"> DATE(Portefeuille_MNT_PPS_Access20[[#This Row],[Année DÉBUT Travaux prévu]]- 1, 12, 15)</f>
        <v>47102</v>
      </c>
      <c r="AB89">
        <v>1</v>
      </c>
      <c r="AD8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89" s="12">
        <f>_xlfn.XLOOKUP(Portefeuille_MNT_PPS_Access20[[#This Row],[Numéro projet]],Tableau5[Numéro projet],Tableau5[IND_Site_Prioritaire])</f>
        <v>2.3333333333333335</v>
      </c>
      <c r="AF89" s="2">
        <f>_xlfn.XLOOKUP(Portefeuille_MNT_PPS_Access20[[#This Row],[Numéro projet]],Tableau5[Numéro projet],Tableau5[Critère Etat Infrastructure])</f>
        <v>5</v>
      </c>
      <c r="AG8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41.666666666666671</v>
      </c>
      <c r="AJ89" t="s">
        <v>311</v>
      </c>
      <c r="AK89" s="2"/>
      <c r="AL89" s="63"/>
      <c r="AP89"/>
      <c r="AS89">
        <v>50</v>
      </c>
      <c r="AU89">
        <v>50</v>
      </c>
      <c r="AW89">
        <v>150</v>
      </c>
      <c r="AY89">
        <v>300</v>
      </c>
      <c r="AZ89">
        <v>3000</v>
      </c>
      <c r="BM89" s="14">
        <f>SUM(Portefeuille_MNT_PPS_Access20[[#This Row],[AC ANT]:[TR 2035]])</f>
        <v>3550</v>
      </c>
    </row>
    <row r="90" spans="1:65" x14ac:dyDescent="0.3">
      <c r="A90" t="s">
        <v>286</v>
      </c>
      <c r="C90" t="s">
        <v>118</v>
      </c>
      <c r="D90" t="s">
        <v>102</v>
      </c>
      <c r="E90" t="s">
        <v>242</v>
      </c>
      <c r="F90" t="s">
        <v>129</v>
      </c>
      <c r="G90" t="s">
        <v>20</v>
      </c>
      <c r="H90" t="s">
        <v>20</v>
      </c>
      <c r="I90" t="s">
        <v>131</v>
      </c>
      <c r="J90">
        <v>154210545</v>
      </c>
      <c r="K90" t="s">
        <v>410</v>
      </c>
      <c r="L90" t="s">
        <v>411</v>
      </c>
      <c r="M90">
        <v>2029</v>
      </c>
      <c r="N90">
        <v>2029</v>
      </c>
      <c r="O90" t="s">
        <v>155</v>
      </c>
      <c r="P90" s="1">
        <v>46143</v>
      </c>
      <c r="Q90" s="1">
        <v>46508</v>
      </c>
      <c r="R90" s="1">
        <v>46874</v>
      </c>
      <c r="S9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9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9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9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9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90">
        <f>Portefeuille_MNT_PPS_Access20[[#This Row],[Délais PC1 et PC3]]+Portefeuille_MNT_PPS_Access20[[#This Row],[Délais PC3 et PC5]]</f>
        <v>24</v>
      </c>
      <c r="Y90" s="218">
        <f xml:space="preserve"> DATE(Portefeuille_MNT_PPS_Access20[[#This Row],[Année DÉBUT Travaux prévu]]- 3, 12, 15)</f>
        <v>46371</v>
      </c>
      <c r="Z90" s="218">
        <f xml:space="preserve"> DATE(Portefeuille_MNT_PPS_Access20[[#This Row],[Année DÉBUT Travaux prévu]]- 2, 12, 15)</f>
        <v>46736</v>
      </c>
      <c r="AA90" s="218">
        <f xml:space="preserve"> DATE(Portefeuille_MNT_PPS_Access20[[#This Row],[Année DÉBUT Travaux prévu]]- 1, 12, 15)</f>
        <v>47102</v>
      </c>
      <c r="AB90">
        <v>1</v>
      </c>
      <c r="AC90">
        <v>1</v>
      </c>
      <c r="AD9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90" s="12">
        <f>_xlfn.XLOOKUP(Portefeuille_MNT_PPS_Access20[[#This Row],[Numéro projet]],Tableau5[Numéro projet],Tableau5[IND_Site_Prioritaire])</f>
        <v>1.3333333333333333</v>
      </c>
      <c r="AF90" s="2">
        <f>_xlfn.XLOOKUP(Portefeuille_MNT_PPS_Access20[[#This Row],[Numéro projet]],Tableau5[Numéro projet],Tableau5[Critère Etat Infrastructure])</f>
        <v>4</v>
      </c>
      <c r="AG9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36.666666666666664</v>
      </c>
      <c r="AH90">
        <v>1</v>
      </c>
      <c r="AI90">
        <v>1</v>
      </c>
      <c r="AJ90" t="s">
        <v>156</v>
      </c>
      <c r="AK90" s="2"/>
      <c r="AL90" s="63"/>
      <c r="AP90"/>
      <c r="AU90">
        <v>150</v>
      </c>
      <c r="AW90">
        <v>150</v>
      </c>
      <c r="AY90">
        <v>250</v>
      </c>
      <c r="AZ90">
        <v>2000</v>
      </c>
      <c r="BM90" s="14">
        <f>SUM(Portefeuille_MNT_PPS_Access20[[#This Row],[AC ANT]:[TR 2035]])</f>
        <v>2550</v>
      </c>
    </row>
    <row r="91" spans="1:65" x14ac:dyDescent="0.3">
      <c r="A91" t="s">
        <v>286</v>
      </c>
      <c r="C91" t="s">
        <v>101</v>
      </c>
      <c r="D91" t="s">
        <v>102</v>
      </c>
      <c r="E91" t="s">
        <v>103</v>
      </c>
      <c r="F91" t="s">
        <v>104</v>
      </c>
      <c r="G91" t="s">
        <v>20</v>
      </c>
      <c r="H91" t="s">
        <v>20</v>
      </c>
      <c r="I91" t="s">
        <v>105</v>
      </c>
      <c r="J91">
        <v>154190685</v>
      </c>
      <c r="K91" t="s">
        <v>541</v>
      </c>
      <c r="L91" t="s">
        <v>172</v>
      </c>
      <c r="M91" s="8">
        <v>2029</v>
      </c>
      <c r="N91" s="8">
        <v>2029</v>
      </c>
      <c r="O91" t="s">
        <v>291</v>
      </c>
      <c r="P91" s="1"/>
      <c r="Q91" s="1"/>
      <c r="R91" s="1"/>
      <c r="S9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9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9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9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9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91">
        <f>Portefeuille_MNT_PPS_Access20[[#This Row],[Délais PC1 et PC3]]+Portefeuille_MNT_PPS_Access20[[#This Row],[Délais PC3 et PC5]]</f>
        <v>0</v>
      </c>
      <c r="Y91" s="218">
        <f xml:space="preserve"> DATE(Portefeuille_MNT_PPS_Access20[[#This Row],[Année DÉBUT Travaux prévu]]- 3, 12, 15)</f>
        <v>46371</v>
      </c>
      <c r="Z91" s="218">
        <f xml:space="preserve"> DATE(Portefeuille_MNT_PPS_Access20[[#This Row],[Année DÉBUT Travaux prévu]]- 2, 12, 15)</f>
        <v>46736</v>
      </c>
      <c r="AA91" s="218">
        <f xml:space="preserve"> DATE(Portefeuille_MNT_PPS_Access20[[#This Row],[Année DÉBUT Travaux prévu]]- 1, 12, 15)</f>
        <v>47102</v>
      </c>
      <c r="AB91">
        <v>1</v>
      </c>
      <c r="AD9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91" s="12">
        <f>_xlfn.XLOOKUP(Portefeuille_MNT_PPS_Access20[[#This Row],[Numéro projet]],Tableau5[Numéro projet],Tableau5[IND_Site_Prioritaire])</f>
        <v>3.6666666666666665</v>
      </c>
      <c r="AF91" s="2">
        <f>_xlfn.XLOOKUP(Portefeuille_MNT_PPS_Access20[[#This Row],[Numéro projet]],Tableau5[Numéro projet],Tableau5[Critère Etat Infrastructure])</f>
        <v>3</v>
      </c>
      <c r="AG9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38.333333333333329</v>
      </c>
      <c r="AJ91" t="s">
        <v>311</v>
      </c>
      <c r="AK91" s="2"/>
      <c r="AL91" s="63"/>
      <c r="AP91"/>
      <c r="AU91">
        <v>100</v>
      </c>
      <c r="AW91">
        <v>100</v>
      </c>
      <c r="AY91">
        <v>700</v>
      </c>
      <c r="AZ91">
        <v>15000</v>
      </c>
      <c r="BM91" s="14">
        <f>SUM(Portefeuille_MNT_PPS_Access20[[#This Row],[AC ANT]:[TR 2035]])</f>
        <v>15900</v>
      </c>
    </row>
    <row r="92" spans="1:65" x14ac:dyDescent="0.3">
      <c r="A92" t="s">
        <v>286</v>
      </c>
      <c r="C92" t="s">
        <v>101</v>
      </c>
      <c r="D92" t="s">
        <v>102</v>
      </c>
      <c r="E92" t="s">
        <v>103</v>
      </c>
      <c r="G92" t="s">
        <v>20</v>
      </c>
      <c r="H92" t="s">
        <v>20</v>
      </c>
      <c r="I92" t="s">
        <v>105</v>
      </c>
      <c r="J92">
        <v>154240284</v>
      </c>
      <c r="K92" t="s">
        <v>445</v>
      </c>
      <c r="L92" t="s">
        <v>302</v>
      </c>
      <c r="M92" s="215">
        <v>2032</v>
      </c>
      <c r="N92" s="215">
        <v>2029</v>
      </c>
      <c r="O92" t="s">
        <v>291</v>
      </c>
      <c r="P92" s="1"/>
      <c r="Q92" s="1"/>
      <c r="R92" s="1"/>
      <c r="S9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9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9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9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9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92">
        <f>Portefeuille_MNT_PPS_Access20[[#This Row],[Délais PC1 et PC3]]+Portefeuille_MNT_PPS_Access20[[#This Row],[Délais PC3 et PC5]]</f>
        <v>0</v>
      </c>
      <c r="Y92" s="218">
        <f xml:space="preserve"> DATE(Portefeuille_MNT_PPS_Access20[[#This Row],[Année DÉBUT Travaux prévu]]- 3, 12, 15)</f>
        <v>47467</v>
      </c>
      <c r="Z92" s="218">
        <f xml:space="preserve"> DATE(Portefeuille_MNT_PPS_Access20[[#This Row],[Année DÉBUT Travaux prévu]]- 2, 12, 15)</f>
        <v>47832</v>
      </c>
      <c r="AA92" s="218">
        <f xml:space="preserve"> DATE(Portefeuille_MNT_PPS_Access20[[#This Row],[Année DÉBUT Travaux prévu]]- 1, 12, 15)</f>
        <v>48197</v>
      </c>
      <c r="AB92">
        <v>1</v>
      </c>
      <c r="AD9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92" s="12">
        <f>_xlfn.XLOOKUP(Portefeuille_MNT_PPS_Access20[[#This Row],[Numéro projet]],Tableau5[Numéro projet],Tableau5[IND_Site_Prioritaire])</f>
        <v>4</v>
      </c>
      <c r="AF92" s="2">
        <f>_xlfn.XLOOKUP(Portefeuille_MNT_PPS_Access20[[#This Row],[Numéro projet]],Tableau5[Numéro projet],Tableau5[Critère Etat Infrastructure])</f>
        <v>3</v>
      </c>
      <c r="AG9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40</v>
      </c>
      <c r="AJ92" t="s">
        <v>311</v>
      </c>
      <c r="AK92" s="2"/>
      <c r="AL92" s="63"/>
      <c r="AP92"/>
      <c r="AU92">
        <v>150</v>
      </c>
      <c r="AW92">
        <v>150</v>
      </c>
      <c r="AY92">
        <v>600</v>
      </c>
      <c r="AZ92">
        <v>12000</v>
      </c>
      <c r="BE92" s="103">
        <v>0</v>
      </c>
      <c r="BM92" s="14">
        <f>SUM(Portefeuille_MNT_PPS_Access20[[#This Row],[AC ANT]:[TR 2035]])</f>
        <v>12900</v>
      </c>
    </row>
    <row r="93" spans="1:65" x14ac:dyDescent="0.3">
      <c r="A93" t="s">
        <v>286</v>
      </c>
      <c r="C93" t="s">
        <v>118</v>
      </c>
      <c r="D93" t="s">
        <v>102</v>
      </c>
      <c r="E93" t="s">
        <v>103</v>
      </c>
      <c r="F93" t="s">
        <v>129</v>
      </c>
      <c r="G93" t="s">
        <v>20</v>
      </c>
      <c r="H93" t="s">
        <v>20</v>
      </c>
      <c r="I93" t="s">
        <v>131</v>
      </c>
      <c r="J93">
        <v>154200654</v>
      </c>
      <c r="K93" t="s">
        <v>596</v>
      </c>
      <c r="L93" t="s">
        <v>214</v>
      </c>
      <c r="M93" s="213">
        <v>2029</v>
      </c>
      <c r="N93" s="213">
        <v>2030</v>
      </c>
      <c r="O93" t="s">
        <v>155</v>
      </c>
      <c r="P93" s="1">
        <v>46188</v>
      </c>
      <c r="Q93" s="1">
        <v>46722</v>
      </c>
      <c r="R93" s="1">
        <v>47011</v>
      </c>
      <c r="S9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9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9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9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18</v>
      </c>
      <c r="W9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9</v>
      </c>
      <c r="X93">
        <f>Portefeuille_MNT_PPS_Access20[[#This Row],[Délais PC1 et PC3]]+Portefeuille_MNT_PPS_Access20[[#This Row],[Délais PC3 et PC5]]</f>
        <v>27</v>
      </c>
      <c r="Y93" s="218">
        <f xml:space="preserve"> DATE(Portefeuille_MNT_PPS_Access20[[#This Row],[Année DÉBUT Travaux prévu]]- 3, 12, 15)</f>
        <v>46371</v>
      </c>
      <c r="Z93" s="218">
        <f xml:space="preserve"> DATE(Portefeuille_MNT_PPS_Access20[[#This Row],[Année DÉBUT Travaux prévu]]- 2, 12, 15)</f>
        <v>46736</v>
      </c>
      <c r="AA93" s="218">
        <f xml:space="preserve"> DATE(Portefeuille_MNT_PPS_Access20[[#This Row],[Année DÉBUT Travaux prévu]]- 1, 12, 15)</f>
        <v>47102</v>
      </c>
      <c r="AB93">
        <v>1</v>
      </c>
      <c r="AC93">
        <v>1</v>
      </c>
      <c r="AD9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93" s="12">
        <f>_xlfn.XLOOKUP(Portefeuille_MNT_PPS_Access20[[#This Row],[Numéro projet]],Tableau5[Numéro projet],Tableau5[IND_Site_Prioritaire])</f>
        <v>3</v>
      </c>
      <c r="AF93" s="2">
        <f>_xlfn.XLOOKUP(Portefeuille_MNT_PPS_Access20[[#This Row],[Numéro projet]],Tableau5[Numéro projet],Tableau5[Critère Etat Infrastructure])</f>
        <v>4</v>
      </c>
      <c r="AG9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H93">
        <v>1</v>
      </c>
      <c r="AI93">
        <v>1</v>
      </c>
      <c r="AJ93" t="s">
        <v>156</v>
      </c>
      <c r="AK93" s="2"/>
      <c r="AL93" s="63"/>
      <c r="AP93"/>
      <c r="AW93">
        <v>100</v>
      </c>
      <c r="AY93">
        <v>200</v>
      </c>
      <c r="AZ93"/>
      <c r="BA93">
        <v>200</v>
      </c>
      <c r="BB93">
        <v>10500</v>
      </c>
      <c r="BM93" s="14">
        <f>SUM(Portefeuille_MNT_PPS_Access20[[#This Row],[AC ANT]:[TR 2035]])</f>
        <v>11000</v>
      </c>
    </row>
    <row r="94" spans="1:65" x14ac:dyDescent="0.3">
      <c r="A94" t="s">
        <v>286</v>
      </c>
      <c r="C94" t="s">
        <v>118</v>
      </c>
      <c r="D94" t="s">
        <v>102</v>
      </c>
      <c r="E94" t="s">
        <v>103</v>
      </c>
      <c r="G94" t="s">
        <v>20</v>
      </c>
      <c r="H94" t="s">
        <v>20</v>
      </c>
      <c r="I94" t="s">
        <v>131</v>
      </c>
      <c r="J94">
        <v>154171401</v>
      </c>
      <c r="K94" t="s">
        <v>372</v>
      </c>
      <c r="L94" t="s">
        <v>152</v>
      </c>
      <c r="M94" s="213">
        <v>2030</v>
      </c>
      <c r="N94" s="213">
        <v>2031</v>
      </c>
      <c r="O94" t="s">
        <v>291</v>
      </c>
      <c r="P94" s="1"/>
      <c r="Q94" s="1"/>
      <c r="R94" s="1"/>
      <c r="S9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9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9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9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9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94">
        <f>Portefeuille_MNT_PPS_Access20[[#This Row],[Délais PC1 et PC3]]+Portefeuille_MNT_PPS_Access20[[#This Row],[Délais PC3 et PC5]]</f>
        <v>0</v>
      </c>
      <c r="Y94" s="218">
        <f xml:space="preserve"> DATE(Portefeuille_MNT_PPS_Access20[[#This Row],[Année DÉBUT Travaux prévu]]- 3, 12, 15)</f>
        <v>46736</v>
      </c>
      <c r="Z94" s="218">
        <f xml:space="preserve"> DATE(Portefeuille_MNT_PPS_Access20[[#This Row],[Année DÉBUT Travaux prévu]]- 2, 12, 15)</f>
        <v>47102</v>
      </c>
      <c r="AA94" s="218">
        <f xml:space="preserve"> DATE(Portefeuille_MNT_PPS_Access20[[#This Row],[Année DÉBUT Travaux prévu]]- 1, 12, 15)</f>
        <v>47467</v>
      </c>
      <c r="AB94">
        <v>1</v>
      </c>
      <c r="AD9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94" s="12">
        <f>_xlfn.XLOOKUP(Portefeuille_MNT_PPS_Access20[[#This Row],[Numéro projet]],Tableau5[Numéro projet],Tableau5[IND_Site_Prioritaire])</f>
        <v>3.6666666666666665</v>
      </c>
      <c r="AF94" s="2">
        <f>_xlfn.XLOOKUP(Portefeuille_MNT_PPS_Access20[[#This Row],[Numéro projet]],Tableau5[Numéro projet],Tableau5[Critère Etat Infrastructure])</f>
        <v>4</v>
      </c>
      <c r="AG9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43.333333333333329</v>
      </c>
      <c r="AJ94" t="s">
        <v>311</v>
      </c>
      <c r="AK94" s="2"/>
      <c r="AL94" s="63"/>
      <c r="AP94"/>
      <c r="AY94">
        <v>100</v>
      </c>
      <c r="AZ94"/>
      <c r="BA94">
        <v>200</v>
      </c>
      <c r="BC94">
        <v>450</v>
      </c>
      <c r="BD94">
        <v>7500</v>
      </c>
      <c r="BM94" s="14">
        <f>SUM(Portefeuille_MNT_PPS_Access20[[#This Row],[AC ANT]:[TR 2035]])</f>
        <v>8250</v>
      </c>
    </row>
    <row r="95" spans="1:65" x14ac:dyDescent="0.3">
      <c r="A95" t="s">
        <v>286</v>
      </c>
      <c r="C95" t="s">
        <v>118</v>
      </c>
      <c r="D95" t="s">
        <v>102</v>
      </c>
      <c r="E95" t="s">
        <v>177</v>
      </c>
      <c r="G95" t="s">
        <v>20</v>
      </c>
      <c r="H95" t="s">
        <v>20</v>
      </c>
      <c r="I95" t="s">
        <v>131</v>
      </c>
      <c r="J95">
        <v>154240787</v>
      </c>
      <c r="K95" t="s">
        <v>523</v>
      </c>
      <c r="L95" t="s">
        <v>187</v>
      </c>
      <c r="M95" s="213">
        <v>2029</v>
      </c>
      <c r="N95" s="213">
        <v>2031</v>
      </c>
      <c r="O95" t="s">
        <v>291</v>
      </c>
      <c r="P95" s="1"/>
      <c r="Q95" s="1"/>
      <c r="R95" s="1"/>
      <c r="S9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9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9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9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9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95">
        <f>Portefeuille_MNT_PPS_Access20[[#This Row],[Délais PC1 et PC3]]+Portefeuille_MNT_PPS_Access20[[#This Row],[Délais PC3 et PC5]]</f>
        <v>0</v>
      </c>
      <c r="Y95" s="218">
        <f xml:space="preserve"> DATE(Portefeuille_MNT_PPS_Access20[[#This Row],[Année DÉBUT Travaux prévu]]- 3, 12, 15)</f>
        <v>46371</v>
      </c>
      <c r="Z95" s="218">
        <f xml:space="preserve"> DATE(Portefeuille_MNT_PPS_Access20[[#This Row],[Année DÉBUT Travaux prévu]]- 2, 12, 15)</f>
        <v>46736</v>
      </c>
      <c r="AA95" s="218">
        <f xml:space="preserve"> DATE(Portefeuille_MNT_PPS_Access20[[#This Row],[Année DÉBUT Travaux prévu]]- 1, 12, 15)</f>
        <v>47102</v>
      </c>
      <c r="AB95">
        <v>1</v>
      </c>
      <c r="AD9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95" s="12" t="e">
        <f>_xlfn.XLOOKUP(Portefeuille_MNT_PPS_Access20[[#This Row],[Numéro projet]],Tableau5[Numéro projet],Tableau5[IND_Site_Prioritaire])</f>
        <v>#N/A</v>
      </c>
      <c r="AF95" s="2" t="e">
        <f>_xlfn.XLOOKUP(Portefeuille_MNT_PPS_Access20[[#This Row],[Numéro projet]],Tableau5[Numéro projet],Tableau5[Critère Etat Infrastructure])</f>
        <v>#N/A</v>
      </c>
      <c r="AG95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J95" t="s">
        <v>311</v>
      </c>
      <c r="AK95" s="2"/>
      <c r="AL95" s="63"/>
      <c r="AP95"/>
      <c r="AY95">
        <v>50</v>
      </c>
      <c r="AZ95" s="103">
        <v>0</v>
      </c>
      <c r="BA95">
        <v>50</v>
      </c>
      <c r="BC95">
        <v>100</v>
      </c>
      <c r="BD95">
        <v>2000</v>
      </c>
      <c r="BM95" s="14">
        <f>SUM(Portefeuille_MNT_PPS_Access20[[#This Row],[AC ANT]:[TR 2035]])</f>
        <v>2200</v>
      </c>
    </row>
    <row r="96" spans="1:65" x14ac:dyDescent="0.3">
      <c r="A96" t="s">
        <v>286</v>
      </c>
      <c r="C96" t="s">
        <v>118</v>
      </c>
      <c r="D96" t="s">
        <v>102</v>
      </c>
      <c r="E96" t="s">
        <v>389</v>
      </c>
      <c r="G96" t="s">
        <v>20</v>
      </c>
      <c r="H96" t="s">
        <v>20</v>
      </c>
      <c r="I96" t="s">
        <v>131</v>
      </c>
      <c r="J96">
        <v>154230555</v>
      </c>
      <c r="K96" t="s">
        <v>639</v>
      </c>
      <c r="L96" t="s">
        <v>147</v>
      </c>
      <c r="M96" s="2">
        <v>2029</v>
      </c>
      <c r="N96" s="2">
        <v>2029</v>
      </c>
      <c r="O96" t="s">
        <v>291</v>
      </c>
      <c r="P96" s="1"/>
      <c r="Q96" s="1"/>
      <c r="R96" s="1"/>
      <c r="S9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9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9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9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9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96">
        <f>Portefeuille_MNT_PPS_Access20[[#This Row],[Délais PC1 et PC3]]+Portefeuille_MNT_PPS_Access20[[#This Row],[Délais PC3 et PC5]]</f>
        <v>0</v>
      </c>
      <c r="Y96" s="218">
        <f xml:space="preserve"> DATE(Portefeuille_MNT_PPS_Access20[[#This Row],[Année DÉBUT Travaux prévu]]- 3, 12, 15)</f>
        <v>46371</v>
      </c>
      <c r="Z96" s="218">
        <f xml:space="preserve"> DATE(Portefeuille_MNT_PPS_Access20[[#This Row],[Année DÉBUT Travaux prévu]]- 2, 12, 15)</f>
        <v>46736</v>
      </c>
      <c r="AA96" s="218">
        <f xml:space="preserve"> DATE(Portefeuille_MNT_PPS_Access20[[#This Row],[Année DÉBUT Travaux prévu]]- 1, 12, 15)</f>
        <v>47102</v>
      </c>
      <c r="AB96">
        <v>1</v>
      </c>
      <c r="AD9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96" s="12">
        <f>_xlfn.XLOOKUP(Portefeuille_MNT_PPS_Access20[[#This Row],[Numéro projet]],Tableau5[Numéro projet],Tableau5[IND_Site_Prioritaire])</f>
        <v>3</v>
      </c>
      <c r="AF96" s="2">
        <f>_xlfn.XLOOKUP(Portefeuille_MNT_PPS_Access20[[#This Row],[Numéro projet]],Tableau5[Numéro projet],Tableau5[Critère Etat Infrastructure])</f>
        <v>0</v>
      </c>
      <c r="AG9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20</v>
      </c>
      <c r="AJ96" t="s">
        <v>311</v>
      </c>
      <c r="AK96" s="2"/>
      <c r="AL96" s="63"/>
      <c r="AP96"/>
      <c r="AW96">
        <v>50</v>
      </c>
      <c r="AY96">
        <v>100</v>
      </c>
      <c r="AZ96">
        <v>1000</v>
      </c>
      <c r="BM96" s="14">
        <f>SUM(Portefeuille_MNT_PPS_Access20[[#This Row],[AC ANT]:[TR 2035]])</f>
        <v>1150</v>
      </c>
    </row>
    <row r="97" spans="1:65" x14ac:dyDescent="0.3">
      <c r="A97" t="s">
        <v>286</v>
      </c>
      <c r="C97" t="s">
        <v>118</v>
      </c>
      <c r="D97" t="s">
        <v>102</v>
      </c>
      <c r="E97" t="s">
        <v>242</v>
      </c>
      <c r="F97" t="s">
        <v>129</v>
      </c>
      <c r="G97" t="s">
        <v>20</v>
      </c>
      <c r="H97" t="s">
        <v>20</v>
      </c>
      <c r="I97" t="s">
        <v>131</v>
      </c>
      <c r="J97">
        <v>154210548</v>
      </c>
      <c r="K97" t="s">
        <v>416</v>
      </c>
      <c r="L97" t="s">
        <v>417</v>
      </c>
      <c r="M97" s="213">
        <v>2029</v>
      </c>
      <c r="N97" s="213">
        <v>2030</v>
      </c>
      <c r="O97" t="s">
        <v>155</v>
      </c>
      <c r="P97" s="1">
        <v>46143</v>
      </c>
      <c r="Q97" s="1">
        <v>46508</v>
      </c>
      <c r="R97" s="1">
        <v>46874</v>
      </c>
      <c r="S9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9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9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9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9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97">
        <f>Portefeuille_MNT_PPS_Access20[[#This Row],[Délais PC1 et PC3]]+Portefeuille_MNT_PPS_Access20[[#This Row],[Délais PC3 et PC5]]</f>
        <v>24</v>
      </c>
      <c r="Y97" s="218">
        <f xml:space="preserve"> DATE(Portefeuille_MNT_PPS_Access20[[#This Row],[Année DÉBUT Travaux prévu]]- 3, 12, 15)</f>
        <v>46371</v>
      </c>
      <c r="Z97" s="218">
        <f xml:space="preserve"> DATE(Portefeuille_MNT_PPS_Access20[[#This Row],[Année DÉBUT Travaux prévu]]- 2, 12, 15)</f>
        <v>46736</v>
      </c>
      <c r="AA97" s="218">
        <f xml:space="preserve"> DATE(Portefeuille_MNT_PPS_Access20[[#This Row],[Année DÉBUT Travaux prévu]]- 1, 12, 15)</f>
        <v>47102</v>
      </c>
      <c r="AB97">
        <v>1</v>
      </c>
      <c r="AC97">
        <v>1</v>
      </c>
      <c r="AD9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97" s="12">
        <f>_xlfn.XLOOKUP(Portefeuille_MNT_PPS_Access20[[#This Row],[Numéro projet]],Tableau5[Numéro projet],Tableau5[IND_Site_Prioritaire])</f>
        <v>1.3333333333333333</v>
      </c>
      <c r="AF97" s="2">
        <f>_xlfn.XLOOKUP(Portefeuille_MNT_PPS_Access20[[#This Row],[Numéro projet]],Tableau5[Numéro projet],Tableau5[Critère Etat Infrastructure])</f>
        <v>2</v>
      </c>
      <c r="AG9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26.666666666666668</v>
      </c>
      <c r="AH97">
        <v>1</v>
      </c>
      <c r="AI97">
        <v>1</v>
      </c>
      <c r="AJ97" t="s">
        <v>156</v>
      </c>
      <c r="AK97" s="2"/>
      <c r="AL97" s="63"/>
      <c r="AP97"/>
      <c r="AW97">
        <v>150</v>
      </c>
      <c r="AY97">
        <v>150</v>
      </c>
      <c r="AZ97" s="103">
        <v>0</v>
      </c>
      <c r="BA97">
        <v>250</v>
      </c>
      <c r="BB97">
        <v>2000</v>
      </c>
      <c r="BM97" s="14">
        <f>SUM(Portefeuille_MNT_PPS_Access20[[#This Row],[AC ANT]:[TR 2035]])</f>
        <v>2550</v>
      </c>
    </row>
    <row r="98" spans="1:65" x14ac:dyDescent="0.3">
      <c r="A98" t="s">
        <v>286</v>
      </c>
      <c r="C98" t="s">
        <v>101</v>
      </c>
      <c r="D98" t="s">
        <v>102</v>
      </c>
      <c r="E98" t="s">
        <v>136</v>
      </c>
      <c r="F98" t="s">
        <v>104</v>
      </c>
      <c r="G98" t="s">
        <v>130</v>
      </c>
      <c r="H98" t="s">
        <v>20</v>
      </c>
      <c r="I98" t="s">
        <v>131</v>
      </c>
      <c r="J98">
        <v>154190597</v>
      </c>
      <c r="K98" t="s">
        <v>374</v>
      </c>
      <c r="L98" t="s">
        <v>159</v>
      </c>
      <c r="M98" s="213">
        <v>2029</v>
      </c>
      <c r="N98" s="103">
        <v>2030</v>
      </c>
      <c r="O98" t="s">
        <v>155</v>
      </c>
      <c r="P98" s="1">
        <v>45915</v>
      </c>
      <c r="Q98" s="1">
        <v>46280</v>
      </c>
      <c r="R98" s="216">
        <v>46645</v>
      </c>
      <c r="S9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9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9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9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9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98">
        <f>Portefeuille_MNT_PPS_Access20[[#This Row],[Délais PC1 et PC3]]+Portefeuille_MNT_PPS_Access20[[#This Row],[Délais PC3 et PC5]]</f>
        <v>24</v>
      </c>
      <c r="Y98" s="218">
        <f xml:space="preserve"> DATE(Portefeuille_MNT_PPS_Access20[[#This Row],[Année DÉBUT Travaux prévu]]- 3, 12, 15)</f>
        <v>46371</v>
      </c>
      <c r="Z98" s="218">
        <f xml:space="preserve"> DATE(Portefeuille_MNT_PPS_Access20[[#This Row],[Année DÉBUT Travaux prévu]]- 2, 12, 15)</f>
        <v>46736</v>
      </c>
      <c r="AA98" s="218">
        <f xml:space="preserve"> DATE(Portefeuille_MNT_PPS_Access20[[#This Row],[Année DÉBUT Travaux prévu]]- 1, 12, 15)</f>
        <v>47102</v>
      </c>
      <c r="AB98">
        <v>1</v>
      </c>
      <c r="AC98">
        <v>1</v>
      </c>
      <c r="AD9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98" s="12">
        <f>_xlfn.XLOOKUP(Portefeuille_MNT_PPS_Access20[[#This Row],[Numéro projet]],Tableau5[Numéro projet],Tableau5[IND_Site_Prioritaire])</f>
        <v>4.333333333333333</v>
      </c>
      <c r="AF98" s="2">
        <f>_xlfn.XLOOKUP(Portefeuille_MNT_PPS_Access20[[#This Row],[Numéro projet]],Tableau5[Numéro projet],Tableau5[Critère Etat Infrastructure])</f>
        <v>5</v>
      </c>
      <c r="AG9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56.666666666666664</v>
      </c>
      <c r="AH98">
        <v>1</v>
      </c>
      <c r="AI98">
        <v>1</v>
      </c>
      <c r="AJ98" t="s">
        <v>156</v>
      </c>
      <c r="AK98" s="2"/>
      <c r="AL98" s="63"/>
      <c r="AP98"/>
      <c r="AU98">
        <v>500</v>
      </c>
      <c r="AW98">
        <v>500</v>
      </c>
      <c r="AY98">
        <v>1000</v>
      </c>
      <c r="AZ98" s="103">
        <v>0</v>
      </c>
      <c r="BA98">
        <v>1000</v>
      </c>
      <c r="BB98">
        <v>16000</v>
      </c>
      <c r="BM98" s="14">
        <f>SUM(Portefeuille_MNT_PPS_Access20[[#This Row],[AC ANT]:[TR 2035]])</f>
        <v>19000</v>
      </c>
    </row>
    <row r="99" spans="1:65" x14ac:dyDescent="0.3">
      <c r="A99" t="s">
        <v>286</v>
      </c>
      <c r="C99" t="s">
        <v>101</v>
      </c>
      <c r="D99" t="s">
        <v>102</v>
      </c>
      <c r="E99" t="s">
        <v>136</v>
      </c>
      <c r="F99" t="s">
        <v>149</v>
      </c>
      <c r="G99" t="s">
        <v>16</v>
      </c>
      <c r="H99" t="s">
        <v>20</v>
      </c>
      <c r="I99" t="s">
        <v>131</v>
      </c>
      <c r="J99">
        <v>154180773</v>
      </c>
      <c r="K99" t="s">
        <v>213</v>
      </c>
      <c r="L99" t="s">
        <v>214</v>
      </c>
      <c r="M99">
        <v>2030</v>
      </c>
      <c r="N99">
        <v>2030</v>
      </c>
      <c r="O99" t="s">
        <v>155</v>
      </c>
      <c r="P99" s="1">
        <v>45915</v>
      </c>
      <c r="Q99" s="1">
        <v>46280</v>
      </c>
      <c r="R99" s="216">
        <v>46645</v>
      </c>
      <c r="S9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9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9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9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9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99">
        <f>Portefeuille_MNT_PPS_Access20[[#This Row],[Délais PC1 et PC3]]+Portefeuille_MNT_PPS_Access20[[#This Row],[Délais PC3 et PC5]]</f>
        <v>24</v>
      </c>
      <c r="Y99" s="218">
        <f xml:space="preserve"> DATE(Portefeuille_MNT_PPS_Access20[[#This Row],[Année DÉBUT Travaux prévu]]- 3, 12, 15)</f>
        <v>46736</v>
      </c>
      <c r="Z99" s="218">
        <f xml:space="preserve"> DATE(Portefeuille_MNT_PPS_Access20[[#This Row],[Année DÉBUT Travaux prévu]]- 2, 12, 15)</f>
        <v>47102</v>
      </c>
      <c r="AA99" s="218">
        <f xml:space="preserve"> DATE(Portefeuille_MNT_PPS_Access20[[#This Row],[Année DÉBUT Travaux prévu]]- 1, 12, 15)</f>
        <v>47467</v>
      </c>
      <c r="AB99">
        <v>1</v>
      </c>
      <c r="AC99">
        <v>1</v>
      </c>
      <c r="AD9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99" s="12">
        <f>_xlfn.XLOOKUP(Portefeuille_MNT_PPS_Access20[[#This Row],[Numéro projet]],Tableau5[Numéro projet],Tableau5[IND_Site_Prioritaire])</f>
        <v>3</v>
      </c>
      <c r="AF99" s="2">
        <f>_xlfn.XLOOKUP(Portefeuille_MNT_PPS_Access20[[#This Row],[Numéro projet]],Tableau5[Numéro projet],Tableau5[Critère Etat Infrastructure])</f>
        <v>5</v>
      </c>
      <c r="AG9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49.999999999999993</v>
      </c>
      <c r="AH99">
        <v>1</v>
      </c>
      <c r="AI99">
        <v>1</v>
      </c>
      <c r="AJ99" t="s">
        <v>156</v>
      </c>
      <c r="AK99" s="2"/>
      <c r="AL99" s="63"/>
      <c r="AM99">
        <v>47</v>
      </c>
      <c r="AO99">
        <v>93</v>
      </c>
      <c r="AP99"/>
      <c r="AQ99">
        <v>150</v>
      </c>
      <c r="AS99">
        <v>125</v>
      </c>
      <c r="AU99">
        <v>125</v>
      </c>
      <c r="AW99">
        <v>125</v>
      </c>
      <c r="AY99">
        <v>125</v>
      </c>
      <c r="AZ99"/>
      <c r="BA99">
        <v>300</v>
      </c>
      <c r="BB99">
        <v>5000</v>
      </c>
      <c r="BC99">
        <v>431</v>
      </c>
      <c r="BD99">
        <v>10000</v>
      </c>
      <c r="BM99" s="14">
        <f>SUM(Portefeuille_MNT_PPS_Access20[[#This Row],[AC ANT]:[TR 2035]])</f>
        <v>16521</v>
      </c>
    </row>
    <row r="100" spans="1:65" x14ac:dyDescent="0.3">
      <c r="A100" t="s">
        <v>286</v>
      </c>
      <c r="C100" t="s">
        <v>101</v>
      </c>
      <c r="D100" t="s">
        <v>102</v>
      </c>
      <c r="E100" t="s">
        <v>136</v>
      </c>
      <c r="F100" t="s">
        <v>149</v>
      </c>
      <c r="G100" t="s">
        <v>130</v>
      </c>
      <c r="H100" t="s">
        <v>20</v>
      </c>
      <c r="I100" t="s">
        <v>105</v>
      </c>
      <c r="J100">
        <v>154061995</v>
      </c>
      <c r="K100" t="s">
        <v>367</v>
      </c>
      <c r="L100" t="s">
        <v>316</v>
      </c>
      <c r="M100">
        <v>2030</v>
      </c>
      <c r="N100">
        <v>2030</v>
      </c>
      <c r="O100" t="s">
        <v>155</v>
      </c>
      <c r="P100" s="1">
        <v>46157</v>
      </c>
      <c r="Q100" s="1">
        <v>46645</v>
      </c>
      <c r="R100" s="216">
        <v>47011</v>
      </c>
      <c r="S10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10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10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10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10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100">
        <f>Portefeuille_MNT_PPS_Access20[[#This Row],[Délais PC1 et PC3]]+Portefeuille_MNT_PPS_Access20[[#This Row],[Délais PC3 et PC5]]</f>
        <v>28</v>
      </c>
      <c r="Y100" s="218">
        <f xml:space="preserve"> DATE(Portefeuille_MNT_PPS_Access20[[#This Row],[Année DÉBUT Travaux prévu]]- 3, 12, 15)</f>
        <v>46736</v>
      </c>
      <c r="Z100" s="218">
        <f xml:space="preserve"> DATE(Portefeuille_MNT_PPS_Access20[[#This Row],[Année DÉBUT Travaux prévu]]- 2, 12, 15)</f>
        <v>47102</v>
      </c>
      <c r="AA100" s="218">
        <f xml:space="preserve"> DATE(Portefeuille_MNT_PPS_Access20[[#This Row],[Année DÉBUT Travaux prévu]]- 1, 12, 15)</f>
        <v>47467</v>
      </c>
      <c r="AB100">
        <v>1</v>
      </c>
      <c r="AC100">
        <v>1</v>
      </c>
      <c r="AD10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100" s="12">
        <f>_xlfn.XLOOKUP(Portefeuille_MNT_PPS_Access20[[#This Row],[Numéro projet]],Tableau5[Numéro projet],Tableau5[IND_Site_Prioritaire])</f>
        <v>3</v>
      </c>
      <c r="AF100" s="2">
        <f>_xlfn.XLOOKUP(Portefeuille_MNT_PPS_Access20[[#This Row],[Numéro projet]],Tableau5[Numéro projet],Tableau5[Critère Etat Infrastructure])</f>
        <v>4</v>
      </c>
      <c r="AG10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H100">
        <v>1</v>
      </c>
      <c r="AI100">
        <v>1</v>
      </c>
      <c r="AJ100" t="s">
        <v>156</v>
      </c>
      <c r="AK100" s="2"/>
      <c r="AL100" s="63"/>
      <c r="AP100"/>
      <c r="AU100">
        <v>430</v>
      </c>
      <c r="AW100">
        <v>600</v>
      </c>
      <c r="AY100">
        <v>670</v>
      </c>
      <c r="AZ100"/>
      <c r="BA100">
        <v>600</v>
      </c>
      <c r="BB100">
        <v>5000</v>
      </c>
      <c r="BE100">
        <v>500</v>
      </c>
      <c r="BF100">
        <v>4700</v>
      </c>
      <c r="BG100">
        <v>600</v>
      </c>
      <c r="BH100">
        <v>5000</v>
      </c>
      <c r="BI100">
        <v>600</v>
      </c>
      <c r="BJ100">
        <v>5000</v>
      </c>
      <c r="BM100" s="14">
        <f>SUM(Portefeuille_MNT_PPS_Access20[[#This Row],[AC ANT]:[TR 2035]])</f>
        <v>23700</v>
      </c>
    </row>
    <row r="101" spans="1:65" x14ac:dyDescent="0.3">
      <c r="A101" t="s">
        <v>286</v>
      </c>
      <c r="C101" t="s">
        <v>126</v>
      </c>
      <c r="D101" t="s">
        <v>127</v>
      </c>
      <c r="E101" t="s">
        <v>136</v>
      </c>
      <c r="F101" t="s">
        <v>113</v>
      </c>
      <c r="G101" t="s">
        <v>16</v>
      </c>
      <c r="H101" t="s">
        <v>20</v>
      </c>
      <c r="I101" t="s">
        <v>131</v>
      </c>
      <c r="J101">
        <v>154190601</v>
      </c>
      <c r="K101" t="s">
        <v>227</v>
      </c>
      <c r="L101" t="s">
        <v>139</v>
      </c>
      <c r="M101">
        <v>2030</v>
      </c>
      <c r="N101">
        <v>2030</v>
      </c>
      <c r="O101" t="s">
        <v>110</v>
      </c>
      <c r="P101" s="1">
        <v>45330</v>
      </c>
      <c r="Q101" s="1">
        <v>46325</v>
      </c>
      <c r="R101" s="216">
        <v>46991</v>
      </c>
      <c r="S10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10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10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10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32</v>
      </c>
      <c r="W10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22</v>
      </c>
      <c r="X101">
        <f>Portefeuille_MNT_PPS_Access20[[#This Row],[Délais PC1 et PC3]]+Portefeuille_MNT_PPS_Access20[[#This Row],[Délais PC3 et PC5]]</f>
        <v>54</v>
      </c>
      <c r="Y101" s="218">
        <f xml:space="preserve"> DATE(Portefeuille_MNT_PPS_Access20[[#This Row],[Année DÉBUT Travaux prévu]]- 3, 12, 15)</f>
        <v>46736</v>
      </c>
      <c r="Z101" s="218">
        <f xml:space="preserve"> DATE(Portefeuille_MNT_PPS_Access20[[#This Row],[Année DÉBUT Travaux prévu]]- 2, 12, 15)</f>
        <v>47102</v>
      </c>
      <c r="AA101" s="218">
        <f xml:space="preserve"> DATE(Portefeuille_MNT_PPS_Access20[[#This Row],[Année DÉBUT Travaux prévu]]- 1, 12, 15)</f>
        <v>47467</v>
      </c>
      <c r="AB101">
        <v>1</v>
      </c>
      <c r="AC101">
        <v>1</v>
      </c>
      <c r="AD10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3</v>
      </c>
      <c r="AE101" s="12">
        <f>_xlfn.XLOOKUP(Portefeuille_MNT_PPS_Access20[[#This Row],[Numéro projet]],Tableau5[Numéro projet],Tableau5[IND_Site_Prioritaire])</f>
        <v>2.3333333333333335</v>
      </c>
      <c r="AF101" s="2">
        <f>_xlfn.XLOOKUP(Portefeuille_MNT_PPS_Access20[[#This Row],[Numéro projet]],Tableau5[Numéro projet],Tableau5[Critère Etat Infrastructure])</f>
        <v>4</v>
      </c>
      <c r="AG10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51.666666666666671</v>
      </c>
      <c r="AH101">
        <v>1</v>
      </c>
      <c r="AI101">
        <v>5</v>
      </c>
      <c r="AJ101" t="s">
        <v>112</v>
      </c>
      <c r="AK101" s="2"/>
      <c r="AL101" s="63"/>
      <c r="AM101">
        <v>44</v>
      </c>
      <c r="AO101">
        <v>35</v>
      </c>
      <c r="AP101"/>
      <c r="AQ101">
        <v>100</v>
      </c>
      <c r="AS101">
        <v>288</v>
      </c>
      <c r="AU101">
        <v>475</v>
      </c>
      <c r="AW101">
        <v>475</v>
      </c>
      <c r="AY101">
        <v>573</v>
      </c>
      <c r="AZ101"/>
      <c r="BA101">
        <v>1000</v>
      </c>
      <c r="BB101">
        <v>4362</v>
      </c>
      <c r="BC101">
        <v>1087</v>
      </c>
      <c r="BD101">
        <v>12800</v>
      </c>
      <c r="BM101" s="14">
        <f>SUM(Portefeuille_MNT_PPS_Access20[[#This Row],[AC ANT]:[TR 2035]])</f>
        <v>21239</v>
      </c>
    </row>
    <row r="102" spans="1:65" x14ac:dyDescent="0.3">
      <c r="A102" t="s">
        <v>286</v>
      </c>
      <c r="C102" t="s">
        <v>118</v>
      </c>
      <c r="D102" t="s">
        <v>102</v>
      </c>
      <c r="E102" t="s">
        <v>103</v>
      </c>
      <c r="G102" t="s">
        <v>20</v>
      </c>
      <c r="H102" t="s">
        <v>20</v>
      </c>
      <c r="I102" t="s">
        <v>131</v>
      </c>
      <c r="J102">
        <v>154220352</v>
      </c>
      <c r="K102" t="s">
        <v>530</v>
      </c>
      <c r="L102" t="s">
        <v>420</v>
      </c>
      <c r="M102" s="2">
        <v>2032</v>
      </c>
      <c r="N102" s="2">
        <v>2032</v>
      </c>
      <c r="O102" t="s">
        <v>291</v>
      </c>
      <c r="P102" s="1"/>
      <c r="Q102" s="1"/>
      <c r="R102" s="1"/>
      <c r="S10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2">
        <f>Portefeuille_MNT_PPS_Access20[[#This Row],[Délais PC1 et PC3]]+Portefeuille_MNT_PPS_Access20[[#This Row],[Délais PC3 et PC5]]</f>
        <v>0</v>
      </c>
      <c r="Y102" s="218">
        <f xml:space="preserve"> DATE(Portefeuille_MNT_PPS_Access20[[#This Row],[Année DÉBUT Travaux prévu]]- 3, 12, 15)</f>
        <v>47467</v>
      </c>
      <c r="Z102" s="218">
        <f xml:space="preserve"> DATE(Portefeuille_MNT_PPS_Access20[[#This Row],[Année DÉBUT Travaux prévu]]- 2, 12, 15)</f>
        <v>47832</v>
      </c>
      <c r="AA102" s="218">
        <f xml:space="preserve"> DATE(Portefeuille_MNT_PPS_Access20[[#This Row],[Année DÉBUT Travaux prévu]]- 1, 12, 15)</f>
        <v>48197</v>
      </c>
      <c r="AB102">
        <v>1</v>
      </c>
      <c r="AD10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2" s="12">
        <f>_xlfn.XLOOKUP(Portefeuille_MNT_PPS_Access20[[#This Row],[Numéro projet]],Tableau5[Numéro projet],Tableau5[IND_Site_Prioritaire])</f>
        <v>3.6666666666666665</v>
      </c>
      <c r="AF102" s="2">
        <f>_xlfn.XLOOKUP(Portefeuille_MNT_PPS_Access20[[#This Row],[Numéro projet]],Tableau5[Numéro projet],Tableau5[Critère Etat Infrastructure])</f>
        <v>4</v>
      </c>
      <c r="AG10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43.333333333333329</v>
      </c>
      <c r="AJ102" t="s">
        <v>311</v>
      </c>
      <c r="AK102" s="2"/>
      <c r="AL102" s="63"/>
      <c r="AP102"/>
      <c r="AZ102"/>
      <c r="BA102">
        <v>100</v>
      </c>
      <c r="BC102">
        <v>200</v>
      </c>
      <c r="BE102">
        <v>450</v>
      </c>
      <c r="BF102">
        <v>7500</v>
      </c>
      <c r="BM102" s="14">
        <f>SUM(Portefeuille_MNT_PPS_Access20[[#This Row],[AC ANT]:[TR 2035]])</f>
        <v>8250</v>
      </c>
    </row>
    <row r="103" spans="1:65" x14ac:dyDescent="0.3">
      <c r="A103" t="s">
        <v>286</v>
      </c>
      <c r="C103" t="s">
        <v>118</v>
      </c>
      <c r="D103" t="s">
        <v>102</v>
      </c>
      <c r="E103" t="s">
        <v>103</v>
      </c>
      <c r="F103" t="s">
        <v>113</v>
      </c>
      <c r="G103" t="s">
        <v>20</v>
      </c>
      <c r="H103" t="s">
        <v>20</v>
      </c>
      <c r="I103" t="s">
        <v>131</v>
      </c>
      <c r="J103">
        <v>154220353</v>
      </c>
      <c r="K103" t="s">
        <v>423</v>
      </c>
      <c r="L103" t="s">
        <v>139</v>
      </c>
      <c r="M103" s="213">
        <v>2029</v>
      </c>
      <c r="N103" s="213">
        <v>2033</v>
      </c>
      <c r="O103" t="s">
        <v>291</v>
      </c>
      <c r="P103" s="1"/>
      <c r="Q103" s="1"/>
      <c r="R103" s="1"/>
      <c r="S10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3">
        <f>Portefeuille_MNT_PPS_Access20[[#This Row],[Délais PC1 et PC3]]+Portefeuille_MNT_PPS_Access20[[#This Row],[Délais PC3 et PC5]]</f>
        <v>0</v>
      </c>
      <c r="Y103" s="218">
        <f xml:space="preserve"> DATE(Portefeuille_MNT_PPS_Access20[[#This Row],[Année DÉBUT Travaux prévu]]- 3, 12, 15)</f>
        <v>46371</v>
      </c>
      <c r="Z103" s="218">
        <f xml:space="preserve"> DATE(Portefeuille_MNT_PPS_Access20[[#This Row],[Année DÉBUT Travaux prévu]]- 2, 12, 15)</f>
        <v>46736</v>
      </c>
      <c r="AA103" s="218">
        <f xml:space="preserve"> DATE(Portefeuille_MNT_PPS_Access20[[#This Row],[Année DÉBUT Travaux prévu]]- 1, 12, 15)</f>
        <v>47102</v>
      </c>
      <c r="AB103">
        <v>1</v>
      </c>
      <c r="AD10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3" s="12">
        <f>_xlfn.XLOOKUP(Portefeuille_MNT_PPS_Access20[[#This Row],[Numéro projet]],Tableau5[Numéro projet],Tableau5[IND_Site_Prioritaire])</f>
        <v>2.3333333333333335</v>
      </c>
      <c r="AF103" s="2">
        <f>_xlfn.XLOOKUP(Portefeuille_MNT_PPS_Access20[[#This Row],[Numéro projet]],Tableau5[Numéro projet],Tableau5[Critère Etat Infrastructure])</f>
        <v>4</v>
      </c>
      <c r="AG10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36.666666666666664</v>
      </c>
      <c r="AJ103" t="s">
        <v>311</v>
      </c>
      <c r="AK103" s="2"/>
      <c r="AL103" s="63"/>
      <c r="AP103"/>
      <c r="AZ103" s="215">
        <v>0</v>
      </c>
      <c r="BC103">
        <v>100</v>
      </c>
      <c r="BE103">
        <v>200</v>
      </c>
      <c r="BG103">
        <v>250</v>
      </c>
      <c r="BH103">
        <v>7500</v>
      </c>
      <c r="BM103" s="14">
        <f>SUM(Portefeuille_MNT_PPS_Access20[[#This Row],[AC ANT]:[TR 2035]])</f>
        <v>8050</v>
      </c>
    </row>
    <row r="104" spans="1:65" x14ac:dyDescent="0.3">
      <c r="A104" t="s">
        <v>286</v>
      </c>
      <c r="C104" t="s">
        <v>118</v>
      </c>
      <c r="D104" t="s">
        <v>102</v>
      </c>
      <c r="E104" t="s">
        <v>242</v>
      </c>
      <c r="F104" t="s">
        <v>129</v>
      </c>
      <c r="G104" t="s">
        <v>20</v>
      </c>
      <c r="H104" t="s">
        <v>20</v>
      </c>
      <c r="I104" t="s">
        <v>131</v>
      </c>
      <c r="J104">
        <v>154210546</v>
      </c>
      <c r="K104" t="s">
        <v>413</v>
      </c>
      <c r="L104" t="s">
        <v>414</v>
      </c>
      <c r="M104">
        <v>2030</v>
      </c>
      <c r="N104" s="2">
        <v>2030</v>
      </c>
      <c r="O104" t="s">
        <v>291</v>
      </c>
      <c r="P104" s="1"/>
      <c r="Q104" s="1"/>
      <c r="R104" s="1"/>
      <c r="S10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4">
        <f>Portefeuille_MNT_PPS_Access20[[#This Row],[Délais PC1 et PC3]]+Portefeuille_MNT_PPS_Access20[[#This Row],[Délais PC3 et PC5]]</f>
        <v>0</v>
      </c>
      <c r="Y104" s="218">
        <f xml:space="preserve"> DATE(Portefeuille_MNT_PPS_Access20[[#This Row],[Année DÉBUT Travaux prévu]]- 3, 12, 15)</f>
        <v>46736</v>
      </c>
      <c r="Z104" s="218">
        <f xml:space="preserve"> DATE(Portefeuille_MNT_PPS_Access20[[#This Row],[Année DÉBUT Travaux prévu]]- 2, 12, 15)</f>
        <v>47102</v>
      </c>
      <c r="AA104" s="218">
        <f xml:space="preserve"> DATE(Portefeuille_MNT_PPS_Access20[[#This Row],[Année DÉBUT Travaux prévu]]- 1, 12, 15)</f>
        <v>47467</v>
      </c>
      <c r="AB104">
        <v>1</v>
      </c>
      <c r="AD10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4" s="12">
        <f>_xlfn.XLOOKUP(Portefeuille_MNT_PPS_Access20[[#This Row],[Numéro projet]],Tableau5[Numéro projet],Tableau5[IND_Site_Prioritaire])</f>
        <v>1</v>
      </c>
      <c r="AF104" s="2">
        <f>_xlfn.XLOOKUP(Portefeuille_MNT_PPS_Access20[[#This Row],[Numéro projet]],Tableau5[Numéro projet],Tableau5[Critère Etat Infrastructure])</f>
        <v>5</v>
      </c>
      <c r="AG10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35</v>
      </c>
      <c r="AJ104" t="s">
        <v>311</v>
      </c>
      <c r="AK104" s="2"/>
      <c r="AL104" s="63"/>
      <c r="AP104"/>
      <c r="AW104">
        <v>150</v>
      </c>
      <c r="AY104">
        <v>150</v>
      </c>
      <c r="AZ104"/>
      <c r="BA104">
        <v>250</v>
      </c>
      <c r="BB104">
        <v>2000</v>
      </c>
      <c r="BM104" s="14">
        <f>SUM(Portefeuille_MNT_PPS_Access20[[#This Row],[AC ANT]:[TR 2035]])</f>
        <v>2550</v>
      </c>
    </row>
    <row r="105" spans="1:65" x14ac:dyDescent="0.3">
      <c r="A105" t="s">
        <v>286</v>
      </c>
      <c r="C105" t="s">
        <v>118</v>
      </c>
      <c r="D105" t="s">
        <v>102</v>
      </c>
      <c r="E105" t="s">
        <v>103</v>
      </c>
      <c r="F105" t="s">
        <v>113</v>
      </c>
      <c r="G105" t="s">
        <v>20</v>
      </c>
      <c r="H105" t="s">
        <v>20</v>
      </c>
      <c r="I105" t="s">
        <v>105</v>
      </c>
      <c r="J105">
        <v>154220487</v>
      </c>
      <c r="K105" t="s">
        <v>527</v>
      </c>
      <c r="L105" t="s">
        <v>122</v>
      </c>
      <c r="M105" s="215">
        <v>2029</v>
      </c>
      <c r="N105" s="215">
        <v>2030</v>
      </c>
      <c r="O105" t="s">
        <v>155</v>
      </c>
      <c r="P105" s="1">
        <v>46249</v>
      </c>
      <c r="Q105" s="1">
        <v>46675</v>
      </c>
      <c r="R105" s="1">
        <v>47041</v>
      </c>
      <c r="S10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5.Respect OPC</v>
      </c>
      <c r="T10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5.Respect OPC</v>
      </c>
      <c r="U10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5.Respect OPC</v>
      </c>
      <c r="V10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</v>
      </c>
      <c r="W10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12</v>
      </c>
      <c r="X105">
        <f>Portefeuille_MNT_PPS_Access20[[#This Row],[Délais PC1 et PC3]]+Portefeuille_MNT_PPS_Access20[[#This Row],[Délais PC3 et PC5]]</f>
        <v>26</v>
      </c>
      <c r="Y105" s="218">
        <f xml:space="preserve"> DATE(Portefeuille_MNT_PPS_Access20[[#This Row],[Année DÉBUT Travaux prévu]]- 3, 12, 15)</f>
        <v>46371</v>
      </c>
      <c r="Z105" s="218">
        <f xml:space="preserve"> DATE(Portefeuille_MNT_PPS_Access20[[#This Row],[Année DÉBUT Travaux prévu]]- 2, 12, 15)</f>
        <v>46736</v>
      </c>
      <c r="AA105" s="218">
        <f xml:space="preserve"> DATE(Portefeuille_MNT_PPS_Access20[[#This Row],[Année DÉBUT Travaux prévu]]- 1, 12, 15)</f>
        <v>47102</v>
      </c>
      <c r="AB105">
        <v>1</v>
      </c>
      <c r="AC105">
        <v>1</v>
      </c>
      <c r="AD10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105" s="12">
        <f>_xlfn.XLOOKUP(Portefeuille_MNT_PPS_Access20[[#This Row],[Numéro projet]],Tableau5[Numéro projet],Tableau5[IND_Site_Prioritaire])</f>
        <v>4</v>
      </c>
      <c r="AF105" s="2">
        <f>_xlfn.XLOOKUP(Portefeuille_MNT_PPS_Access20[[#This Row],[Numéro projet]],Tableau5[Numéro projet],Tableau5[Critère Etat Infrastructure])</f>
        <v>4</v>
      </c>
      <c r="AG10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50</v>
      </c>
      <c r="AH105">
        <v>1</v>
      </c>
      <c r="AI105">
        <v>1</v>
      </c>
      <c r="AJ105" t="s">
        <v>156</v>
      </c>
      <c r="AK105" s="2"/>
      <c r="AL105" s="63"/>
      <c r="AP105"/>
      <c r="AW105">
        <v>100</v>
      </c>
      <c r="AY105">
        <v>300</v>
      </c>
      <c r="AZ105" s="103">
        <v>0</v>
      </c>
      <c r="BA105">
        <v>500</v>
      </c>
      <c r="BB105">
        <v>12000</v>
      </c>
      <c r="BM105" s="14">
        <f>SUM(Portefeuille_MNT_PPS_Access20[[#This Row],[AC ANT]:[TR 2035]])</f>
        <v>12900</v>
      </c>
    </row>
    <row r="106" spans="1:65" x14ac:dyDescent="0.3">
      <c r="A106" t="s">
        <v>286</v>
      </c>
      <c r="C106" t="s">
        <v>126</v>
      </c>
      <c r="D106" t="s">
        <v>127</v>
      </c>
      <c r="E106" t="s">
        <v>103</v>
      </c>
      <c r="G106" t="s">
        <v>20</v>
      </c>
      <c r="H106" t="s">
        <v>20</v>
      </c>
      <c r="I106" t="s">
        <v>105</v>
      </c>
      <c r="J106">
        <v>154240510</v>
      </c>
      <c r="K106" t="s">
        <v>473</v>
      </c>
      <c r="L106" t="s">
        <v>143</v>
      </c>
      <c r="M106" s="8">
        <v>2030</v>
      </c>
      <c r="N106" s="8">
        <v>2030</v>
      </c>
      <c r="O106" t="s">
        <v>291</v>
      </c>
      <c r="P106" s="1"/>
      <c r="Q106" s="1"/>
      <c r="R106" s="1"/>
      <c r="S10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6">
        <f>Portefeuille_MNT_PPS_Access20[[#This Row],[Délais PC1 et PC3]]+Portefeuille_MNT_PPS_Access20[[#This Row],[Délais PC3 et PC5]]</f>
        <v>0</v>
      </c>
      <c r="Y106" s="218">
        <f xml:space="preserve"> DATE(Portefeuille_MNT_PPS_Access20[[#This Row],[Année DÉBUT Travaux prévu]]- 3, 12, 15)</f>
        <v>46736</v>
      </c>
      <c r="Z106" s="218">
        <f xml:space="preserve"> DATE(Portefeuille_MNT_PPS_Access20[[#This Row],[Année DÉBUT Travaux prévu]]- 2, 12, 15)</f>
        <v>47102</v>
      </c>
      <c r="AA106" s="218">
        <f xml:space="preserve"> DATE(Portefeuille_MNT_PPS_Access20[[#This Row],[Année DÉBUT Travaux prévu]]- 1, 12, 15)</f>
        <v>47467</v>
      </c>
      <c r="AB106">
        <v>1</v>
      </c>
      <c r="AD10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6" s="12">
        <f>_xlfn.XLOOKUP(Portefeuille_MNT_PPS_Access20[[#This Row],[Numéro projet]],Tableau5[Numéro projet],Tableau5[IND_Site_Prioritaire])</f>
        <v>4.333333333333333</v>
      </c>
      <c r="AF106" s="2">
        <f>_xlfn.XLOOKUP(Portefeuille_MNT_PPS_Access20[[#This Row],[Numéro projet]],Tableau5[Numéro projet],Tableau5[Critère Etat Infrastructure])</f>
        <v>1</v>
      </c>
      <c r="AG10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31.666666666666664</v>
      </c>
      <c r="AJ106" t="s">
        <v>311</v>
      </c>
      <c r="AK106" s="2"/>
      <c r="AL106" s="63"/>
      <c r="AP106"/>
      <c r="AW106">
        <v>375</v>
      </c>
      <c r="AY106">
        <v>375</v>
      </c>
      <c r="AZ106"/>
      <c r="BA106">
        <v>750</v>
      </c>
      <c r="BB106">
        <v>10000</v>
      </c>
      <c r="BC106">
        <v>500</v>
      </c>
      <c r="BD106">
        <v>10000</v>
      </c>
      <c r="BE106">
        <v>500</v>
      </c>
      <c r="BF106">
        <v>15000</v>
      </c>
      <c r="BM106" s="14">
        <f>SUM(Portefeuille_MNT_PPS_Access20[[#This Row],[AC ANT]:[TR 2035]])</f>
        <v>37500</v>
      </c>
    </row>
    <row r="107" spans="1:65" x14ac:dyDescent="0.3">
      <c r="A107" t="s">
        <v>286</v>
      </c>
      <c r="C107" t="s">
        <v>118</v>
      </c>
      <c r="D107" t="s">
        <v>102</v>
      </c>
      <c r="E107" t="s">
        <v>136</v>
      </c>
      <c r="F107" t="s">
        <v>104</v>
      </c>
      <c r="G107" t="s">
        <v>130</v>
      </c>
      <c r="H107" t="s">
        <v>20</v>
      </c>
      <c r="I107" t="s">
        <v>105</v>
      </c>
      <c r="J107">
        <v>154061990</v>
      </c>
      <c r="K107" t="s">
        <v>365</v>
      </c>
      <c r="L107" t="s">
        <v>205</v>
      </c>
      <c r="M107" s="103">
        <v>2030</v>
      </c>
      <c r="N107" s="103">
        <v>2031</v>
      </c>
      <c r="O107" t="s">
        <v>291</v>
      </c>
      <c r="P107" s="1"/>
      <c r="Q107" s="1"/>
      <c r="R107" s="1"/>
      <c r="S10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7">
        <f>Portefeuille_MNT_PPS_Access20[[#This Row],[Délais PC1 et PC3]]+Portefeuille_MNT_PPS_Access20[[#This Row],[Délais PC3 et PC5]]</f>
        <v>0</v>
      </c>
      <c r="Y107" s="218">
        <f xml:space="preserve"> DATE(Portefeuille_MNT_PPS_Access20[[#This Row],[Année DÉBUT Travaux prévu]]- 3, 12, 15)</f>
        <v>46736</v>
      </c>
      <c r="Z107" s="218">
        <f xml:space="preserve"> DATE(Portefeuille_MNT_PPS_Access20[[#This Row],[Année DÉBUT Travaux prévu]]- 2, 12, 15)</f>
        <v>47102</v>
      </c>
      <c r="AA107" s="218">
        <f xml:space="preserve"> DATE(Portefeuille_MNT_PPS_Access20[[#This Row],[Année DÉBUT Travaux prévu]]- 1, 12, 15)</f>
        <v>47467</v>
      </c>
      <c r="AB107">
        <v>1</v>
      </c>
      <c r="AD10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7" s="12">
        <f>_xlfn.XLOOKUP(Portefeuille_MNT_PPS_Access20[[#This Row],[Numéro projet]],Tableau5[Numéro projet],Tableau5[IND_Site_Prioritaire])</f>
        <v>3.3333333333333335</v>
      </c>
      <c r="AF107" s="2">
        <f>_xlfn.XLOOKUP(Portefeuille_MNT_PPS_Access20[[#This Row],[Numéro projet]],Tableau5[Numéro projet],Tableau5[Critère Etat Infrastructure])</f>
        <v>5</v>
      </c>
      <c r="AG10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J107" t="s">
        <v>311</v>
      </c>
      <c r="AK107" s="2"/>
      <c r="AL107" s="63"/>
      <c r="AP107"/>
      <c r="AW107">
        <v>200</v>
      </c>
      <c r="AY107">
        <v>200</v>
      </c>
      <c r="AZ107"/>
      <c r="BA107">
        <v>400</v>
      </c>
      <c r="BB107" s="103">
        <v>0</v>
      </c>
      <c r="BC107">
        <v>400</v>
      </c>
      <c r="BD107">
        <v>4500</v>
      </c>
      <c r="BE107">
        <v>400</v>
      </c>
      <c r="BF107">
        <v>7000</v>
      </c>
      <c r="BG107">
        <v>400</v>
      </c>
      <c r="BH107">
        <v>7000</v>
      </c>
      <c r="BM107" s="14">
        <f>SUM(Portefeuille_MNT_PPS_Access20[[#This Row],[AC ANT]:[TR 2035]])</f>
        <v>20500</v>
      </c>
    </row>
    <row r="108" spans="1:65" x14ac:dyDescent="0.3">
      <c r="A108" t="s">
        <v>286</v>
      </c>
      <c r="C108" t="s">
        <v>101</v>
      </c>
      <c r="D108" t="s">
        <v>102</v>
      </c>
      <c r="E108" t="s">
        <v>389</v>
      </c>
      <c r="G108" t="s">
        <v>20</v>
      </c>
      <c r="H108" t="s">
        <v>20</v>
      </c>
      <c r="I108" t="s">
        <v>105</v>
      </c>
      <c r="J108">
        <v>154220360</v>
      </c>
      <c r="K108" t="s">
        <v>433</v>
      </c>
      <c r="L108" t="s">
        <v>143</v>
      </c>
      <c r="M108">
        <v>2031</v>
      </c>
      <c r="N108">
        <v>2031</v>
      </c>
      <c r="O108" t="s">
        <v>291</v>
      </c>
      <c r="P108" s="1"/>
      <c r="Q108" s="1"/>
      <c r="R108" s="1"/>
      <c r="S10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8">
        <f>Portefeuille_MNT_PPS_Access20[[#This Row],[Délais PC1 et PC3]]+Portefeuille_MNT_PPS_Access20[[#This Row],[Délais PC3 et PC5]]</f>
        <v>0</v>
      </c>
      <c r="Y108" s="218">
        <f xml:space="preserve"> DATE(Portefeuille_MNT_PPS_Access20[[#This Row],[Année DÉBUT Travaux prévu]]- 3, 12, 15)</f>
        <v>47102</v>
      </c>
      <c r="Z108" s="218">
        <f xml:space="preserve"> DATE(Portefeuille_MNT_PPS_Access20[[#This Row],[Année DÉBUT Travaux prévu]]- 2, 12, 15)</f>
        <v>47467</v>
      </c>
      <c r="AA108" s="218">
        <f xml:space="preserve"> DATE(Portefeuille_MNT_PPS_Access20[[#This Row],[Année DÉBUT Travaux prévu]]- 1, 12, 15)</f>
        <v>47832</v>
      </c>
      <c r="AB108">
        <v>1</v>
      </c>
      <c r="AD10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8" s="12">
        <f>_xlfn.XLOOKUP(Portefeuille_MNT_PPS_Access20[[#This Row],[Numéro projet]],Tableau5[Numéro projet],Tableau5[IND_Site_Prioritaire])</f>
        <v>4.333333333333333</v>
      </c>
      <c r="AF108" s="2">
        <f>_xlfn.XLOOKUP(Portefeuille_MNT_PPS_Access20[[#This Row],[Numéro projet]],Tableau5[Numéro projet],Tableau5[Critère Etat Infrastructure])</f>
        <v>4</v>
      </c>
      <c r="AG10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46.666666666666664</v>
      </c>
      <c r="AJ108" t="s">
        <v>311</v>
      </c>
      <c r="AK108" s="2"/>
      <c r="AL108" s="63"/>
      <c r="AP108"/>
      <c r="AZ108"/>
      <c r="BA108">
        <v>100</v>
      </c>
      <c r="BC108">
        <v>200</v>
      </c>
      <c r="BD108">
        <v>5000</v>
      </c>
      <c r="BM108" s="14">
        <f>SUM(Portefeuille_MNT_PPS_Access20[[#This Row],[AC ANT]:[TR 2035]])</f>
        <v>5300</v>
      </c>
    </row>
    <row r="109" spans="1:65" x14ac:dyDescent="0.3">
      <c r="A109" t="s">
        <v>286</v>
      </c>
      <c r="C109" t="s">
        <v>101</v>
      </c>
      <c r="D109" t="s">
        <v>102</v>
      </c>
      <c r="E109" t="s">
        <v>136</v>
      </c>
      <c r="F109" t="s">
        <v>104</v>
      </c>
      <c r="G109" t="s">
        <v>20</v>
      </c>
      <c r="H109" t="s">
        <v>20</v>
      </c>
      <c r="I109" t="s">
        <v>105</v>
      </c>
      <c r="J109">
        <v>154160749</v>
      </c>
      <c r="K109" t="s">
        <v>369</v>
      </c>
      <c r="L109" t="s">
        <v>217</v>
      </c>
      <c r="M109">
        <v>2031</v>
      </c>
      <c r="N109">
        <v>2031</v>
      </c>
      <c r="O109" t="s">
        <v>291</v>
      </c>
      <c r="P109" s="1"/>
      <c r="Q109" s="1"/>
      <c r="R109" s="1"/>
      <c r="S10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0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0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0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0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09">
        <f>Portefeuille_MNT_PPS_Access20[[#This Row],[Délais PC1 et PC3]]+Portefeuille_MNT_PPS_Access20[[#This Row],[Délais PC3 et PC5]]</f>
        <v>0</v>
      </c>
      <c r="Y109" s="218">
        <f xml:space="preserve"> DATE(Portefeuille_MNT_PPS_Access20[[#This Row],[Année DÉBUT Travaux prévu]]- 3, 12, 15)</f>
        <v>47102</v>
      </c>
      <c r="Z109" s="218">
        <f xml:space="preserve"> DATE(Portefeuille_MNT_PPS_Access20[[#This Row],[Année DÉBUT Travaux prévu]]- 2, 12, 15)</f>
        <v>47467</v>
      </c>
      <c r="AA109" s="218">
        <f xml:space="preserve"> DATE(Portefeuille_MNT_PPS_Access20[[#This Row],[Année DÉBUT Travaux prévu]]- 1, 12, 15)</f>
        <v>47832</v>
      </c>
      <c r="AB109">
        <v>1</v>
      </c>
      <c r="AD10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09" s="12">
        <f>_xlfn.XLOOKUP(Portefeuille_MNT_PPS_Access20[[#This Row],[Numéro projet]],Tableau5[Numéro projet],Tableau5[IND_Site_Prioritaire])</f>
        <v>2.3333333333333335</v>
      </c>
      <c r="AF109" s="2">
        <f>_xlfn.XLOOKUP(Portefeuille_MNT_PPS_Access20[[#This Row],[Numéro projet]],Tableau5[Numéro projet],Tableau5[Critère Etat Infrastructure])</f>
        <v>5</v>
      </c>
      <c r="AG10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41.666666666666671</v>
      </c>
      <c r="AJ109" t="s">
        <v>311</v>
      </c>
      <c r="AK109" s="2"/>
      <c r="AL109" s="63"/>
      <c r="AP109"/>
      <c r="AS109">
        <v>250</v>
      </c>
      <c r="AU109">
        <v>250</v>
      </c>
      <c r="AY109">
        <v>100</v>
      </c>
      <c r="AZ109"/>
      <c r="BA109">
        <v>100</v>
      </c>
      <c r="BC109">
        <v>200</v>
      </c>
      <c r="BD109">
        <v>4700</v>
      </c>
      <c r="BE109">
        <v>500</v>
      </c>
      <c r="BF109">
        <v>3500</v>
      </c>
      <c r="BG109">
        <v>500</v>
      </c>
      <c r="BH109">
        <v>5700</v>
      </c>
      <c r="BI109">
        <v>500</v>
      </c>
      <c r="BJ109">
        <v>5000</v>
      </c>
      <c r="BM109" s="14">
        <f>SUM(Portefeuille_MNT_PPS_Access20[[#This Row],[AC ANT]:[TR 2035]])</f>
        <v>21300</v>
      </c>
    </row>
    <row r="110" spans="1:65" x14ac:dyDescent="0.3">
      <c r="A110" t="s">
        <v>286</v>
      </c>
      <c r="C110" t="s">
        <v>101</v>
      </c>
      <c r="D110" t="s">
        <v>102</v>
      </c>
      <c r="E110" t="s">
        <v>136</v>
      </c>
      <c r="G110" t="s">
        <v>20</v>
      </c>
      <c r="H110" t="s">
        <v>20</v>
      </c>
      <c r="I110" t="s">
        <v>105</v>
      </c>
      <c r="J110">
        <v>154240501</v>
      </c>
      <c r="K110" t="s">
        <v>455</v>
      </c>
      <c r="L110" t="s">
        <v>143</v>
      </c>
      <c r="M110">
        <v>2031</v>
      </c>
      <c r="N110">
        <v>2031</v>
      </c>
      <c r="O110" t="s">
        <v>291</v>
      </c>
      <c r="P110" s="1"/>
      <c r="Q110" s="1"/>
      <c r="R110" s="1"/>
      <c r="S11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0">
        <f>Portefeuille_MNT_PPS_Access20[[#This Row],[Délais PC1 et PC3]]+Portefeuille_MNT_PPS_Access20[[#This Row],[Délais PC3 et PC5]]</f>
        <v>0</v>
      </c>
      <c r="Y110" s="218">
        <f xml:space="preserve"> DATE(Portefeuille_MNT_PPS_Access20[[#This Row],[Année DÉBUT Travaux prévu]]- 3, 12, 15)</f>
        <v>47102</v>
      </c>
      <c r="Z110" s="218">
        <f xml:space="preserve"> DATE(Portefeuille_MNT_PPS_Access20[[#This Row],[Année DÉBUT Travaux prévu]]- 2, 12, 15)</f>
        <v>47467</v>
      </c>
      <c r="AA110" s="218">
        <f xml:space="preserve"> DATE(Portefeuille_MNT_PPS_Access20[[#This Row],[Année DÉBUT Travaux prévu]]- 1, 12, 15)</f>
        <v>47832</v>
      </c>
      <c r="AB110">
        <v>1</v>
      </c>
      <c r="AD11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0" s="12">
        <f>_xlfn.XLOOKUP(Portefeuille_MNT_PPS_Access20[[#This Row],[Numéro projet]],Tableau5[Numéro projet],Tableau5[IND_Site_Prioritaire])</f>
        <v>4.333333333333333</v>
      </c>
      <c r="AF110" s="2">
        <f>_xlfn.XLOOKUP(Portefeuille_MNT_PPS_Access20[[#This Row],[Numéro projet]],Tableau5[Numéro projet],Tableau5[Critère Etat Infrastructure])</f>
        <v>2</v>
      </c>
      <c r="AG11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36.666666666666664</v>
      </c>
      <c r="AJ110" t="s">
        <v>311</v>
      </c>
      <c r="AK110" s="2"/>
      <c r="AL110" s="63"/>
      <c r="AP110"/>
      <c r="AY110">
        <v>150</v>
      </c>
      <c r="AZ110"/>
      <c r="BA110">
        <v>150</v>
      </c>
      <c r="BC110">
        <v>500</v>
      </c>
      <c r="BD110">
        <v>6800</v>
      </c>
      <c r="BM110" s="14">
        <f>SUM(Portefeuille_MNT_PPS_Access20[[#This Row],[AC ANT]:[TR 2035]])</f>
        <v>7600</v>
      </c>
    </row>
    <row r="111" spans="1:65" x14ac:dyDescent="0.3">
      <c r="A111" t="s">
        <v>286</v>
      </c>
      <c r="C111" t="s">
        <v>118</v>
      </c>
      <c r="D111" t="s">
        <v>102</v>
      </c>
      <c r="E111" t="s">
        <v>103</v>
      </c>
      <c r="G111" t="s">
        <v>20</v>
      </c>
      <c r="H111" t="s">
        <v>20</v>
      </c>
      <c r="I111" t="s">
        <v>131</v>
      </c>
      <c r="J111">
        <v>154240816</v>
      </c>
      <c r="K111" t="s">
        <v>532</v>
      </c>
      <c r="L111" t="s">
        <v>187</v>
      </c>
      <c r="M111" s="213">
        <v>2033</v>
      </c>
      <c r="N111" s="213">
        <v>2034</v>
      </c>
      <c r="O111" t="s">
        <v>291</v>
      </c>
      <c r="P111" s="1"/>
      <c r="Q111" s="1"/>
      <c r="R111" s="1"/>
      <c r="S11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1">
        <f>Portefeuille_MNT_PPS_Access20[[#This Row],[Délais PC1 et PC3]]+Portefeuille_MNT_PPS_Access20[[#This Row],[Délais PC3 et PC5]]</f>
        <v>0</v>
      </c>
      <c r="Y111" s="218">
        <f xml:space="preserve"> DATE(Portefeuille_MNT_PPS_Access20[[#This Row],[Année DÉBUT Travaux prévu]]- 3, 12, 15)</f>
        <v>47832</v>
      </c>
      <c r="Z111" s="218">
        <f xml:space="preserve"> DATE(Portefeuille_MNT_PPS_Access20[[#This Row],[Année DÉBUT Travaux prévu]]- 2, 12, 15)</f>
        <v>48197</v>
      </c>
      <c r="AA111" s="218">
        <f xml:space="preserve"> DATE(Portefeuille_MNT_PPS_Access20[[#This Row],[Année DÉBUT Travaux prévu]]- 1, 12, 15)</f>
        <v>48563</v>
      </c>
      <c r="AB111">
        <v>1</v>
      </c>
      <c r="AD11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1" s="12" t="e">
        <f>_xlfn.XLOOKUP(Portefeuille_MNT_PPS_Access20[[#This Row],[Numéro projet]],Tableau5[Numéro projet],Tableau5[IND_Site_Prioritaire])</f>
        <v>#N/A</v>
      </c>
      <c r="AF111" s="2" t="e">
        <f>_xlfn.XLOOKUP(Portefeuille_MNT_PPS_Access20[[#This Row],[Numéro projet]],Tableau5[Numéro projet],Tableau5[Critère Etat Infrastructure])</f>
        <v>#N/A</v>
      </c>
      <c r="AG111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J111" t="s">
        <v>311</v>
      </c>
      <c r="AK111" s="2"/>
      <c r="AL111" s="63"/>
      <c r="AP111"/>
      <c r="AZ111"/>
      <c r="BE111">
        <v>150</v>
      </c>
      <c r="BG111">
        <v>150</v>
      </c>
      <c r="BI111">
        <v>500</v>
      </c>
      <c r="BJ111">
        <v>8000</v>
      </c>
      <c r="BM111" s="14">
        <f>SUM(Portefeuille_MNT_PPS_Access20[[#This Row],[AC ANT]:[TR 2035]])</f>
        <v>8800</v>
      </c>
    </row>
    <row r="112" spans="1:65" x14ac:dyDescent="0.3">
      <c r="A112" t="s">
        <v>286</v>
      </c>
      <c r="C112" t="s">
        <v>101</v>
      </c>
      <c r="D112" t="s">
        <v>102</v>
      </c>
      <c r="E112" t="s">
        <v>389</v>
      </c>
      <c r="G112" t="s">
        <v>20</v>
      </c>
      <c r="H112" t="s">
        <v>20</v>
      </c>
      <c r="I112" t="s">
        <v>105</v>
      </c>
      <c r="J112">
        <v>154220359</v>
      </c>
      <c r="K112" t="s">
        <v>429</v>
      </c>
      <c r="L112" t="s">
        <v>302</v>
      </c>
      <c r="M112" s="103">
        <v>2032</v>
      </c>
      <c r="N112" s="103">
        <v>2033</v>
      </c>
      <c r="O112" t="s">
        <v>291</v>
      </c>
      <c r="P112" s="1"/>
      <c r="Q112" s="1"/>
      <c r="R112" s="1"/>
      <c r="S11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2">
        <f>Portefeuille_MNT_PPS_Access20[[#This Row],[Délais PC1 et PC3]]+Portefeuille_MNT_PPS_Access20[[#This Row],[Délais PC3 et PC5]]</f>
        <v>0</v>
      </c>
      <c r="Y112" s="218">
        <f xml:space="preserve"> DATE(Portefeuille_MNT_PPS_Access20[[#This Row],[Année DÉBUT Travaux prévu]]- 3, 12, 15)</f>
        <v>47467</v>
      </c>
      <c r="Z112" s="218">
        <f xml:space="preserve"> DATE(Portefeuille_MNT_PPS_Access20[[#This Row],[Année DÉBUT Travaux prévu]]- 2, 12, 15)</f>
        <v>47832</v>
      </c>
      <c r="AA112" s="218">
        <f xml:space="preserve"> DATE(Portefeuille_MNT_PPS_Access20[[#This Row],[Année DÉBUT Travaux prévu]]- 1, 12, 15)</f>
        <v>48197</v>
      </c>
      <c r="AB112">
        <v>1</v>
      </c>
      <c r="AD11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2" s="12">
        <f>_xlfn.XLOOKUP(Portefeuille_MNT_PPS_Access20[[#This Row],[Numéro projet]],Tableau5[Numéro projet],Tableau5[IND_Site_Prioritaire])</f>
        <v>4</v>
      </c>
      <c r="AF112" s="2">
        <f>_xlfn.XLOOKUP(Portefeuille_MNT_PPS_Access20[[#This Row],[Numéro projet]],Tableau5[Numéro projet],Tableau5[Critère Etat Infrastructure])</f>
        <v>4</v>
      </c>
      <c r="AG11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45</v>
      </c>
      <c r="AJ112" t="s">
        <v>311</v>
      </c>
      <c r="AK112" s="2"/>
      <c r="AL112" s="63"/>
      <c r="AP112"/>
      <c r="AZ112"/>
      <c r="BE112">
        <v>100</v>
      </c>
      <c r="BF112" s="103">
        <v>0</v>
      </c>
      <c r="BG112">
        <v>200</v>
      </c>
      <c r="BH112">
        <v>5000</v>
      </c>
      <c r="BM112" s="14">
        <f>SUM(Portefeuille_MNT_PPS_Access20[[#This Row],[AC ANT]:[TR 2035]])</f>
        <v>5300</v>
      </c>
    </row>
    <row r="113" spans="1:65" x14ac:dyDescent="0.3">
      <c r="A113" t="s">
        <v>286</v>
      </c>
      <c r="C113" t="s">
        <v>126</v>
      </c>
      <c r="D113" t="s">
        <v>127</v>
      </c>
      <c r="E113" t="s">
        <v>103</v>
      </c>
      <c r="F113" t="s">
        <v>113</v>
      </c>
      <c r="G113" t="s">
        <v>20</v>
      </c>
      <c r="H113" t="s">
        <v>20</v>
      </c>
      <c r="I113" t="s">
        <v>105</v>
      </c>
      <c r="J113">
        <v>154230840</v>
      </c>
      <c r="K113" t="s">
        <v>526</v>
      </c>
      <c r="L113" t="s">
        <v>168</v>
      </c>
      <c r="M113" s="215">
        <v>2030</v>
      </c>
      <c r="N113" s="215">
        <v>2032</v>
      </c>
      <c r="O113" t="s">
        <v>291</v>
      </c>
      <c r="P113" s="1"/>
      <c r="Q113" s="1"/>
      <c r="R113" s="1"/>
      <c r="S11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3">
        <f>Portefeuille_MNT_PPS_Access20[[#This Row],[Délais PC1 et PC3]]+Portefeuille_MNT_PPS_Access20[[#This Row],[Délais PC3 et PC5]]</f>
        <v>0</v>
      </c>
      <c r="Y113" s="218">
        <f xml:space="preserve"> DATE(Portefeuille_MNT_PPS_Access20[[#This Row],[Année DÉBUT Travaux prévu]]- 3, 12, 15)</f>
        <v>46736</v>
      </c>
      <c r="Z113" s="218">
        <f xml:space="preserve"> DATE(Portefeuille_MNT_PPS_Access20[[#This Row],[Année DÉBUT Travaux prévu]]- 2, 12, 15)</f>
        <v>47102</v>
      </c>
      <c r="AA113" s="218">
        <f xml:space="preserve"> DATE(Portefeuille_MNT_PPS_Access20[[#This Row],[Année DÉBUT Travaux prévu]]- 1, 12, 15)</f>
        <v>47467</v>
      </c>
      <c r="AB113">
        <v>1</v>
      </c>
      <c r="AD11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3" s="12">
        <f>_xlfn.XLOOKUP(Portefeuille_MNT_PPS_Access20[[#This Row],[Numéro projet]],Tableau5[Numéro projet],Tableau5[IND_Site_Prioritaire])</f>
        <v>3.3333333333333335</v>
      </c>
      <c r="AF113" s="2">
        <f>_xlfn.XLOOKUP(Portefeuille_MNT_PPS_Access20[[#This Row],[Numéro projet]],Tableau5[Numéro projet],Tableau5[Critère Etat Infrastructure])</f>
        <v>1</v>
      </c>
      <c r="AG11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26.666666666666668</v>
      </c>
      <c r="AJ113" t="s">
        <v>311</v>
      </c>
      <c r="AK113" s="2"/>
      <c r="AL113" s="63"/>
      <c r="AP113"/>
      <c r="BA113">
        <v>200</v>
      </c>
      <c r="BC113">
        <v>200</v>
      </c>
      <c r="BE113">
        <v>500</v>
      </c>
      <c r="BF113">
        <v>7500</v>
      </c>
      <c r="BG113">
        <v>500</v>
      </c>
      <c r="BH113">
        <v>7500</v>
      </c>
      <c r="BM113" s="14">
        <f>SUM(Portefeuille_MNT_PPS_Access20[[#This Row],[AC ANT]:[TR 2035]])</f>
        <v>16400</v>
      </c>
    </row>
    <row r="114" spans="1:65" x14ac:dyDescent="0.3">
      <c r="A114" t="s">
        <v>286</v>
      </c>
      <c r="C114" t="s">
        <v>118</v>
      </c>
      <c r="D114" t="s">
        <v>102</v>
      </c>
      <c r="E114" t="s">
        <v>389</v>
      </c>
      <c r="G114" t="s">
        <v>20</v>
      </c>
      <c r="H114" t="s">
        <v>20</v>
      </c>
      <c r="I114" t="s">
        <v>105</v>
      </c>
      <c r="J114">
        <v>154220358</v>
      </c>
      <c r="K114" t="s">
        <v>425</v>
      </c>
      <c r="L114" t="s">
        <v>205</v>
      </c>
      <c r="M114" s="2">
        <v>2033</v>
      </c>
      <c r="N114" s="2">
        <v>2033</v>
      </c>
      <c r="O114" t="s">
        <v>291</v>
      </c>
      <c r="P114" s="1"/>
      <c r="Q114" s="1"/>
      <c r="R114" s="1"/>
      <c r="S11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4">
        <f>Portefeuille_MNT_PPS_Access20[[#This Row],[Délais PC1 et PC3]]+Portefeuille_MNT_PPS_Access20[[#This Row],[Délais PC3 et PC5]]</f>
        <v>0</v>
      </c>
      <c r="Y114" s="218">
        <f xml:space="preserve"> DATE(Portefeuille_MNT_PPS_Access20[[#This Row],[Année DÉBUT Travaux prévu]]- 3, 12, 15)</f>
        <v>47832</v>
      </c>
      <c r="Z114" s="218">
        <f xml:space="preserve"> DATE(Portefeuille_MNT_PPS_Access20[[#This Row],[Année DÉBUT Travaux prévu]]- 2, 12, 15)</f>
        <v>48197</v>
      </c>
      <c r="AA114" s="218">
        <f xml:space="preserve"> DATE(Portefeuille_MNT_PPS_Access20[[#This Row],[Année DÉBUT Travaux prévu]]- 1, 12, 15)</f>
        <v>48563</v>
      </c>
      <c r="AB114">
        <v>1</v>
      </c>
      <c r="AD11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4" s="12">
        <f>_xlfn.XLOOKUP(Portefeuille_MNT_PPS_Access20[[#This Row],[Numéro projet]],Tableau5[Numéro projet],Tableau5[IND_Site_Prioritaire])</f>
        <v>3.3333333333333335</v>
      </c>
      <c r="AF114" s="2">
        <f>_xlfn.XLOOKUP(Portefeuille_MNT_PPS_Access20[[#This Row],[Numéro projet]],Tableau5[Numéro projet],Tableau5[Critère Etat Infrastructure])</f>
        <v>3</v>
      </c>
      <c r="AG11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36.666666666666664</v>
      </c>
      <c r="AJ114" t="s">
        <v>311</v>
      </c>
      <c r="AK114" s="2"/>
      <c r="AL114" s="63"/>
      <c r="AP114"/>
      <c r="AZ114"/>
      <c r="BE114">
        <v>100</v>
      </c>
      <c r="BG114">
        <v>200</v>
      </c>
      <c r="BH114">
        <v>5000</v>
      </c>
      <c r="BM114" s="14">
        <f>SUM(Portefeuille_MNT_PPS_Access20[[#This Row],[AC ANT]:[TR 2035]])</f>
        <v>5300</v>
      </c>
    </row>
    <row r="115" spans="1:65" x14ac:dyDescent="0.3">
      <c r="A115" t="s">
        <v>286</v>
      </c>
      <c r="C115" t="s">
        <v>118</v>
      </c>
      <c r="D115" t="s">
        <v>102</v>
      </c>
      <c r="E115" t="s">
        <v>136</v>
      </c>
      <c r="G115" t="s">
        <v>20</v>
      </c>
      <c r="H115" t="s">
        <v>20</v>
      </c>
      <c r="I115" t="s">
        <v>131</v>
      </c>
      <c r="J115">
        <v>154240509</v>
      </c>
      <c r="K115" t="s">
        <v>471</v>
      </c>
      <c r="L115" t="s">
        <v>191</v>
      </c>
      <c r="M115">
        <v>2031</v>
      </c>
      <c r="N115">
        <v>2031</v>
      </c>
      <c r="O115" t="s">
        <v>291</v>
      </c>
      <c r="P115" s="1"/>
      <c r="Q115" s="1"/>
      <c r="R115" s="1"/>
      <c r="S11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5">
        <f>Portefeuille_MNT_PPS_Access20[[#This Row],[Délais PC1 et PC3]]+Portefeuille_MNT_PPS_Access20[[#This Row],[Délais PC3 et PC5]]</f>
        <v>0</v>
      </c>
      <c r="Y115" s="218">
        <f xml:space="preserve"> DATE(Portefeuille_MNT_PPS_Access20[[#This Row],[Année DÉBUT Travaux prévu]]- 3, 12, 15)</f>
        <v>47102</v>
      </c>
      <c r="Z115" s="218">
        <f xml:space="preserve"> DATE(Portefeuille_MNT_PPS_Access20[[#This Row],[Année DÉBUT Travaux prévu]]- 2, 12, 15)</f>
        <v>47467</v>
      </c>
      <c r="AA115" s="218">
        <f xml:space="preserve"> DATE(Portefeuille_MNT_PPS_Access20[[#This Row],[Année DÉBUT Travaux prévu]]- 1, 12, 15)</f>
        <v>47832</v>
      </c>
      <c r="AB115">
        <v>1</v>
      </c>
      <c r="AD11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5" s="12">
        <f>_xlfn.XLOOKUP(Portefeuille_MNT_PPS_Access20[[#This Row],[Numéro projet]],Tableau5[Numéro projet],Tableau5[IND_Site_Prioritaire])</f>
        <v>1.6666666666666667</v>
      </c>
      <c r="AF115" s="2">
        <f>_xlfn.XLOOKUP(Portefeuille_MNT_PPS_Access20[[#This Row],[Numéro projet]],Tableau5[Numéro projet],Tableau5[Critère Etat Infrastructure])</f>
        <v>5</v>
      </c>
      <c r="AG11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38.333333333333336</v>
      </c>
      <c r="AJ115" t="s">
        <v>311</v>
      </c>
      <c r="AK115" s="2"/>
      <c r="AL115" s="63"/>
      <c r="AP115"/>
      <c r="AW115">
        <v>50</v>
      </c>
      <c r="AY115">
        <v>50</v>
      </c>
      <c r="AZ115"/>
      <c r="BA115">
        <v>100</v>
      </c>
      <c r="BC115">
        <v>200</v>
      </c>
      <c r="BD115">
        <v>3000</v>
      </c>
      <c r="BM115" s="14">
        <f>SUM(Portefeuille_MNT_PPS_Access20[[#This Row],[AC ANT]:[TR 2035]])</f>
        <v>3400</v>
      </c>
    </row>
    <row r="116" spans="1:65" x14ac:dyDescent="0.3">
      <c r="A116" t="s">
        <v>286</v>
      </c>
      <c r="C116" t="s">
        <v>101</v>
      </c>
      <c r="D116" t="s">
        <v>102</v>
      </c>
      <c r="E116" t="s">
        <v>136</v>
      </c>
      <c r="G116" t="s">
        <v>20</v>
      </c>
      <c r="H116" t="s">
        <v>20</v>
      </c>
      <c r="I116" t="s">
        <v>105</v>
      </c>
      <c r="J116">
        <v>154240505</v>
      </c>
      <c r="K116" t="s">
        <v>463</v>
      </c>
      <c r="L116" t="s">
        <v>230</v>
      </c>
      <c r="M116">
        <v>2033</v>
      </c>
      <c r="N116">
        <v>2033</v>
      </c>
      <c r="O116" t="s">
        <v>291</v>
      </c>
      <c r="P116" s="1"/>
      <c r="Q116" s="1"/>
      <c r="R116" s="1"/>
      <c r="S11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6">
        <f>Portefeuille_MNT_PPS_Access20[[#This Row],[Délais PC1 et PC3]]+Portefeuille_MNT_PPS_Access20[[#This Row],[Délais PC3 et PC5]]</f>
        <v>0</v>
      </c>
      <c r="Y116" s="218">
        <f xml:space="preserve"> DATE(Portefeuille_MNT_PPS_Access20[[#This Row],[Année DÉBUT Travaux prévu]]- 3, 12, 15)</f>
        <v>47832</v>
      </c>
      <c r="Z116" s="218">
        <f xml:space="preserve"> DATE(Portefeuille_MNT_PPS_Access20[[#This Row],[Année DÉBUT Travaux prévu]]- 2, 12, 15)</f>
        <v>48197</v>
      </c>
      <c r="AA116" s="218">
        <f xml:space="preserve"> DATE(Portefeuille_MNT_PPS_Access20[[#This Row],[Année DÉBUT Travaux prévu]]- 1, 12, 15)</f>
        <v>48563</v>
      </c>
      <c r="AB116">
        <v>1</v>
      </c>
      <c r="AD11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6" s="12">
        <f>_xlfn.XLOOKUP(Portefeuille_MNT_PPS_Access20[[#This Row],[Numéro projet]],Tableau5[Numéro projet],Tableau5[IND_Site_Prioritaire])</f>
        <v>3</v>
      </c>
      <c r="AF116" s="2">
        <f>_xlfn.XLOOKUP(Portefeuille_MNT_PPS_Access20[[#This Row],[Numéro projet]],Tableau5[Numéro projet],Tableau5[Critère Etat Infrastructure])</f>
        <v>2</v>
      </c>
      <c r="AG11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30</v>
      </c>
      <c r="AJ116" t="s">
        <v>311</v>
      </c>
      <c r="AK116" s="2"/>
      <c r="AL116" s="63"/>
      <c r="AP116"/>
      <c r="AZ116"/>
      <c r="BC116">
        <v>150</v>
      </c>
      <c r="BE116">
        <v>150</v>
      </c>
      <c r="BG116">
        <v>500</v>
      </c>
      <c r="BH116">
        <v>6800</v>
      </c>
      <c r="BM116" s="14">
        <f>SUM(Portefeuille_MNT_PPS_Access20[[#This Row],[AC ANT]:[TR 2035]])</f>
        <v>7600</v>
      </c>
    </row>
    <row r="117" spans="1:65" x14ac:dyDescent="0.3">
      <c r="A117" t="s">
        <v>286</v>
      </c>
      <c r="C117" t="s">
        <v>101</v>
      </c>
      <c r="D117" t="s">
        <v>102</v>
      </c>
      <c r="E117" t="s">
        <v>136</v>
      </c>
      <c r="G117" t="s">
        <v>20</v>
      </c>
      <c r="H117" t="s">
        <v>20</v>
      </c>
      <c r="I117" t="s">
        <v>105</v>
      </c>
      <c r="J117">
        <v>154240506</v>
      </c>
      <c r="K117" t="s">
        <v>465</v>
      </c>
      <c r="L117" t="s">
        <v>116</v>
      </c>
      <c r="M117">
        <v>2033</v>
      </c>
      <c r="N117">
        <v>2033</v>
      </c>
      <c r="O117" t="s">
        <v>291</v>
      </c>
      <c r="P117" s="1"/>
      <c r="Q117" s="1"/>
      <c r="R117" s="1"/>
      <c r="S11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7">
        <f>Portefeuille_MNT_PPS_Access20[[#This Row],[Délais PC1 et PC3]]+Portefeuille_MNT_PPS_Access20[[#This Row],[Délais PC3 et PC5]]</f>
        <v>0</v>
      </c>
      <c r="Y117" s="218">
        <f xml:space="preserve"> DATE(Portefeuille_MNT_PPS_Access20[[#This Row],[Année DÉBUT Travaux prévu]]- 3, 12, 15)</f>
        <v>47832</v>
      </c>
      <c r="Z117" s="218">
        <f xml:space="preserve"> DATE(Portefeuille_MNT_PPS_Access20[[#This Row],[Année DÉBUT Travaux prévu]]- 2, 12, 15)</f>
        <v>48197</v>
      </c>
      <c r="AA117" s="218">
        <f xml:space="preserve"> DATE(Portefeuille_MNT_PPS_Access20[[#This Row],[Année DÉBUT Travaux prévu]]- 1, 12, 15)</f>
        <v>48563</v>
      </c>
      <c r="AB117">
        <v>1</v>
      </c>
      <c r="AD11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7" s="12">
        <f>_xlfn.XLOOKUP(Portefeuille_MNT_PPS_Access20[[#This Row],[Numéro projet]],Tableau5[Numéro projet],Tableau5[IND_Site_Prioritaire])</f>
        <v>3</v>
      </c>
      <c r="AF117" s="2">
        <f>_xlfn.XLOOKUP(Portefeuille_MNT_PPS_Access20[[#This Row],[Numéro projet]],Tableau5[Numéro projet],Tableau5[Critère Etat Infrastructure])</f>
        <v>2</v>
      </c>
      <c r="AG11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30</v>
      </c>
      <c r="AJ117" t="s">
        <v>311</v>
      </c>
      <c r="AK117" s="2"/>
      <c r="AL117" s="63"/>
      <c r="AP117"/>
      <c r="AZ117"/>
      <c r="BC117">
        <v>150</v>
      </c>
      <c r="BE117">
        <v>150</v>
      </c>
      <c r="BG117">
        <v>500</v>
      </c>
      <c r="BH117">
        <v>6800</v>
      </c>
      <c r="BM117" s="14">
        <f>SUM(Portefeuille_MNT_PPS_Access20[[#This Row],[AC ANT]:[TR 2035]])</f>
        <v>7600</v>
      </c>
    </row>
    <row r="118" spans="1:65" x14ac:dyDescent="0.3">
      <c r="A118" t="s">
        <v>286</v>
      </c>
      <c r="C118" t="s">
        <v>101</v>
      </c>
      <c r="D118" t="s">
        <v>102</v>
      </c>
      <c r="E118" t="s">
        <v>136</v>
      </c>
      <c r="G118" t="s">
        <v>20</v>
      </c>
      <c r="H118" t="s">
        <v>20</v>
      </c>
      <c r="I118" t="s">
        <v>105</v>
      </c>
      <c r="J118">
        <v>154240502</v>
      </c>
      <c r="K118" t="s">
        <v>457</v>
      </c>
      <c r="L118" t="s">
        <v>402</v>
      </c>
      <c r="M118">
        <v>2033</v>
      </c>
      <c r="N118">
        <v>2033</v>
      </c>
      <c r="O118" t="s">
        <v>291</v>
      </c>
      <c r="P118" s="1"/>
      <c r="Q118" s="1"/>
      <c r="R118" s="1"/>
      <c r="S11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8">
        <f>Portefeuille_MNT_PPS_Access20[[#This Row],[Délais PC1 et PC3]]+Portefeuille_MNT_PPS_Access20[[#This Row],[Délais PC3 et PC5]]</f>
        <v>0</v>
      </c>
      <c r="Y118" s="218">
        <f xml:space="preserve"> DATE(Portefeuille_MNT_PPS_Access20[[#This Row],[Année DÉBUT Travaux prévu]]- 3, 12, 15)</f>
        <v>47832</v>
      </c>
      <c r="Z118" s="218">
        <f xml:space="preserve"> DATE(Portefeuille_MNT_PPS_Access20[[#This Row],[Année DÉBUT Travaux prévu]]- 2, 12, 15)</f>
        <v>48197</v>
      </c>
      <c r="AA118" s="218">
        <f xml:space="preserve"> DATE(Portefeuille_MNT_PPS_Access20[[#This Row],[Année DÉBUT Travaux prévu]]- 1, 12, 15)</f>
        <v>48563</v>
      </c>
      <c r="AB118">
        <v>1</v>
      </c>
      <c r="AD11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8" s="12">
        <f>_xlfn.XLOOKUP(Portefeuille_MNT_PPS_Access20[[#This Row],[Numéro projet]],Tableau5[Numéro projet],Tableau5[IND_Site_Prioritaire])</f>
        <v>2.6666666666666665</v>
      </c>
      <c r="AF118" s="2">
        <f>_xlfn.XLOOKUP(Portefeuille_MNT_PPS_Access20[[#This Row],[Numéro projet]],Tableau5[Numéro projet],Tableau5[Critère Etat Infrastructure])</f>
        <v>2</v>
      </c>
      <c r="AG11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28.333333333333332</v>
      </c>
      <c r="AJ118" t="s">
        <v>311</v>
      </c>
      <c r="AK118" s="2"/>
      <c r="AL118" s="63"/>
      <c r="AP118"/>
      <c r="AZ118"/>
      <c r="BC118">
        <v>150</v>
      </c>
      <c r="BE118">
        <v>150</v>
      </c>
      <c r="BG118">
        <v>500</v>
      </c>
      <c r="BH118">
        <v>6800</v>
      </c>
      <c r="BM118" s="14">
        <f>SUM(Portefeuille_MNT_PPS_Access20[[#This Row],[AC ANT]:[TR 2035]])</f>
        <v>7600</v>
      </c>
    </row>
    <row r="119" spans="1:65" x14ac:dyDescent="0.3">
      <c r="A119" t="s">
        <v>286</v>
      </c>
      <c r="C119" t="s">
        <v>101</v>
      </c>
      <c r="D119" t="s">
        <v>102</v>
      </c>
      <c r="E119" t="s">
        <v>103</v>
      </c>
      <c r="G119" t="s">
        <v>20</v>
      </c>
      <c r="H119" t="s">
        <v>20</v>
      </c>
      <c r="I119" t="s">
        <v>105</v>
      </c>
      <c r="J119">
        <v>154240508</v>
      </c>
      <c r="K119" t="s">
        <v>469</v>
      </c>
      <c r="L119" t="s">
        <v>143</v>
      </c>
      <c r="M119" s="8">
        <v>2033</v>
      </c>
      <c r="N119" s="8">
        <v>2033</v>
      </c>
      <c r="O119" t="s">
        <v>291</v>
      </c>
      <c r="P119" s="1"/>
      <c r="Q119" s="1"/>
      <c r="R119" s="1"/>
      <c r="S11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1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1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1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1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19">
        <f>Portefeuille_MNT_PPS_Access20[[#This Row],[Délais PC1 et PC3]]+Portefeuille_MNT_PPS_Access20[[#This Row],[Délais PC3 et PC5]]</f>
        <v>0</v>
      </c>
      <c r="Y119" s="218">
        <f xml:space="preserve"> DATE(Portefeuille_MNT_PPS_Access20[[#This Row],[Année DÉBUT Travaux prévu]]- 3, 12, 15)</f>
        <v>47832</v>
      </c>
      <c r="Z119" s="218">
        <f xml:space="preserve"> DATE(Portefeuille_MNT_PPS_Access20[[#This Row],[Année DÉBUT Travaux prévu]]- 2, 12, 15)</f>
        <v>48197</v>
      </c>
      <c r="AA119" s="218">
        <f xml:space="preserve"> DATE(Portefeuille_MNT_PPS_Access20[[#This Row],[Année DÉBUT Travaux prévu]]- 1, 12, 15)</f>
        <v>48563</v>
      </c>
      <c r="AB119">
        <v>1</v>
      </c>
      <c r="AD11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19" s="12">
        <f>_xlfn.XLOOKUP(Portefeuille_MNT_PPS_Access20[[#This Row],[Numéro projet]],Tableau5[Numéro projet],Tableau5[IND_Site_Prioritaire])</f>
        <v>4.333333333333333</v>
      </c>
      <c r="AF119" s="2">
        <f>_xlfn.XLOOKUP(Portefeuille_MNT_PPS_Access20[[#This Row],[Numéro projet]],Tableau5[Numéro projet],Tableau5[Critère Etat Infrastructure])</f>
        <v>1</v>
      </c>
      <c r="AG11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31.666666666666664</v>
      </c>
      <c r="AJ119" t="s">
        <v>311</v>
      </c>
      <c r="AK119" s="2"/>
      <c r="AL119" s="63"/>
      <c r="AP119"/>
      <c r="AZ119"/>
      <c r="BE119">
        <v>375</v>
      </c>
      <c r="BG119">
        <v>750</v>
      </c>
      <c r="BI119">
        <v>1000</v>
      </c>
      <c r="BJ119">
        <v>59000</v>
      </c>
      <c r="BM119" s="14">
        <f>SUM(Portefeuille_MNT_PPS_Access20[[#This Row],[AC ANT]:[TR 2035]])</f>
        <v>61125</v>
      </c>
    </row>
    <row r="120" spans="1:65" x14ac:dyDescent="0.3">
      <c r="A120" t="s">
        <v>286</v>
      </c>
      <c r="C120" t="s">
        <v>101</v>
      </c>
      <c r="D120" t="s">
        <v>102</v>
      </c>
      <c r="E120" t="s">
        <v>136</v>
      </c>
      <c r="G120" t="s">
        <v>20</v>
      </c>
      <c r="H120" t="s">
        <v>20</v>
      </c>
      <c r="I120" t="s">
        <v>105</v>
      </c>
      <c r="J120">
        <v>154240503</v>
      </c>
      <c r="K120" t="s">
        <v>459</v>
      </c>
      <c r="L120" t="s">
        <v>239</v>
      </c>
      <c r="M120">
        <v>2033</v>
      </c>
      <c r="N120">
        <v>2033</v>
      </c>
      <c r="O120" t="s">
        <v>291</v>
      </c>
      <c r="P120" s="1"/>
      <c r="Q120" s="1"/>
      <c r="R120" s="1"/>
      <c r="S120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0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0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0">
        <f>Portefeuille_MNT_PPS_Access20[[#This Row],[Délais PC1 et PC3]]+Portefeuille_MNT_PPS_Access20[[#This Row],[Délais PC3 et PC5]]</f>
        <v>0</v>
      </c>
      <c r="Y120" s="218">
        <f xml:space="preserve"> DATE(Portefeuille_MNT_PPS_Access20[[#This Row],[Année DÉBUT Travaux prévu]]- 3, 12, 15)</f>
        <v>47832</v>
      </c>
      <c r="Z120" s="218">
        <f xml:space="preserve"> DATE(Portefeuille_MNT_PPS_Access20[[#This Row],[Année DÉBUT Travaux prévu]]- 2, 12, 15)</f>
        <v>48197</v>
      </c>
      <c r="AA120" s="218">
        <f xml:space="preserve"> DATE(Portefeuille_MNT_PPS_Access20[[#This Row],[Année DÉBUT Travaux prévu]]- 1, 12, 15)</f>
        <v>48563</v>
      </c>
      <c r="AB120">
        <v>1</v>
      </c>
      <c r="AD12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0" s="12">
        <f>_xlfn.XLOOKUP(Portefeuille_MNT_PPS_Access20[[#This Row],[Numéro projet]],Tableau5[Numéro projet],Tableau5[IND_Site_Prioritaire])</f>
        <v>3.3333333333333335</v>
      </c>
      <c r="AF120" s="2">
        <f>_xlfn.XLOOKUP(Portefeuille_MNT_PPS_Access20[[#This Row],[Numéro projet]],Tableau5[Numéro projet],Tableau5[Critère Etat Infrastructure])</f>
        <v>2</v>
      </c>
      <c r="AG12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31.666666666666671</v>
      </c>
      <c r="AJ120" t="s">
        <v>311</v>
      </c>
      <c r="AK120" s="2"/>
      <c r="AL120" s="63"/>
      <c r="AP120"/>
      <c r="AZ120"/>
      <c r="BC120">
        <v>150</v>
      </c>
      <c r="BE120">
        <v>150</v>
      </c>
      <c r="BG120">
        <v>500</v>
      </c>
      <c r="BH120">
        <v>6500</v>
      </c>
      <c r="BM120" s="14">
        <f>SUM(Portefeuille_MNT_PPS_Access20[[#This Row],[AC ANT]:[TR 2035]])</f>
        <v>7300</v>
      </c>
    </row>
    <row r="121" spans="1:65" x14ac:dyDescent="0.3">
      <c r="A121" t="s">
        <v>286</v>
      </c>
      <c r="C121" t="s">
        <v>126</v>
      </c>
      <c r="D121" t="s">
        <v>127</v>
      </c>
      <c r="E121" t="s">
        <v>103</v>
      </c>
      <c r="G121" t="s">
        <v>20</v>
      </c>
      <c r="H121" t="s">
        <v>20</v>
      </c>
      <c r="I121" t="s">
        <v>105</v>
      </c>
      <c r="J121">
        <v>154240511</v>
      </c>
      <c r="K121" t="s">
        <v>528</v>
      </c>
      <c r="L121" t="s">
        <v>108</v>
      </c>
      <c r="M121" s="8">
        <v>2034</v>
      </c>
      <c r="N121" s="8">
        <v>2034</v>
      </c>
      <c r="O121" t="s">
        <v>291</v>
      </c>
      <c r="P121" s="1"/>
      <c r="Q121" s="1"/>
      <c r="R121" s="1"/>
      <c r="S12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1">
        <f>Portefeuille_MNT_PPS_Access20[[#This Row],[Délais PC1 et PC3]]+Portefeuille_MNT_PPS_Access20[[#This Row],[Délais PC3 et PC5]]</f>
        <v>0</v>
      </c>
      <c r="Y121" s="218">
        <f xml:space="preserve"> DATE(Portefeuille_MNT_PPS_Access20[[#This Row],[Année DÉBUT Travaux prévu]]- 3, 12, 15)</f>
        <v>48197</v>
      </c>
      <c r="Z121" s="218">
        <f xml:space="preserve"> DATE(Portefeuille_MNT_PPS_Access20[[#This Row],[Année DÉBUT Travaux prévu]]- 2, 12, 15)</f>
        <v>48563</v>
      </c>
      <c r="AA121" s="218">
        <f xml:space="preserve"> DATE(Portefeuille_MNT_PPS_Access20[[#This Row],[Année DÉBUT Travaux prévu]]- 1, 12, 15)</f>
        <v>48928</v>
      </c>
      <c r="AB121">
        <v>1</v>
      </c>
      <c r="AD12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1" s="12">
        <f>_xlfn.XLOOKUP(Portefeuille_MNT_PPS_Access20[[#This Row],[Numéro projet]],Tableau5[Numéro projet],Tableau5[IND_Site_Prioritaire])</f>
        <v>4</v>
      </c>
      <c r="AF121" s="2">
        <f>_xlfn.XLOOKUP(Portefeuille_MNT_PPS_Access20[[#This Row],[Numéro projet]],Tableau5[Numéro projet],Tableau5[Critère Etat Infrastructure])</f>
        <v>2</v>
      </c>
      <c r="AG12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35</v>
      </c>
      <c r="AJ121" t="s">
        <v>311</v>
      </c>
      <c r="AK121" s="2"/>
      <c r="AL121" s="63"/>
      <c r="AP121"/>
      <c r="AZ121"/>
      <c r="BE121">
        <v>375</v>
      </c>
      <c r="BG121">
        <v>375</v>
      </c>
      <c r="BI121">
        <v>500</v>
      </c>
      <c r="BJ121">
        <v>9000</v>
      </c>
      <c r="BK121">
        <v>500</v>
      </c>
      <c r="BL121">
        <v>28000</v>
      </c>
      <c r="BM121" s="14">
        <f>SUM(Portefeuille_MNT_PPS_Access20[[#This Row],[AC ANT]:[TR 2035]])</f>
        <v>38750</v>
      </c>
    </row>
    <row r="122" spans="1:65" x14ac:dyDescent="0.3">
      <c r="A122" t="s">
        <v>286</v>
      </c>
      <c r="C122" t="s">
        <v>101</v>
      </c>
      <c r="D122" t="s">
        <v>102</v>
      </c>
      <c r="E122" t="s">
        <v>136</v>
      </c>
      <c r="G122" t="s">
        <v>20</v>
      </c>
      <c r="H122" t="s">
        <v>20</v>
      </c>
      <c r="I122" t="s">
        <v>105</v>
      </c>
      <c r="J122">
        <v>154240504</v>
      </c>
      <c r="K122" t="s">
        <v>461</v>
      </c>
      <c r="L122" t="s">
        <v>108</v>
      </c>
      <c r="M122">
        <v>2034</v>
      </c>
      <c r="N122">
        <v>2034</v>
      </c>
      <c r="O122" t="s">
        <v>291</v>
      </c>
      <c r="P122" s="1"/>
      <c r="Q122" s="1"/>
      <c r="R122" s="1"/>
      <c r="S12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2">
        <f>Portefeuille_MNT_PPS_Access20[[#This Row],[Délais PC1 et PC3]]+Portefeuille_MNT_PPS_Access20[[#This Row],[Délais PC3 et PC5]]</f>
        <v>0</v>
      </c>
      <c r="Y122" s="218">
        <f xml:space="preserve"> DATE(Portefeuille_MNT_PPS_Access20[[#This Row],[Année DÉBUT Travaux prévu]]- 3, 12, 15)</f>
        <v>48197</v>
      </c>
      <c r="Z122" s="218">
        <f xml:space="preserve"> DATE(Portefeuille_MNT_PPS_Access20[[#This Row],[Année DÉBUT Travaux prévu]]- 2, 12, 15)</f>
        <v>48563</v>
      </c>
      <c r="AA122" s="218">
        <f xml:space="preserve"> DATE(Portefeuille_MNT_PPS_Access20[[#This Row],[Année DÉBUT Travaux prévu]]- 1, 12, 15)</f>
        <v>48928</v>
      </c>
      <c r="AB122">
        <v>1</v>
      </c>
      <c r="AD12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2" s="12">
        <f>_xlfn.XLOOKUP(Portefeuille_MNT_PPS_Access20[[#This Row],[Numéro projet]],Tableau5[Numéro projet],Tableau5[IND_Site_Prioritaire])</f>
        <v>4</v>
      </c>
      <c r="AF122" s="2">
        <f>_xlfn.XLOOKUP(Portefeuille_MNT_PPS_Access20[[#This Row],[Numéro projet]],Tableau5[Numéro projet],Tableau5[Critère Etat Infrastructure])</f>
        <v>2</v>
      </c>
      <c r="AG12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35</v>
      </c>
      <c r="AJ122" t="s">
        <v>311</v>
      </c>
      <c r="AK122" s="2"/>
      <c r="AL122" s="63"/>
      <c r="AP122"/>
      <c r="AZ122"/>
      <c r="BE122">
        <v>150</v>
      </c>
      <c r="BG122">
        <v>150</v>
      </c>
      <c r="BI122">
        <v>500</v>
      </c>
      <c r="BJ122">
        <v>7400</v>
      </c>
      <c r="BM122" s="14">
        <f>SUM(Portefeuille_MNT_PPS_Access20[[#This Row],[AC ANT]:[TR 2035]])</f>
        <v>8200</v>
      </c>
    </row>
    <row r="123" spans="1:65" x14ac:dyDescent="0.3">
      <c r="A123" t="s">
        <v>286</v>
      </c>
      <c r="C123" t="s">
        <v>101</v>
      </c>
      <c r="D123" t="s">
        <v>102</v>
      </c>
      <c r="E123" t="s">
        <v>103</v>
      </c>
      <c r="G123" t="s">
        <v>20</v>
      </c>
      <c r="H123" t="s">
        <v>20</v>
      </c>
      <c r="I123" t="s">
        <v>105</v>
      </c>
      <c r="J123">
        <v>154240507</v>
      </c>
      <c r="K123" t="s">
        <v>467</v>
      </c>
      <c r="L123" t="s">
        <v>108</v>
      </c>
      <c r="M123" s="219">
        <v>2035</v>
      </c>
      <c r="N123" s="219">
        <v>2035</v>
      </c>
      <c r="O123" t="s">
        <v>291</v>
      </c>
      <c r="P123" s="1"/>
      <c r="Q123" s="1"/>
      <c r="R123" s="1"/>
      <c r="S12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3">
        <f>Portefeuille_MNT_PPS_Access20[[#This Row],[Délais PC1 et PC3]]+Portefeuille_MNT_PPS_Access20[[#This Row],[Délais PC3 et PC5]]</f>
        <v>0</v>
      </c>
      <c r="Y123" s="218">
        <f xml:space="preserve"> DATE(Portefeuille_MNT_PPS_Access20[[#This Row],[Année DÉBUT Travaux prévu]]- 3, 12, 15)</f>
        <v>48563</v>
      </c>
      <c r="Z123" s="218">
        <f xml:space="preserve"> DATE(Portefeuille_MNT_PPS_Access20[[#This Row],[Année DÉBUT Travaux prévu]]- 2, 12, 15)</f>
        <v>48928</v>
      </c>
      <c r="AA123" s="218">
        <f xml:space="preserve"> DATE(Portefeuille_MNT_PPS_Access20[[#This Row],[Année DÉBUT Travaux prévu]]- 1, 12, 15)</f>
        <v>49293</v>
      </c>
      <c r="AB123">
        <v>1</v>
      </c>
      <c r="AD12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3" s="12">
        <f>_xlfn.XLOOKUP(Portefeuille_MNT_PPS_Access20[[#This Row],[Numéro projet]],Tableau5[Numéro projet],Tableau5[IND_Site_Prioritaire])</f>
        <v>4</v>
      </c>
      <c r="AF123" s="2">
        <f>_xlfn.XLOOKUP(Portefeuille_MNT_PPS_Access20[[#This Row],[Numéro projet]],Tableau5[Numéro projet],Tableau5[Critère Etat Infrastructure])</f>
        <v>2</v>
      </c>
      <c r="AG12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35</v>
      </c>
      <c r="AJ123" t="s">
        <v>311</v>
      </c>
      <c r="AK123" s="2"/>
      <c r="AL123" s="63"/>
      <c r="AP123"/>
      <c r="AZ123"/>
      <c r="BG123">
        <v>375</v>
      </c>
      <c r="BI123">
        <v>375</v>
      </c>
      <c r="BK123">
        <v>750</v>
      </c>
      <c r="BL123">
        <v>45000</v>
      </c>
      <c r="BM123" s="14">
        <f>SUM(Portefeuille_MNT_PPS_Access20[[#This Row],[AC ANT]:[TR 2035]])</f>
        <v>46500</v>
      </c>
    </row>
    <row r="124" spans="1:65" x14ac:dyDescent="0.3">
      <c r="A124" t="s">
        <v>286</v>
      </c>
      <c r="C124" t="s">
        <v>101</v>
      </c>
      <c r="D124" t="s">
        <v>102</v>
      </c>
      <c r="E124" t="s">
        <v>103</v>
      </c>
      <c r="G124" t="s">
        <v>20</v>
      </c>
      <c r="H124" t="s">
        <v>20</v>
      </c>
      <c r="I124" t="s">
        <v>105</v>
      </c>
      <c r="J124">
        <v>154240285</v>
      </c>
      <c r="K124" t="s">
        <v>447</v>
      </c>
      <c r="L124" t="s">
        <v>168</v>
      </c>
      <c r="M124" s="219">
        <v>2035</v>
      </c>
      <c r="N124" s="219">
        <v>2035</v>
      </c>
      <c r="O124" t="s">
        <v>291</v>
      </c>
      <c r="P124" s="1"/>
      <c r="Q124" s="1"/>
      <c r="R124" s="1"/>
      <c r="S12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4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4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4">
        <f>Portefeuille_MNT_PPS_Access20[[#This Row],[Délais PC1 et PC3]]+Portefeuille_MNT_PPS_Access20[[#This Row],[Délais PC3 et PC5]]</f>
        <v>0</v>
      </c>
      <c r="Y124" s="218">
        <f xml:space="preserve"> DATE(Portefeuille_MNT_PPS_Access20[[#This Row],[Année DÉBUT Travaux prévu]]- 3, 12, 15)</f>
        <v>48563</v>
      </c>
      <c r="Z124" s="218">
        <f xml:space="preserve"> DATE(Portefeuille_MNT_PPS_Access20[[#This Row],[Année DÉBUT Travaux prévu]]- 2, 12, 15)</f>
        <v>48928</v>
      </c>
      <c r="AA124" s="218">
        <f xml:space="preserve"> DATE(Portefeuille_MNT_PPS_Access20[[#This Row],[Année DÉBUT Travaux prévu]]- 1, 12, 15)</f>
        <v>49293</v>
      </c>
      <c r="AB124">
        <v>1</v>
      </c>
      <c r="AD12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4" s="12">
        <f>_xlfn.XLOOKUP(Portefeuille_MNT_PPS_Access20[[#This Row],[Numéro projet]],Tableau5[Numéro projet],Tableau5[IND_Site_Prioritaire])</f>
        <v>3.3333333333333335</v>
      </c>
      <c r="AF124" s="2">
        <f>_xlfn.XLOOKUP(Portefeuille_MNT_PPS_Access20[[#This Row],[Numéro projet]],Tableau5[Numéro projet],Tableau5[Critère Etat Infrastructure])</f>
        <v>1</v>
      </c>
      <c r="AG12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26.666666666666668</v>
      </c>
      <c r="AJ124" t="s">
        <v>311</v>
      </c>
      <c r="AK124" s="2"/>
      <c r="AL124" s="63"/>
      <c r="AP124"/>
      <c r="AZ124"/>
      <c r="BG124">
        <v>150</v>
      </c>
      <c r="BI124">
        <v>150</v>
      </c>
      <c r="BK124">
        <v>600</v>
      </c>
      <c r="BL124">
        <v>12000</v>
      </c>
      <c r="BM124" s="14">
        <f>SUM(Portefeuille_MNT_PPS_Access20[[#This Row],[AC ANT]:[TR 2035]])</f>
        <v>12900</v>
      </c>
    </row>
    <row r="125" spans="1:65" x14ac:dyDescent="0.3">
      <c r="A125" t="s">
        <v>286</v>
      </c>
      <c r="C125" t="s">
        <v>101</v>
      </c>
      <c r="D125" t="s">
        <v>102</v>
      </c>
      <c r="E125" t="s">
        <v>389</v>
      </c>
      <c r="G125" t="s">
        <v>20</v>
      </c>
      <c r="H125" t="s">
        <v>20</v>
      </c>
      <c r="I125" t="s">
        <v>105</v>
      </c>
      <c r="J125">
        <v>154250181</v>
      </c>
      <c r="K125" t="s">
        <v>602</v>
      </c>
      <c r="L125" t="s">
        <v>239</v>
      </c>
      <c r="M125">
        <v>2035</v>
      </c>
      <c r="N125">
        <v>2035</v>
      </c>
      <c r="P125" s="1"/>
      <c r="Q125" s="1"/>
      <c r="R125" s="1"/>
      <c r="S12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5">
        <f>Portefeuille_MNT_PPS_Access20[[#This Row],[Délais PC1 et PC3]]+Portefeuille_MNT_PPS_Access20[[#This Row],[Délais PC3 et PC5]]</f>
        <v>0</v>
      </c>
      <c r="Y125" s="218">
        <f xml:space="preserve"> DATE(Portefeuille_MNT_PPS_Access20[[#This Row],[Année DÉBUT Travaux prévu]]- 3, 12, 15)</f>
        <v>48563</v>
      </c>
      <c r="Z125" s="218">
        <f xml:space="preserve"> DATE(Portefeuille_MNT_PPS_Access20[[#This Row],[Année DÉBUT Travaux prévu]]- 2, 12, 15)</f>
        <v>48928</v>
      </c>
      <c r="AA125" s="218">
        <f xml:space="preserve"> DATE(Portefeuille_MNT_PPS_Access20[[#This Row],[Année DÉBUT Travaux prévu]]- 1, 12, 15)</f>
        <v>49293</v>
      </c>
      <c r="AB125">
        <v>1</v>
      </c>
      <c r="AD125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5" s="12" t="e">
        <f>_xlfn.XLOOKUP(Portefeuille_MNT_PPS_Access20[[#This Row],[Numéro projet]],Tableau5[Numéro projet],Tableau5[IND_Site_Prioritaire])</f>
        <v>#N/A</v>
      </c>
      <c r="AF125" s="2" t="e">
        <f>_xlfn.XLOOKUP(Portefeuille_MNT_PPS_Access20[[#This Row],[Numéro projet]],Tableau5[Numéro projet],Tableau5[Critère Etat Infrastructure])</f>
        <v>#N/A</v>
      </c>
      <c r="AG125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K125" s="2"/>
      <c r="AL125" s="63"/>
      <c r="AP125"/>
      <c r="AZ125"/>
      <c r="BG125">
        <v>100</v>
      </c>
      <c r="BI125">
        <v>100</v>
      </c>
      <c r="BK125">
        <v>500</v>
      </c>
      <c r="BL125">
        <v>5000</v>
      </c>
      <c r="BM125" s="14">
        <f>SUM(Portefeuille_MNT_PPS_Access20[[#This Row],[AC ANT]:[TR 2035]])</f>
        <v>5700</v>
      </c>
    </row>
    <row r="126" spans="1:65" x14ac:dyDescent="0.3">
      <c r="A126" t="s">
        <v>286</v>
      </c>
      <c r="C126" t="s">
        <v>101</v>
      </c>
      <c r="D126" t="s">
        <v>102</v>
      </c>
      <c r="E126" t="s">
        <v>103</v>
      </c>
      <c r="G126" t="s">
        <v>20</v>
      </c>
      <c r="H126" t="s">
        <v>20</v>
      </c>
      <c r="I126" t="s">
        <v>105</v>
      </c>
      <c r="J126">
        <v>154220344</v>
      </c>
      <c r="K126" t="s">
        <v>394</v>
      </c>
      <c r="L126" t="s">
        <v>122</v>
      </c>
      <c r="M126" s="8">
        <v>2035</v>
      </c>
      <c r="N126" s="8">
        <v>2035</v>
      </c>
      <c r="O126" t="s">
        <v>291</v>
      </c>
      <c r="P126" s="1"/>
      <c r="Q126" s="1"/>
      <c r="R126" s="1"/>
      <c r="S12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6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6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6">
        <f>Portefeuille_MNT_PPS_Access20[[#This Row],[Délais PC1 et PC3]]+Portefeuille_MNT_PPS_Access20[[#This Row],[Délais PC3 et PC5]]</f>
        <v>0</v>
      </c>
      <c r="Y126" s="218">
        <f xml:space="preserve"> DATE(Portefeuille_MNT_PPS_Access20[[#This Row],[Année DÉBUT Travaux prévu]]- 3, 12, 15)</f>
        <v>48563</v>
      </c>
      <c r="Z126" s="218">
        <f xml:space="preserve"> DATE(Portefeuille_MNT_PPS_Access20[[#This Row],[Année DÉBUT Travaux prévu]]- 2, 12, 15)</f>
        <v>48928</v>
      </c>
      <c r="AA126" s="218">
        <f xml:space="preserve"> DATE(Portefeuille_MNT_PPS_Access20[[#This Row],[Année DÉBUT Travaux prévu]]- 1, 12, 15)</f>
        <v>49293</v>
      </c>
      <c r="AB126">
        <v>1</v>
      </c>
      <c r="AD12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26" s="12">
        <f>_xlfn.XLOOKUP(Portefeuille_MNT_PPS_Access20[[#This Row],[Numéro projet]],Tableau5[Numéro projet],Tableau5[IND_Site_Prioritaire])</f>
        <v>4</v>
      </c>
      <c r="AF126" s="2">
        <f>_xlfn.XLOOKUP(Portefeuille_MNT_PPS_Access20[[#This Row],[Numéro projet]],Tableau5[Numéro projet],Tableau5[Critère Etat Infrastructure])</f>
        <v>1</v>
      </c>
      <c r="AG12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30</v>
      </c>
      <c r="AJ126" t="s">
        <v>311</v>
      </c>
      <c r="AK126" s="2"/>
      <c r="AL126" s="63"/>
      <c r="AP126"/>
      <c r="AZ126"/>
      <c r="BG126">
        <v>100</v>
      </c>
      <c r="BI126">
        <v>100</v>
      </c>
      <c r="BK126">
        <v>500</v>
      </c>
      <c r="BL126">
        <v>12000</v>
      </c>
      <c r="BM126" s="14">
        <f>SUM(Portefeuille_MNT_PPS_Access20[[#This Row],[AC ANT]:[TR 2035]])</f>
        <v>12700</v>
      </c>
    </row>
    <row r="127" spans="1:65" x14ac:dyDescent="0.3">
      <c r="A127" t="s">
        <v>286</v>
      </c>
      <c r="C127" t="s">
        <v>101</v>
      </c>
      <c r="D127" t="s">
        <v>102</v>
      </c>
      <c r="E127" t="s">
        <v>136</v>
      </c>
      <c r="F127" t="s">
        <v>140</v>
      </c>
      <c r="G127" t="s">
        <v>16</v>
      </c>
      <c r="H127" t="s">
        <v>16</v>
      </c>
      <c r="I127" t="s">
        <v>131</v>
      </c>
      <c r="J127">
        <v>154180746</v>
      </c>
      <c r="K127" t="s">
        <v>361</v>
      </c>
      <c r="L127" t="s">
        <v>134</v>
      </c>
      <c r="O127" t="s">
        <v>164</v>
      </c>
      <c r="P127" s="1">
        <v>43390</v>
      </c>
      <c r="Q127" s="1"/>
      <c r="R127" s="1">
        <v>44890</v>
      </c>
      <c r="S127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2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7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2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-1425</v>
      </c>
      <c r="W12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1474</v>
      </c>
      <c r="X127">
        <f>Portefeuille_MNT_PPS_Access20[[#This Row],[Délais PC1 et PC3]]+Portefeuille_MNT_PPS_Access20[[#This Row],[Délais PC3 et PC5]]</f>
        <v>49</v>
      </c>
      <c r="Y127" s="218" t="e">
        <f xml:space="preserve"> DATE(Portefeuille_MNT_PPS_Access20[[#This Row],[Année DÉBUT Travaux prévu]]- 3, 12, 15)</f>
        <v>#NUM!</v>
      </c>
      <c r="Z127" s="218" t="e">
        <f xml:space="preserve"> DATE(Portefeuille_MNT_PPS_Access20[[#This Row],[Année DÉBUT Travaux prévu]]- 2, 12, 15)</f>
        <v>#NUM!</v>
      </c>
      <c r="AA127" s="218" t="e">
        <f xml:space="preserve"> DATE(Portefeuille_MNT_PPS_Access20[[#This Row],[Année DÉBUT Travaux prévu]]- 1, 12, 15)</f>
        <v>#NUM!</v>
      </c>
      <c r="AB127">
        <v>5</v>
      </c>
      <c r="AC127">
        <v>5</v>
      </c>
      <c r="AD12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27" s="12">
        <f>_xlfn.XLOOKUP(Portefeuille_MNT_PPS_Access20[[#This Row],[Numéro projet]],Tableau5[Numéro projet],Tableau5[IND_Site_Prioritaire])</f>
        <v>1.3333333333333333</v>
      </c>
      <c r="AF127" s="2">
        <f>_xlfn.XLOOKUP(Portefeuille_MNT_PPS_Access20[[#This Row],[Numéro projet]],Tableau5[Numéro projet],Tableau5[Critère Etat Infrastructure])</f>
        <v>0</v>
      </c>
      <c r="AG12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I127">
        <v>5</v>
      </c>
      <c r="AJ127" t="s">
        <v>165</v>
      </c>
      <c r="AK127" s="2">
        <v>5</v>
      </c>
      <c r="AL127" s="63"/>
      <c r="AM127">
        <v>37</v>
      </c>
      <c r="AO127">
        <v>18</v>
      </c>
      <c r="AP127">
        <v>288</v>
      </c>
      <c r="AZ127"/>
      <c r="BM127" s="14">
        <f>SUM(Portefeuille_MNT_PPS_Access20[[#This Row],[AC ANT]:[TR 2035]])</f>
        <v>343</v>
      </c>
    </row>
    <row r="128" spans="1:65" x14ac:dyDescent="0.3">
      <c r="A128" t="s">
        <v>286</v>
      </c>
      <c r="C128" t="s">
        <v>101</v>
      </c>
      <c r="D128" t="s">
        <v>102</v>
      </c>
      <c r="E128" t="s">
        <v>200</v>
      </c>
      <c r="F128" t="s">
        <v>104</v>
      </c>
      <c r="G128" t="s">
        <v>16</v>
      </c>
      <c r="H128" t="s">
        <v>20</v>
      </c>
      <c r="I128" t="s">
        <v>105</v>
      </c>
      <c r="J128">
        <v>154180023</v>
      </c>
      <c r="K128" t="s">
        <v>202</v>
      </c>
      <c r="L128" t="s">
        <v>108</v>
      </c>
      <c r="O128" t="s">
        <v>155</v>
      </c>
      <c r="P128" s="1"/>
      <c r="Q128" s="1"/>
      <c r="R128" s="1"/>
      <c r="S12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2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2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2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2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28">
        <f>Portefeuille_MNT_PPS_Access20[[#This Row],[Délais PC1 et PC3]]+Portefeuille_MNT_PPS_Access20[[#This Row],[Délais PC3 et PC5]]</f>
        <v>0</v>
      </c>
      <c r="Y128" s="218" t="e">
        <f xml:space="preserve"> DATE(Portefeuille_MNT_PPS_Access20[[#This Row],[Année DÉBUT Travaux prévu]]- 3, 12, 15)</f>
        <v>#NUM!</v>
      </c>
      <c r="Z128" s="218" t="e">
        <f xml:space="preserve"> DATE(Portefeuille_MNT_PPS_Access20[[#This Row],[Année DÉBUT Travaux prévu]]- 2, 12, 15)</f>
        <v>#NUM!</v>
      </c>
      <c r="AA128" s="218" t="e">
        <f xml:space="preserve"> DATE(Portefeuille_MNT_PPS_Access20[[#This Row],[Année DÉBUT Travaux prévu]]- 1, 12, 15)</f>
        <v>#NUM!</v>
      </c>
      <c r="AB128">
        <v>1</v>
      </c>
      <c r="AD12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1</v>
      </c>
      <c r="AE128" s="12">
        <f>_xlfn.XLOOKUP(Portefeuille_MNT_PPS_Access20[[#This Row],[Numéro projet]],Tableau5[Numéro projet],Tableau5[IND_Site_Prioritaire])</f>
        <v>4</v>
      </c>
      <c r="AF128" s="2">
        <f>_xlfn.XLOOKUP(Portefeuille_MNT_PPS_Access20[[#This Row],[Numéro projet]],Tableau5[Numéro projet],Tableau5[Critère Etat Infrastructure])</f>
        <v>0</v>
      </c>
      <c r="AG12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30</v>
      </c>
      <c r="AJ128" t="s">
        <v>156</v>
      </c>
      <c r="AK128" s="2"/>
      <c r="AL128" s="63"/>
      <c r="AM128">
        <v>277</v>
      </c>
      <c r="AN128">
        <v>4</v>
      </c>
      <c r="AP128"/>
      <c r="AS128">
        <v>127</v>
      </c>
      <c r="AU128">
        <v>125</v>
      </c>
      <c r="AW128">
        <v>471</v>
      </c>
      <c r="AZ128"/>
      <c r="BM128" s="14">
        <f>SUM(Portefeuille_MNT_PPS_Access20[[#This Row],[AC ANT]:[TR 2035]])</f>
        <v>1004</v>
      </c>
    </row>
    <row r="129" spans="1:65" x14ac:dyDescent="0.3">
      <c r="A129" t="s">
        <v>286</v>
      </c>
      <c r="C129" t="s">
        <v>126</v>
      </c>
      <c r="D129" t="s">
        <v>127</v>
      </c>
      <c r="E129" t="s">
        <v>136</v>
      </c>
      <c r="F129" t="s">
        <v>104</v>
      </c>
      <c r="G129" t="s">
        <v>16</v>
      </c>
      <c r="H129" t="s">
        <v>16</v>
      </c>
      <c r="I129" t="s">
        <v>105</v>
      </c>
      <c r="J129">
        <v>154061991</v>
      </c>
      <c r="K129" t="s">
        <v>301</v>
      </c>
      <c r="L129" t="s">
        <v>302</v>
      </c>
      <c r="O129" t="s">
        <v>164</v>
      </c>
      <c r="P129" s="1">
        <v>41907</v>
      </c>
      <c r="Q129" s="1">
        <v>41968</v>
      </c>
      <c r="R129" s="1">
        <v>42045</v>
      </c>
      <c r="S129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29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29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2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2</v>
      </c>
      <c r="W12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</v>
      </c>
      <c r="X129">
        <f>Portefeuille_MNT_PPS_Access20[[#This Row],[Délais PC1 et PC3]]+Portefeuille_MNT_PPS_Access20[[#This Row],[Délais PC3 et PC5]]</f>
        <v>5</v>
      </c>
      <c r="Y129" s="218" t="e">
        <f xml:space="preserve"> DATE(Portefeuille_MNT_PPS_Access20[[#This Row],[Année DÉBUT Travaux prévu]]- 3, 12, 15)</f>
        <v>#NUM!</v>
      </c>
      <c r="Z129" s="218" t="e">
        <f xml:space="preserve"> DATE(Portefeuille_MNT_PPS_Access20[[#This Row],[Année DÉBUT Travaux prévu]]- 2, 12, 15)</f>
        <v>#NUM!</v>
      </c>
      <c r="AA129" s="218" t="e">
        <f xml:space="preserve"> DATE(Portefeuille_MNT_PPS_Access20[[#This Row],[Année DÉBUT Travaux prévu]]- 1, 12, 15)</f>
        <v>#NUM!</v>
      </c>
      <c r="AB129">
        <v>1</v>
      </c>
      <c r="AC129">
        <v>5</v>
      </c>
      <c r="AD12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29" s="12">
        <f>_xlfn.XLOOKUP(Portefeuille_MNT_PPS_Access20[[#This Row],[Numéro projet]],Tableau5[Numéro projet],Tableau5[IND_Site_Prioritaire])</f>
        <v>4</v>
      </c>
      <c r="AF129" s="2">
        <f>_xlfn.XLOOKUP(Portefeuille_MNT_PPS_Access20[[#This Row],[Numéro projet]],Tableau5[Numéro projet],Tableau5[Critère Etat Infrastructure])</f>
        <v>0</v>
      </c>
      <c r="AG12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129">
        <v>5</v>
      </c>
      <c r="AI129">
        <v>5</v>
      </c>
      <c r="AJ129" t="s">
        <v>165</v>
      </c>
      <c r="AK129" s="2"/>
      <c r="AL129" s="63"/>
      <c r="AM129">
        <v>2582</v>
      </c>
      <c r="AN129">
        <v>17091</v>
      </c>
      <c r="AO129">
        <v>25</v>
      </c>
      <c r="AP129">
        <v>98</v>
      </c>
      <c r="AQ129">
        <v>10</v>
      </c>
      <c r="AZ129"/>
      <c r="BM129" s="14">
        <f>SUM(Portefeuille_MNT_PPS_Access20[[#This Row],[AC ANT]:[TR 2035]])</f>
        <v>19806</v>
      </c>
    </row>
    <row r="130" spans="1:65" x14ac:dyDescent="0.3">
      <c r="A130" t="s">
        <v>286</v>
      </c>
      <c r="C130" t="s">
        <v>126</v>
      </c>
      <c r="D130" t="s">
        <v>127</v>
      </c>
      <c r="E130" t="s">
        <v>136</v>
      </c>
      <c r="F130" t="s">
        <v>104</v>
      </c>
      <c r="G130" t="s">
        <v>16</v>
      </c>
      <c r="H130" t="s">
        <v>16</v>
      </c>
      <c r="I130" t="s">
        <v>131</v>
      </c>
      <c r="J130">
        <v>154091454</v>
      </c>
      <c r="K130" t="s">
        <v>304</v>
      </c>
      <c r="L130" t="s">
        <v>194</v>
      </c>
      <c r="O130" t="s">
        <v>164</v>
      </c>
      <c r="P130" s="1">
        <v>43270</v>
      </c>
      <c r="Q130" s="1">
        <v>44222</v>
      </c>
      <c r="R130" s="1">
        <v>44356</v>
      </c>
      <c r="S130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30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30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3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31</v>
      </c>
      <c r="W13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5</v>
      </c>
      <c r="X130">
        <f>Portefeuille_MNT_PPS_Access20[[#This Row],[Délais PC1 et PC3]]+Portefeuille_MNT_PPS_Access20[[#This Row],[Délais PC3 et PC5]]</f>
        <v>36</v>
      </c>
      <c r="Y130" s="218" t="e">
        <f xml:space="preserve"> DATE(Portefeuille_MNT_PPS_Access20[[#This Row],[Année DÉBUT Travaux prévu]]- 3, 12, 15)</f>
        <v>#NUM!</v>
      </c>
      <c r="Z130" s="218" t="e">
        <f xml:space="preserve"> DATE(Portefeuille_MNT_PPS_Access20[[#This Row],[Année DÉBUT Travaux prévu]]- 2, 12, 15)</f>
        <v>#NUM!</v>
      </c>
      <c r="AA130" s="218" t="e">
        <f xml:space="preserve"> DATE(Portefeuille_MNT_PPS_Access20[[#This Row],[Année DÉBUT Travaux prévu]]- 1, 12, 15)</f>
        <v>#NUM!</v>
      </c>
      <c r="AB130">
        <v>1</v>
      </c>
      <c r="AC130">
        <v>5</v>
      </c>
      <c r="AD13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30" s="12">
        <f>_xlfn.XLOOKUP(Portefeuille_MNT_PPS_Access20[[#This Row],[Numéro projet]],Tableau5[Numéro projet],Tableau5[IND_Site_Prioritaire])</f>
        <v>3.3333333333333335</v>
      </c>
      <c r="AF130" s="2">
        <f>_xlfn.XLOOKUP(Portefeuille_MNT_PPS_Access20[[#This Row],[Numéro projet]],Tableau5[Numéro projet],Tableau5[Critère Etat Infrastructure])</f>
        <v>0</v>
      </c>
      <c r="AG13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30">
        <v>5</v>
      </c>
      <c r="AI130">
        <v>5</v>
      </c>
      <c r="AJ130" t="s">
        <v>165</v>
      </c>
      <c r="AK130" s="2">
        <v>5</v>
      </c>
      <c r="AL130" s="63"/>
      <c r="AM130">
        <v>569</v>
      </c>
      <c r="AN130">
        <v>2223</v>
      </c>
      <c r="AO130">
        <v>18</v>
      </c>
      <c r="AP130">
        <v>92</v>
      </c>
      <c r="AZ130"/>
      <c r="BM130" s="14">
        <f>SUM(Portefeuille_MNT_PPS_Access20[[#This Row],[AC ANT]:[TR 2035]])</f>
        <v>2902</v>
      </c>
    </row>
    <row r="131" spans="1:65" x14ac:dyDescent="0.3">
      <c r="A131" t="s">
        <v>286</v>
      </c>
      <c r="C131" t="s">
        <v>101</v>
      </c>
      <c r="D131" t="s">
        <v>102</v>
      </c>
      <c r="E131" t="s">
        <v>177</v>
      </c>
      <c r="G131" t="s">
        <v>16</v>
      </c>
      <c r="H131" t="s">
        <v>325</v>
      </c>
      <c r="I131" t="s">
        <v>131</v>
      </c>
      <c r="J131">
        <v>154111623</v>
      </c>
      <c r="K131" t="s">
        <v>604</v>
      </c>
      <c r="L131" t="s">
        <v>214</v>
      </c>
      <c r="P131" s="1"/>
      <c r="Q131" s="1"/>
      <c r="R131" s="1"/>
      <c r="S13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31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3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3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31">
        <f>Portefeuille_MNT_PPS_Access20[[#This Row],[Délais PC1 et PC3]]+Portefeuille_MNT_PPS_Access20[[#This Row],[Délais PC3 et PC5]]</f>
        <v>0</v>
      </c>
      <c r="Y131" s="218" t="e">
        <f xml:space="preserve"> DATE(Portefeuille_MNT_PPS_Access20[[#This Row],[Année DÉBUT Travaux prévu]]- 3, 12, 15)</f>
        <v>#NUM!</v>
      </c>
      <c r="Z131" s="218" t="e">
        <f xml:space="preserve"> DATE(Portefeuille_MNT_PPS_Access20[[#This Row],[Année DÉBUT Travaux prévu]]- 2, 12, 15)</f>
        <v>#NUM!</v>
      </c>
      <c r="AA131" s="218" t="e">
        <f xml:space="preserve"> DATE(Portefeuille_MNT_PPS_Access20[[#This Row],[Année DÉBUT Travaux prévu]]- 1, 12, 15)</f>
        <v>#NUM!</v>
      </c>
      <c r="AB131">
        <v>1</v>
      </c>
      <c r="AD131" s="2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31" s="12" t="e">
        <f>_xlfn.XLOOKUP(Portefeuille_MNT_PPS_Access20[[#This Row],[Numéro projet]],Tableau5[Numéro projet],Tableau5[IND_Site_Prioritaire])</f>
        <v>#N/A</v>
      </c>
      <c r="AF131" s="2" t="e">
        <f>_xlfn.XLOOKUP(Portefeuille_MNT_PPS_Access20[[#This Row],[Numéro projet]],Tableau5[Numéro projet],Tableau5[Critère Etat Infrastructure])</f>
        <v>#N/A</v>
      </c>
      <c r="AG131" s="12" t="e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#N/A</v>
      </c>
      <c r="AK131" s="2"/>
      <c r="AL131" s="63"/>
      <c r="AM131">
        <v>96</v>
      </c>
      <c r="AN131">
        <v>399</v>
      </c>
      <c r="AO131">
        <v>5</v>
      </c>
      <c r="AP131"/>
      <c r="AZ131"/>
      <c r="BM131" s="14">
        <f>SUM(Portefeuille_MNT_PPS_Access20[[#This Row],[AC ANT]:[TR 2035]])</f>
        <v>500</v>
      </c>
    </row>
    <row r="132" spans="1:65" x14ac:dyDescent="0.3">
      <c r="A132" t="s">
        <v>286</v>
      </c>
      <c r="C132" t="s">
        <v>126</v>
      </c>
      <c r="D132" t="s">
        <v>127</v>
      </c>
      <c r="E132" t="s">
        <v>136</v>
      </c>
      <c r="F132" t="s">
        <v>104</v>
      </c>
      <c r="G132" t="s">
        <v>16</v>
      </c>
      <c r="H132" t="s">
        <v>16</v>
      </c>
      <c r="I132" t="s">
        <v>131</v>
      </c>
      <c r="J132">
        <v>154130267</v>
      </c>
      <c r="K132" t="s">
        <v>308</v>
      </c>
      <c r="L132" t="s">
        <v>159</v>
      </c>
      <c r="O132" t="s">
        <v>164</v>
      </c>
      <c r="P132" s="1"/>
      <c r="Q132" s="1">
        <v>42992</v>
      </c>
      <c r="R132" s="1">
        <v>43783</v>
      </c>
      <c r="S13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2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32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3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1412</v>
      </c>
      <c r="W13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26</v>
      </c>
      <c r="X132">
        <f>Portefeuille_MNT_PPS_Access20[[#This Row],[Délais PC1 et PC3]]+Portefeuille_MNT_PPS_Access20[[#This Row],[Délais PC3 et PC5]]</f>
        <v>1438</v>
      </c>
      <c r="Y132" s="218" t="e">
        <f xml:space="preserve"> DATE(Portefeuille_MNT_PPS_Access20[[#This Row],[Année DÉBUT Travaux prévu]]- 3, 12, 15)</f>
        <v>#NUM!</v>
      </c>
      <c r="Z132" s="218" t="e">
        <f xml:space="preserve"> DATE(Portefeuille_MNT_PPS_Access20[[#This Row],[Année DÉBUT Travaux prévu]]- 2, 12, 15)</f>
        <v>#NUM!</v>
      </c>
      <c r="AA132" s="218" t="e">
        <f xml:space="preserve"> DATE(Portefeuille_MNT_PPS_Access20[[#This Row],[Année DÉBUT Travaux prévu]]- 1, 12, 15)</f>
        <v>#NUM!</v>
      </c>
      <c r="AB132">
        <v>1</v>
      </c>
      <c r="AC132">
        <v>5</v>
      </c>
      <c r="AD13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32" s="12">
        <f>_xlfn.XLOOKUP(Portefeuille_MNT_PPS_Access20[[#This Row],[Numéro projet]],Tableau5[Numéro projet],Tableau5[IND_Site_Prioritaire])</f>
        <v>4.333333333333333</v>
      </c>
      <c r="AF132" s="2">
        <f>_xlfn.XLOOKUP(Portefeuille_MNT_PPS_Access20[[#This Row],[Numéro projet]],Tableau5[Numéro projet],Tableau5[Critère Etat Infrastructure])</f>
        <v>0</v>
      </c>
      <c r="AG13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H132">
        <v>5</v>
      </c>
      <c r="AJ132" t="s">
        <v>165</v>
      </c>
      <c r="AK132" s="2"/>
      <c r="AL132" s="63"/>
      <c r="AM132">
        <v>2779</v>
      </c>
      <c r="AN132">
        <v>15336</v>
      </c>
      <c r="AO132">
        <v>16</v>
      </c>
      <c r="AP132"/>
      <c r="AZ132"/>
      <c r="BM132" s="14">
        <f>SUM(Portefeuille_MNT_PPS_Access20[[#This Row],[AC ANT]:[TR 2035]])</f>
        <v>18131</v>
      </c>
    </row>
    <row r="133" spans="1:65" x14ac:dyDescent="0.3">
      <c r="A133" t="s">
        <v>286</v>
      </c>
      <c r="C133" t="s">
        <v>118</v>
      </c>
      <c r="D133" t="s">
        <v>102</v>
      </c>
      <c r="E133" t="s">
        <v>103</v>
      </c>
      <c r="G133" t="s">
        <v>16</v>
      </c>
      <c r="H133" t="s">
        <v>325</v>
      </c>
      <c r="I133" t="s">
        <v>131</v>
      </c>
      <c r="J133">
        <v>154160752</v>
      </c>
      <c r="K133" t="s">
        <v>318</v>
      </c>
      <c r="L133" t="s">
        <v>187</v>
      </c>
      <c r="O133" t="s">
        <v>291</v>
      </c>
      <c r="P133" s="1"/>
      <c r="Q133" s="1"/>
      <c r="R133" s="1"/>
      <c r="S13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3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3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3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33">
        <f>Portefeuille_MNT_PPS_Access20[[#This Row],[Délais PC1 et PC3]]+Portefeuille_MNT_PPS_Access20[[#This Row],[Délais PC3 et PC5]]</f>
        <v>0</v>
      </c>
      <c r="Y133" s="218" t="e">
        <f xml:space="preserve"> DATE(Portefeuille_MNT_PPS_Access20[[#This Row],[Année DÉBUT Travaux prévu]]- 3, 12, 15)</f>
        <v>#NUM!</v>
      </c>
      <c r="Z133" s="218" t="e">
        <f xml:space="preserve"> DATE(Portefeuille_MNT_PPS_Access20[[#This Row],[Année DÉBUT Travaux prévu]]- 2, 12, 15)</f>
        <v>#NUM!</v>
      </c>
      <c r="AA133" s="218" t="e">
        <f xml:space="preserve"> DATE(Portefeuille_MNT_PPS_Access20[[#This Row],[Année DÉBUT Travaux prévu]]- 1, 12, 15)</f>
        <v>#NUM!</v>
      </c>
      <c r="AB133">
        <v>1</v>
      </c>
      <c r="AD13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33" s="12">
        <f>_xlfn.XLOOKUP(Portefeuille_MNT_PPS_Access20[[#This Row],[Numéro projet]],Tableau5[Numéro projet],Tableau5[IND_Site_Prioritaire])</f>
        <v>3</v>
      </c>
      <c r="AF133" s="2">
        <f>_xlfn.XLOOKUP(Portefeuille_MNT_PPS_Access20[[#This Row],[Numéro projet]],Tableau5[Numéro projet],Tableau5[Critère Etat Infrastructure])</f>
        <v>0</v>
      </c>
      <c r="AG13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20</v>
      </c>
      <c r="AJ133" t="s">
        <v>311</v>
      </c>
      <c r="AK133" s="2"/>
      <c r="AL133" s="63"/>
      <c r="AM133">
        <v>676</v>
      </c>
      <c r="AN133">
        <v>7943</v>
      </c>
      <c r="AO133">
        <v>17</v>
      </c>
      <c r="AP133"/>
      <c r="AZ133"/>
      <c r="BM133" s="14">
        <f>SUM(Portefeuille_MNT_PPS_Access20[[#This Row],[AC ANT]:[TR 2035]])</f>
        <v>8636</v>
      </c>
    </row>
    <row r="134" spans="1:65" x14ac:dyDescent="0.3">
      <c r="A134" t="s">
        <v>286</v>
      </c>
      <c r="C134" t="s">
        <v>118</v>
      </c>
      <c r="D134" t="s">
        <v>102</v>
      </c>
      <c r="E134" t="s">
        <v>103</v>
      </c>
      <c r="F134" t="s">
        <v>104</v>
      </c>
      <c r="G134" t="s">
        <v>16</v>
      </c>
      <c r="H134" t="s">
        <v>16</v>
      </c>
      <c r="I134" t="s">
        <v>131</v>
      </c>
      <c r="J134">
        <v>154171269</v>
      </c>
      <c r="K134" t="s">
        <v>320</v>
      </c>
      <c r="L134" t="s">
        <v>159</v>
      </c>
      <c r="O134" t="s">
        <v>164</v>
      </c>
      <c r="P134" s="1">
        <v>44063</v>
      </c>
      <c r="Q134" s="1">
        <v>44488</v>
      </c>
      <c r="R134" s="1">
        <v>44602</v>
      </c>
      <c r="S134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34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34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3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</v>
      </c>
      <c r="W13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4</v>
      </c>
      <c r="X134">
        <f>Portefeuille_MNT_PPS_Access20[[#This Row],[Délais PC1 et PC3]]+Portefeuille_MNT_PPS_Access20[[#This Row],[Délais PC3 et PC5]]</f>
        <v>18</v>
      </c>
      <c r="Y134" s="218" t="e">
        <f xml:space="preserve"> DATE(Portefeuille_MNT_PPS_Access20[[#This Row],[Année DÉBUT Travaux prévu]]- 3, 12, 15)</f>
        <v>#NUM!</v>
      </c>
      <c r="Z134" s="218" t="e">
        <f xml:space="preserve"> DATE(Portefeuille_MNT_PPS_Access20[[#This Row],[Année DÉBUT Travaux prévu]]- 2, 12, 15)</f>
        <v>#NUM!</v>
      </c>
      <c r="AA134" s="218" t="e">
        <f xml:space="preserve"> DATE(Portefeuille_MNT_PPS_Access20[[#This Row],[Année DÉBUT Travaux prévu]]- 1, 12, 15)</f>
        <v>#NUM!</v>
      </c>
      <c r="AB134">
        <v>1</v>
      </c>
      <c r="AC134">
        <v>5</v>
      </c>
      <c r="AD13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34" s="12">
        <f>_xlfn.XLOOKUP(Portefeuille_MNT_PPS_Access20[[#This Row],[Numéro projet]],Tableau5[Numéro projet],Tableau5[IND_Site_Prioritaire])</f>
        <v>4.333333333333333</v>
      </c>
      <c r="AF134" s="2">
        <f>_xlfn.XLOOKUP(Portefeuille_MNT_PPS_Access20[[#This Row],[Numéro projet]],Tableau5[Numéro projet],Tableau5[Critère Etat Infrastructure])</f>
        <v>0</v>
      </c>
      <c r="AG13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H134">
        <v>5</v>
      </c>
      <c r="AI134">
        <v>5</v>
      </c>
      <c r="AJ134" t="s">
        <v>165</v>
      </c>
      <c r="AK134" s="2"/>
      <c r="AL134" s="63"/>
      <c r="AM134">
        <v>334</v>
      </c>
      <c r="AN134">
        <v>5521</v>
      </c>
      <c r="AO134">
        <v>24</v>
      </c>
      <c r="AP134"/>
      <c r="AQ134">
        <v>28</v>
      </c>
      <c r="AZ134"/>
      <c r="BM134" s="14">
        <f>SUM(Portefeuille_MNT_PPS_Access20[[#This Row],[AC ANT]:[TR 2035]])</f>
        <v>5907</v>
      </c>
    </row>
    <row r="135" spans="1:65" x14ac:dyDescent="0.3">
      <c r="A135" t="s">
        <v>286</v>
      </c>
      <c r="C135" t="s">
        <v>118</v>
      </c>
      <c r="D135" t="s">
        <v>102</v>
      </c>
      <c r="E135" t="s">
        <v>103</v>
      </c>
      <c r="G135" t="s">
        <v>16</v>
      </c>
      <c r="H135" t="s">
        <v>325</v>
      </c>
      <c r="I135" t="s">
        <v>131</v>
      </c>
      <c r="J135">
        <v>154171270</v>
      </c>
      <c r="K135" t="s">
        <v>525</v>
      </c>
      <c r="L135" t="s">
        <v>147</v>
      </c>
      <c r="O135" t="s">
        <v>291</v>
      </c>
      <c r="P135" s="1"/>
      <c r="Q135" s="1"/>
      <c r="R135" s="1"/>
      <c r="S135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5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35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3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3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35">
        <f>Portefeuille_MNT_PPS_Access20[[#This Row],[Délais PC1 et PC3]]+Portefeuille_MNT_PPS_Access20[[#This Row],[Délais PC3 et PC5]]</f>
        <v>0</v>
      </c>
      <c r="Y135" s="218" t="e">
        <f xml:space="preserve"> DATE(Portefeuille_MNT_PPS_Access20[[#This Row],[Année DÉBUT Travaux prévu]]- 3, 12, 15)</f>
        <v>#NUM!</v>
      </c>
      <c r="Z135" s="218" t="e">
        <f xml:space="preserve"> DATE(Portefeuille_MNT_PPS_Access20[[#This Row],[Année DÉBUT Travaux prévu]]- 2, 12, 15)</f>
        <v>#NUM!</v>
      </c>
      <c r="AA135" s="218" t="e">
        <f xml:space="preserve"> DATE(Portefeuille_MNT_PPS_Access20[[#This Row],[Année DÉBUT Travaux prévu]]- 1, 12, 15)</f>
        <v>#NUM!</v>
      </c>
      <c r="AB135">
        <v>1</v>
      </c>
      <c r="AD13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35" s="12">
        <f>_xlfn.XLOOKUP(Portefeuille_MNT_PPS_Access20[[#This Row],[Numéro projet]],Tableau5[Numéro projet],Tableau5[IND_Site_Prioritaire])</f>
        <v>3</v>
      </c>
      <c r="AF135" s="2">
        <f>_xlfn.XLOOKUP(Portefeuille_MNT_PPS_Access20[[#This Row],[Numéro projet]],Tableau5[Numéro projet],Tableau5[Critère Etat Infrastructure])</f>
        <v>0</v>
      </c>
      <c r="AG13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20</v>
      </c>
      <c r="AJ135" t="s">
        <v>311</v>
      </c>
      <c r="AK135" s="2"/>
      <c r="AL135" s="63"/>
      <c r="AM135">
        <v>468</v>
      </c>
      <c r="AN135">
        <v>4580</v>
      </c>
      <c r="AP135"/>
      <c r="AQ135">
        <v>3</v>
      </c>
      <c r="AZ135"/>
      <c r="BM135" s="14">
        <f>SUM(Portefeuille_MNT_PPS_Access20[[#This Row],[AC ANT]:[TR 2035]])</f>
        <v>5051</v>
      </c>
    </row>
    <row r="136" spans="1:65" x14ac:dyDescent="0.3">
      <c r="A136" t="s">
        <v>286</v>
      </c>
      <c r="C136" t="s">
        <v>126</v>
      </c>
      <c r="D136" t="s">
        <v>127</v>
      </c>
      <c r="E136" t="s">
        <v>128</v>
      </c>
      <c r="F136" t="s">
        <v>129</v>
      </c>
      <c r="G136" t="s">
        <v>16</v>
      </c>
      <c r="H136" t="s">
        <v>16</v>
      </c>
      <c r="I136" t="s">
        <v>131</v>
      </c>
      <c r="J136">
        <v>154171295</v>
      </c>
      <c r="K136" t="s">
        <v>324</v>
      </c>
      <c r="L136" t="s">
        <v>214</v>
      </c>
      <c r="O136" t="s">
        <v>164</v>
      </c>
      <c r="P136" s="1">
        <v>44644</v>
      </c>
      <c r="Q136" s="1">
        <v>44995</v>
      </c>
      <c r="R136" s="1">
        <v>45061</v>
      </c>
      <c r="S136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36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36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3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12</v>
      </c>
      <c r="W13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2</v>
      </c>
      <c r="X136">
        <f>Portefeuille_MNT_PPS_Access20[[#This Row],[Délais PC1 et PC3]]+Portefeuille_MNT_PPS_Access20[[#This Row],[Délais PC3 et PC5]]</f>
        <v>14</v>
      </c>
      <c r="Y136" s="218" t="e">
        <f xml:space="preserve"> DATE(Portefeuille_MNT_PPS_Access20[[#This Row],[Année DÉBUT Travaux prévu]]- 3, 12, 15)</f>
        <v>#NUM!</v>
      </c>
      <c r="Z136" s="218" t="e">
        <f xml:space="preserve"> DATE(Portefeuille_MNT_PPS_Access20[[#This Row],[Année DÉBUT Travaux prévu]]- 2, 12, 15)</f>
        <v>#NUM!</v>
      </c>
      <c r="AA136" s="218" t="e">
        <f xml:space="preserve"> DATE(Portefeuille_MNT_PPS_Access20[[#This Row],[Année DÉBUT Travaux prévu]]- 1, 12, 15)</f>
        <v>#NUM!</v>
      </c>
      <c r="AB136">
        <v>5</v>
      </c>
      <c r="AC136">
        <v>5</v>
      </c>
      <c r="AD13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36" s="12">
        <f>_xlfn.XLOOKUP(Portefeuille_MNT_PPS_Access20[[#This Row],[Numéro projet]],Tableau5[Numéro projet],Tableau5[IND_Site_Prioritaire])</f>
        <v>3</v>
      </c>
      <c r="AF136" s="2">
        <f>_xlfn.XLOOKUP(Portefeuille_MNT_PPS_Access20[[#This Row],[Numéro projet]],Tableau5[Numéro projet],Tableau5[Critère Etat Infrastructure])</f>
        <v>3</v>
      </c>
      <c r="AG13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36">
        <v>5</v>
      </c>
      <c r="AI136">
        <v>5</v>
      </c>
      <c r="AJ136" t="s">
        <v>165</v>
      </c>
      <c r="AK136" s="2">
        <v>5</v>
      </c>
      <c r="AL136" s="63"/>
      <c r="AM136">
        <v>80</v>
      </c>
      <c r="AN136">
        <v>347</v>
      </c>
      <c r="AO136">
        <v>46</v>
      </c>
      <c r="AP136">
        <v>141</v>
      </c>
      <c r="AZ136"/>
      <c r="BM136" s="14">
        <f>SUM(Portefeuille_MNT_PPS_Access20[[#This Row],[AC ANT]:[TR 2035]])</f>
        <v>614</v>
      </c>
    </row>
    <row r="137" spans="1:65" x14ac:dyDescent="0.3">
      <c r="A137" t="s">
        <v>286</v>
      </c>
      <c r="C137" t="s">
        <v>101</v>
      </c>
      <c r="D137" t="s">
        <v>102</v>
      </c>
      <c r="E137" t="s">
        <v>103</v>
      </c>
      <c r="F137" t="s">
        <v>104</v>
      </c>
      <c r="G137" t="s">
        <v>16</v>
      </c>
      <c r="H137" t="s">
        <v>16</v>
      </c>
      <c r="I137" t="s">
        <v>105</v>
      </c>
      <c r="J137">
        <v>154101262</v>
      </c>
      <c r="K137" t="s">
        <v>306</v>
      </c>
      <c r="L137" t="s">
        <v>302</v>
      </c>
      <c r="M137" s="8"/>
      <c r="N137" s="8"/>
      <c r="O137" t="s">
        <v>164</v>
      </c>
      <c r="P137" s="1">
        <v>43612</v>
      </c>
      <c r="Q137" s="1">
        <v>44098</v>
      </c>
      <c r="R137" s="1">
        <v>44188</v>
      </c>
      <c r="S137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37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37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3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16</v>
      </c>
      <c r="W13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</v>
      </c>
      <c r="X137">
        <f>Portefeuille_MNT_PPS_Access20[[#This Row],[Délais PC1 et PC3]]+Portefeuille_MNT_PPS_Access20[[#This Row],[Délais PC3 et PC5]]</f>
        <v>19</v>
      </c>
      <c r="Y137" s="218" t="e">
        <f xml:space="preserve"> DATE(Portefeuille_MNT_PPS_Access20[[#This Row],[Année DÉBUT Travaux prévu]]- 3, 12, 15)</f>
        <v>#NUM!</v>
      </c>
      <c r="Z137" s="218" t="e">
        <f xml:space="preserve"> DATE(Portefeuille_MNT_PPS_Access20[[#This Row],[Année DÉBUT Travaux prévu]]- 2, 12, 15)</f>
        <v>#NUM!</v>
      </c>
      <c r="AA137" s="218" t="e">
        <f xml:space="preserve"> DATE(Portefeuille_MNT_PPS_Access20[[#This Row],[Année DÉBUT Travaux prévu]]- 1, 12, 15)</f>
        <v>#NUM!</v>
      </c>
      <c r="AB137">
        <v>1</v>
      </c>
      <c r="AC137">
        <v>5</v>
      </c>
      <c r="AD13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37" s="12">
        <f>_xlfn.XLOOKUP(Portefeuille_MNT_PPS_Access20[[#This Row],[Numéro projet]],Tableau5[Numéro projet],Tableau5[IND_Site_Prioritaire])</f>
        <v>4</v>
      </c>
      <c r="AF137" s="2">
        <f>_xlfn.XLOOKUP(Portefeuille_MNT_PPS_Access20[[#This Row],[Numéro projet]],Tableau5[Numéro projet],Tableau5[Critère Etat Infrastructure])</f>
        <v>0</v>
      </c>
      <c r="AG13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137">
        <v>5</v>
      </c>
      <c r="AI137">
        <v>5</v>
      </c>
      <c r="AJ137" t="s">
        <v>165</v>
      </c>
      <c r="AK137" s="2"/>
      <c r="AL137" s="63"/>
      <c r="AM137">
        <v>640</v>
      </c>
      <c r="AN137">
        <v>6783</v>
      </c>
      <c r="AO137">
        <v>36</v>
      </c>
      <c r="AP137"/>
      <c r="AZ137"/>
      <c r="BM137" s="14">
        <f>SUM(Portefeuille_MNT_PPS_Access20[[#This Row],[AC ANT]:[TR 2035]])</f>
        <v>7459</v>
      </c>
    </row>
    <row r="138" spans="1:65" x14ac:dyDescent="0.3">
      <c r="A138" t="s">
        <v>286</v>
      </c>
      <c r="C138" t="s">
        <v>101</v>
      </c>
      <c r="D138" t="s">
        <v>102</v>
      </c>
      <c r="E138" t="s">
        <v>200</v>
      </c>
      <c r="G138" t="s">
        <v>16</v>
      </c>
      <c r="H138" t="s">
        <v>325</v>
      </c>
      <c r="I138" t="s">
        <v>131</v>
      </c>
      <c r="J138">
        <v>154171405</v>
      </c>
      <c r="K138" t="s">
        <v>329</v>
      </c>
      <c r="L138" t="s">
        <v>152</v>
      </c>
      <c r="O138" t="s">
        <v>291</v>
      </c>
      <c r="P138" s="1"/>
      <c r="Q138" s="1"/>
      <c r="R138" s="1"/>
      <c r="S13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8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38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3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3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38">
        <f>Portefeuille_MNT_PPS_Access20[[#This Row],[Délais PC1 et PC3]]+Portefeuille_MNT_PPS_Access20[[#This Row],[Délais PC3 et PC5]]</f>
        <v>0</v>
      </c>
      <c r="Y138" s="218" t="e">
        <f xml:space="preserve"> DATE(Portefeuille_MNT_PPS_Access20[[#This Row],[Année DÉBUT Travaux prévu]]- 3, 12, 15)</f>
        <v>#NUM!</v>
      </c>
      <c r="Z138" s="218" t="e">
        <f xml:space="preserve"> DATE(Portefeuille_MNT_PPS_Access20[[#This Row],[Année DÉBUT Travaux prévu]]- 2, 12, 15)</f>
        <v>#NUM!</v>
      </c>
      <c r="AA138" s="218" t="e">
        <f xml:space="preserve"> DATE(Portefeuille_MNT_PPS_Access20[[#This Row],[Année DÉBUT Travaux prévu]]- 1, 12, 15)</f>
        <v>#NUM!</v>
      </c>
      <c r="AB138">
        <v>1</v>
      </c>
      <c r="AD13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38" s="12">
        <f>_xlfn.XLOOKUP(Portefeuille_MNT_PPS_Access20[[#This Row],[Numéro projet]],Tableau5[Numéro projet],Tableau5[IND_Site_Prioritaire])</f>
        <v>3.6666666666666665</v>
      </c>
      <c r="AF138" s="2">
        <f>_xlfn.XLOOKUP(Portefeuille_MNT_PPS_Access20[[#This Row],[Numéro projet]],Tableau5[Numéro projet],Tableau5[Critère Etat Infrastructure])</f>
        <v>0</v>
      </c>
      <c r="AG13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23.333333333333332</v>
      </c>
      <c r="AJ138" t="s">
        <v>311</v>
      </c>
      <c r="AK138" s="2"/>
      <c r="AL138" s="63"/>
      <c r="AM138">
        <v>186</v>
      </c>
      <c r="AN138">
        <v>3019</v>
      </c>
      <c r="AP138"/>
      <c r="AQ138">
        <v>9</v>
      </c>
      <c r="AZ138"/>
      <c r="BM138" s="14">
        <f>SUM(Portefeuille_MNT_PPS_Access20[[#This Row],[AC ANT]:[TR 2035]])</f>
        <v>3214</v>
      </c>
    </row>
    <row r="139" spans="1:65" x14ac:dyDescent="0.3">
      <c r="A139" t="s">
        <v>286</v>
      </c>
      <c r="C139" t="s">
        <v>101</v>
      </c>
      <c r="D139" t="s">
        <v>102</v>
      </c>
      <c r="E139" t="s">
        <v>177</v>
      </c>
      <c r="F139" t="s">
        <v>129</v>
      </c>
      <c r="G139" t="s">
        <v>20</v>
      </c>
      <c r="H139" t="s">
        <v>20</v>
      </c>
      <c r="I139" t="s">
        <v>131</v>
      </c>
      <c r="J139">
        <v>154230631</v>
      </c>
      <c r="K139" t="s">
        <v>439</v>
      </c>
      <c r="L139" t="s">
        <v>180</v>
      </c>
      <c r="M139" s="213">
        <v>2029</v>
      </c>
      <c r="N139" s="213">
        <v>2030</v>
      </c>
      <c r="O139" t="s">
        <v>291</v>
      </c>
      <c r="P139" s="1"/>
      <c r="Q139" s="1"/>
      <c r="R139" s="1"/>
      <c r="S13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39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39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3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3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39">
        <f>Portefeuille_MNT_PPS_Access20[[#This Row],[Délais PC1 et PC3]]+Portefeuille_MNT_PPS_Access20[[#This Row],[Délais PC3 et PC5]]</f>
        <v>0</v>
      </c>
      <c r="Y139" s="218">
        <f xml:space="preserve"> DATE(Portefeuille_MNT_PPS_Access20[[#This Row],[Année DÉBUT Travaux prévu]]- 3, 12, 15)</f>
        <v>46371</v>
      </c>
      <c r="Z139" s="218">
        <f xml:space="preserve"> DATE(Portefeuille_MNT_PPS_Access20[[#This Row],[Année DÉBUT Travaux prévu]]- 2, 12, 15)</f>
        <v>46736</v>
      </c>
      <c r="AA139" s="218">
        <f xml:space="preserve"> DATE(Portefeuille_MNT_PPS_Access20[[#This Row],[Année DÉBUT Travaux prévu]]- 1, 12, 15)</f>
        <v>47102</v>
      </c>
      <c r="AB139">
        <v>1</v>
      </c>
      <c r="AD13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0</v>
      </c>
      <c r="AE139" s="12">
        <f>_xlfn.XLOOKUP(Portefeuille_MNT_PPS_Access20[[#This Row],[Numéro projet]],Tableau5[Numéro projet],Tableau5[IND_Site_Prioritaire])</f>
        <v>3.0476190476190474</v>
      </c>
      <c r="AF139" s="2">
        <f>_xlfn.XLOOKUP(Portefeuille_MNT_PPS_Access20[[#This Row],[Numéro projet]],Tableau5[Numéro projet],Tableau5[Critère Etat Infrastructure])</f>
        <v>0</v>
      </c>
      <c r="AG13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20.238095238095237</v>
      </c>
      <c r="AJ139" t="s">
        <v>311</v>
      </c>
      <c r="AK139" s="2"/>
      <c r="AL139" s="63"/>
      <c r="AP139"/>
      <c r="AY139">
        <v>100.00000000000001</v>
      </c>
      <c r="AZ139" s="103">
        <v>0</v>
      </c>
      <c r="BA139">
        <v>175.00000000000003</v>
      </c>
      <c r="BB139">
        <v>1500</v>
      </c>
      <c r="BM139" s="14">
        <f>SUM(Portefeuille_MNT_PPS_Access20[[#This Row],[AC ANT]:[TR 2035]])</f>
        <v>1775</v>
      </c>
    </row>
    <row r="140" spans="1:65" x14ac:dyDescent="0.3">
      <c r="A140" t="s">
        <v>286</v>
      </c>
      <c r="C140" t="s">
        <v>118</v>
      </c>
      <c r="D140" t="s">
        <v>102</v>
      </c>
      <c r="E140" t="s">
        <v>103</v>
      </c>
      <c r="F140" t="s">
        <v>340</v>
      </c>
      <c r="G140" t="s">
        <v>16</v>
      </c>
      <c r="H140" t="s">
        <v>16</v>
      </c>
      <c r="I140" t="s">
        <v>131</v>
      </c>
      <c r="J140">
        <v>154190477</v>
      </c>
      <c r="K140" t="s">
        <v>342</v>
      </c>
      <c r="L140" t="s">
        <v>147</v>
      </c>
      <c r="O140" t="s">
        <v>164</v>
      </c>
      <c r="P140" s="1">
        <v>44245</v>
      </c>
      <c r="Q140" s="1">
        <v>44469</v>
      </c>
      <c r="R140" s="1">
        <v>44538</v>
      </c>
      <c r="S140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40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0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7</v>
      </c>
      <c r="W14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</v>
      </c>
      <c r="X140">
        <f>Portefeuille_MNT_PPS_Access20[[#This Row],[Délais PC1 et PC3]]+Portefeuille_MNT_PPS_Access20[[#This Row],[Délais PC3 et PC5]]</f>
        <v>10</v>
      </c>
      <c r="Y140" s="218" t="e">
        <f xml:space="preserve"> DATE(Portefeuille_MNT_PPS_Access20[[#This Row],[Année DÉBUT Travaux prévu]]- 3, 12, 15)</f>
        <v>#NUM!</v>
      </c>
      <c r="Z140" s="218" t="e">
        <f xml:space="preserve"> DATE(Portefeuille_MNT_PPS_Access20[[#This Row],[Année DÉBUT Travaux prévu]]- 2, 12, 15)</f>
        <v>#NUM!</v>
      </c>
      <c r="AA140" s="218" t="e">
        <f xml:space="preserve"> DATE(Portefeuille_MNT_PPS_Access20[[#This Row],[Année DÉBUT Travaux prévu]]- 1, 12, 15)</f>
        <v>#NUM!</v>
      </c>
      <c r="AB140">
        <v>1</v>
      </c>
      <c r="AC140">
        <v>5</v>
      </c>
      <c r="AD14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0" s="12">
        <f>_xlfn.XLOOKUP(Portefeuille_MNT_PPS_Access20[[#This Row],[Numéro projet]],Tableau5[Numéro projet],Tableau5[IND_Site_Prioritaire])</f>
        <v>3</v>
      </c>
      <c r="AF140" s="2">
        <f>_xlfn.XLOOKUP(Portefeuille_MNT_PPS_Access20[[#This Row],[Numéro projet]],Tableau5[Numéro projet],Tableau5[Critère Etat Infrastructure])</f>
        <v>0</v>
      </c>
      <c r="AG14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55.000000000000007</v>
      </c>
      <c r="AH140">
        <v>5</v>
      </c>
      <c r="AI140">
        <v>5</v>
      </c>
      <c r="AJ140" t="s">
        <v>165</v>
      </c>
      <c r="AK140" s="2"/>
      <c r="AL140" s="63"/>
      <c r="AM140">
        <v>603</v>
      </c>
      <c r="AN140">
        <v>10120</v>
      </c>
      <c r="AO140">
        <v>13</v>
      </c>
      <c r="AP140">
        <v>169</v>
      </c>
      <c r="AQ140">
        <v>60</v>
      </c>
      <c r="AZ140"/>
      <c r="BM140" s="14">
        <f>SUM(Portefeuille_MNT_PPS_Access20[[#This Row],[AC ANT]:[TR 2035]])</f>
        <v>10965</v>
      </c>
    </row>
    <row r="141" spans="1:65" x14ac:dyDescent="0.3">
      <c r="A141" t="s">
        <v>286</v>
      </c>
      <c r="C141" t="s">
        <v>101</v>
      </c>
      <c r="D141" t="s">
        <v>102</v>
      </c>
      <c r="E141" t="s">
        <v>188</v>
      </c>
      <c r="F141" t="s">
        <v>113</v>
      </c>
      <c r="G141" t="s">
        <v>16</v>
      </c>
      <c r="H141" t="s">
        <v>16</v>
      </c>
      <c r="I141" t="s">
        <v>131</v>
      </c>
      <c r="J141">
        <v>154200233</v>
      </c>
      <c r="K141" t="s">
        <v>344</v>
      </c>
      <c r="L141" t="s">
        <v>139</v>
      </c>
      <c r="O141" t="s">
        <v>164</v>
      </c>
      <c r="P141" s="1"/>
      <c r="Q141" s="1"/>
      <c r="R141" s="1">
        <v>44672</v>
      </c>
      <c r="S14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41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4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1467</v>
      </c>
      <c r="X141">
        <f>Portefeuille_MNT_PPS_Access20[[#This Row],[Délais PC1 et PC3]]+Portefeuille_MNT_PPS_Access20[[#This Row],[Délais PC3 et PC5]]</f>
        <v>1467</v>
      </c>
      <c r="Y141" s="218" t="e">
        <f xml:space="preserve"> DATE(Portefeuille_MNT_PPS_Access20[[#This Row],[Année DÉBUT Travaux prévu]]- 3, 12, 15)</f>
        <v>#NUM!</v>
      </c>
      <c r="Z141" s="218" t="e">
        <f xml:space="preserve"> DATE(Portefeuille_MNT_PPS_Access20[[#This Row],[Année DÉBUT Travaux prévu]]- 2, 12, 15)</f>
        <v>#NUM!</v>
      </c>
      <c r="AA141" s="218" t="e">
        <f xml:space="preserve"> DATE(Portefeuille_MNT_PPS_Access20[[#This Row],[Année DÉBUT Travaux prévu]]- 1, 12, 15)</f>
        <v>#NUM!</v>
      </c>
      <c r="AB141">
        <v>1</v>
      </c>
      <c r="AC141">
        <v>5</v>
      </c>
      <c r="AD14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1" s="12">
        <f>_xlfn.XLOOKUP(Portefeuille_MNT_PPS_Access20[[#This Row],[Numéro projet]],Tableau5[Numéro projet],Tableau5[IND_Site_Prioritaire])</f>
        <v>2.3333333333333335</v>
      </c>
      <c r="AF141" s="2">
        <f>_xlfn.XLOOKUP(Portefeuille_MNT_PPS_Access20[[#This Row],[Numéro projet]],Tableau5[Numéro projet],Tableau5[Critère Etat Infrastructure])</f>
        <v>0</v>
      </c>
      <c r="AG14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41" t="s">
        <v>165</v>
      </c>
      <c r="AK141" s="2">
        <v>5</v>
      </c>
      <c r="AL141" s="63"/>
      <c r="AM141">
        <v>84</v>
      </c>
      <c r="AN141">
        <v>819</v>
      </c>
      <c r="AO141">
        <v>12</v>
      </c>
      <c r="AP141">
        <v>11</v>
      </c>
      <c r="AZ141"/>
      <c r="BM141" s="14">
        <f>SUM(Portefeuille_MNT_PPS_Access20[[#This Row],[AC ANT]:[TR 2035]])</f>
        <v>926</v>
      </c>
    </row>
    <row r="142" spans="1:65" x14ac:dyDescent="0.3">
      <c r="A142" t="s">
        <v>286</v>
      </c>
      <c r="C142" t="s">
        <v>118</v>
      </c>
      <c r="D142" t="s">
        <v>102</v>
      </c>
      <c r="E142" t="s">
        <v>136</v>
      </c>
      <c r="F142" t="s">
        <v>129</v>
      </c>
      <c r="G142" t="s">
        <v>16</v>
      </c>
      <c r="H142" t="s">
        <v>16</v>
      </c>
      <c r="I142" t="s">
        <v>131</v>
      </c>
      <c r="J142">
        <v>154200567</v>
      </c>
      <c r="K142" t="s">
        <v>346</v>
      </c>
      <c r="L142" t="s">
        <v>147</v>
      </c>
      <c r="O142" t="s">
        <v>164</v>
      </c>
      <c r="P142" s="1"/>
      <c r="Q142" s="1"/>
      <c r="R142" s="1"/>
      <c r="S14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42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4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4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42">
        <f>Portefeuille_MNT_PPS_Access20[[#This Row],[Délais PC1 et PC3]]+Portefeuille_MNT_PPS_Access20[[#This Row],[Délais PC3 et PC5]]</f>
        <v>0</v>
      </c>
      <c r="Y142" s="218" t="e">
        <f xml:space="preserve"> DATE(Portefeuille_MNT_PPS_Access20[[#This Row],[Année DÉBUT Travaux prévu]]- 3, 12, 15)</f>
        <v>#NUM!</v>
      </c>
      <c r="Z142" s="218" t="e">
        <f xml:space="preserve"> DATE(Portefeuille_MNT_PPS_Access20[[#This Row],[Année DÉBUT Travaux prévu]]- 2, 12, 15)</f>
        <v>#NUM!</v>
      </c>
      <c r="AA142" s="218" t="e">
        <f xml:space="preserve"> DATE(Portefeuille_MNT_PPS_Access20[[#This Row],[Année DÉBUT Travaux prévu]]- 1, 12, 15)</f>
        <v>#NUM!</v>
      </c>
      <c r="AB142">
        <v>1</v>
      </c>
      <c r="AD14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2" s="12">
        <f>_xlfn.XLOOKUP(Portefeuille_MNT_PPS_Access20[[#This Row],[Numéro projet]],Tableau5[Numéro projet],Tableau5[IND_Site_Prioritaire])</f>
        <v>3</v>
      </c>
      <c r="AF142" s="2">
        <f>_xlfn.XLOOKUP(Portefeuille_MNT_PPS_Access20[[#This Row],[Numéro projet]],Tableau5[Numéro projet],Tableau5[Critère Etat Infrastructure])</f>
        <v>0</v>
      </c>
      <c r="AG14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42" t="s">
        <v>165</v>
      </c>
      <c r="AK142" s="2">
        <v>5</v>
      </c>
      <c r="AL142" s="63"/>
      <c r="AN142">
        <v>151</v>
      </c>
      <c r="AO142">
        <v>1</v>
      </c>
      <c r="AP142">
        <v>44</v>
      </c>
      <c r="AZ142"/>
      <c r="BM142" s="14">
        <f>SUM(Portefeuille_MNT_PPS_Access20[[#This Row],[AC ANT]:[TR 2035]])</f>
        <v>196</v>
      </c>
    </row>
    <row r="143" spans="1:65" x14ac:dyDescent="0.3">
      <c r="A143" t="s">
        <v>11</v>
      </c>
      <c r="C143" t="s">
        <v>118</v>
      </c>
      <c r="D143" t="s">
        <v>102</v>
      </c>
      <c r="E143" t="s">
        <v>136</v>
      </c>
      <c r="F143" t="s">
        <v>129</v>
      </c>
      <c r="G143" t="s">
        <v>325</v>
      </c>
      <c r="H143" t="s">
        <v>16</v>
      </c>
      <c r="I143" t="s">
        <v>131</v>
      </c>
      <c r="J143">
        <v>154200568</v>
      </c>
      <c r="K143" t="s">
        <v>348</v>
      </c>
      <c r="L143" t="s">
        <v>214</v>
      </c>
      <c r="O143" t="s">
        <v>297</v>
      </c>
      <c r="P143" s="1"/>
      <c r="Q143" s="1"/>
      <c r="R143" s="1">
        <v>45037</v>
      </c>
      <c r="S14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43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4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1479</v>
      </c>
      <c r="X143">
        <f>Portefeuille_MNT_PPS_Access20[[#This Row],[Délais PC1 et PC3]]+Portefeuille_MNT_PPS_Access20[[#This Row],[Délais PC3 et PC5]]</f>
        <v>1479</v>
      </c>
      <c r="Y143" s="218" t="e">
        <f xml:space="preserve"> DATE(Portefeuille_MNT_PPS_Access20[[#This Row],[Année DÉBUT Travaux prévu]]- 3, 12, 15)</f>
        <v>#NUM!</v>
      </c>
      <c r="Z143" s="218" t="e">
        <f xml:space="preserve"> DATE(Portefeuille_MNT_PPS_Access20[[#This Row],[Année DÉBUT Travaux prévu]]- 2, 12, 15)</f>
        <v>#NUM!</v>
      </c>
      <c r="AA143" s="218" t="e">
        <f xml:space="preserve"> DATE(Portefeuille_MNT_PPS_Access20[[#This Row],[Année DÉBUT Travaux prévu]]- 1, 12, 15)</f>
        <v>#NUM!</v>
      </c>
      <c r="AB143">
        <v>1</v>
      </c>
      <c r="AC143">
        <v>5</v>
      </c>
      <c r="AD14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6</v>
      </c>
      <c r="AE143" s="12">
        <f>_xlfn.XLOOKUP(Portefeuille_MNT_PPS_Access20[[#This Row],[Numéro projet]],Tableau5[Numéro projet],Tableau5[IND_Site_Prioritaire])</f>
        <v>3</v>
      </c>
      <c r="AF143" s="2">
        <f>_xlfn.XLOOKUP(Portefeuille_MNT_PPS_Access20[[#This Row],[Numéro projet]],Tableau5[Numéro projet],Tableau5[Critère Etat Infrastructure])</f>
        <v>0</v>
      </c>
      <c r="AG14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43" t="s">
        <v>349</v>
      </c>
      <c r="AK143" s="2">
        <v>5</v>
      </c>
      <c r="AL143" s="63"/>
      <c r="AN143">
        <v>36</v>
      </c>
      <c r="AP143">
        <v>4</v>
      </c>
      <c r="AZ143"/>
      <c r="BM143" s="14">
        <f>SUM(Portefeuille_MNT_PPS_Access20[[#This Row],[AC ANT]:[TR 2035]])</f>
        <v>40</v>
      </c>
    </row>
    <row r="144" spans="1:65" x14ac:dyDescent="0.3">
      <c r="A144" t="s">
        <v>286</v>
      </c>
      <c r="C144" t="s">
        <v>101</v>
      </c>
      <c r="D144" t="s">
        <v>102</v>
      </c>
      <c r="E144" t="s">
        <v>177</v>
      </c>
      <c r="F144" t="s">
        <v>149</v>
      </c>
      <c r="G144" t="s">
        <v>16</v>
      </c>
      <c r="H144" t="s">
        <v>16</v>
      </c>
      <c r="I144" t="s">
        <v>131</v>
      </c>
      <c r="J144">
        <v>154200670</v>
      </c>
      <c r="K144" t="s">
        <v>351</v>
      </c>
      <c r="L144" t="s">
        <v>152</v>
      </c>
      <c r="O144" t="s">
        <v>164</v>
      </c>
      <c r="P144" s="1"/>
      <c r="Q144" s="1">
        <v>44880</v>
      </c>
      <c r="R144" s="1">
        <v>44914</v>
      </c>
      <c r="S144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4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4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4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1474</v>
      </c>
      <c r="W144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</v>
      </c>
      <c r="X144">
        <f>Portefeuille_MNT_PPS_Access20[[#This Row],[Délais PC1 et PC3]]+Portefeuille_MNT_PPS_Access20[[#This Row],[Délais PC3 et PC5]]</f>
        <v>1475</v>
      </c>
      <c r="Y144" s="218" t="e">
        <f xml:space="preserve"> DATE(Portefeuille_MNT_PPS_Access20[[#This Row],[Année DÉBUT Travaux prévu]]- 3, 12, 15)</f>
        <v>#NUM!</v>
      </c>
      <c r="Z144" s="218" t="e">
        <f xml:space="preserve"> DATE(Portefeuille_MNT_PPS_Access20[[#This Row],[Année DÉBUT Travaux prévu]]- 2, 12, 15)</f>
        <v>#NUM!</v>
      </c>
      <c r="AA144" s="218" t="e">
        <f xml:space="preserve"> DATE(Portefeuille_MNT_PPS_Access20[[#This Row],[Année DÉBUT Travaux prévu]]- 1, 12, 15)</f>
        <v>#NUM!</v>
      </c>
      <c r="AB144">
        <v>1</v>
      </c>
      <c r="AC144">
        <v>5</v>
      </c>
      <c r="AD144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4" s="12">
        <f>_xlfn.XLOOKUP(Portefeuille_MNT_PPS_Access20[[#This Row],[Numéro projet]],Tableau5[Numéro projet],Tableau5[IND_Site_Prioritaire])</f>
        <v>3.6666666666666665</v>
      </c>
      <c r="AF144" s="2">
        <f>_xlfn.XLOOKUP(Portefeuille_MNT_PPS_Access20[[#This Row],[Numéro projet]],Tableau5[Numéro projet],Tableau5[Critère Etat Infrastructure])</f>
        <v>0</v>
      </c>
      <c r="AG144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44">
        <v>5</v>
      </c>
      <c r="AJ144" t="s">
        <v>165</v>
      </c>
      <c r="AK144" s="2">
        <v>5</v>
      </c>
      <c r="AL144" s="63"/>
      <c r="AM144">
        <v>14</v>
      </c>
      <c r="AN144">
        <v>2970</v>
      </c>
      <c r="AP144">
        <v>52</v>
      </c>
      <c r="AZ144"/>
      <c r="BM144" s="14">
        <f>SUM(Portefeuille_MNT_PPS_Access20[[#This Row],[AC ANT]:[TR 2035]])</f>
        <v>3036</v>
      </c>
    </row>
    <row r="145" spans="1:67" x14ac:dyDescent="0.3">
      <c r="A145" t="s">
        <v>286</v>
      </c>
      <c r="C145" t="s">
        <v>101</v>
      </c>
      <c r="D145" t="s">
        <v>102</v>
      </c>
      <c r="E145" t="s">
        <v>200</v>
      </c>
      <c r="F145" t="s">
        <v>104</v>
      </c>
      <c r="G145" t="s">
        <v>16</v>
      </c>
      <c r="H145" t="s">
        <v>16</v>
      </c>
      <c r="I145" t="s">
        <v>105</v>
      </c>
      <c r="J145">
        <v>154190251</v>
      </c>
      <c r="K145" t="s">
        <v>339</v>
      </c>
      <c r="L145" t="s">
        <v>180</v>
      </c>
      <c r="O145" t="s">
        <v>164</v>
      </c>
      <c r="P145" s="1">
        <v>43360</v>
      </c>
      <c r="Q145" s="1">
        <v>43671</v>
      </c>
      <c r="R145" s="1">
        <v>44217</v>
      </c>
      <c r="S145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45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5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5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10</v>
      </c>
      <c r="W145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18</v>
      </c>
      <c r="X145">
        <f>Portefeuille_MNT_PPS_Access20[[#This Row],[Délais PC1 et PC3]]+Portefeuille_MNT_PPS_Access20[[#This Row],[Délais PC3 et PC5]]</f>
        <v>28</v>
      </c>
      <c r="Y145" s="218" t="e">
        <f xml:space="preserve"> DATE(Portefeuille_MNT_PPS_Access20[[#This Row],[Année DÉBUT Travaux prévu]]- 3, 12, 15)</f>
        <v>#NUM!</v>
      </c>
      <c r="Z145" s="218" t="e">
        <f xml:space="preserve"> DATE(Portefeuille_MNT_PPS_Access20[[#This Row],[Année DÉBUT Travaux prévu]]- 2, 12, 15)</f>
        <v>#NUM!</v>
      </c>
      <c r="AA145" s="218" t="e">
        <f xml:space="preserve"> DATE(Portefeuille_MNT_PPS_Access20[[#This Row],[Année DÉBUT Travaux prévu]]- 1, 12, 15)</f>
        <v>#NUM!</v>
      </c>
      <c r="AB145">
        <v>1</v>
      </c>
      <c r="AC145">
        <v>5</v>
      </c>
      <c r="AD145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5" s="12">
        <f>_xlfn.XLOOKUP(Portefeuille_MNT_PPS_Access20[[#This Row],[Numéro projet]],Tableau5[Numéro projet],Tableau5[IND_Site_Prioritaire])</f>
        <v>2.833333333333333</v>
      </c>
      <c r="AF145" s="2">
        <f>_xlfn.XLOOKUP(Portefeuille_MNT_PPS_Access20[[#This Row],[Numéro projet]],Tableau5[Numéro projet],Tableau5[Critère Etat Infrastructure])</f>
        <v>0</v>
      </c>
      <c r="AG145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45">
        <v>5</v>
      </c>
      <c r="AI145">
        <v>5</v>
      </c>
      <c r="AJ145" t="s">
        <v>165</v>
      </c>
      <c r="AK145" s="2">
        <v>5</v>
      </c>
      <c r="AL145" s="63"/>
      <c r="AM145">
        <v>128</v>
      </c>
      <c r="AN145">
        <v>2061</v>
      </c>
      <c r="AO145">
        <v>142</v>
      </c>
      <c r="AP145"/>
      <c r="AQ145">
        <v>65</v>
      </c>
      <c r="AZ145"/>
      <c r="BM145" s="14">
        <f>SUM(Portefeuille_MNT_PPS_Access20[[#This Row],[AC ANT]:[TR 2035]])</f>
        <v>2396</v>
      </c>
    </row>
    <row r="146" spans="1:67" x14ac:dyDescent="0.3">
      <c r="A146" t="s">
        <v>286</v>
      </c>
      <c r="C146" t="s">
        <v>101</v>
      </c>
      <c r="D146" t="s">
        <v>102</v>
      </c>
      <c r="E146" t="s">
        <v>103</v>
      </c>
      <c r="F146" t="s">
        <v>129</v>
      </c>
      <c r="G146" t="s">
        <v>16</v>
      </c>
      <c r="H146" t="s">
        <v>16</v>
      </c>
      <c r="I146" t="s">
        <v>105</v>
      </c>
      <c r="J146">
        <v>154180005</v>
      </c>
      <c r="K146" t="s">
        <v>357</v>
      </c>
      <c r="L146" t="s">
        <v>116</v>
      </c>
      <c r="M146" s="8"/>
      <c r="N146" s="8"/>
      <c r="O146" t="s">
        <v>164</v>
      </c>
      <c r="P146" s="1"/>
      <c r="Q146" s="1">
        <v>44911</v>
      </c>
      <c r="R146" s="1">
        <v>45167</v>
      </c>
      <c r="S146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6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6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6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1475</v>
      </c>
      <c r="W146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8</v>
      </c>
      <c r="X146">
        <f>Portefeuille_MNT_PPS_Access20[[#This Row],[Délais PC1 et PC3]]+Portefeuille_MNT_PPS_Access20[[#This Row],[Délais PC3 et PC5]]</f>
        <v>1483</v>
      </c>
      <c r="Y146" s="218" t="e">
        <f xml:space="preserve"> DATE(Portefeuille_MNT_PPS_Access20[[#This Row],[Année DÉBUT Travaux prévu]]- 3, 12, 15)</f>
        <v>#NUM!</v>
      </c>
      <c r="Z146" s="218" t="e">
        <f xml:space="preserve"> DATE(Portefeuille_MNT_PPS_Access20[[#This Row],[Année DÉBUT Travaux prévu]]- 2, 12, 15)</f>
        <v>#NUM!</v>
      </c>
      <c r="AA146" s="218" t="e">
        <f xml:space="preserve"> DATE(Portefeuille_MNT_PPS_Access20[[#This Row],[Année DÉBUT Travaux prévu]]- 1, 12, 15)</f>
        <v>#NUM!</v>
      </c>
      <c r="AB146">
        <v>5</v>
      </c>
      <c r="AC146">
        <v>5</v>
      </c>
      <c r="AD146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6" s="12">
        <f>_xlfn.XLOOKUP(Portefeuille_MNT_PPS_Access20[[#This Row],[Numéro projet]],Tableau5[Numéro projet],Tableau5[IND_Site_Prioritaire])</f>
        <v>3</v>
      </c>
      <c r="AF146" s="2">
        <f>_xlfn.XLOOKUP(Portefeuille_MNT_PPS_Access20[[#This Row],[Numéro projet]],Tableau5[Numéro projet],Tableau5[Critère Etat Infrastructure])</f>
        <v>0</v>
      </c>
      <c r="AG146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46">
        <v>5</v>
      </c>
      <c r="AJ146" t="s">
        <v>165</v>
      </c>
      <c r="AK146" s="2">
        <v>5</v>
      </c>
      <c r="AL146" s="63"/>
      <c r="AM146">
        <v>16</v>
      </c>
      <c r="AO146">
        <v>19</v>
      </c>
      <c r="AP146">
        <v>1816</v>
      </c>
      <c r="AZ146"/>
      <c r="BM146" s="14">
        <f>SUM(Portefeuille_MNT_PPS_Access20[[#This Row],[AC ANT]:[TR 2035]])</f>
        <v>1851</v>
      </c>
    </row>
    <row r="147" spans="1:67" x14ac:dyDescent="0.3">
      <c r="A147" t="s">
        <v>286</v>
      </c>
      <c r="C147" t="s">
        <v>118</v>
      </c>
      <c r="D147" t="s">
        <v>102</v>
      </c>
      <c r="E147" t="s">
        <v>103</v>
      </c>
      <c r="F147" t="s">
        <v>340</v>
      </c>
      <c r="G147" t="s">
        <v>16</v>
      </c>
      <c r="H147" t="s">
        <v>16</v>
      </c>
      <c r="I147" t="s">
        <v>105</v>
      </c>
      <c r="J147">
        <v>154230638</v>
      </c>
      <c r="K147" t="s">
        <v>355</v>
      </c>
      <c r="L147" t="s">
        <v>143</v>
      </c>
      <c r="M147" s="8"/>
      <c r="N147" s="8"/>
      <c r="O147" t="s">
        <v>164</v>
      </c>
      <c r="P147" s="1"/>
      <c r="Q147" s="1"/>
      <c r="R147" s="1"/>
      <c r="S147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7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47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47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47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47">
        <f>Portefeuille_MNT_PPS_Access20[[#This Row],[Délais PC1 et PC3]]+Portefeuille_MNT_PPS_Access20[[#This Row],[Délais PC3 et PC5]]</f>
        <v>0</v>
      </c>
      <c r="Y147" s="218" t="e">
        <f xml:space="preserve"> DATE(Portefeuille_MNT_PPS_Access20[[#This Row],[Année DÉBUT Travaux prévu]]- 3, 12, 15)</f>
        <v>#NUM!</v>
      </c>
      <c r="Z147" s="218" t="e">
        <f xml:space="preserve"> DATE(Portefeuille_MNT_PPS_Access20[[#This Row],[Année DÉBUT Travaux prévu]]- 2, 12, 15)</f>
        <v>#NUM!</v>
      </c>
      <c r="AA147" s="218" t="e">
        <f xml:space="preserve"> DATE(Portefeuille_MNT_PPS_Access20[[#This Row],[Année DÉBUT Travaux prévu]]- 1, 12, 15)</f>
        <v>#NUM!</v>
      </c>
      <c r="AB147">
        <v>1</v>
      </c>
      <c r="AD147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7" s="12">
        <f>_xlfn.XLOOKUP(Portefeuille_MNT_PPS_Access20[[#This Row],[Numéro projet]],Tableau5[Numéro projet],Tableau5[IND_Site_Prioritaire])</f>
        <v>4.333333333333333</v>
      </c>
      <c r="AF147" s="2">
        <f>_xlfn.XLOOKUP(Portefeuille_MNT_PPS_Access20[[#This Row],[Numéro projet]],Tableau5[Numéro projet],Tableau5[Critère Etat Infrastructure])</f>
        <v>0</v>
      </c>
      <c r="AG147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61.666666666666671</v>
      </c>
      <c r="AJ147" t="s">
        <v>165</v>
      </c>
      <c r="AK147" s="2"/>
      <c r="AL147" s="63"/>
      <c r="AM147">
        <v>173</v>
      </c>
      <c r="AN147">
        <v>7850</v>
      </c>
      <c r="AO147">
        <v>3</v>
      </c>
      <c r="AP147">
        <v>173</v>
      </c>
      <c r="AZ147"/>
      <c r="BM147" s="14">
        <f>SUM(Portefeuille_MNT_PPS_Access20[[#This Row],[AC ANT]:[TR 2035]])</f>
        <v>8199</v>
      </c>
    </row>
    <row r="148" spans="1:67" x14ac:dyDescent="0.3">
      <c r="A148" t="s">
        <v>286</v>
      </c>
      <c r="C148" t="s">
        <v>126</v>
      </c>
      <c r="D148" t="s">
        <v>127</v>
      </c>
      <c r="E148" t="s">
        <v>136</v>
      </c>
      <c r="F148" t="s">
        <v>113</v>
      </c>
      <c r="G148" t="s">
        <v>16</v>
      </c>
      <c r="H148" t="s">
        <v>16</v>
      </c>
      <c r="I148" t="s">
        <v>105</v>
      </c>
      <c r="J148">
        <v>154951715</v>
      </c>
      <c r="K148" t="s">
        <v>359</v>
      </c>
      <c r="L148" t="s">
        <v>108</v>
      </c>
      <c r="O148" t="s">
        <v>164</v>
      </c>
      <c r="P148" s="1"/>
      <c r="Q148" s="1">
        <v>42383</v>
      </c>
      <c r="R148" s="1">
        <v>43404</v>
      </c>
      <c r="S148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8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8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8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1392</v>
      </c>
      <c r="W148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33</v>
      </c>
      <c r="X148">
        <f>Portefeuille_MNT_PPS_Access20[[#This Row],[Délais PC1 et PC3]]+Portefeuille_MNT_PPS_Access20[[#This Row],[Délais PC3 et PC5]]</f>
        <v>1425</v>
      </c>
      <c r="Y148" s="218" t="e">
        <f xml:space="preserve"> DATE(Portefeuille_MNT_PPS_Access20[[#This Row],[Année DÉBUT Travaux prévu]]- 3, 12, 15)</f>
        <v>#NUM!</v>
      </c>
      <c r="Z148" s="218" t="e">
        <f xml:space="preserve"> DATE(Portefeuille_MNT_PPS_Access20[[#This Row],[Année DÉBUT Travaux prévu]]- 2, 12, 15)</f>
        <v>#NUM!</v>
      </c>
      <c r="AA148" s="218" t="e">
        <f xml:space="preserve"> DATE(Portefeuille_MNT_PPS_Access20[[#This Row],[Année DÉBUT Travaux prévu]]- 1, 12, 15)</f>
        <v>#NUM!</v>
      </c>
      <c r="AB148">
        <v>1</v>
      </c>
      <c r="AC148">
        <v>5</v>
      </c>
      <c r="AD148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8" s="12">
        <f>_xlfn.XLOOKUP(Portefeuille_MNT_PPS_Access20[[#This Row],[Numéro projet]],Tableau5[Numéro projet],Tableau5[IND_Site_Prioritaire])</f>
        <v>4</v>
      </c>
      <c r="AF148" s="2">
        <f>_xlfn.XLOOKUP(Portefeuille_MNT_PPS_Access20[[#This Row],[Numéro projet]],Tableau5[Numéro projet],Tableau5[Critère Etat Infrastructure])</f>
        <v>0</v>
      </c>
      <c r="AG148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60.000000000000007</v>
      </c>
      <c r="AH148">
        <v>5</v>
      </c>
      <c r="AJ148" t="s">
        <v>165</v>
      </c>
      <c r="AK148" s="2"/>
      <c r="AL148" s="63"/>
      <c r="AM148">
        <v>2099</v>
      </c>
      <c r="AN148">
        <v>8991</v>
      </c>
      <c r="AO148">
        <v>93</v>
      </c>
      <c r="AP148"/>
      <c r="AQ148">
        <v>29</v>
      </c>
      <c r="AZ148"/>
      <c r="BM148" s="14">
        <f>SUM(Portefeuille_MNT_PPS_Access20[[#This Row],[AC ANT]:[TR 2035]])</f>
        <v>11212</v>
      </c>
      <c r="BN148" s="57"/>
      <c r="BO148" s="57"/>
    </row>
    <row r="149" spans="1:67" x14ac:dyDescent="0.3">
      <c r="A149" t="s">
        <v>286</v>
      </c>
      <c r="C149" t="s">
        <v>118</v>
      </c>
      <c r="D149" t="s">
        <v>102</v>
      </c>
      <c r="E149" t="s">
        <v>136</v>
      </c>
      <c r="F149" t="s">
        <v>340</v>
      </c>
      <c r="G149" t="s">
        <v>16</v>
      </c>
      <c r="H149" t="s">
        <v>16</v>
      </c>
      <c r="I149" t="s">
        <v>105</v>
      </c>
      <c r="J149" s="2">
        <v>154210133</v>
      </c>
      <c r="K149" t="s">
        <v>353</v>
      </c>
      <c r="L149" t="s">
        <v>180</v>
      </c>
      <c r="O149" t="s">
        <v>164</v>
      </c>
      <c r="P149" s="1"/>
      <c r="Q149" s="1">
        <v>44965</v>
      </c>
      <c r="R149" s="1">
        <v>45113</v>
      </c>
      <c r="S149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49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49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49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1477</v>
      </c>
      <c r="W149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5</v>
      </c>
      <c r="X149">
        <f>Portefeuille_MNT_PPS_Access20[[#This Row],[Délais PC1 et PC3]]+Portefeuille_MNT_PPS_Access20[[#This Row],[Délais PC3 et PC5]]</f>
        <v>1482</v>
      </c>
      <c r="Y149" s="218" t="e">
        <f xml:space="preserve"> DATE(Portefeuille_MNT_PPS_Access20[[#This Row],[Année DÉBUT Travaux prévu]]- 3, 12, 15)</f>
        <v>#NUM!</v>
      </c>
      <c r="Z149" s="218" t="e">
        <f xml:space="preserve"> DATE(Portefeuille_MNT_PPS_Access20[[#This Row],[Année DÉBUT Travaux prévu]]- 2, 12, 15)</f>
        <v>#NUM!</v>
      </c>
      <c r="AA149" s="218" t="e">
        <f xml:space="preserve"> DATE(Portefeuille_MNT_PPS_Access20[[#This Row],[Année DÉBUT Travaux prévu]]- 1, 12, 15)</f>
        <v>#NUM!</v>
      </c>
      <c r="AB149">
        <v>1</v>
      </c>
      <c r="AC149">
        <v>5</v>
      </c>
      <c r="AD149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49" s="12">
        <f>_xlfn.XLOOKUP(Portefeuille_MNT_PPS_Access20[[#This Row],[Numéro projet]],Tableau5[Numéro projet],Tableau5[IND_Site_Prioritaire])</f>
        <v>4</v>
      </c>
      <c r="AF149" s="2">
        <f>_xlfn.XLOOKUP(Portefeuille_MNT_PPS_Access20[[#This Row],[Numéro projet]],Tableau5[Numéro projet],Tableau5[Critère Etat Infrastructure])</f>
        <v>0</v>
      </c>
      <c r="AG149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49">
        <v>5</v>
      </c>
      <c r="AJ149" t="s">
        <v>165</v>
      </c>
      <c r="AK149" s="2">
        <v>5</v>
      </c>
      <c r="AL149" s="63"/>
      <c r="AM149">
        <v>87</v>
      </c>
      <c r="AN149">
        <v>304</v>
      </c>
      <c r="AO149">
        <v>35</v>
      </c>
      <c r="AP149">
        <v>958</v>
      </c>
      <c r="AZ149"/>
      <c r="BM149" s="14">
        <f>SUM(Portefeuille_MNT_PPS_Access20[[#This Row],[AC ANT]:[TR 2035]])</f>
        <v>1384</v>
      </c>
    </row>
    <row r="150" spans="1:67" x14ac:dyDescent="0.3">
      <c r="A150" t="s">
        <v>286</v>
      </c>
      <c r="C150" t="s">
        <v>101</v>
      </c>
      <c r="D150" t="s">
        <v>102</v>
      </c>
      <c r="E150" t="s">
        <v>103</v>
      </c>
      <c r="F150" t="s">
        <v>113</v>
      </c>
      <c r="G150" t="s">
        <v>16</v>
      </c>
      <c r="H150" t="s">
        <v>16</v>
      </c>
      <c r="I150" t="s">
        <v>105</v>
      </c>
      <c r="J150">
        <v>154180843</v>
      </c>
      <c r="K150" t="s">
        <v>363</v>
      </c>
      <c r="L150" t="s">
        <v>122</v>
      </c>
      <c r="M150" s="8"/>
      <c r="N150" s="8"/>
      <c r="O150" t="s">
        <v>164</v>
      </c>
      <c r="P150" s="1">
        <v>44316</v>
      </c>
      <c r="Q150" s="1">
        <v>44636</v>
      </c>
      <c r="R150" s="1">
        <v>45084</v>
      </c>
      <c r="S150" s="1" t="e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#NUM!</v>
      </c>
      <c r="T150" s="1" t="e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#NUM!</v>
      </c>
      <c r="U150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50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11</v>
      </c>
      <c r="W150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15</v>
      </c>
      <c r="X150">
        <f>Portefeuille_MNT_PPS_Access20[[#This Row],[Délais PC1 et PC3]]+Portefeuille_MNT_PPS_Access20[[#This Row],[Délais PC3 et PC5]]</f>
        <v>26</v>
      </c>
      <c r="Y150" s="218" t="e">
        <f xml:space="preserve"> DATE(Portefeuille_MNT_PPS_Access20[[#This Row],[Année DÉBUT Travaux prévu]]- 3, 12, 15)</f>
        <v>#NUM!</v>
      </c>
      <c r="Z150" s="218" t="e">
        <f xml:space="preserve"> DATE(Portefeuille_MNT_PPS_Access20[[#This Row],[Année DÉBUT Travaux prévu]]- 2, 12, 15)</f>
        <v>#NUM!</v>
      </c>
      <c r="AA150" s="218" t="e">
        <f xml:space="preserve"> DATE(Portefeuille_MNT_PPS_Access20[[#This Row],[Année DÉBUT Travaux prévu]]- 1, 12, 15)</f>
        <v>#NUM!</v>
      </c>
      <c r="AB150">
        <v>5</v>
      </c>
      <c r="AC150">
        <v>5</v>
      </c>
      <c r="AD150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7</v>
      </c>
      <c r="AE150" s="12">
        <f>_xlfn.XLOOKUP(Portefeuille_MNT_PPS_Access20[[#This Row],[Numéro projet]],Tableau5[Numéro projet],Tableau5[IND_Site_Prioritaire])</f>
        <v>4</v>
      </c>
      <c r="AF150" s="2">
        <f>_xlfn.XLOOKUP(Portefeuille_MNT_PPS_Access20[[#This Row],[Numéro projet]],Tableau5[Numéro projet],Tableau5[Critère Etat Infrastructure])</f>
        <v>4</v>
      </c>
      <c r="AG150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H150">
        <v>5</v>
      </c>
      <c r="AI150">
        <v>5</v>
      </c>
      <c r="AJ150" t="s">
        <v>165</v>
      </c>
      <c r="AK150" s="2">
        <v>5</v>
      </c>
      <c r="AL150" s="63"/>
      <c r="AM150">
        <v>123</v>
      </c>
      <c r="AO150">
        <v>81</v>
      </c>
      <c r="AP150">
        <v>10747</v>
      </c>
      <c r="AQ150">
        <v>178</v>
      </c>
      <c r="AZ150"/>
      <c r="BM150" s="14">
        <f>SUM(Portefeuille_MNT_PPS_Access20[[#This Row],[AC ANT]:[TR 2035]])</f>
        <v>11129</v>
      </c>
    </row>
    <row r="151" spans="1:67" x14ac:dyDescent="0.3">
      <c r="A151" t="s">
        <v>11</v>
      </c>
      <c r="C151" t="s">
        <v>118</v>
      </c>
      <c r="D151" t="s">
        <v>102</v>
      </c>
      <c r="E151" t="s">
        <v>177</v>
      </c>
      <c r="F151" t="s">
        <v>104</v>
      </c>
      <c r="G151" t="s">
        <v>16</v>
      </c>
      <c r="H151" t="s">
        <v>16</v>
      </c>
      <c r="I151" t="s">
        <v>105</v>
      </c>
      <c r="J151">
        <v>154951716</v>
      </c>
      <c r="K151" t="s">
        <v>199</v>
      </c>
      <c r="L151" t="s">
        <v>108</v>
      </c>
      <c r="O151" t="s">
        <v>297</v>
      </c>
      <c r="P151" s="1"/>
      <c r="Q151" s="1"/>
      <c r="R151" s="1">
        <v>45176</v>
      </c>
      <c r="S151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51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51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51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51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1484</v>
      </c>
      <c r="X151">
        <f>Portefeuille_MNT_PPS_Access20[[#This Row],[Délais PC1 et PC3]]+Portefeuille_MNT_PPS_Access20[[#This Row],[Délais PC3 et PC5]]</f>
        <v>1484</v>
      </c>
      <c r="Y151" s="218" t="e">
        <f xml:space="preserve"> DATE(Portefeuille_MNT_PPS_Access20[[#This Row],[Année DÉBUT Travaux prévu]]- 3, 12, 15)</f>
        <v>#NUM!</v>
      </c>
      <c r="Z151" s="218" t="e">
        <f xml:space="preserve"> DATE(Portefeuille_MNT_PPS_Access20[[#This Row],[Année DÉBUT Travaux prévu]]- 2, 12, 15)</f>
        <v>#NUM!</v>
      </c>
      <c r="AA151" s="218" t="e">
        <f xml:space="preserve"> DATE(Portefeuille_MNT_PPS_Access20[[#This Row],[Année DÉBUT Travaux prévu]]- 1, 12, 15)</f>
        <v>#NUM!</v>
      </c>
      <c r="AB151">
        <v>5</v>
      </c>
      <c r="AC151">
        <v>5</v>
      </c>
      <c r="AD151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6</v>
      </c>
      <c r="AE151" s="12">
        <f>_xlfn.XLOOKUP(Portefeuille_MNT_PPS_Access20[[#This Row],[Numéro projet]],Tableau5[Numéro projet],Tableau5[IND_Site_Prioritaire])</f>
        <v>4</v>
      </c>
      <c r="AF151" s="2">
        <f>_xlfn.XLOOKUP(Portefeuille_MNT_PPS_Access20[[#This Row],[Numéro projet]],Tableau5[Numéro projet],Tableau5[Critère Etat Infrastructure])</f>
        <v>0</v>
      </c>
      <c r="AG151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51" t="s">
        <v>349</v>
      </c>
      <c r="AK151" s="2">
        <v>5</v>
      </c>
      <c r="AL151" s="63"/>
      <c r="AM151">
        <v>269</v>
      </c>
      <c r="AO151">
        <v>14</v>
      </c>
      <c r="AP151">
        <v>5</v>
      </c>
      <c r="AZ151"/>
      <c r="BM151" s="14">
        <f>SUM(Portefeuille_MNT_PPS_Access20[[#This Row],[AC ANT]:[TR 2035]])</f>
        <v>288</v>
      </c>
    </row>
    <row r="152" spans="1:67" x14ac:dyDescent="0.3">
      <c r="A152" t="s">
        <v>286</v>
      </c>
      <c r="C152" t="s">
        <v>126</v>
      </c>
      <c r="D152" t="s">
        <v>127</v>
      </c>
      <c r="E152" t="s">
        <v>128</v>
      </c>
      <c r="F152" t="s">
        <v>252</v>
      </c>
      <c r="G152" t="s">
        <v>16</v>
      </c>
      <c r="H152" t="s">
        <v>16</v>
      </c>
      <c r="I152" t="s">
        <v>131</v>
      </c>
      <c r="J152">
        <v>154220431</v>
      </c>
      <c r="K152" t="s">
        <v>435</v>
      </c>
      <c r="L152" t="s">
        <v>147</v>
      </c>
      <c r="O152" t="s">
        <v>123</v>
      </c>
      <c r="P152" s="1"/>
      <c r="Q152" s="1"/>
      <c r="R152" s="1">
        <v>45413</v>
      </c>
      <c r="S152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52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52" s="1" t="e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#NUM!</v>
      </c>
      <c r="V152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52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1492</v>
      </c>
      <c r="X152">
        <f>Portefeuille_MNT_PPS_Access20[[#This Row],[Délais PC1 et PC3]]+Portefeuille_MNT_PPS_Access20[[#This Row],[Délais PC3 et PC5]]</f>
        <v>1492</v>
      </c>
      <c r="Y152" s="218" t="e">
        <f xml:space="preserve"> DATE(Portefeuille_MNT_PPS_Access20[[#This Row],[Année DÉBUT Travaux prévu]]- 3, 12, 15)</f>
        <v>#NUM!</v>
      </c>
      <c r="Z152" s="218" t="e">
        <f xml:space="preserve"> DATE(Portefeuille_MNT_PPS_Access20[[#This Row],[Année DÉBUT Travaux prévu]]- 2, 12, 15)</f>
        <v>#NUM!</v>
      </c>
      <c r="AA152" s="218" t="e">
        <f xml:space="preserve"> DATE(Portefeuille_MNT_PPS_Access20[[#This Row],[Année DÉBUT Travaux prévu]]- 1, 12, 15)</f>
        <v>#NUM!</v>
      </c>
      <c r="AB152">
        <v>1</v>
      </c>
      <c r="AC152">
        <v>5</v>
      </c>
      <c r="AD152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5</v>
      </c>
      <c r="AE152" s="12">
        <f>_xlfn.XLOOKUP(Portefeuille_MNT_PPS_Access20[[#This Row],[Numéro projet]],Tableau5[Numéro projet],Tableau5[IND_Site_Prioritaire])</f>
        <v>3</v>
      </c>
      <c r="AF152" s="2">
        <f>_xlfn.XLOOKUP(Portefeuille_MNT_PPS_Access20[[#This Row],[Numéro projet]],Tableau5[Numéro projet],Tableau5[Critère Etat Infrastructure])</f>
        <v>0</v>
      </c>
      <c r="AG152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52" t="s">
        <v>125</v>
      </c>
      <c r="AK152" s="2">
        <v>5</v>
      </c>
      <c r="AL152" s="63"/>
      <c r="AO152">
        <v>2</v>
      </c>
      <c r="AP152">
        <v>64</v>
      </c>
      <c r="AZ152"/>
      <c r="BM152" s="14">
        <f>SUM(Portefeuille_MNT_PPS_Access20[[#This Row],[AC ANT]:[TR 2035]])</f>
        <v>66</v>
      </c>
      <c r="BN152" s="57"/>
      <c r="BO152" s="57"/>
    </row>
    <row r="153" spans="1:67" x14ac:dyDescent="0.3">
      <c r="A153" t="s">
        <v>11</v>
      </c>
      <c r="C153" t="s">
        <v>118</v>
      </c>
      <c r="D153" t="s">
        <v>102</v>
      </c>
      <c r="E153" t="s">
        <v>103</v>
      </c>
      <c r="F153" t="s">
        <v>252</v>
      </c>
      <c r="G153" t="s">
        <v>20</v>
      </c>
      <c r="H153" t="s">
        <v>16</v>
      </c>
      <c r="I153" t="s">
        <v>131</v>
      </c>
      <c r="J153">
        <v>154220312</v>
      </c>
      <c r="K153" t="s">
        <v>388</v>
      </c>
      <c r="L153" t="s">
        <v>180</v>
      </c>
      <c r="O153" t="s">
        <v>297</v>
      </c>
      <c r="P153" s="1"/>
      <c r="Q153" s="1"/>
      <c r="R153" s="1"/>
      <c r="S153" s="1" t="str">
        <f xml:space="preserve"> IF(Portefeuille_MNT_PPS_Access20[[#This Row],[PC-1]] = "", "0.ND",IF(Portefeuille_MNT_PPS_Access20[[#This Row],[PC-1]] &lt;= DATE(Portefeuille_MNT_PPS_Access20[[#This Row],[Année DÉBUT Travaux prévu]]- 3, 12, 15),"5.Respect OPC",IF(Portefeuille_MNT_PPS_Access20[[#This Row],[PC-1]] &lt;= DATE(Portefeuille_MNT_PPS_Access20[[#This Row],[Année DÉBUT Travaux prévu]]-2, 4, 1),"3.À risque","1.Très à risque")))</f>
        <v>0.ND</v>
      </c>
      <c r="T153" s="1" t="str">
        <f xml:space="preserve"> IF(Portefeuille_MNT_PPS_Access20[[#This Row],[PC-3]] = "", "0.ND",IF(Portefeuille_MNT_PPS_Access20[[#This Row],[PC-3]] &lt;= DATE(Portefeuille_MNT_PPS_Access20[[#This Row],[Année DÉBUT Travaux prévu]]- 2, 12, 15),"5.Respect OPC",IF(Portefeuille_MNT_PPS_Access20[[#This Row],[PC-3]] &lt;= DATE(Portefeuille_MNT_PPS_Access20[[#This Row],[Année DÉBUT Travaux prévu]]-1, 4, 1),"3.À risque","1.Très à risque")))</f>
        <v>0.ND</v>
      </c>
      <c r="U153" s="1" t="str">
        <f xml:space="preserve"> IF(Portefeuille_MNT_PPS_Access20[[#This Row],[PC-5]] = "", "0.ND",IF(Portefeuille_MNT_PPS_Access20[[#This Row],[PC-5]] &lt;= DATE(Portefeuille_MNT_PPS_Access20[[#This Row],[Année DÉBUT Travaux prévu]]- 1, 12, 15),"5.Respect OPC",IF(Portefeuille_MNT_PPS_Access20[[#This Row],[PC-5]] &lt;= DATE(Portefeuille_MNT_PPS_Access20[[#This Row],[Année DÉBUT Travaux prévu]], 4, 1),"3.À risque","1.Très à risque")))</f>
        <v>0.ND</v>
      </c>
      <c r="V153">
        <f xml:space="preserve"> (YEAR(Portefeuille_MNT_PPS_Access20[[#This Row],[PC-3]]) - YEAR(Portefeuille_MNT_PPS_Access20[[#This Row],[PC-1]])) * 12 + MONTH(Portefeuille_MNT_PPS_Access20[[#This Row],[PC-3]]) - MONTH(Portefeuille_MNT_PPS_Access20[[#This Row],[PC-1]])</f>
        <v>0</v>
      </c>
      <c r="W153">
        <f xml:space="preserve"> (YEAR(Portefeuille_MNT_PPS_Access20[[#This Row],[PC-5]]) - YEAR(Portefeuille_MNT_PPS_Access20[[#This Row],[PC-3]])) * 12 + MONTH(Portefeuille_MNT_PPS_Access20[[#This Row],[PC-5]]) - MONTH(Portefeuille_MNT_PPS_Access20[[#This Row],[PC-3]])</f>
        <v>0</v>
      </c>
      <c r="X153">
        <f>Portefeuille_MNT_PPS_Access20[[#This Row],[Délais PC1 et PC3]]+Portefeuille_MNT_PPS_Access20[[#This Row],[Délais PC3 et PC5]]</f>
        <v>0</v>
      </c>
      <c r="Y153" s="218" t="e">
        <f xml:space="preserve"> DATE(Portefeuille_MNT_PPS_Access20[[#This Row],[Année DÉBUT Travaux prévu]]- 3, 12, 15)</f>
        <v>#NUM!</v>
      </c>
      <c r="Z153" s="218" t="e">
        <f xml:space="preserve"> DATE(Portefeuille_MNT_PPS_Access20[[#This Row],[Année DÉBUT Travaux prévu]]- 2, 12, 15)</f>
        <v>#NUM!</v>
      </c>
      <c r="AA153" s="218" t="e">
        <f xml:space="preserve"> DATE(Portefeuille_MNT_PPS_Access20[[#This Row],[Année DÉBUT Travaux prévu]]- 1, 12, 15)</f>
        <v>#NUM!</v>
      </c>
      <c r="AB153">
        <v>1</v>
      </c>
      <c r="AD153" s="2" t="str">
        <f>IF(AND(Portefeuille_MNT_PPS_Access20[[#This Row],[Année DÉBUT Travaux prévu]]&gt;=2024,Portefeuille_MNT_PPS_Access20[[#This Row],[IND_PC5_TR2025]]=5),5,IF(AND(Portefeuille_MNT_PPS_Access20[[#This Row],[Année DÉBUT Travaux prévu]]&gt;=2026,Portefeuille_MNT_PPS_Access20[[#This Row],[IND_PC3_TR2026]]=5),5,Portefeuille_MNT_PPS_Access20[[#This Row],[IND_Etat_avancement]]))</f>
        <v>6</v>
      </c>
      <c r="AE153" s="12">
        <f>_xlfn.XLOOKUP(Portefeuille_MNT_PPS_Access20[[#This Row],[Numéro projet]],Tableau5[Numéro projet],Tableau5[IND_Site_Prioritaire])</f>
        <v>2.8</v>
      </c>
      <c r="AF153" s="2">
        <f>_xlfn.XLOOKUP(Portefeuille_MNT_PPS_Access20[[#This Row],[Numéro projet]],Tableau5[Numéro projet],Tableau5[Critère Etat Infrastructure])</f>
        <v>0</v>
      </c>
      <c r="AG153" s="12">
        <f>IF(Portefeuille_MNT_PPS_Access20[[#This Row],[IND_Parachèvement]]=5,100, SUM(Portefeuille_MNT_PPS_Access20[[#This Row],[Critère PC Atteint]]*$AK$8/5, Portefeuille_MNT_PPS_Access20[[#This Row],[Critère Etat Infrastructure]]*$AK$10/5,Portefeuille_MNT_PPS_Access20[[#This Row],[Site prioritaire]]* $AK$9/5, Portefeuille_MNT_PPS_Access20[[#This Row],[IND_PROJT_ANNONCE]]*$AK$7/5)*100)</f>
        <v>100</v>
      </c>
      <c r="AJ153" t="s">
        <v>349</v>
      </c>
      <c r="AK153" s="2">
        <v>5</v>
      </c>
      <c r="AL153" s="63"/>
      <c r="AP153">
        <v>316</v>
      </c>
      <c r="AZ153"/>
      <c r="BM153" s="14">
        <f>SUM(Portefeuille_MNT_PPS_Access20[[#This Row],[AC ANT]:[TR 2035]])</f>
        <v>316</v>
      </c>
    </row>
    <row r="154" spans="1:67" x14ac:dyDescent="0.3">
      <c r="J154">
        <f>SUBTOTAL(103,Portefeuille_MNT_PPS_Access20[Numéro projet])</f>
        <v>135</v>
      </c>
      <c r="V154" s="57">
        <f>SUBTOTAL(101,Portefeuille_MNT_PPS_Access20[Délais PC1 et PC3])</f>
        <v>28.066666666666666</v>
      </c>
      <c r="W154" s="57">
        <f>SUBTOTAL(101,Portefeuille_MNT_PPS_Access20[Délais PC3 et PC5])</f>
        <v>137.83703703703705</v>
      </c>
      <c r="X154" s="57">
        <f>SUBTOTAL(101,Portefeuille_MNT_PPS_Access20[Délais total PC3 et PC5])</f>
        <v>165.90370370370371</v>
      </c>
      <c r="Y154" s="57"/>
      <c r="Z154" s="57"/>
      <c r="AA154" s="57"/>
      <c r="AL154" s="25"/>
      <c r="AM154" s="14">
        <f>SUBTOTAL(109,Portefeuille_MNT_PPS_Access20[AC ANT])</f>
        <v>24010</v>
      </c>
      <c r="AN154" s="14">
        <f>SUBTOTAL(109,Portefeuille_MNT_PPS_Access20[TR ANT])</f>
        <v>153191</v>
      </c>
      <c r="AO154" s="14">
        <f>SUBTOTAL(109,Portefeuille_MNT_PPS_Access20[AC 2024])</f>
        <v>4500</v>
      </c>
      <c r="AP154" s="14">
        <f>SUBTOTAL(109,Portefeuille_MNT_PPS_Access20[TR 2024])</f>
        <v>70599</v>
      </c>
      <c r="AQ154" s="14">
        <f>SUBTOTAL(109,Portefeuille_MNT_PPS_Access20[AC 2025])</f>
        <v>11393</v>
      </c>
      <c r="AR154" s="14">
        <f>SUBTOTAL(109,Portefeuille_MNT_PPS_Access20[TR 2025])</f>
        <v>55614</v>
      </c>
      <c r="AS154" s="14">
        <f>SUBTOTAL(109,Portefeuille_MNT_PPS_Access20[AC 2026])</f>
        <v>11201</v>
      </c>
      <c r="AT154" s="14">
        <f>SUBTOTAL(109,Portefeuille_MNT_PPS_Access20[TR 2026])</f>
        <v>55364</v>
      </c>
      <c r="AU154" s="14">
        <f>SUBTOTAL(109,Portefeuille_MNT_PPS_Access20[AC 2027])</f>
        <v>12938</v>
      </c>
      <c r="AV154" s="14">
        <f>SUBTOTAL(109,Portefeuille_MNT_PPS_Access20[TR 2027])</f>
        <v>72955</v>
      </c>
      <c r="AW154" s="14">
        <f>SUBTOTAL(109,Portefeuille_MNT_PPS_Access20[AC 2028])</f>
        <v>11883</v>
      </c>
      <c r="AX154" s="14">
        <f>SUBTOTAL(109,Portefeuille_MNT_PPS_Access20[TR 2028])</f>
        <v>85208</v>
      </c>
      <c r="AY154" s="14">
        <f>SUBTOTAL(109,Portefeuille_MNT_PPS_Access20[AC 2029])</f>
        <v>11472</v>
      </c>
      <c r="AZ154" s="14">
        <f>SUBTOTAL(109,Portefeuille_MNT_PPS_Access20[TR 2029])</f>
        <v>114929</v>
      </c>
      <c r="BA154" s="14">
        <f>SUBTOTAL(109,Portefeuille_MNT_PPS_Access20[AC 2030])</f>
        <v>9170</v>
      </c>
      <c r="BB154" s="14">
        <f>SUBTOTAL(109,Portefeuille_MNT_PPS_Access20[TR 2030])</f>
        <v>123208</v>
      </c>
      <c r="BC154" s="14">
        <f>SUBTOTAL(109,Portefeuille_MNT_PPS_Access20[AC 2031])</f>
        <v>5568</v>
      </c>
      <c r="BD154" s="14">
        <f>SUBTOTAL(109,Portefeuille_MNT_PPS_Access20[TR 2031])</f>
        <v>84619</v>
      </c>
      <c r="BE154" s="14">
        <f>SUBTOTAL(109,Portefeuille_MNT_PPS_Access20[AC 2032])</f>
        <v>4900</v>
      </c>
      <c r="BF154" s="14">
        <f>SUBTOTAL(109,Portefeuille_MNT_PPS_Access20[TR 2032])</f>
        <v>45200</v>
      </c>
      <c r="BG154" s="14">
        <f>SUBTOTAL(109,Portefeuille_MNT_PPS_Access20[AC 2033])</f>
        <v>6800</v>
      </c>
      <c r="BH154" s="14">
        <f>SUBTOTAL(109,Portefeuille_MNT_PPS_Access20[TR 2033])</f>
        <v>69600</v>
      </c>
      <c r="BI154" s="14">
        <f>SUBTOTAL(109,Portefeuille_MNT_PPS_Access20[AC 2034])</f>
        <v>4625</v>
      </c>
      <c r="BJ154" s="14">
        <f>SUBTOTAL(109,Portefeuille_MNT_PPS_Access20[TR 2034])</f>
        <v>93400</v>
      </c>
      <c r="BK154" s="14">
        <f>SUBTOTAL(109,Portefeuille_MNT_PPS_Access20[AC 2035])</f>
        <v>3350</v>
      </c>
      <c r="BL154" s="14">
        <f>SUBTOTAL(109,Portefeuille_MNT_PPS_Access20[TR 2035])</f>
        <v>112000</v>
      </c>
      <c r="BM154" s="14">
        <f>SUBTOTAL(109,Portefeuille_MNT_PPS_Access20[Total Projet])</f>
        <v>1257697</v>
      </c>
    </row>
    <row r="156" spans="1:67" x14ac:dyDescent="0.3"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</row>
  </sheetData>
  <mergeCells count="183">
    <mergeCell ref="BC16:BD16"/>
    <mergeCell ref="BE16:BF16"/>
    <mergeCell ref="BG16:BH16"/>
    <mergeCell ref="BI16:BJ16"/>
    <mergeCell ref="BK16:BL16"/>
    <mergeCell ref="BI15:BJ15"/>
    <mergeCell ref="BK15:BL15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AW15:AX15"/>
    <mergeCell ref="AY15:AZ15"/>
    <mergeCell ref="BA15:BB15"/>
    <mergeCell ref="BC15:BD15"/>
    <mergeCell ref="BE15:BF15"/>
    <mergeCell ref="BG15:BH15"/>
    <mergeCell ref="BC14:BD14"/>
    <mergeCell ref="BE14:BF14"/>
    <mergeCell ref="BG14:BH14"/>
    <mergeCell ref="BI14:BJ14"/>
    <mergeCell ref="BK14:BL14"/>
    <mergeCell ref="AM15:AN15"/>
    <mergeCell ref="AO15:AP15"/>
    <mergeCell ref="AQ15:AR15"/>
    <mergeCell ref="AS15:AT15"/>
    <mergeCell ref="AU15:AV15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AW13:AX13"/>
    <mergeCell ref="AY13:AZ13"/>
    <mergeCell ref="BA13:BB13"/>
    <mergeCell ref="BC12:BD12"/>
    <mergeCell ref="BE12:BF12"/>
    <mergeCell ref="BG12:BH12"/>
    <mergeCell ref="BI12:BJ12"/>
    <mergeCell ref="BK12:BL12"/>
    <mergeCell ref="AM13:AN13"/>
    <mergeCell ref="AO13:AP13"/>
    <mergeCell ref="AQ13:AR13"/>
    <mergeCell ref="AS13:AT13"/>
    <mergeCell ref="AU13:AV13"/>
    <mergeCell ref="BI13:BJ13"/>
    <mergeCell ref="BK13:BL13"/>
    <mergeCell ref="BC13:BD13"/>
    <mergeCell ref="BE13:BF13"/>
    <mergeCell ref="BG13:BH13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AW11:AX11"/>
    <mergeCell ref="AY11:AZ11"/>
    <mergeCell ref="BA11:BB11"/>
    <mergeCell ref="BC10:BD10"/>
    <mergeCell ref="BE10:BF10"/>
    <mergeCell ref="BG10:BH10"/>
    <mergeCell ref="BI10:BJ10"/>
    <mergeCell ref="BK10:BL10"/>
    <mergeCell ref="AM11:AN11"/>
    <mergeCell ref="AO11:AP11"/>
    <mergeCell ref="AQ11:AR11"/>
    <mergeCell ref="AS11:AT11"/>
    <mergeCell ref="AU11:AV11"/>
    <mergeCell ref="BI11:BJ11"/>
    <mergeCell ref="BK11:BL11"/>
    <mergeCell ref="BC11:BD11"/>
    <mergeCell ref="BE11:BF11"/>
    <mergeCell ref="BG11:BH11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AW9:AX9"/>
    <mergeCell ref="AY9:AZ9"/>
    <mergeCell ref="BA9:BB9"/>
    <mergeCell ref="BC8:BD8"/>
    <mergeCell ref="BE8:BF8"/>
    <mergeCell ref="BG8:BH8"/>
    <mergeCell ref="BI8:BJ8"/>
    <mergeCell ref="BK8:BL8"/>
    <mergeCell ref="AM9:AN9"/>
    <mergeCell ref="AO9:AP9"/>
    <mergeCell ref="AQ9:AR9"/>
    <mergeCell ref="AS9:AT9"/>
    <mergeCell ref="AU9:AV9"/>
    <mergeCell ref="BI9:BJ9"/>
    <mergeCell ref="BK9:BL9"/>
    <mergeCell ref="BC9:BD9"/>
    <mergeCell ref="BE9:BF9"/>
    <mergeCell ref="BG9:BH9"/>
    <mergeCell ref="AM8:AN8"/>
    <mergeCell ref="AO8:AP8"/>
    <mergeCell ref="AQ8:AR8"/>
    <mergeCell ref="AS8:AT8"/>
    <mergeCell ref="AU8:AV8"/>
    <mergeCell ref="AW8:AX8"/>
    <mergeCell ref="AY8:AZ8"/>
    <mergeCell ref="BA8:BB8"/>
    <mergeCell ref="AW7:AX7"/>
    <mergeCell ref="AY7:AZ7"/>
    <mergeCell ref="BA7:BB7"/>
    <mergeCell ref="BC6:BD6"/>
    <mergeCell ref="BE6:BF6"/>
    <mergeCell ref="BG6:BH6"/>
    <mergeCell ref="BI6:BJ6"/>
    <mergeCell ref="BK6:BL6"/>
    <mergeCell ref="AM7:AN7"/>
    <mergeCell ref="AO7:AP7"/>
    <mergeCell ref="AQ7:AR7"/>
    <mergeCell ref="AS7:AT7"/>
    <mergeCell ref="AU7:AV7"/>
    <mergeCell ref="BI7:BJ7"/>
    <mergeCell ref="BK7:BL7"/>
    <mergeCell ref="BC7:BD7"/>
    <mergeCell ref="BE7:BF7"/>
    <mergeCell ref="BG7:BH7"/>
    <mergeCell ref="AM6:AN6"/>
    <mergeCell ref="AO6:AP6"/>
    <mergeCell ref="AQ6:AR6"/>
    <mergeCell ref="AS6:AT6"/>
    <mergeCell ref="AU6:AV6"/>
    <mergeCell ref="AW6:AX6"/>
    <mergeCell ref="AY6:AZ6"/>
    <mergeCell ref="BA6:BB6"/>
    <mergeCell ref="AW5:AX5"/>
    <mergeCell ref="AY5:AZ5"/>
    <mergeCell ref="BA5:BB5"/>
    <mergeCell ref="BG4:BH4"/>
    <mergeCell ref="BI4:BJ4"/>
    <mergeCell ref="BK4:BL4"/>
    <mergeCell ref="AM5:AN5"/>
    <mergeCell ref="AO5:AP5"/>
    <mergeCell ref="AQ5:AR5"/>
    <mergeCell ref="AS5:AT5"/>
    <mergeCell ref="AU5:AV5"/>
    <mergeCell ref="BI5:BJ5"/>
    <mergeCell ref="BK5:BL5"/>
    <mergeCell ref="BC5:BD5"/>
    <mergeCell ref="BE5:BF5"/>
    <mergeCell ref="BG5:BH5"/>
    <mergeCell ref="I3:J3"/>
    <mergeCell ref="AM3:AN3"/>
    <mergeCell ref="AO3:AP3"/>
    <mergeCell ref="AQ3:AR3"/>
    <mergeCell ref="AS3:AT3"/>
    <mergeCell ref="AU3:AV3"/>
    <mergeCell ref="BI3:BJ3"/>
    <mergeCell ref="BK3:BL3"/>
    <mergeCell ref="AM4:AN4"/>
    <mergeCell ref="AO4:AP4"/>
    <mergeCell ref="AQ4:AR4"/>
    <mergeCell ref="AS4:AT4"/>
    <mergeCell ref="AU4:AV4"/>
    <mergeCell ref="AW4:AX4"/>
    <mergeCell ref="AY4:AZ4"/>
    <mergeCell ref="BA4:BB4"/>
    <mergeCell ref="AW3:AX3"/>
    <mergeCell ref="AY3:AZ3"/>
    <mergeCell ref="BA3:BB3"/>
    <mergeCell ref="BC3:BD3"/>
    <mergeCell ref="BE3:BF3"/>
    <mergeCell ref="BG3:BH3"/>
    <mergeCell ref="BC4:BD4"/>
    <mergeCell ref="BE4:BF4"/>
  </mergeCells>
  <phoneticPr fontId="14" type="noConversion"/>
  <conditionalFormatting sqref="S19:AA153">
    <cfRule type="containsText" dxfId="102" priority="1" operator="containsText" text="1.Très à risque">
      <formula>NOT(ISERROR(SEARCH("1.Très à risque",S19)))</formula>
    </cfRule>
    <cfRule type="containsText" dxfId="101" priority="2" operator="containsText" text="3.À risque">
      <formula>NOT(ISERROR(SEARCH("3.À risque",S19)))</formula>
    </cfRule>
    <cfRule type="containsText" dxfId="100" priority="3" operator="containsText" text="5.Respect OPC">
      <formula>NOT(ISERROR(SEARCH("5.Respect OPC",S19)))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41FFC70-3B7B-41DA-8B2E-AFFA7E6948E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AD19:AE153</xm:sqref>
        </x14:conditionalFormatting>
        <x14:conditionalFormatting xmlns:xm="http://schemas.microsoft.com/office/excel/2006/main">
          <x14:cfRule type="iconSet" priority="5" id="{9F6A314B-7DAB-4F1E-9B54-E44536359F6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AF19:AG153</xm:sqref>
        </x14:conditionalFormatting>
        <x14:conditionalFormatting xmlns:xm="http://schemas.microsoft.com/office/excel/2006/main">
          <x14:cfRule type="iconSet" priority="6" id="{BE4522F4-7B0E-466C-B091-B817B9F2473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AK19:AL153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C6E1-E3CE-48A8-882B-7F9563B47966}">
  <dimension ref="A1:BO147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customWidth="1"/>
    <col min="14" max="14" width="28" bestFit="1" customWidth="1"/>
    <col min="15" max="16" width="13.6640625" customWidth="1"/>
    <col min="17" max="17" width="11.44140625" customWidth="1"/>
    <col min="18" max="18" width="12.33203125" customWidth="1"/>
    <col min="19" max="19" width="13" hidden="1" customWidth="1" outlineLevel="1"/>
    <col min="20" max="21" width="9.44140625" hidden="1" customWidth="1" outlineLevel="1"/>
    <col min="22" max="22" width="9.5546875" hidden="1" customWidth="1" outlineLevel="1"/>
    <col min="23" max="23" width="9.5546875" customWidth="1" collapsed="1"/>
    <col min="24" max="24" width="9.5546875" customWidth="1"/>
    <col min="25" max="25" width="11.5546875" customWidth="1"/>
    <col min="26" max="26" width="8.33203125" customWidth="1"/>
    <col min="27" max="27" width="9" customWidth="1"/>
    <col min="28" max="28" width="8.6640625" customWidth="1"/>
    <col min="29" max="32" width="9" customWidth="1"/>
    <col min="33" max="33" width="9.88671875" style="25" customWidth="1"/>
    <col min="34" max="34" width="9.6640625" customWidth="1"/>
    <col min="35" max="35" width="12.109375" customWidth="1" collapsed="1"/>
    <col min="36" max="41" width="8.109375" customWidth="1"/>
    <col min="42" max="42" width="7.44140625" customWidth="1" outlineLevel="1"/>
    <col min="43" max="43" width="9.44140625" customWidth="1" outlineLevel="1"/>
    <col min="44" max="44" width="10.33203125" customWidth="1" outlineLevel="1"/>
    <col min="45" max="45" width="9.5546875" customWidth="1" outlineLevel="1"/>
    <col min="46" max="51" width="9.88671875" customWidth="1" outlineLevel="1"/>
    <col min="52" max="53" width="9.88671875" style="8" customWidth="1" outlineLevel="1"/>
    <col min="54" max="54" width="9.88671875" customWidth="1" outlineLevel="1"/>
    <col min="55" max="55" width="15.44140625" customWidth="1" outlineLevel="1"/>
    <col min="56" max="56" width="14.109375" customWidth="1" outlineLevel="1"/>
    <col min="57" max="59" width="9.88671875" customWidth="1" outlineLevel="1"/>
    <col min="60" max="60" width="15.5546875" customWidth="1"/>
    <col min="61" max="61" width="13.33203125" customWidth="1"/>
    <col min="62" max="64" width="9.88671875" customWidth="1"/>
    <col min="65" max="65" width="16.109375" customWidth="1"/>
    <col min="66" max="66" width="17" customWidth="1"/>
    <col min="67" max="77" width="11.33203125" customWidth="1"/>
    <col min="78" max="78" width="12.5546875" customWidth="1"/>
    <col min="79" max="79" width="13.44140625" customWidth="1"/>
    <col min="80" max="80" width="13.109375" customWidth="1"/>
    <col min="81" max="81" width="14" customWidth="1"/>
    <col min="82" max="87" width="17.33203125" customWidth="1"/>
    <col min="88" max="88" width="18.109375" customWidth="1"/>
    <col min="89" max="89" width="17.5546875" customWidth="1"/>
  </cols>
  <sheetData>
    <row r="1" spans="1:63" ht="21" x14ac:dyDescent="0.4">
      <c r="A1" s="85"/>
      <c r="B1" s="85"/>
      <c r="C1" s="85"/>
      <c r="D1" s="85"/>
      <c r="E1" s="85"/>
      <c r="F1" s="85"/>
      <c r="J1" s="32" t="s">
        <v>570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85"/>
      <c r="BK1" s="85"/>
    </row>
    <row r="2" spans="1:63" x14ac:dyDescent="0.3">
      <c r="J2" s="189" t="s">
        <v>562</v>
      </c>
      <c r="K2" s="190">
        <v>45771</v>
      </c>
      <c r="P2" s="314"/>
      <c r="Q2" s="314"/>
      <c r="R2" s="25"/>
      <c r="S2" s="25"/>
      <c r="T2" s="25"/>
      <c r="U2" s="8"/>
      <c r="AG2"/>
      <c r="AZ2"/>
      <c r="BA2"/>
    </row>
    <row r="3" spans="1:63" ht="26.4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297" t="s">
        <v>553</v>
      </c>
      <c r="Z3" s="298"/>
      <c r="AA3" s="311" t="s">
        <v>554</v>
      </c>
      <c r="AB3" s="312"/>
      <c r="AC3" s="313"/>
      <c r="AD3" s="300" t="s">
        <v>266</v>
      </c>
      <c r="AE3" s="300"/>
      <c r="AF3" s="297" t="s">
        <v>557</v>
      </c>
      <c r="AG3" s="298"/>
      <c r="AH3" s="308" t="s">
        <v>558</v>
      </c>
      <c r="AI3" s="309"/>
      <c r="AJ3" s="310"/>
      <c r="AK3" s="300">
        <v>2027</v>
      </c>
      <c r="AL3" s="294"/>
      <c r="AM3" s="293">
        <v>2028</v>
      </c>
      <c r="AN3" s="294"/>
      <c r="AO3" s="293">
        <v>2029</v>
      </c>
      <c r="AP3" s="294"/>
      <c r="AQ3" s="293">
        <v>2030</v>
      </c>
      <c r="AR3" s="294"/>
      <c r="AS3" s="293">
        <v>2031</v>
      </c>
      <c r="AT3" s="294"/>
      <c r="AU3" s="293">
        <v>2032</v>
      </c>
      <c r="AV3" s="294"/>
      <c r="AW3" s="293">
        <v>2033</v>
      </c>
      <c r="AX3" s="294"/>
      <c r="AY3" s="293">
        <v>2034</v>
      </c>
      <c r="AZ3" s="294"/>
      <c r="BA3" s="178"/>
      <c r="BB3" s="178"/>
      <c r="BC3" s="26" t="s">
        <v>269</v>
      </c>
      <c r="BD3" s="26" t="s">
        <v>8</v>
      </c>
    </row>
    <row r="4" spans="1:63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SUMIFS(Préparation_2025[AC 2024],Préparation_2025[DES_COMPL_NATR_COMPB],"=Fonctionnement")+SUMIFS(Préparation_2025[TR 2024],Préparation_2025[DES_COMPL_NATR_COMPB],"=Fonctionnement")</f>
        <v>0</v>
      </c>
      <c r="V4" s="260"/>
      <c r="W4" s="295">
        <f>SUMIFS(Préparation_2025[AC 2025],Préparation_2025[DES_COMPL_NATR_COMPB],"=Fonctionnement")+SUMIFS(Préparation_2025[TR 2025],Préparation_2025[DES_COMPL_NATR_COMPB],"=Fonctionnement")</f>
        <v>300</v>
      </c>
      <c r="X4" s="296"/>
      <c r="Y4" s="295">
        <f>SUMIFS(Préparation_2025[AC 2025 Initiale],Préparation_2025[DES_COMPL_NATR_COMPB],"=Fonctionnement")+SUMIFS(Préparation_2025[TR 2025 Initiale],Préparation_2025[DES_COMPL_NATR_COMPB],"=Fonctionnement")</f>
        <v>300</v>
      </c>
      <c r="Z4" s="296"/>
      <c r="AA4" s="279"/>
      <c r="AB4" s="260"/>
      <c r="AC4" s="280"/>
      <c r="AD4" s="260">
        <f>SUMIFS(Préparation_2025[AC 2026],Préparation_2025[DES_COMPL_NATR_COMPB],"=Fonctionnement")+SUMIFS(Préparation_2025[TR 2026],Préparation_2025[DES_COMPL_NATR_COMPB],"=Fonctionnement")</f>
        <v>0</v>
      </c>
      <c r="AE4" s="260"/>
      <c r="AF4" s="295">
        <f>SUMIFS(Préparation_2025[AC 2026 Initiale],Préparation_2025[DES_COMPL_NATR_COMPB],"=Fonctionnement")+SUMIFS(Préparation_2025[TR 2026 Initiale],Préparation_2025[DES_COMPL_NATR_COMPB],"=Fonctionnement")</f>
        <v>0</v>
      </c>
      <c r="AG4" s="296"/>
      <c r="AH4" s="279"/>
      <c r="AI4" s="260"/>
      <c r="AJ4" s="280"/>
      <c r="AK4" s="260">
        <f>SUMIFS(Préparation_2025[AC 2027],Préparation_2025[DES_COMPL_NATR_COMPB],"=Fonctionnement")+SUMIFS(Préparation_2025[TR 2027],Préparation_2025[DES_COMPL_NATR_COMPB],"=Fonctionnement")</f>
        <v>0</v>
      </c>
      <c r="AL4" s="260"/>
      <c r="AM4" s="260">
        <f>SUMIFS(Préparation_2025[AC 2028],Préparation_2025[DES_COMPL_NATR_COMPB],"=Fonctionnement")+SUMIFS(Préparation_2025[TR 2028],Préparation_2025[DES_COMPL_NATR_COMPB],"=Fonctionnement")</f>
        <v>0</v>
      </c>
      <c r="AN4" s="260"/>
      <c r="AO4" s="260">
        <f>SUMIFS(Préparation_2025[AC 2029],Préparation_2025[DES_COMPL_NATR_COMPB],"=Fonctionnement")+SUMIFS(Préparation_2025[TR 2029],Préparation_2025[DES_COMPL_NATR_COMPB],"=Fonctionnement")</f>
        <v>0</v>
      </c>
      <c r="AP4" s="260"/>
      <c r="AQ4" s="260">
        <f>SUMIFS(Préparation_2025[AC 2030],Préparation_2025[DES_COMPL_NATR_COMPB],"=Fonctionnement")+SUMIFS(Préparation_2025[TR 2030],Préparation_2025[DES_COMPL_NATR_COMPB],"=Fonctionnement")</f>
        <v>0</v>
      </c>
      <c r="AR4" s="260"/>
      <c r="AS4" s="260">
        <f>SUMIFS(Préparation_2025[AC 2031],Préparation_2025[DES_COMPL_NATR_COMPB],"=Fonctionnement")+SUMIFS(Préparation_2025[TR 2031],Préparation_2025[DES_COMPL_NATR_COMPB],"=Fonctionnement")</f>
        <v>0</v>
      </c>
      <c r="AT4" s="260"/>
      <c r="AU4" s="260">
        <f>SUMIFS(Préparation_2025[AC 2032],Préparation_2025[DES_COMPL_NATR_COMPB],"=Fonctionnement")+SUMIFS(Préparation_2025[TR 2032],Préparation_2025[DES_COMPL_NATR_COMPB],"=Fonctionnement")</f>
        <v>0</v>
      </c>
      <c r="AV4" s="260"/>
      <c r="AW4" s="260">
        <f>SUMIFS(Préparation_2025[AC 2033],Préparation_2025[DES_COMPL_NATR_COMPB],"=Fonctionnement")+SUMIFS(Préparation_2025[TR 2033],Préparation_2025[DES_COMPL_NATR_COMPB],"=Fonctionnement")</f>
        <v>0</v>
      </c>
      <c r="AX4" s="260"/>
      <c r="AY4" s="260">
        <f>SUMIFS(Préparation_2025[AC 2034],Préparation_2025[DES_COMPL_NATR_COMPB],"=Fonctionnement")+SUMIFS(Préparation_2025[TR 2034],Préparation_2025[DES_COMPL_NATR_COMPB],"=Fonctionnement")</f>
        <v>0</v>
      </c>
      <c r="AZ4" s="260"/>
      <c r="BA4" s="78"/>
      <c r="BB4" s="78"/>
      <c r="BC4" s="16">
        <f t="shared" ref="BC4:BC12" si="0">SUM(W4,AD4)</f>
        <v>300</v>
      </c>
      <c r="BD4" s="16">
        <f t="shared" ref="BD4:BD11" si="1">SUM(W4,AD4,AK4:AZ4)</f>
        <v>300</v>
      </c>
    </row>
    <row r="5" spans="1:63" x14ac:dyDescent="0.3">
      <c r="J5" s="27" t="s">
        <v>12</v>
      </c>
      <c r="K5" s="28" t="s">
        <v>13</v>
      </c>
      <c r="R5" s="104" t="s">
        <v>15</v>
      </c>
      <c r="S5" s="279">
        <f>SUMIFS(Préparation_2025[AC ANT],Préparation_2025[État Composante AC],"=PR")</f>
        <v>18490</v>
      </c>
      <c r="T5" s="260"/>
      <c r="U5" s="260">
        <f>SUMIFS(Préparation_2025[AC 2024],Préparation_2025[État Composante AC],"=PR")</f>
        <v>4258</v>
      </c>
      <c r="V5" s="260"/>
      <c r="W5" s="260">
        <f>SUMIFS(Préparation_2025[AC 2025],Préparation_2025[État Composante AC],"=PR")</f>
        <v>11792</v>
      </c>
      <c r="X5" s="280"/>
      <c r="Y5" s="260">
        <f>SUMIFS(Préparation_2025[AC 2025 Initiale],Préparation_2025[État Composante AC],"=PR")</f>
        <v>10230</v>
      </c>
      <c r="Z5" s="280"/>
      <c r="AA5" s="279">
        <f>SUMIFS(Préparation_2025[Écart AC 2025],Préparation_2025[État Composante AC],"=PR")</f>
        <v>1562</v>
      </c>
      <c r="AB5" s="260"/>
      <c r="AC5" s="280"/>
      <c r="AD5" s="260">
        <f>SUMIFS(Préparation_2025[AC 2026],Préparation_2025[État Composante AC],"=PR")</f>
        <v>10981</v>
      </c>
      <c r="AE5" s="260"/>
      <c r="AF5" s="260">
        <f>SUMIFS(Préparation_2025[AC 2026 Initiale],Préparation_2025[État Composante AC],"=PR")</f>
        <v>10982</v>
      </c>
      <c r="AG5" s="280"/>
      <c r="AH5" s="279">
        <f>SUMIFS(Préparation_2025[Écart AC 2026],Préparation_2025[État Composante AC],"=PR")</f>
        <v>-1</v>
      </c>
      <c r="AI5" s="260"/>
      <c r="AJ5" s="280"/>
      <c r="AK5" s="260">
        <f>SUMIFS(Préparation_2025[AC 2027],Préparation_2025[État Composante AC],"=PR")</f>
        <v>10406</v>
      </c>
      <c r="AL5" s="260"/>
      <c r="AM5" s="260">
        <f>SUMIFS(Préparation_2025[AC 2028],Préparation_2025[État Composante AC],"=PR")</f>
        <v>6115</v>
      </c>
      <c r="AN5" s="260"/>
      <c r="AO5" s="260">
        <f>SUMIFS(Préparation_2025[AC 2029],Préparation_2025[État Composante AC],"=PR")</f>
        <v>3062</v>
      </c>
      <c r="AP5" s="260"/>
      <c r="AQ5" s="260">
        <f>SUMIFS(Préparation_2025[AC 2030],Préparation_2025[État Composante AC],"=PR")</f>
        <v>2395</v>
      </c>
      <c r="AR5" s="260"/>
      <c r="AS5" s="260">
        <f>SUMIFS(Préparation_2025[AC 2031],Préparation_2025[État Composante AC],"=PR")</f>
        <v>1918</v>
      </c>
      <c r="AT5" s="260"/>
      <c r="AU5" s="260">
        <f>SUMIFS(Préparation_2025[AC 2032],Préparation_2025[État Composante AC],"=PR")</f>
        <v>0</v>
      </c>
      <c r="AV5" s="260"/>
      <c r="AW5" s="260">
        <f>SUMIFS(Préparation_2025[AC 2033],Préparation_2025[État Composante AC],"=PR")</f>
        <v>0</v>
      </c>
      <c r="AX5" s="260"/>
      <c r="AY5" s="260">
        <f>SUMIFS(Préparation_2025[AC 2034],Préparation_2025[État Composante AC],"=PR")</f>
        <v>0</v>
      </c>
      <c r="AZ5" s="260"/>
      <c r="BA5" s="78"/>
      <c r="BB5" s="78"/>
      <c r="BC5" s="16">
        <f t="shared" si="0"/>
        <v>22773</v>
      </c>
      <c r="BD5" s="16">
        <f t="shared" si="1"/>
        <v>46669</v>
      </c>
    </row>
    <row r="6" spans="1:63" x14ac:dyDescent="0.3">
      <c r="J6" s="29" t="s">
        <v>16</v>
      </c>
      <c r="K6" s="28" t="s">
        <v>17</v>
      </c>
      <c r="R6" s="83" t="s">
        <v>19</v>
      </c>
      <c r="S6" s="279">
        <f>SUMIFS(Préparation_2025[TR ANT],Préparation_2025[État Composante TR],"=PR")</f>
        <v>96841</v>
      </c>
      <c r="T6" s="260"/>
      <c r="U6" s="260">
        <f>SUMIFS(Préparation_2025[TR 2024],Préparation_2025[État Composante TR],"=PR")</f>
        <v>66635</v>
      </c>
      <c r="V6" s="260"/>
      <c r="W6" s="260">
        <f>SUMIFS(Préparation_2025[TR 2025],Préparation_2025[État Composante TR],"=PR")</f>
        <v>55714</v>
      </c>
      <c r="X6" s="280"/>
      <c r="Y6" s="260">
        <f>SUMIFS(Préparation_2025[TR 2025 Initiale],Préparation_2025[État Composante TR],"=PR")</f>
        <v>50278</v>
      </c>
      <c r="Z6" s="280"/>
      <c r="AA6" s="279">
        <f>SUMIFS(Préparation_2025[Écart TR 2025],Préparation_2025[État Composante TR],"=PR")</f>
        <v>5436</v>
      </c>
      <c r="AB6" s="260"/>
      <c r="AC6" s="280"/>
      <c r="AD6" s="260">
        <f>SUMIFS(Préparation_2025[TR 2026],Préparation_2025[État Composante TR],"=PR")</f>
        <v>66913</v>
      </c>
      <c r="AE6" s="260"/>
      <c r="AF6" s="260">
        <f>SUMIFS(Préparation_2025[TR 2026 Initiale],Préparation_2025[État Composante TR],"=PR")</f>
        <v>66512</v>
      </c>
      <c r="AG6" s="280"/>
      <c r="AH6" s="279">
        <f>SUMIFS(Préparation_2025[Écart TR 2026],Préparation_2025[État Composante TR],"=PR")</f>
        <v>401</v>
      </c>
      <c r="AI6" s="260"/>
      <c r="AJ6" s="280"/>
      <c r="AK6" s="260">
        <f>SUMIFS(Préparation_2025[TR 2027],Préparation_2025[État Composante TR],"=PR")</f>
        <v>5749</v>
      </c>
      <c r="AL6" s="260"/>
      <c r="AM6" s="260">
        <f>SUMIFS(Préparation_2025[TR 2028],Préparation_2025[État Composante TR],"=PR")</f>
        <v>4929</v>
      </c>
      <c r="AN6" s="260"/>
      <c r="AO6" s="260">
        <f>SUMIFS(Préparation_2025[TR 2029],Préparation_2025[État Composante TR],"=PR")</f>
        <v>6707.0000000000018</v>
      </c>
      <c r="AP6" s="260"/>
      <c r="AQ6" s="260">
        <f>SUMIFS(Préparation_2025[TR 2030],Préparation_2025[État Composante TR],"=PR")</f>
        <v>6846.0000000000018</v>
      </c>
      <c r="AR6" s="260"/>
      <c r="AS6" s="260">
        <f>SUMIFS(Préparation_2025[TR 2031],Préparation_2025[État Composante TR],"=PR")</f>
        <v>0</v>
      </c>
      <c r="AT6" s="260"/>
      <c r="AU6" s="260">
        <f>SUMIFS(Préparation_2025[TR 2032],Préparation_2025[État Composante TR],"=PR")</f>
        <v>0</v>
      </c>
      <c r="AV6" s="260"/>
      <c r="AW6" s="260">
        <f>SUMIFS(Préparation_2025[TR 2033],Préparation_2025[État Composante TR],"=PR")</f>
        <v>0</v>
      </c>
      <c r="AX6" s="260"/>
      <c r="AY6" s="260">
        <f>SUMIFS(Préparation_2025[TR 2034],Préparation_2025[État Composante TR],"=PR")</f>
        <v>0</v>
      </c>
      <c r="AZ6" s="260"/>
      <c r="BA6" s="78"/>
      <c r="BB6" s="78"/>
      <c r="BC6" s="16">
        <f t="shared" si="0"/>
        <v>122627</v>
      </c>
      <c r="BD6" s="16">
        <f t="shared" si="1"/>
        <v>146858</v>
      </c>
    </row>
    <row r="7" spans="1:63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115331</v>
      </c>
      <c r="T7" s="262"/>
      <c r="U7" s="262">
        <f>U5+U6</f>
        <v>70893</v>
      </c>
      <c r="V7" s="262"/>
      <c r="W7" s="262">
        <f>W5+W6</f>
        <v>67506</v>
      </c>
      <c r="X7" s="289"/>
      <c r="Y7" s="262">
        <f>Y5+Y6</f>
        <v>60508</v>
      </c>
      <c r="Z7" s="289"/>
      <c r="AA7" s="290">
        <f>AA5+AA6</f>
        <v>6998</v>
      </c>
      <c r="AB7" s="292"/>
      <c r="AC7" s="291"/>
      <c r="AD7" s="290">
        <f>AD5+AD6</f>
        <v>77894</v>
      </c>
      <c r="AE7" s="291"/>
      <c r="AF7" s="262">
        <f>AF5+AF6</f>
        <v>77494</v>
      </c>
      <c r="AG7" s="289"/>
      <c r="AH7" s="290">
        <f>AH5+AH6</f>
        <v>400</v>
      </c>
      <c r="AI7" s="292"/>
      <c r="AJ7" s="291"/>
      <c r="AK7" s="262">
        <f>AK5+AK6</f>
        <v>16155</v>
      </c>
      <c r="AL7" s="262"/>
      <c r="AM7" s="262">
        <f>AM5+AM6</f>
        <v>11044</v>
      </c>
      <c r="AN7" s="262"/>
      <c r="AO7" s="262">
        <f>AO5+AO6</f>
        <v>9769.0000000000018</v>
      </c>
      <c r="AP7" s="262"/>
      <c r="AQ7" s="262">
        <f>AQ5+AQ6</f>
        <v>9241.0000000000018</v>
      </c>
      <c r="AR7" s="262"/>
      <c r="AS7" s="262">
        <f>AS5+AS6</f>
        <v>1918</v>
      </c>
      <c r="AT7" s="262"/>
      <c r="AU7" s="262">
        <f>AU5+AU6</f>
        <v>0</v>
      </c>
      <c r="AV7" s="262"/>
      <c r="AW7" s="262">
        <f>AW5+AW6</f>
        <v>0</v>
      </c>
      <c r="AX7" s="262"/>
      <c r="AY7" s="262">
        <f>AY5+AY6</f>
        <v>0</v>
      </c>
      <c r="AZ7" s="262"/>
      <c r="BA7" s="20"/>
      <c r="BB7" s="20"/>
      <c r="BC7" s="20">
        <f t="shared" si="0"/>
        <v>145400</v>
      </c>
      <c r="BD7" s="20">
        <f t="shared" si="1"/>
        <v>193527</v>
      </c>
    </row>
    <row r="8" spans="1:63" x14ac:dyDescent="0.3">
      <c r="J8" s="329" t="s">
        <v>563</v>
      </c>
      <c r="K8" s="330"/>
      <c r="R8" s="83" t="s">
        <v>25</v>
      </c>
      <c r="S8" s="279">
        <f>SUMIFS(Préparation_2025[AC ANT],Préparation_2025[État Composante AC],"&lt;&gt;PR")</f>
        <v>0</v>
      </c>
      <c r="T8" s="260"/>
      <c r="U8" s="260">
        <f>SUMIFS(Préparation_2025[AC 2024],Préparation_2025[État Composante AC],"&lt;&gt;PR")</f>
        <v>0</v>
      </c>
      <c r="V8" s="260"/>
      <c r="W8" s="260">
        <f>SUMIFS(Préparation_2025[AC 2025],Préparation_2025[État Composante AC],"&lt;&gt;PR")</f>
        <v>0</v>
      </c>
      <c r="X8" s="280"/>
      <c r="Y8" s="260">
        <f>SUMIFS(Préparation_2025[AC 2025 Initiale],Préparation_2025[État Composante AC],"&lt;&gt;PR")</f>
        <v>0</v>
      </c>
      <c r="Z8" s="280"/>
      <c r="AA8" s="279">
        <f>SUMIFS(Préparation_2025[Écart AC 2025],Préparation_2025[État Composante AC],"&lt;&gt;PR")</f>
        <v>0</v>
      </c>
      <c r="AB8" s="260"/>
      <c r="AC8" s="280"/>
      <c r="AD8" s="260">
        <f>SUMIFS(Préparation_2025[AC 2026],Préparation_2025[État Composante AC],"&lt;&gt;PR")</f>
        <v>0</v>
      </c>
      <c r="AE8" s="260"/>
      <c r="AF8" s="260">
        <f>SUMIFS(Préparation_2025[AC 2026 Initiale],Préparation_2025[État Composante AC],"&lt;&gt;PR")</f>
        <v>0</v>
      </c>
      <c r="AG8" s="280"/>
      <c r="AH8" s="279">
        <f>SUMIFS(Préparation_2025[Écart AC 2026],Préparation_2025[État Composante AC],"&lt;&gt;PR")</f>
        <v>0</v>
      </c>
      <c r="AI8" s="260"/>
      <c r="AJ8" s="280"/>
      <c r="AK8" s="260">
        <f>SUMIFS(Préparation_2025[AC 2027],Préparation_2025[État Composante AC],"&lt;&gt;PR")</f>
        <v>0</v>
      </c>
      <c r="AL8" s="260"/>
      <c r="AM8" s="260">
        <f>SUMIFS(Préparation_2025[AC 2028],Préparation_2025[État Composante AC],"&lt;&gt;PR")</f>
        <v>0</v>
      </c>
      <c r="AN8" s="260"/>
      <c r="AO8" s="260">
        <f>SUMIFS(Préparation_2025[AC 2029],Préparation_2025[État Composante AC],"&lt;&gt;PR")</f>
        <v>0</v>
      </c>
      <c r="AP8" s="260"/>
      <c r="AQ8" s="260">
        <f>SUMIFS(Préparation_2025[AC 2030],Préparation_2025[État Composante AC],"&lt;&gt;PR")</f>
        <v>0</v>
      </c>
      <c r="AR8" s="260"/>
      <c r="AS8" s="260">
        <f>SUMIFS(Préparation_2025[AC 2031],Préparation_2025[État Composante AC],"&lt;&gt;PR")</f>
        <v>0</v>
      </c>
      <c r="AT8" s="260"/>
      <c r="AU8" s="260">
        <f>SUMIFS(Préparation_2025[AC 2032],Préparation_2025[État Composante AC],"&lt;&gt;PR")</f>
        <v>0</v>
      </c>
      <c r="AV8" s="260"/>
      <c r="AW8" s="260">
        <f>SUMIFS(Préparation_2025[AC 2033],Préparation_2025[État Composante AC],"&lt;&gt;PR")</f>
        <v>0</v>
      </c>
      <c r="AX8" s="260"/>
      <c r="AY8" s="260">
        <f>SUMIFS(Préparation_2025[AC 2034],Préparation_2025[État Composante AC],"&lt;&gt;PR")</f>
        <v>0</v>
      </c>
      <c r="AZ8" s="260"/>
      <c r="BA8" s="78"/>
      <c r="BB8" s="78"/>
      <c r="BC8" s="16">
        <f t="shared" si="0"/>
        <v>0</v>
      </c>
      <c r="BD8" s="16">
        <f t="shared" si="1"/>
        <v>0</v>
      </c>
    </row>
    <row r="9" spans="1:63" x14ac:dyDescent="0.3">
      <c r="J9" s="191"/>
      <c r="K9" s="28" t="s">
        <v>564</v>
      </c>
      <c r="R9" s="83" t="s">
        <v>27</v>
      </c>
      <c r="S9" s="279">
        <f>SUMIFS(Préparation_2025[TR ANT],Préparation_2025[État Composante TR],"&lt;&gt;PR")</f>
        <v>11189</v>
      </c>
      <c r="T9" s="260"/>
      <c r="U9" s="260">
        <f>SUMIFS(Préparation_2025[TR 2024],Préparation_2025[État Composante TR],"&lt;&gt;PR")</f>
        <v>0</v>
      </c>
      <c r="V9" s="260"/>
      <c r="W9" s="260">
        <f>SUMIFS(Préparation_2025[TR 2025],Préparation_2025[État Composante TR],"&lt;&gt;PR")</f>
        <v>0</v>
      </c>
      <c r="X9" s="280"/>
      <c r="Y9" s="260">
        <f>SUMIFS(Préparation_2025[TR 2025 Initiale],Préparation_2025[État Composante TR],"&lt;&gt;PR")</f>
        <v>0</v>
      </c>
      <c r="Z9" s="280"/>
      <c r="AA9" s="279">
        <f>SUMIFS(Préparation_2025[Écart TR 2025],Préparation_2025[État Composante TR],"&lt;&gt;PR")</f>
        <v>0</v>
      </c>
      <c r="AB9" s="260"/>
      <c r="AC9" s="280"/>
      <c r="AD9" s="260">
        <f>SUMIFS(Préparation_2025[TR 2026],Préparation_2025[État Composante TR],"&lt;&gt;PR")</f>
        <v>1377</v>
      </c>
      <c r="AE9" s="260"/>
      <c r="AF9" s="260">
        <f>SUMIFS(Préparation_2025[TR 2026 Initiale],Préparation_2025[État Composante TR],"&lt;&gt;PR")</f>
        <v>0</v>
      </c>
      <c r="AG9" s="280"/>
      <c r="AH9" s="279">
        <f>SUMIFS(Préparation_2025[Écart TR 2026],Préparation_2025[État Composante TR],"&lt;&gt;PR")</f>
        <v>1377</v>
      </c>
      <c r="AI9" s="260"/>
      <c r="AJ9" s="280"/>
      <c r="AK9" s="260">
        <f>SUMIFS(Préparation_2025[TR 2027],Préparation_2025[État Composante TR],"&lt;&gt;PR")</f>
        <v>53602</v>
      </c>
      <c r="AL9" s="260"/>
      <c r="AM9" s="260">
        <f>SUMIFS(Préparation_2025[TR 2028],Préparation_2025[État Composante TR],"&lt;&gt;PR")</f>
        <v>61619</v>
      </c>
      <c r="AN9" s="260"/>
      <c r="AO9" s="260">
        <f>SUMIFS(Préparation_2025[TR 2029],Préparation_2025[État Composante TR],"&lt;&gt;PR")</f>
        <v>48544</v>
      </c>
      <c r="AP9" s="260"/>
      <c r="AQ9" s="260">
        <f>SUMIFS(Préparation_2025[TR 2030],Préparation_2025[État Composante TR],"&lt;&gt;PR")</f>
        <v>29362</v>
      </c>
      <c r="AR9" s="260"/>
      <c r="AS9" s="260">
        <f>SUMIFS(Préparation_2025[TR 2031],Préparation_2025[État Composante TR],"&lt;&gt;PR")</f>
        <v>41119</v>
      </c>
      <c r="AT9" s="260"/>
      <c r="AU9" s="260">
        <f>SUMIFS(Préparation_2025[TR 2032],Préparation_2025[État Composante TR],"&lt;&gt;PR")</f>
        <v>0</v>
      </c>
      <c r="AV9" s="260"/>
      <c r="AW9" s="260">
        <f>SUMIFS(Préparation_2025[TR 2033],Préparation_2025[État Composante TR],"&lt;&gt;PR")</f>
        <v>0</v>
      </c>
      <c r="AX9" s="260"/>
      <c r="AY9" s="260">
        <f>SUMIFS(Préparation_2025[TR 2034],Préparation_2025[État Composante TR],"&lt;&gt;PR")</f>
        <v>0</v>
      </c>
      <c r="AZ9" s="260"/>
      <c r="BA9" s="78"/>
      <c r="BB9" s="78"/>
      <c r="BC9" s="16">
        <f t="shared" si="0"/>
        <v>1377</v>
      </c>
      <c r="BD9" s="16">
        <f t="shared" si="1"/>
        <v>235623</v>
      </c>
    </row>
    <row r="10" spans="1:63" x14ac:dyDescent="0.3">
      <c r="J10" s="192"/>
      <c r="K10" s="28" t="s">
        <v>565</v>
      </c>
      <c r="Q10" s="127"/>
      <c r="R10" s="117" t="s">
        <v>29</v>
      </c>
      <c r="S10" s="288">
        <f>S8+S9</f>
        <v>11189</v>
      </c>
      <c r="T10" s="262"/>
      <c r="U10" s="262">
        <f>U8+U9</f>
        <v>0</v>
      </c>
      <c r="V10" s="262"/>
      <c r="W10" s="262">
        <f>W8+W9</f>
        <v>0</v>
      </c>
      <c r="X10" s="289"/>
      <c r="Y10" s="262">
        <f>Y8+Y9</f>
        <v>0</v>
      </c>
      <c r="Z10" s="289"/>
      <c r="AA10" s="288">
        <f>AA9+AA8</f>
        <v>0</v>
      </c>
      <c r="AB10" s="262"/>
      <c r="AC10" s="289"/>
      <c r="AD10" s="262">
        <f>AD8+AD9</f>
        <v>1377</v>
      </c>
      <c r="AE10" s="262"/>
      <c r="AF10" s="262">
        <f>AF8+AF9</f>
        <v>0</v>
      </c>
      <c r="AG10" s="289"/>
      <c r="AH10" s="288">
        <f>AH9+AH8</f>
        <v>1377</v>
      </c>
      <c r="AI10" s="262"/>
      <c r="AJ10" s="289"/>
      <c r="AK10" s="262">
        <f>AK8+AK9</f>
        <v>53602</v>
      </c>
      <c r="AL10" s="262"/>
      <c r="AM10" s="262">
        <f>AM8+AM9</f>
        <v>61619</v>
      </c>
      <c r="AN10" s="262"/>
      <c r="AO10" s="262">
        <f>AO8+AO9</f>
        <v>48544</v>
      </c>
      <c r="AP10" s="262"/>
      <c r="AQ10" s="262">
        <f>AQ8+AQ9</f>
        <v>29362</v>
      </c>
      <c r="AR10" s="262"/>
      <c r="AS10" s="262">
        <f>AS8+AS9</f>
        <v>41119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0"/>
      <c r="BB10" s="20"/>
      <c r="BC10" s="20">
        <f t="shared" si="0"/>
        <v>1377</v>
      </c>
      <c r="BD10" s="20">
        <f t="shared" si="1"/>
        <v>235623</v>
      </c>
    </row>
    <row r="11" spans="1:63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126520</v>
      </c>
      <c r="T11" s="284"/>
      <c r="U11" s="285">
        <f>U10+U7</f>
        <v>70893</v>
      </c>
      <c r="V11" s="284"/>
      <c r="W11" s="285">
        <f>W10+W7</f>
        <v>67506</v>
      </c>
      <c r="X11" s="287"/>
      <c r="Y11" s="285">
        <f>Y10+Y7</f>
        <v>60508</v>
      </c>
      <c r="Z11" s="287"/>
      <c r="AA11" s="286">
        <f>AA10+AA7</f>
        <v>6998</v>
      </c>
      <c r="AB11" s="283"/>
      <c r="AC11" s="287"/>
      <c r="AD11" s="286">
        <f>AD10+AD7-AD4</f>
        <v>79271</v>
      </c>
      <c r="AE11" s="287"/>
      <c r="AF11" s="285">
        <f>AF10+AF7</f>
        <v>77494</v>
      </c>
      <c r="AG11" s="287"/>
      <c r="AH11" s="286">
        <f>AH10+AH7</f>
        <v>1777</v>
      </c>
      <c r="AI11" s="283"/>
      <c r="AJ11" s="287"/>
      <c r="AK11" s="283">
        <f t="shared" ref="AK11" si="2">AK10+AK7-AK4</f>
        <v>69757</v>
      </c>
      <c r="AL11" s="284"/>
      <c r="AM11" s="285">
        <f t="shared" ref="AM11" si="3">AM10+AM7-AM4</f>
        <v>72663</v>
      </c>
      <c r="AN11" s="284"/>
      <c r="AO11" s="285">
        <f t="shared" ref="AO11" si="4">AO10+AO7-AO4</f>
        <v>58313</v>
      </c>
      <c r="AP11" s="284"/>
      <c r="AQ11" s="285">
        <f t="shared" ref="AQ11" si="5">AQ10+AQ7-AQ4</f>
        <v>38603</v>
      </c>
      <c r="AR11" s="284"/>
      <c r="AS11" s="285">
        <f t="shared" ref="AS11" si="6">AS10+AS7-AS4</f>
        <v>43037</v>
      </c>
      <c r="AT11" s="284"/>
      <c r="AU11" s="285">
        <f t="shared" ref="AU11" si="7">AU10+AU7-AU4</f>
        <v>0</v>
      </c>
      <c r="AV11" s="284"/>
      <c r="AW11" s="285">
        <f t="shared" ref="AW11" si="8">AW10+AW7-AW4</f>
        <v>0</v>
      </c>
      <c r="AX11" s="284"/>
      <c r="AY11" s="285">
        <f t="shared" ref="AY11" si="9">AY10+AY7-AY4</f>
        <v>0</v>
      </c>
      <c r="AZ11" s="284"/>
      <c r="BA11" s="105"/>
      <c r="BB11" s="105"/>
      <c r="BC11" s="105">
        <f t="shared" si="0"/>
        <v>146777</v>
      </c>
      <c r="BD11" s="105">
        <f t="shared" si="1"/>
        <v>429150</v>
      </c>
    </row>
    <row r="12" spans="1:63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80"/>
      <c r="Y12" s="260"/>
      <c r="Z12" s="280"/>
      <c r="AA12" s="322"/>
      <c r="AB12" s="323"/>
      <c r="AC12" s="324"/>
      <c r="AD12" s="260"/>
      <c r="AE12" s="260"/>
      <c r="AF12" s="260"/>
      <c r="AG12" s="280"/>
      <c r="AH12" s="322"/>
      <c r="AI12" s="323"/>
      <c r="AJ12" s="324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>
        <v>0</v>
      </c>
      <c r="AV12" s="260"/>
      <c r="AW12" s="260">
        <v>0</v>
      </c>
      <c r="AX12" s="260"/>
      <c r="AY12" s="260">
        <v>0</v>
      </c>
      <c r="AZ12" s="260"/>
      <c r="BA12" s="78"/>
      <c r="BB12" s="78"/>
      <c r="BC12" s="78">
        <f t="shared" si="0"/>
        <v>0</v>
      </c>
      <c r="BD12" s="78">
        <f>SUM(AK12:AZ12,W12,AD12)</f>
        <v>0</v>
      </c>
    </row>
    <row r="13" spans="1:63" ht="15.6" x14ac:dyDescent="0.3">
      <c r="J13" s="195"/>
      <c r="K13" s="31" t="s">
        <v>568</v>
      </c>
      <c r="Q13" s="126"/>
      <c r="R13" s="118" t="s">
        <v>33</v>
      </c>
      <c r="S13" s="120"/>
      <c r="T13" s="64"/>
      <c r="U13" s="258">
        <f>U12+U11</f>
        <v>70893</v>
      </c>
      <c r="V13" s="259"/>
      <c r="W13" s="258">
        <f>W12+W11</f>
        <v>67506</v>
      </c>
      <c r="X13" s="277"/>
      <c r="Y13" s="258">
        <f>Y12+Y11</f>
        <v>60508</v>
      </c>
      <c r="Z13" s="277"/>
      <c r="AA13" s="258">
        <f>AA12+AA11</f>
        <v>6998</v>
      </c>
      <c r="AB13" s="261"/>
      <c r="AC13" s="261"/>
      <c r="AD13" s="261">
        <f>AD12+AD11</f>
        <v>79271</v>
      </c>
      <c r="AE13" s="261"/>
      <c r="AF13" s="258">
        <f>AF12+AF11</f>
        <v>77494</v>
      </c>
      <c r="AG13" s="277"/>
      <c r="AH13" s="258">
        <f>AH12+AH11</f>
        <v>1777</v>
      </c>
      <c r="AI13" s="261"/>
      <c r="AJ13" s="261"/>
      <c r="AK13" s="261">
        <f>AK12+AK11</f>
        <v>69757</v>
      </c>
      <c r="AL13" s="259"/>
      <c r="AM13" s="258">
        <f t="shared" ref="AM13" si="10">AM12+AM11</f>
        <v>72663</v>
      </c>
      <c r="AN13" s="259"/>
      <c r="AO13" s="258">
        <f t="shared" ref="AO13" si="11">AO12+AO11</f>
        <v>58313</v>
      </c>
      <c r="AP13" s="259"/>
      <c r="AQ13" s="258">
        <f t="shared" ref="AQ13" si="12">AQ12+AQ11</f>
        <v>38603</v>
      </c>
      <c r="AR13" s="259"/>
      <c r="AS13" s="258">
        <f t="shared" ref="AS13" si="13">AS12+AS11</f>
        <v>43037</v>
      </c>
      <c r="AT13" s="259"/>
      <c r="AU13" s="258">
        <f t="shared" ref="AU13" si="14">AU12+AU11</f>
        <v>0</v>
      </c>
      <c r="AV13" s="259"/>
      <c r="AW13" s="258">
        <f t="shared" ref="AW13" si="15">AW12+AW11</f>
        <v>0</v>
      </c>
      <c r="AX13" s="259"/>
      <c r="AY13" s="258">
        <f t="shared" ref="AY13" si="16">AY12+AY11</f>
        <v>0</v>
      </c>
      <c r="AZ13" s="259"/>
      <c r="BA13" s="167"/>
      <c r="BB13" s="167"/>
      <c r="BC13" s="21">
        <f>BC12+BC11</f>
        <v>146777</v>
      </c>
      <c r="BD13" s="21">
        <f>BD12+BD11</f>
        <v>429150</v>
      </c>
    </row>
    <row r="14" spans="1:63" ht="15.6" x14ac:dyDescent="0.3">
      <c r="R14" s="84" t="s">
        <v>539</v>
      </c>
      <c r="S14" s="270"/>
      <c r="T14" s="257"/>
      <c r="U14" s="256"/>
      <c r="V14" s="257"/>
      <c r="W14" s="256">
        <v>75500</v>
      </c>
      <c r="X14" s="271"/>
      <c r="Y14" s="256">
        <v>75500</v>
      </c>
      <c r="Z14" s="271"/>
      <c r="AA14" s="81"/>
      <c r="AB14" s="81"/>
      <c r="AC14" s="81"/>
      <c r="AD14" s="270"/>
      <c r="AE14" s="271"/>
      <c r="AF14" s="270"/>
      <c r="AG14" s="271"/>
      <c r="AH14" s="270"/>
      <c r="AI14" s="272"/>
      <c r="AJ14" s="271"/>
      <c r="AK14" s="272"/>
      <c r="AL14" s="257"/>
      <c r="AM14" s="256"/>
      <c r="AN14" s="257"/>
      <c r="AO14" s="256"/>
      <c r="AP14" s="257"/>
      <c r="AQ14" s="256"/>
      <c r="AR14" s="257"/>
      <c r="AS14" s="256"/>
      <c r="AT14" s="257"/>
      <c r="AU14" s="256"/>
      <c r="AV14" s="257"/>
      <c r="AW14" s="256"/>
      <c r="AX14" s="257"/>
      <c r="AY14" s="256"/>
      <c r="AZ14" s="257"/>
      <c r="BA14" s="81"/>
      <c r="BB14" s="81"/>
      <c r="BC14" s="17">
        <f>SUM(W14,AD14)</f>
        <v>75500</v>
      </c>
      <c r="BD14" s="17">
        <f>SUM(W14,AD14,AK14:AZ14)</f>
        <v>75500</v>
      </c>
    </row>
    <row r="15" spans="1:63" ht="15.6" x14ac:dyDescent="0.3">
      <c r="R15" s="185" t="s">
        <v>555</v>
      </c>
      <c r="S15" s="335"/>
      <c r="T15" s="336"/>
      <c r="U15" s="337"/>
      <c r="V15" s="336"/>
      <c r="W15" s="337">
        <f>W14-W13</f>
        <v>7994</v>
      </c>
      <c r="X15" s="338"/>
      <c r="Y15" s="337">
        <f>Y14-Y13</f>
        <v>14992</v>
      </c>
      <c r="Z15" s="338"/>
      <c r="AA15" s="208"/>
      <c r="AB15" s="208"/>
      <c r="AC15" s="208"/>
      <c r="AD15" s="335">
        <f>AD14-AD13</f>
        <v>-79271</v>
      </c>
      <c r="AE15" s="338"/>
      <c r="AF15" s="337">
        <f>AF14-AF13</f>
        <v>-77494</v>
      </c>
      <c r="AG15" s="338"/>
      <c r="AH15" s="335"/>
      <c r="AI15" s="336"/>
      <c r="AJ15" s="338"/>
      <c r="AK15" s="336">
        <f t="shared" ref="AK15" si="17">AK14-AK13</f>
        <v>-69757</v>
      </c>
      <c r="AL15" s="336"/>
      <c r="AM15" s="337">
        <f t="shared" ref="AM15" si="18">AM14-AM13</f>
        <v>-72663</v>
      </c>
      <c r="AN15" s="336"/>
      <c r="AO15" s="337">
        <f t="shared" ref="AO15" si="19">AO14-AO13</f>
        <v>-58313</v>
      </c>
      <c r="AP15" s="336"/>
      <c r="AQ15" s="337">
        <f t="shared" ref="AQ15" si="20">AQ14-AQ13</f>
        <v>-38603</v>
      </c>
      <c r="AR15" s="336"/>
      <c r="AS15" s="337">
        <f t="shared" ref="AS15" si="21">AS14-AS13</f>
        <v>-43037</v>
      </c>
      <c r="AT15" s="336"/>
      <c r="AU15" s="337">
        <f t="shared" ref="AU15" si="22">AU14-AU13</f>
        <v>0</v>
      </c>
      <c r="AV15" s="336"/>
      <c r="AW15" s="337">
        <f t="shared" ref="AW15" si="23">AW14-AW13</f>
        <v>0</v>
      </c>
      <c r="AX15" s="336"/>
      <c r="AY15" s="337">
        <f t="shared" ref="AY15" si="24">AY14-AY13</f>
        <v>0</v>
      </c>
      <c r="AZ15" s="336"/>
      <c r="BA15" s="208"/>
      <c r="BB15" s="208"/>
      <c r="BC15" s="186">
        <f>BC14-BC13</f>
        <v>-71277</v>
      </c>
      <c r="BD15" s="23">
        <f>BD14-BD13</f>
        <v>-353650</v>
      </c>
    </row>
    <row r="16" spans="1:63" ht="16.2" thickBot="1" x14ac:dyDescent="0.35">
      <c r="R16" s="119" t="s">
        <v>556</v>
      </c>
      <c r="S16" s="273"/>
      <c r="T16" s="274"/>
      <c r="U16" s="254"/>
      <c r="V16" s="255"/>
      <c r="W16" s="254">
        <f t="shared" ref="W16" si="25">(W13-W14)/W14</f>
        <v>-0.10588079470198676</v>
      </c>
      <c r="X16" s="275"/>
      <c r="Y16" s="254">
        <f t="shared" ref="Y16" si="26">(Y13-Y14)/Y14</f>
        <v>-0.19856953642384106</v>
      </c>
      <c r="Z16" s="275"/>
      <c r="AA16" s="146"/>
      <c r="AB16" s="146"/>
      <c r="AC16" s="146"/>
      <c r="AD16" s="255" t="e">
        <f t="shared" ref="AD16" si="27">(AD13-AD14)/AD14</f>
        <v>#DIV/0!</v>
      </c>
      <c r="AE16" s="255"/>
      <c r="AF16" s="254" t="e">
        <f t="shared" ref="AF16" si="28">(AF13-AF14)/AF14</f>
        <v>#DIV/0!</v>
      </c>
      <c r="AG16" s="275"/>
      <c r="AH16" s="339"/>
      <c r="AI16" s="340"/>
      <c r="AJ16" s="341"/>
      <c r="AK16" s="255" t="e">
        <f t="shared" ref="AK16" si="29">(AK14-AK13)/AK14</f>
        <v>#DIV/0!</v>
      </c>
      <c r="AL16" s="255"/>
      <c r="AM16" s="254" t="e">
        <f t="shared" ref="AM16" si="30">(AM14-AM13)/AM14</f>
        <v>#DIV/0!</v>
      </c>
      <c r="AN16" s="255"/>
      <c r="AO16" s="254" t="e">
        <f t="shared" ref="AO16" si="31">(AO14-AO13)/AO14</f>
        <v>#DIV/0!</v>
      </c>
      <c r="AP16" s="255"/>
      <c r="AQ16" s="254" t="e">
        <f t="shared" ref="AQ16" si="32">(AQ14-AQ13)/AQ14</f>
        <v>#DIV/0!</v>
      </c>
      <c r="AR16" s="255"/>
      <c r="AS16" s="254" t="e">
        <f t="shared" ref="AS16" si="33">(AS14-AS13)/AS14</f>
        <v>#DIV/0!</v>
      </c>
      <c r="AT16" s="255"/>
      <c r="AU16" s="254" t="e">
        <f t="shared" ref="AU16" si="34">(AU14-AU13)/AU14</f>
        <v>#DIV/0!</v>
      </c>
      <c r="AV16" s="255"/>
      <c r="AW16" s="254" t="e">
        <f t="shared" ref="AW16" si="35">(AW14-AW13)/AW14</f>
        <v>#DIV/0!</v>
      </c>
      <c r="AX16" s="255"/>
      <c r="AY16" s="254" t="e">
        <f t="shared" ref="AY16" si="36">(AY14-AY13)/AY14</f>
        <v>#DIV/0!</v>
      </c>
      <c r="AZ16" s="255"/>
      <c r="BA16" s="22"/>
      <c r="BB16" s="22"/>
      <c r="BC16" s="97">
        <f>(BC13-BC14)/BC14</f>
        <v>0.94406622516556293</v>
      </c>
      <c r="BD16" s="125">
        <f>(BD13-BD14)/BD14</f>
        <v>4.6841059602649002</v>
      </c>
    </row>
    <row r="17" spans="1:54" s="11" customFormat="1" ht="75.599999999999994" customHeight="1" x14ac:dyDescent="0.3">
      <c r="A17" t="s">
        <v>661</v>
      </c>
      <c r="B17" s="11" t="s">
        <v>273</v>
      </c>
      <c r="C17" s="11" t="s">
        <v>274</v>
      </c>
      <c r="D17" s="11" t="s">
        <v>37</v>
      </c>
      <c r="E17" s="11" t="s">
        <v>38</v>
      </c>
      <c r="F17" s="11" t="s">
        <v>39</v>
      </c>
      <c r="G17" s="11" t="s">
        <v>40</v>
      </c>
      <c r="H17" s="11" t="s">
        <v>41</v>
      </c>
      <c r="I17" s="11" t="s">
        <v>42</v>
      </c>
      <c r="J17" s="11" t="s">
        <v>44</v>
      </c>
      <c r="K17" s="11" t="s">
        <v>45</v>
      </c>
      <c r="L17" s="11" t="s">
        <v>46</v>
      </c>
      <c r="M17" t="s">
        <v>593</v>
      </c>
      <c r="N17" s="11" t="s">
        <v>47</v>
      </c>
      <c r="O17" s="11" t="s">
        <v>48</v>
      </c>
      <c r="P17" s="11" t="s">
        <v>49</v>
      </c>
      <c r="Q17" s="11" t="s">
        <v>50</v>
      </c>
      <c r="R17" s="11" t="s">
        <v>51</v>
      </c>
      <c r="S17" s="11" t="s">
        <v>52</v>
      </c>
      <c r="T17" s="11" t="s">
        <v>76</v>
      </c>
      <c r="U17" s="11" t="s">
        <v>77</v>
      </c>
      <c r="V17" s="11" t="s">
        <v>78</v>
      </c>
      <c r="W17" s="11" t="s">
        <v>79</v>
      </c>
      <c r="X17" s="11" t="s">
        <v>80</v>
      </c>
      <c r="Y17" s="11" t="s">
        <v>81</v>
      </c>
      <c r="Z17" s="11" t="s">
        <v>549</v>
      </c>
      <c r="AA17" s="99" t="s">
        <v>277</v>
      </c>
      <c r="AB17" s="99" t="s">
        <v>278</v>
      </c>
      <c r="AC17" s="99" t="s">
        <v>279</v>
      </c>
      <c r="AD17" s="11" t="s">
        <v>550</v>
      </c>
      <c r="AE17" s="11" t="s">
        <v>82</v>
      </c>
      <c r="AF17" s="11" t="s">
        <v>83</v>
      </c>
      <c r="AG17" s="11" t="s">
        <v>551</v>
      </c>
      <c r="AH17" s="93" t="s">
        <v>283</v>
      </c>
      <c r="AI17" s="93" t="s">
        <v>284</v>
      </c>
      <c r="AJ17" s="93" t="s">
        <v>285</v>
      </c>
      <c r="AK17" s="11" t="s">
        <v>552</v>
      </c>
      <c r="AL17" s="11" t="s">
        <v>84</v>
      </c>
      <c r="AM17" s="11" t="s">
        <v>85</v>
      </c>
      <c r="AN17" s="11" t="s">
        <v>86</v>
      </c>
      <c r="AO17" s="11" t="s">
        <v>87</v>
      </c>
      <c r="AP17" s="11" t="s">
        <v>88</v>
      </c>
      <c r="AQ17" s="11" t="s">
        <v>89</v>
      </c>
      <c r="AR17" s="11" t="s">
        <v>90</v>
      </c>
      <c r="AS17" s="11" t="s">
        <v>91</v>
      </c>
      <c r="AT17" s="11" t="s">
        <v>92</v>
      </c>
      <c r="AU17" s="11" t="s">
        <v>93</v>
      </c>
      <c r="AV17" s="11" t="s">
        <v>94</v>
      </c>
      <c r="AW17" s="11" t="s">
        <v>95</v>
      </c>
      <c r="AX17" s="11" t="s">
        <v>96</v>
      </c>
      <c r="AY17" s="11" t="s">
        <v>97</v>
      </c>
      <c r="AZ17" s="11" t="s">
        <v>98</v>
      </c>
      <c r="BA17" s="11" t="s">
        <v>99</v>
      </c>
      <c r="BB17" s="11" t="s">
        <v>100</v>
      </c>
    </row>
    <row r="18" spans="1:54" x14ac:dyDescent="0.3">
      <c r="A18" t="s">
        <v>295</v>
      </c>
      <c r="B18" t="s">
        <v>286</v>
      </c>
      <c r="D18" t="s">
        <v>126</v>
      </c>
      <c r="E18" t="s">
        <v>127</v>
      </c>
      <c r="F18" t="s">
        <v>136</v>
      </c>
      <c r="G18" t="s">
        <v>104</v>
      </c>
      <c r="H18" t="s">
        <v>16</v>
      </c>
      <c r="I18" t="s">
        <v>16</v>
      </c>
      <c r="J18" t="s">
        <v>105</v>
      </c>
      <c r="K18" t="s">
        <v>300</v>
      </c>
      <c r="L18" t="s">
        <v>301</v>
      </c>
      <c r="N18" t="s">
        <v>302</v>
      </c>
      <c r="P18" t="s">
        <v>164</v>
      </c>
      <c r="Q18" s="1">
        <v>41907</v>
      </c>
      <c r="R18" s="1">
        <v>41968</v>
      </c>
      <c r="S18" s="1">
        <v>42045</v>
      </c>
      <c r="T18">
        <v>2582</v>
      </c>
      <c r="U18">
        <v>17091</v>
      </c>
      <c r="V18">
        <v>25</v>
      </c>
      <c r="W18">
        <v>98</v>
      </c>
      <c r="X18">
        <v>10</v>
      </c>
      <c r="AA18">
        <f>Préparation_2025[[#This Row],[AC 2025]]-Préparation_2025[[#This Row],[AC 2025 Initiale]]</f>
        <v>10</v>
      </c>
      <c r="AB18">
        <f>Préparation_2025[[#This Row],[TR 2025]]-Préparation_2025[[#This Row],[TR 2025 Initiale]]</f>
        <v>0</v>
      </c>
      <c r="AC18">
        <f>Préparation_2025[[#This Row],[Écart AC 2025]]+Préparation_2025[[#This Row],[Écart TR 2025]]</f>
        <v>10</v>
      </c>
      <c r="AG18"/>
      <c r="AH18">
        <f>Préparation_2025[[#This Row],[AC 2026]]-Préparation_2025[[#This Row],[AC 2026 Initiale]]</f>
        <v>0</v>
      </c>
      <c r="AI18">
        <f>Préparation_2025[[#This Row],[TR 2026]]-Préparation_2025[[#This Row],[TR 2026 Initiale]]</f>
        <v>0</v>
      </c>
      <c r="AJ18">
        <f>Préparation_2025[[#This Row],[Écart AC 2026]]+Préparation_2025[[#This Row],[Écart TR 2026]]</f>
        <v>0</v>
      </c>
      <c r="AZ18"/>
      <c r="BA18"/>
      <c r="BB18" s="14">
        <f>SUM(Préparation_2025[[#This Row],[AC ANT]:[TR 2025]],Préparation_2025[[#This Row],[AC 2026]:[TR 2026]],Préparation_2025[[#This Row],[AC 2027]:[TR 2034]])</f>
        <v>19806</v>
      </c>
    </row>
    <row r="19" spans="1:54" x14ac:dyDescent="0.3">
      <c r="A19" t="s">
        <v>663</v>
      </c>
      <c r="B19" t="s">
        <v>286</v>
      </c>
      <c r="D19" t="s">
        <v>101</v>
      </c>
      <c r="E19" t="s">
        <v>102</v>
      </c>
      <c r="F19" t="s">
        <v>136</v>
      </c>
      <c r="G19" t="s">
        <v>144</v>
      </c>
      <c r="H19" t="s">
        <v>16</v>
      </c>
      <c r="I19" t="s">
        <v>20</v>
      </c>
      <c r="J19" t="s">
        <v>131</v>
      </c>
      <c r="K19" t="s">
        <v>195</v>
      </c>
      <c r="L19" t="s">
        <v>196</v>
      </c>
      <c r="N19" t="s">
        <v>180</v>
      </c>
      <c r="O19" t="s">
        <v>197</v>
      </c>
      <c r="P19" t="s">
        <v>110</v>
      </c>
      <c r="Q19" s="1">
        <v>44889</v>
      </c>
      <c r="R19" s="1">
        <v>46068</v>
      </c>
      <c r="S19" s="1">
        <v>46583</v>
      </c>
      <c r="T19">
        <v>336.99999999999994</v>
      </c>
      <c r="V19">
        <v>76</v>
      </c>
      <c r="X19">
        <v>1657.9999999999998</v>
      </c>
      <c r="Z19">
        <v>1658</v>
      </c>
      <c r="AA19">
        <f>Préparation_2025[[#This Row],[AC 2025]]-Préparation_2025[[#This Row],[AC 2025 Initiale]]</f>
        <v>0</v>
      </c>
      <c r="AB19">
        <f>Préparation_2025[[#This Row],[TR 2025]]-Préparation_2025[[#This Row],[TR 2025 Initiale]]</f>
        <v>0</v>
      </c>
      <c r="AC19">
        <f>Préparation_2025[[#This Row],[Écart AC 2025]]+Préparation_2025[[#This Row],[Écart TR 2025]]</f>
        <v>0</v>
      </c>
      <c r="AE19">
        <v>1529</v>
      </c>
      <c r="AG19">
        <v>1529</v>
      </c>
      <c r="AH19">
        <f>Préparation_2025[[#This Row],[AC 2026]]-Préparation_2025[[#This Row],[AC 2026 Initiale]]</f>
        <v>0</v>
      </c>
      <c r="AI19">
        <f>Préparation_2025[[#This Row],[TR 2026]]-Préparation_2025[[#This Row],[TR 2026 Initiale]]</f>
        <v>0</v>
      </c>
      <c r="AJ19">
        <f>Préparation_2025[[#This Row],[Écart AC 2026]]+Préparation_2025[[#This Row],[Écart TR 2026]]</f>
        <v>0</v>
      </c>
      <c r="AL19">
        <v>1529</v>
      </c>
      <c r="AN19">
        <v>1325</v>
      </c>
      <c r="AO19">
        <v>7500</v>
      </c>
      <c r="AP19">
        <v>1200</v>
      </c>
      <c r="AQ19">
        <v>9500</v>
      </c>
      <c r="AR19">
        <v>439</v>
      </c>
      <c r="AS19">
        <v>18000</v>
      </c>
      <c r="AZ19"/>
      <c r="BA19"/>
      <c r="BB19" s="14">
        <f>SUM(Préparation_2025[[#This Row],[AC ANT]:[TR 2025]],Préparation_2025[[#This Row],[AC 2026]:[TR 2026]],Préparation_2025[[#This Row],[AC 2027]:[TR 2034]])</f>
        <v>43093</v>
      </c>
    </row>
    <row r="20" spans="1:54" x14ac:dyDescent="0.3">
      <c r="A20" t="s">
        <v>295</v>
      </c>
      <c r="B20" t="s">
        <v>286</v>
      </c>
      <c r="D20" t="s">
        <v>126</v>
      </c>
      <c r="E20" t="s">
        <v>127</v>
      </c>
      <c r="F20" t="s">
        <v>136</v>
      </c>
      <c r="G20" t="s">
        <v>104</v>
      </c>
      <c r="H20" t="s">
        <v>16</v>
      </c>
      <c r="I20" t="s">
        <v>16</v>
      </c>
      <c r="J20" t="s">
        <v>105</v>
      </c>
      <c r="K20" t="s">
        <v>162</v>
      </c>
      <c r="L20" t="s">
        <v>163</v>
      </c>
      <c r="N20" t="s">
        <v>122</v>
      </c>
      <c r="O20" t="s">
        <v>148</v>
      </c>
      <c r="P20" t="s">
        <v>164</v>
      </c>
      <c r="Q20" s="1"/>
      <c r="R20" s="1"/>
      <c r="S20" s="1"/>
      <c r="T20">
        <v>5398</v>
      </c>
      <c r="U20">
        <v>28152</v>
      </c>
      <c r="V20">
        <v>46</v>
      </c>
      <c r="W20">
        <v>891</v>
      </c>
      <c r="X20">
        <v>399</v>
      </c>
      <c r="Y20">
        <v>67</v>
      </c>
      <c r="Z20">
        <v>399</v>
      </c>
      <c r="AA20">
        <f>Préparation_2025[[#This Row],[AC 2025]]-Préparation_2025[[#This Row],[AC 2025 Initiale]]</f>
        <v>0</v>
      </c>
      <c r="AB20">
        <f>Préparation_2025[[#This Row],[TR 2025]]-Préparation_2025[[#This Row],[TR 2025 Initiale]]</f>
        <v>0</v>
      </c>
      <c r="AC20">
        <f>Préparation_2025[[#This Row],[Écart AC 2025]]+Préparation_2025[[#This Row],[Écart TR 2025]]</f>
        <v>0</v>
      </c>
      <c r="AD20">
        <v>67</v>
      </c>
      <c r="AE20">
        <v>93</v>
      </c>
      <c r="AG20">
        <v>60</v>
      </c>
      <c r="AH20">
        <f>Préparation_2025[[#This Row],[AC 2026]]-Préparation_2025[[#This Row],[AC 2026 Initiale]]</f>
        <v>33</v>
      </c>
      <c r="AI20">
        <f>Préparation_2025[[#This Row],[TR 2026]]-Préparation_2025[[#This Row],[TR 2026 Initiale]]</f>
        <v>0</v>
      </c>
      <c r="AJ20">
        <f>Préparation_2025[[#This Row],[Écart AC 2026]]+Préparation_2025[[#This Row],[Écart TR 2026]]</f>
        <v>33</v>
      </c>
      <c r="AZ20"/>
      <c r="BA20"/>
      <c r="BB20" s="14">
        <f>SUM(Préparation_2025[[#This Row],[AC ANT]:[TR 2025]],Préparation_2025[[#This Row],[AC 2026]:[TR 2026]],Préparation_2025[[#This Row],[AC 2027]:[TR 2034]])</f>
        <v>35046</v>
      </c>
    </row>
    <row r="21" spans="1:54" x14ac:dyDescent="0.3">
      <c r="A21" t="s">
        <v>663</v>
      </c>
      <c r="B21" t="s">
        <v>286</v>
      </c>
      <c r="D21" t="s">
        <v>101</v>
      </c>
      <c r="E21" t="s">
        <v>102</v>
      </c>
      <c r="F21" t="s">
        <v>136</v>
      </c>
      <c r="G21" t="s">
        <v>104</v>
      </c>
      <c r="H21" t="s">
        <v>16</v>
      </c>
      <c r="I21" t="s">
        <v>130</v>
      </c>
      <c r="J21" t="s">
        <v>105</v>
      </c>
      <c r="K21" t="s">
        <v>170</v>
      </c>
      <c r="L21" t="s">
        <v>171</v>
      </c>
      <c r="N21" t="s">
        <v>172</v>
      </c>
      <c r="O21" t="s">
        <v>173</v>
      </c>
      <c r="P21" t="s">
        <v>110</v>
      </c>
      <c r="Q21" s="1">
        <v>44833</v>
      </c>
      <c r="R21" s="1">
        <v>45976</v>
      </c>
      <c r="S21" s="1">
        <v>46310</v>
      </c>
      <c r="T21">
        <v>497</v>
      </c>
      <c r="U21">
        <v>8</v>
      </c>
      <c r="V21">
        <v>199</v>
      </c>
      <c r="X21">
        <v>1064</v>
      </c>
      <c r="Z21">
        <v>1064</v>
      </c>
      <c r="AA21">
        <f>Préparation_2025[[#This Row],[AC 2025]]-Préparation_2025[[#This Row],[AC 2025 Initiale]]</f>
        <v>0</v>
      </c>
      <c r="AB21">
        <f>Préparation_2025[[#This Row],[TR 2025]]-Préparation_2025[[#This Row],[TR 2025 Initiale]]</f>
        <v>0</v>
      </c>
      <c r="AC21">
        <f>Préparation_2025[[#This Row],[Écart AC 2025]]+Préparation_2025[[#This Row],[Écart TR 2025]]</f>
        <v>0</v>
      </c>
      <c r="AE21">
        <v>1008</v>
      </c>
      <c r="AG21">
        <v>1008</v>
      </c>
      <c r="AH21">
        <f>Préparation_2025[[#This Row],[AC 2026]]-Préparation_2025[[#This Row],[AC 2026 Initiale]]</f>
        <v>0</v>
      </c>
      <c r="AI21">
        <f>Préparation_2025[[#This Row],[TR 2026]]-Préparation_2025[[#This Row],[TR 2026 Initiale]]</f>
        <v>0</v>
      </c>
      <c r="AJ21">
        <f>Préparation_2025[[#This Row],[Écart AC 2026]]+Préparation_2025[[#This Row],[Écart TR 2026]]</f>
        <v>0</v>
      </c>
      <c r="AL21">
        <v>1886</v>
      </c>
      <c r="AM21">
        <v>6580</v>
      </c>
      <c r="AN21">
        <v>722</v>
      </c>
      <c r="AO21">
        <v>6581</v>
      </c>
      <c r="AQ21">
        <v>6576</v>
      </c>
      <c r="AZ21"/>
      <c r="BA21"/>
      <c r="BB21" s="14">
        <f>SUM(Préparation_2025[[#This Row],[AC ANT]:[TR 2025]],Préparation_2025[[#This Row],[AC 2026]:[TR 2026]],Préparation_2025[[#This Row],[AC 2027]:[TR 2034]])</f>
        <v>25121</v>
      </c>
    </row>
    <row r="22" spans="1:54" x14ac:dyDescent="0.3">
      <c r="A22" t="s">
        <v>663</v>
      </c>
      <c r="B22" t="s">
        <v>286</v>
      </c>
      <c r="D22" t="s">
        <v>101</v>
      </c>
      <c r="E22" t="s">
        <v>102</v>
      </c>
      <c r="F22" t="s">
        <v>136</v>
      </c>
      <c r="G22" t="s">
        <v>113</v>
      </c>
      <c r="H22" t="s">
        <v>16</v>
      </c>
      <c r="I22" t="s">
        <v>20</v>
      </c>
      <c r="J22" t="s">
        <v>105</v>
      </c>
      <c r="K22" t="s">
        <v>166</v>
      </c>
      <c r="L22" t="s">
        <v>167</v>
      </c>
      <c r="N22" t="s">
        <v>168</v>
      </c>
      <c r="O22" t="s">
        <v>169</v>
      </c>
      <c r="P22" t="s">
        <v>155</v>
      </c>
      <c r="Q22" s="1">
        <v>45976</v>
      </c>
      <c r="R22" s="1">
        <v>46402</v>
      </c>
      <c r="S22" s="1">
        <v>46980</v>
      </c>
      <c r="T22">
        <v>71</v>
      </c>
      <c r="X22">
        <v>120</v>
      </c>
      <c r="Z22">
        <v>120</v>
      </c>
      <c r="AA22">
        <f>Préparation_2025[[#This Row],[AC 2025]]-Préparation_2025[[#This Row],[AC 2025 Initiale]]</f>
        <v>0</v>
      </c>
      <c r="AB22">
        <f>Préparation_2025[[#This Row],[TR 2025]]-Préparation_2025[[#This Row],[TR 2025 Initiale]]</f>
        <v>0</v>
      </c>
      <c r="AC22">
        <f>Préparation_2025[[#This Row],[Écart AC 2025]]+Préparation_2025[[#This Row],[Écart TR 2025]]</f>
        <v>0</v>
      </c>
      <c r="AE22">
        <v>210</v>
      </c>
      <c r="AG22">
        <v>210</v>
      </c>
      <c r="AH22">
        <f>Préparation_2025[[#This Row],[AC 2026]]-Préparation_2025[[#This Row],[AC 2026 Initiale]]</f>
        <v>0</v>
      </c>
      <c r="AI22">
        <f>Préparation_2025[[#This Row],[TR 2026]]-Préparation_2025[[#This Row],[TR 2026 Initiale]]</f>
        <v>0</v>
      </c>
      <c r="AJ22">
        <f>Préparation_2025[[#This Row],[Écart AC 2026]]+Préparation_2025[[#This Row],[Écart TR 2026]]</f>
        <v>0</v>
      </c>
      <c r="AL22">
        <v>310</v>
      </c>
      <c r="AN22">
        <v>310</v>
      </c>
      <c r="AP22">
        <v>395</v>
      </c>
      <c r="AQ22">
        <v>2000</v>
      </c>
      <c r="AR22">
        <v>395</v>
      </c>
      <c r="AS22">
        <v>2000</v>
      </c>
      <c r="AT22">
        <v>400</v>
      </c>
      <c r="AU22">
        <v>18319</v>
      </c>
      <c r="AZ22"/>
      <c r="BA22"/>
      <c r="BB22" s="14">
        <f>SUM(Préparation_2025[[#This Row],[AC ANT]:[TR 2025]],Préparation_2025[[#This Row],[AC 2026]:[TR 2026]],Préparation_2025[[#This Row],[AC 2027]:[TR 2034]])</f>
        <v>24530</v>
      </c>
    </row>
    <row r="23" spans="1:54" x14ac:dyDescent="0.3">
      <c r="A23" t="s">
        <v>663</v>
      </c>
      <c r="B23" t="s">
        <v>286</v>
      </c>
      <c r="D23" t="s">
        <v>101</v>
      </c>
      <c r="E23" t="s">
        <v>102</v>
      </c>
      <c r="F23" t="s">
        <v>136</v>
      </c>
      <c r="G23" t="s">
        <v>113</v>
      </c>
      <c r="H23" t="s">
        <v>16</v>
      </c>
      <c r="I23" t="s">
        <v>20</v>
      </c>
      <c r="J23" t="s">
        <v>131</v>
      </c>
      <c r="K23" t="s">
        <v>185</v>
      </c>
      <c r="L23" t="s">
        <v>186</v>
      </c>
      <c r="N23" t="s">
        <v>187</v>
      </c>
      <c r="O23" t="s">
        <v>197</v>
      </c>
      <c r="P23" t="s">
        <v>110</v>
      </c>
      <c r="Q23" s="1">
        <v>44823</v>
      </c>
      <c r="R23" s="1">
        <v>46310</v>
      </c>
      <c r="S23" s="1">
        <v>46521</v>
      </c>
      <c r="T23">
        <v>282</v>
      </c>
      <c r="V23">
        <v>175</v>
      </c>
      <c r="X23">
        <v>835</v>
      </c>
      <c r="Z23">
        <v>835</v>
      </c>
      <c r="AA23">
        <f>Préparation_2025[[#This Row],[AC 2025]]-Préparation_2025[[#This Row],[AC 2025 Initiale]]</f>
        <v>0</v>
      </c>
      <c r="AB23">
        <f>Préparation_2025[[#This Row],[TR 2025]]-Préparation_2025[[#This Row],[TR 2025 Initiale]]</f>
        <v>0</v>
      </c>
      <c r="AC23">
        <f>Préparation_2025[[#This Row],[Écart AC 2025]]+Préparation_2025[[#This Row],[Écart TR 2025]]</f>
        <v>0</v>
      </c>
      <c r="AE23">
        <v>630</v>
      </c>
      <c r="AG23">
        <v>630</v>
      </c>
      <c r="AH23">
        <f>Préparation_2025[[#This Row],[AC 2026]]-Préparation_2025[[#This Row],[AC 2026 Initiale]]</f>
        <v>0</v>
      </c>
      <c r="AI23">
        <f>Préparation_2025[[#This Row],[TR 2026]]-Préparation_2025[[#This Row],[TR 2026 Initiale]]</f>
        <v>0</v>
      </c>
      <c r="AJ23">
        <f>Préparation_2025[[#This Row],[Écart AC 2026]]+Préparation_2025[[#This Row],[Écart TR 2026]]</f>
        <v>0</v>
      </c>
      <c r="AL23">
        <v>225</v>
      </c>
      <c r="AN23">
        <v>225</v>
      </c>
      <c r="AO23">
        <v>5369</v>
      </c>
      <c r="AP23">
        <v>502</v>
      </c>
      <c r="AQ23">
        <v>10806</v>
      </c>
      <c r="AZ23"/>
      <c r="BA23"/>
      <c r="BB23" s="14">
        <f>SUM(Préparation_2025[[#This Row],[AC ANT]:[TR 2025]],Préparation_2025[[#This Row],[AC 2026]:[TR 2026]],Préparation_2025[[#This Row],[AC 2027]:[TR 2034]])</f>
        <v>19049</v>
      </c>
    </row>
    <row r="24" spans="1:54" x14ac:dyDescent="0.3">
      <c r="A24" t="s">
        <v>295</v>
      </c>
      <c r="B24" t="s">
        <v>286</v>
      </c>
      <c r="D24" t="s">
        <v>126</v>
      </c>
      <c r="E24" t="s">
        <v>127</v>
      </c>
      <c r="F24" t="s">
        <v>136</v>
      </c>
      <c r="G24" t="s">
        <v>144</v>
      </c>
      <c r="H24" t="s">
        <v>16</v>
      </c>
      <c r="I24" t="s">
        <v>20</v>
      </c>
      <c r="J24" t="s">
        <v>131</v>
      </c>
      <c r="K24" t="s">
        <v>231</v>
      </c>
      <c r="L24" t="s">
        <v>232</v>
      </c>
      <c r="N24" t="s">
        <v>147</v>
      </c>
      <c r="O24" t="s">
        <v>173</v>
      </c>
      <c r="P24" t="s">
        <v>110</v>
      </c>
      <c r="Q24" s="1">
        <v>45099</v>
      </c>
      <c r="R24" s="1">
        <v>46037</v>
      </c>
      <c r="S24" s="1">
        <v>46283</v>
      </c>
      <c r="T24">
        <v>9</v>
      </c>
      <c r="V24">
        <v>21</v>
      </c>
      <c r="X24">
        <v>672</v>
      </c>
      <c r="Z24">
        <v>672</v>
      </c>
      <c r="AA24">
        <f>Préparation_2025[[#This Row],[AC 2025]]-Préparation_2025[[#This Row],[AC 2025 Initiale]]</f>
        <v>0</v>
      </c>
      <c r="AB24">
        <f>Préparation_2025[[#This Row],[TR 2025]]-Préparation_2025[[#This Row],[TR 2025 Initiale]]</f>
        <v>0</v>
      </c>
      <c r="AC24">
        <f>Préparation_2025[[#This Row],[Écart AC 2025]]+Préparation_2025[[#This Row],[Écart TR 2025]]</f>
        <v>0</v>
      </c>
      <c r="AE24">
        <v>553</v>
      </c>
      <c r="AG24">
        <v>553</v>
      </c>
      <c r="AH24">
        <f>Préparation_2025[[#This Row],[AC 2026]]-Préparation_2025[[#This Row],[AC 2026 Initiale]]</f>
        <v>0</v>
      </c>
      <c r="AI24">
        <f>Préparation_2025[[#This Row],[TR 2026]]-Préparation_2025[[#This Row],[TR 2026 Initiale]]</f>
        <v>0</v>
      </c>
      <c r="AJ24">
        <f>Préparation_2025[[#This Row],[Écart AC 2026]]+Préparation_2025[[#This Row],[Écart TR 2026]]</f>
        <v>0</v>
      </c>
      <c r="AL24">
        <v>1175</v>
      </c>
      <c r="AM24">
        <v>6475</v>
      </c>
      <c r="AN24">
        <v>1602</v>
      </c>
      <c r="AO24">
        <v>6677</v>
      </c>
      <c r="AZ24"/>
      <c r="BA24"/>
      <c r="BB24" s="14">
        <f>SUM(Préparation_2025[[#This Row],[AC ANT]:[TR 2025]],Préparation_2025[[#This Row],[AC 2026]:[TR 2026]],Préparation_2025[[#This Row],[AC 2027]:[TR 2034]])</f>
        <v>17184</v>
      </c>
    </row>
    <row r="25" spans="1:54" x14ac:dyDescent="0.3">
      <c r="A25" t="s">
        <v>663</v>
      </c>
      <c r="B25" t="s">
        <v>286</v>
      </c>
      <c r="D25" t="s">
        <v>101</v>
      </c>
      <c r="E25" t="s">
        <v>102</v>
      </c>
      <c r="F25" t="s">
        <v>136</v>
      </c>
      <c r="G25" t="s">
        <v>113</v>
      </c>
      <c r="H25" t="s">
        <v>16</v>
      </c>
      <c r="I25" t="s">
        <v>16</v>
      </c>
      <c r="J25" t="s">
        <v>131</v>
      </c>
      <c r="K25" t="s">
        <v>137</v>
      </c>
      <c r="L25" t="s">
        <v>138</v>
      </c>
      <c r="N25" t="s">
        <v>139</v>
      </c>
      <c r="O25" t="s">
        <v>109</v>
      </c>
      <c r="P25" t="s">
        <v>123</v>
      </c>
      <c r="Q25" s="1">
        <v>45062</v>
      </c>
      <c r="R25" s="1">
        <v>45754</v>
      </c>
      <c r="S25" s="1">
        <v>45976</v>
      </c>
      <c r="T25">
        <v>337</v>
      </c>
      <c r="U25">
        <v>41</v>
      </c>
      <c r="V25">
        <v>327</v>
      </c>
      <c r="X25">
        <v>363</v>
      </c>
      <c r="Z25">
        <v>355</v>
      </c>
      <c r="AA25">
        <f>Préparation_2025[[#This Row],[AC 2025]]-Préparation_2025[[#This Row],[AC 2025 Initiale]]</f>
        <v>8</v>
      </c>
      <c r="AB25">
        <f>Préparation_2025[[#This Row],[TR 2025]]-Préparation_2025[[#This Row],[TR 2025 Initiale]]</f>
        <v>0</v>
      </c>
      <c r="AC25">
        <f>Préparation_2025[[#This Row],[Écart AC 2025]]+Préparation_2025[[#This Row],[Écart TR 2025]]</f>
        <v>8</v>
      </c>
      <c r="AE25">
        <v>1006</v>
      </c>
      <c r="AF25">
        <v>5870</v>
      </c>
      <c r="AG25">
        <v>1006</v>
      </c>
      <c r="AH25">
        <f>Préparation_2025[[#This Row],[AC 2026]]-Préparation_2025[[#This Row],[AC 2026 Initiale]]</f>
        <v>0</v>
      </c>
      <c r="AI25">
        <f>Préparation_2025[[#This Row],[TR 2026]]-Préparation_2025[[#This Row],[TR 2026 Initiale]]</f>
        <v>0</v>
      </c>
      <c r="AJ25">
        <f>Préparation_2025[[#This Row],[Écart AC 2026]]+Préparation_2025[[#This Row],[Écart TR 2026]]</f>
        <v>0</v>
      </c>
      <c r="AK25">
        <v>5870</v>
      </c>
      <c r="AZ25"/>
      <c r="BA25"/>
      <c r="BB25" s="14">
        <f>SUM(Préparation_2025[[#This Row],[AC ANT]:[TR 2025]],Préparation_2025[[#This Row],[AC 2026]:[TR 2026]],Préparation_2025[[#This Row],[AC 2027]:[TR 2034]])</f>
        <v>7944</v>
      </c>
    </row>
    <row r="26" spans="1:54" x14ac:dyDescent="0.3">
      <c r="A26" t="s">
        <v>664</v>
      </c>
      <c r="B26" t="s">
        <v>286</v>
      </c>
      <c r="D26" t="s">
        <v>101</v>
      </c>
      <c r="E26" t="s">
        <v>102</v>
      </c>
      <c r="F26" t="s">
        <v>103</v>
      </c>
      <c r="G26" t="s">
        <v>104</v>
      </c>
      <c r="H26" t="s">
        <v>16</v>
      </c>
      <c r="I26" t="s">
        <v>16</v>
      </c>
      <c r="J26" t="s">
        <v>105</v>
      </c>
      <c r="K26" t="s">
        <v>215</v>
      </c>
      <c r="L26" t="s">
        <v>216</v>
      </c>
      <c r="N26" t="s">
        <v>217</v>
      </c>
      <c r="O26" t="s">
        <v>148</v>
      </c>
      <c r="P26" t="s">
        <v>164</v>
      </c>
      <c r="Q26" s="1">
        <v>44838</v>
      </c>
      <c r="R26" s="1">
        <v>45441</v>
      </c>
      <c r="S26" s="1">
        <v>45623</v>
      </c>
      <c r="T26">
        <v>218</v>
      </c>
      <c r="U26">
        <v>3</v>
      </c>
      <c r="V26">
        <v>96</v>
      </c>
      <c r="X26">
        <v>643</v>
      </c>
      <c r="Y26">
        <v>12563</v>
      </c>
      <c r="Z26">
        <v>641</v>
      </c>
      <c r="AA26">
        <f>Préparation_2025[[#This Row],[AC 2025]]-Préparation_2025[[#This Row],[AC 2025 Initiale]]</f>
        <v>2</v>
      </c>
      <c r="AB26">
        <f>Préparation_2025[[#This Row],[TR 2025]]-Préparation_2025[[#This Row],[TR 2025 Initiale]]</f>
        <v>0</v>
      </c>
      <c r="AC26">
        <f>Préparation_2025[[#This Row],[Écart AC 2025]]+Préparation_2025[[#This Row],[Écart TR 2025]]</f>
        <v>2</v>
      </c>
      <c r="AD26">
        <v>12563</v>
      </c>
      <c r="AG26"/>
      <c r="AH26">
        <f>Préparation_2025[[#This Row],[AC 2026]]-Préparation_2025[[#This Row],[AC 2026 Initiale]]</f>
        <v>0</v>
      </c>
      <c r="AI26">
        <f>Préparation_2025[[#This Row],[TR 2026]]-Préparation_2025[[#This Row],[TR 2026 Initiale]]</f>
        <v>0</v>
      </c>
      <c r="AJ26">
        <f>Préparation_2025[[#This Row],[Écart AC 2026]]+Préparation_2025[[#This Row],[Écart TR 2026]]</f>
        <v>0</v>
      </c>
      <c r="AZ26"/>
      <c r="BA26"/>
      <c r="BB26" s="14">
        <f>SUM(Préparation_2025[[#This Row],[AC ANT]:[TR 2025]],Préparation_2025[[#This Row],[AC 2026]:[TR 2026]],Préparation_2025[[#This Row],[AC 2027]:[TR 2034]])</f>
        <v>13523</v>
      </c>
    </row>
    <row r="27" spans="1:54" x14ac:dyDescent="0.3">
      <c r="A27" t="s">
        <v>664</v>
      </c>
      <c r="B27" t="s">
        <v>286</v>
      </c>
      <c r="D27" t="s">
        <v>101</v>
      </c>
      <c r="E27" t="s">
        <v>102</v>
      </c>
      <c r="F27" t="s">
        <v>103</v>
      </c>
      <c r="G27" t="s">
        <v>149</v>
      </c>
      <c r="H27" t="s">
        <v>16</v>
      </c>
      <c r="I27" t="s">
        <v>16</v>
      </c>
      <c r="J27" t="s">
        <v>105</v>
      </c>
      <c r="K27" t="s">
        <v>228</v>
      </c>
      <c r="L27" t="s">
        <v>229</v>
      </c>
      <c r="N27" t="s">
        <v>230</v>
      </c>
      <c r="O27" t="s">
        <v>148</v>
      </c>
      <c r="P27" t="s">
        <v>164</v>
      </c>
      <c r="Q27" s="1">
        <v>45022</v>
      </c>
      <c r="R27" s="1">
        <v>45463</v>
      </c>
      <c r="S27" s="1">
        <v>45590</v>
      </c>
      <c r="T27">
        <v>61</v>
      </c>
      <c r="X27">
        <v>601</v>
      </c>
      <c r="Y27">
        <v>11581</v>
      </c>
      <c r="Z27">
        <v>580</v>
      </c>
      <c r="AA27">
        <f>Préparation_2025[[#This Row],[AC 2025]]-Préparation_2025[[#This Row],[AC 2025 Initiale]]</f>
        <v>21</v>
      </c>
      <c r="AB27">
        <f>Préparation_2025[[#This Row],[TR 2025]]-Préparation_2025[[#This Row],[TR 2025 Initiale]]</f>
        <v>0</v>
      </c>
      <c r="AC27">
        <f>Préparation_2025[[#This Row],[Écart AC 2025]]+Préparation_2025[[#This Row],[Écart TR 2025]]</f>
        <v>21</v>
      </c>
      <c r="AD27">
        <v>11581</v>
      </c>
      <c r="AG27"/>
      <c r="AH27">
        <f>Préparation_2025[[#This Row],[AC 2026]]-Préparation_2025[[#This Row],[AC 2026 Initiale]]</f>
        <v>0</v>
      </c>
      <c r="AI27">
        <f>Préparation_2025[[#This Row],[TR 2026]]-Préparation_2025[[#This Row],[TR 2026 Initiale]]</f>
        <v>0</v>
      </c>
      <c r="AJ27">
        <f>Préparation_2025[[#This Row],[Écart AC 2026]]+Préparation_2025[[#This Row],[Écart TR 2026]]</f>
        <v>0</v>
      </c>
      <c r="AZ27"/>
      <c r="BA27"/>
      <c r="BB27" s="14">
        <f>SUM(Préparation_2025[[#This Row],[AC ANT]:[TR 2025]],Préparation_2025[[#This Row],[AC 2026]:[TR 2026]],Préparation_2025[[#This Row],[AC 2027]:[TR 2034]])</f>
        <v>12243</v>
      </c>
    </row>
    <row r="28" spans="1:54" x14ac:dyDescent="0.3">
      <c r="A28" t="s">
        <v>662</v>
      </c>
      <c r="B28" t="s">
        <v>286</v>
      </c>
      <c r="D28" t="s">
        <v>118</v>
      </c>
      <c r="E28" t="s">
        <v>102</v>
      </c>
      <c r="F28" t="s">
        <v>136</v>
      </c>
      <c r="G28" t="s">
        <v>129</v>
      </c>
      <c r="H28" t="s">
        <v>16</v>
      </c>
      <c r="I28" t="s">
        <v>16</v>
      </c>
      <c r="J28" t="s">
        <v>131</v>
      </c>
      <c r="K28" t="s">
        <v>218</v>
      </c>
      <c r="L28" t="s">
        <v>219</v>
      </c>
      <c r="N28" t="s">
        <v>152</v>
      </c>
      <c r="O28" t="s">
        <v>148</v>
      </c>
      <c r="P28" t="s">
        <v>164</v>
      </c>
      <c r="Q28" s="1">
        <v>45370</v>
      </c>
      <c r="R28" s="1"/>
      <c r="S28" s="1">
        <v>45706</v>
      </c>
      <c r="T28">
        <v>6</v>
      </c>
      <c r="V28">
        <v>45</v>
      </c>
      <c r="X28">
        <v>38</v>
      </c>
      <c r="Y28">
        <v>605</v>
      </c>
      <c r="Z28">
        <v>24</v>
      </c>
      <c r="AA28">
        <f>Préparation_2025[[#This Row],[AC 2025]]-Préparation_2025[[#This Row],[AC 2025 Initiale]]</f>
        <v>14</v>
      </c>
      <c r="AB28">
        <f>Préparation_2025[[#This Row],[TR 2025]]-Préparation_2025[[#This Row],[TR 2025 Initiale]]</f>
        <v>0</v>
      </c>
      <c r="AC28">
        <f>Préparation_2025[[#This Row],[Écart AC 2025]]+Préparation_2025[[#This Row],[Écart TR 2025]]</f>
        <v>14</v>
      </c>
      <c r="AD28">
        <v>605</v>
      </c>
      <c r="AG28"/>
      <c r="AH28">
        <f>Préparation_2025[[#This Row],[AC 2026]]-Préparation_2025[[#This Row],[AC 2026 Initiale]]</f>
        <v>0</v>
      </c>
      <c r="AI28">
        <f>Préparation_2025[[#This Row],[TR 2026]]-Préparation_2025[[#This Row],[TR 2026 Initiale]]</f>
        <v>0</v>
      </c>
      <c r="AJ28">
        <f>Préparation_2025[[#This Row],[Écart AC 2026]]+Préparation_2025[[#This Row],[Écart TR 2026]]</f>
        <v>0</v>
      </c>
      <c r="AZ28"/>
      <c r="BA28"/>
      <c r="BB28" s="14">
        <f>SUM(Préparation_2025[[#This Row],[AC ANT]:[TR 2025]],Préparation_2025[[#This Row],[AC 2026]:[TR 2026]],Préparation_2025[[#This Row],[AC 2027]:[TR 2034]])</f>
        <v>694</v>
      </c>
    </row>
    <row r="29" spans="1:54" x14ac:dyDescent="0.3">
      <c r="A29" t="s">
        <v>663</v>
      </c>
      <c r="B29" t="s">
        <v>286</v>
      </c>
      <c r="D29" t="s">
        <v>101</v>
      </c>
      <c r="E29" t="s">
        <v>102</v>
      </c>
      <c r="F29" t="s">
        <v>136</v>
      </c>
      <c r="G29" t="s">
        <v>140</v>
      </c>
      <c r="H29" t="s">
        <v>16</v>
      </c>
      <c r="I29" t="s">
        <v>20</v>
      </c>
      <c r="J29" t="s">
        <v>131</v>
      </c>
      <c r="K29" t="s">
        <v>181</v>
      </c>
      <c r="L29" t="s">
        <v>296</v>
      </c>
      <c r="N29" t="s">
        <v>183</v>
      </c>
      <c r="O29" t="s">
        <v>173</v>
      </c>
      <c r="P29" t="s">
        <v>110</v>
      </c>
      <c r="Q29" s="1">
        <v>45590</v>
      </c>
      <c r="R29" s="1">
        <v>46157</v>
      </c>
      <c r="S29" s="1">
        <v>46157</v>
      </c>
      <c r="X29">
        <v>466</v>
      </c>
      <c r="Z29">
        <v>466</v>
      </c>
      <c r="AA29">
        <f>Préparation_2025[[#This Row],[AC 2025]]-Préparation_2025[[#This Row],[AC 2025 Initiale]]</f>
        <v>0</v>
      </c>
      <c r="AB29">
        <f>Préparation_2025[[#This Row],[TR 2025]]-Préparation_2025[[#This Row],[TR 2025 Initiale]]</f>
        <v>0</v>
      </c>
      <c r="AC29">
        <f>Préparation_2025[[#This Row],[Écart AC 2025]]+Préparation_2025[[#This Row],[Écart TR 2025]]</f>
        <v>0</v>
      </c>
      <c r="AE29">
        <v>475</v>
      </c>
      <c r="AG29">
        <v>475</v>
      </c>
      <c r="AH29">
        <f>Préparation_2025[[#This Row],[AC 2026]]-Préparation_2025[[#This Row],[AC 2026 Initiale]]</f>
        <v>0</v>
      </c>
      <c r="AI29">
        <f>Préparation_2025[[#This Row],[TR 2026]]-Préparation_2025[[#This Row],[TR 2026 Initiale]]</f>
        <v>0</v>
      </c>
      <c r="AJ29">
        <f>Préparation_2025[[#This Row],[Écart AC 2026]]+Préparation_2025[[#This Row],[Écart TR 2026]]</f>
        <v>0</v>
      </c>
      <c r="AL29">
        <v>468</v>
      </c>
      <c r="AM29">
        <v>1461</v>
      </c>
      <c r="AZ29"/>
      <c r="BA29"/>
      <c r="BB29" s="14">
        <f>SUM(Préparation_2025[[#This Row],[AC ANT]:[TR 2025]],Préparation_2025[[#This Row],[AC 2026]:[TR 2026]],Préparation_2025[[#This Row],[AC 2027]:[TR 2034]])</f>
        <v>2870</v>
      </c>
    </row>
    <row r="30" spans="1:54" x14ac:dyDescent="0.3">
      <c r="A30" t="s">
        <v>664</v>
      </c>
      <c r="B30" t="s">
        <v>286</v>
      </c>
      <c r="D30" t="s">
        <v>101</v>
      </c>
      <c r="E30" t="s">
        <v>102</v>
      </c>
      <c r="F30" t="s">
        <v>103</v>
      </c>
      <c r="G30" t="s">
        <v>140</v>
      </c>
      <c r="H30" t="s">
        <v>16</v>
      </c>
      <c r="I30" t="s">
        <v>16</v>
      </c>
      <c r="J30" t="s">
        <v>105</v>
      </c>
      <c r="K30" t="s">
        <v>174</v>
      </c>
      <c r="L30" t="s">
        <v>175</v>
      </c>
      <c r="N30" t="s">
        <v>143</v>
      </c>
      <c r="O30" t="s">
        <v>148</v>
      </c>
      <c r="P30" t="s">
        <v>164</v>
      </c>
      <c r="Q30" s="1">
        <v>44014</v>
      </c>
      <c r="R30" s="1">
        <v>44294</v>
      </c>
      <c r="S30" s="1">
        <v>45239</v>
      </c>
      <c r="T30">
        <v>389</v>
      </c>
      <c r="U30">
        <v>4986</v>
      </c>
      <c r="V30">
        <v>450</v>
      </c>
      <c r="W30">
        <v>25618</v>
      </c>
      <c r="X30">
        <v>678</v>
      </c>
      <c r="Y30">
        <v>14983</v>
      </c>
      <c r="Z30">
        <v>399</v>
      </c>
      <c r="AA30">
        <f>Préparation_2025[[#This Row],[AC 2025]]-Préparation_2025[[#This Row],[AC 2025 Initiale]]</f>
        <v>279</v>
      </c>
      <c r="AB30">
        <f>Préparation_2025[[#This Row],[TR 2025]]-Préparation_2025[[#This Row],[TR 2025 Initiale]]</f>
        <v>3215</v>
      </c>
      <c r="AC30">
        <f>Préparation_2025[[#This Row],[Écart AC 2025]]+Préparation_2025[[#This Row],[Écart TR 2025]]</f>
        <v>3494</v>
      </c>
      <c r="AD30">
        <v>11768</v>
      </c>
      <c r="AG30"/>
      <c r="AH30">
        <f>Préparation_2025[[#This Row],[AC 2026]]-Préparation_2025[[#This Row],[AC 2026 Initiale]]</f>
        <v>0</v>
      </c>
      <c r="AI30">
        <f>Préparation_2025[[#This Row],[TR 2026]]-Préparation_2025[[#This Row],[TR 2026 Initiale]]</f>
        <v>0</v>
      </c>
      <c r="AJ30">
        <f>Préparation_2025[[#This Row],[Écart AC 2026]]+Préparation_2025[[#This Row],[Écart TR 2026]]</f>
        <v>0</v>
      </c>
      <c r="AZ30"/>
      <c r="BA30"/>
      <c r="BB30" s="14">
        <f>SUM(Préparation_2025[[#This Row],[AC ANT]:[TR 2025]],Préparation_2025[[#This Row],[AC 2026]:[TR 2026]],Préparation_2025[[#This Row],[AC 2027]:[TR 2034]])</f>
        <v>47104</v>
      </c>
    </row>
    <row r="31" spans="1:54" x14ac:dyDescent="0.3">
      <c r="A31" t="s">
        <v>664</v>
      </c>
      <c r="B31" t="s">
        <v>286</v>
      </c>
      <c r="D31" t="s">
        <v>101</v>
      </c>
      <c r="E31" t="s">
        <v>102</v>
      </c>
      <c r="F31" t="s">
        <v>103</v>
      </c>
      <c r="H31" t="s">
        <v>16</v>
      </c>
      <c r="I31" t="s">
        <v>16</v>
      </c>
      <c r="J31" t="s">
        <v>105</v>
      </c>
      <c r="K31" t="s">
        <v>309</v>
      </c>
      <c r="L31" t="s">
        <v>310</v>
      </c>
      <c r="N31" t="s">
        <v>108</v>
      </c>
      <c r="O31" t="s">
        <v>148</v>
      </c>
      <c r="P31" t="s">
        <v>291</v>
      </c>
      <c r="Q31" s="1"/>
      <c r="R31" s="1"/>
      <c r="S31" s="1"/>
      <c r="T31">
        <v>467</v>
      </c>
      <c r="U31">
        <v>5053</v>
      </c>
      <c r="X31">
        <v>27</v>
      </c>
      <c r="Y31">
        <v>135</v>
      </c>
      <c r="AA31">
        <f>Préparation_2025[[#This Row],[AC 2025]]-Préparation_2025[[#This Row],[AC 2025 Initiale]]</f>
        <v>27</v>
      </c>
      <c r="AB31">
        <f>Préparation_2025[[#This Row],[TR 2025]]-Préparation_2025[[#This Row],[TR 2025 Initiale]]</f>
        <v>135</v>
      </c>
      <c r="AC31">
        <f>Préparation_2025[[#This Row],[Écart AC 2025]]+Préparation_2025[[#This Row],[Écart TR 2025]]</f>
        <v>162</v>
      </c>
      <c r="AG31"/>
      <c r="AH31">
        <f>Préparation_2025[[#This Row],[AC 2026]]-Préparation_2025[[#This Row],[AC 2026 Initiale]]</f>
        <v>0</v>
      </c>
      <c r="AI31">
        <f>Préparation_2025[[#This Row],[TR 2026]]-Préparation_2025[[#This Row],[TR 2026 Initiale]]</f>
        <v>0</v>
      </c>
      <c r="AJ31">
        <f>Préparation_2025[[#This Row],[Écart AC 2026]]+Préparation_2025[[#This Row],[Écart TR 2026]]</f>
        <v>0</v>
      </c>
      <c r="AZ31"/>
      <c r="BA31"/>
      <c r="BB31" s="14">
        <f>SUM(Préparation_2025[[#This Row],[AC ANT]:[TR 2025]],Préparation_2025[[#This Row],[AC 2026]:[TR 2026]],Préparation_2025[[#This Row],[AC 2027]:[TR 2034]])</f>
        <v>5682</v>
      </c>
    </row>
    <row r="32" spans="1:54" x14ac:dyDescent="0.3">
      <c r="A32" t="s">
        <v>662</v>
      </c>
      <c r="B32" t="s">
        <v>286</v>
      </c>
      <c r="D32" t="s">
        <v>118</v>
      </c>
      <c r="E32" t="s">
        <v>102</v>
      </c>
      <c r="F32" t="s">
        <v>188</v>
      </c>
      <c r="G32" t="s">
        <v>113</v>
      </c>
      <c r="H32" t="s">
        <v>16</v>
      </c>
      <c r="I32" t="s">
        <v>130</v>
      </c>
      <c r="J32" t="s">
        <v>131</v>
      </c>
      <c r="K32" t="s">
        <v>189</v>
      </c>
      <c r="L32" t="s">
        <v>190</v>
      </c>
      <c r="N32" t="s">
        <v>191</v>
      </c>
      <c r="O32" t="s">
        <v>109</v>
      </c>
      <c r="P32" t="s">
        <v>123</v>
      </c>
      <c r="Q32" s="1">
        <v>45684</v>
      </c>
      <c r="R32" s="1"/>
      <c r="S32" s="1">
        <v>46006</v>
      </c>
      <c r="X32">
        <v>80</v>
      </c>
      <c r="Z32">
        <v>80</v>
      </c>
      <c r="AA32">
        <f>Préparation_2025[[#This Row],[AC 2025]]-Préparation_2025[[#This Row],[AC 2025 Initiale]]</f>
        <v>0</v>
      </c>
      <c r="AB32">
        <f>Préparation_2025[[#This Row],[TR 2025]]-Préparation_2025[[#This Row],[TR 2025 Initiale]]</f>
        <v>0</v>
      </c>
      <c r="AC32">
        <f>Préparation_2025[[#This Row],[Écart AC 2025]]+Préparation_2025[[#This Row],[Écart TR 2025]]</f>
        <v>0</v>
      </c>
      <c r="AE32">
        <v>87</v>
      </c>
      <c r="AF32">
        <v>899</v>
      </c>
      <c r="AG32">
        <v>87</v>
      </c>
      <c r="AH32">
        <f>Préparation_2025[[#This Row],[AC 2026]]-Préparation_2025[[#This Row],[AC 2026 Initiale]]</f>
        <v>0</v>
      </c>
      <c r="AI32">
        <f>Préparation_2025[[#This Row],[TR 2026]]-Préparation_2025[[#This Row],[TR 2026 Initiale]]</f>
        <v>899</v>
      </c>
      <c r="AJ32">
        <f>Préparation_2025[[#This Row],[Écart AC 2026]]+Préparation_2025[[#This Row],[Écart TR 2026]]</f>
        <v>899</v>
      </c>
      <c r="AL32">
        <v>227</v>
      </c>
      <c r="AZ32"/>
      <c r="BA32"/>
      <c r="BB32" s="14">
        <f>SUM(Préparation_2025[[#This Row],[AC ANT]:[TR 2025]],Préparation_2025[[#This Row],[AC 2026]:[TR 2026]],Préparation_2025[[#This Row],[AC 2027]:[TR 2034]])</f>
        <v>1293</v>
      </c>
    </row>
    <row r="33" spans="1:54" x14ac:dyDescent="0.3">
      <c r="A33" t="s">
        <v>664</v>
      </c>
      <c r="B33" t="s">
        <v>286</v>
      </c>
      <c r="D33" t="s">
        <v>101</v>
      </c>
      <c r="E33" t="s">
        <v>102</v>
      </c>
      <c r="F33" t="s">
        <v>128</v>
      </c>
      <c r="G33" t="s">
        <v>113</v>
      </c>
      <c r="H33" t="s">
        <v>16</v>
      </c>
      <c r="I33" t="s">
        <v>16</v>
      </c>
      <c r="J33" t="s">
        <v>105</v>
      </c>
      <c r="K33" t="s">
        <v>160</v>
      </c>
      <c r="L33" t="s">
        <v>161</v>
      </c>
      <c r="N33" t="s">
        <v>122</v>
      </c>
      <c r="O33" t="s">
        <v>148</v>
      </c>
      <c r="P33" t="s">
        <v>164</v>
      </c>
      <c r="Q33" s="1">
        <v>44956</v>
      </c>
      <c r="R33" s="1">
        <v>45321</v>
      </c>
      <c r="S33" s="1">
        <v>45687</v>
      </c>
      <c r="T33">
        <v>6</v>
      </c>
      <c r="V33">
        <v>14</v>
      </c>
      <c r="X33">
        <v>325</v>
      </c>
      <c r="Y33">
        <v>4503</v>
      </c>
      <c r="Z33">
        <v>320</v>
      </c>
      <c r="AA33">
        <f>Préparation_2025[[#This Row],[AC 2025]]-Préparation_2025[[#This Row],[AC 2025 Initiale]]</f>
        <v>5</v>
      </c>
      <c r="AB33">
        <f>Préparation_2025[[#This Row],[TR 2025]]-Préparation_2025[[#This Row],[TR 2025 Initiale]]</f>
        <v>0</v>
      </c>
      <c r="AC33">
        <f>Préparation_2025[[#This Row],[Écart AC 2025]]+Préparation_2025[[#This Row],[Écart TR 2025]]</f>
        <v>5</v>
      </c>
      <c r="AD33">
        <v>4503</v>
      </c>
      <c r="AG33"/>
      <c r="AH33">
        <f>Préparation_2025[[#This Row],[AC 2026]]-Préparation_2025[[#This Row],[AC 2026 Initiale]]</f>
        <v>0</v>
      </c>
      <c r="AI33">
        <f>Préparation_2025[[#This Row],[TR 2026]]-Préparation_2025[[#This Row],[TR 2026 Initiale]]</f>
        <v>0</v>
      </c>
      <c r="AJ33">
        <f>Préparation_2025[[#This Row],[Écart AC 2026]]+Préparation_2025[[#This Row],[Écart TR 2026]]</f>
        <v>0</v>
      </c>
      <c r="AZ33"/>
      <c r="BA33"/>
      <c r="BB33" s="14">
        <f>SUM(Préparation_2025[[#This Row],[AC ANT]:[TR 2025]],Préparation_2025[[#This Row],[AC 2026]:[TR 2026]],Préparation_2025[[#This Row],[AC 2027]:[TR 2034]])</f>
        <v>4848</v>
      </c>
    </row>
    <row r="34" spans="1:54" x14ac:dyDescent="0.3">
      <c r="A34" t="s">
        <v>664</v>
      </c>
      <c r="B34" t="s">
        <v>286</v>
      </c>
      <c r="D34" t="s">
        <v>101</v>
      </c>
      <c r="E34" t="s">
        <v>102</v>
      </c>
      <c r="F34" t="s">
        <v>103</v>
      </c>
      <c r="G34" t="s">
        <v>129</v>
      </c>
      <c r="H34" t="s">
        <v>16</v>
      </c>
      <c r="I34" t="s">
        <v>16</v>
      </c>
      <c r="J34" t="s">
        <v>131</v>
      </c>
      <c r="K34" t="s">
        <v>132</v>
      </c>
      <c r="L34" t="s">
        <v>288</v>
      </c>
      <c r="N34" t="s">
        <v>134</v>
      </c>
      <c r="O34" t="s">
        <v>109</v>
      </c>
      <c r="P34" t="s">
        <v>123</v>
      </c>
      <c r="Q34" s="1">
        <v>45218</v>
      </c>
      <c r="R34" s="1">
        <v>45722</v>
      </c>
      <c r="S34" s="1">
        <v>45976</v>
      </c>
      <c r="V34">
        <v>12</v>
      </c>
      <c r="X34">
        <v>10</v>
      </c>
      <c r="Z34">
        <v>10</v>
      </c>
      <c r="AA34">
        <f>Préparation_2025[[#This Row],[AC 2025]]-Préparation_2025[[#This Row],[AC 2025 Initiale]]</f>
        <v>0</v>
      </c>
      <c r="AB34">
        <f>Préparation_2025[[#This Row],[TR 2025]]-Préparation_2025[[#This Row],[TR 2025 Initiale]]</f>
        <v>0</v>
      </c>
      <c r="AC34">
        <f>Préparation_2025[[#This Row],[Écart AC 2025]]+Préparation_2025[[#This Row],[Écart TR 2025]]</f>
        <v>0</v>
      </c>
      <c r="AE34">
        <v>350</v>
      </c>
      <c r="AF34">
        <v>4669</v>
      </c>
      <c r="AG34">
        <v>350</v>
      </c>
      <c r="AH34">
        <f>Préparation_2025[[#This Row],[AC 2026]]-Préparation_2025[[#This Row],[AC 2026 Initiale]]</f>
        <v>0</v>
      </c>
      <c r="AI34">
        <f>Préparation_2025[[#This Row],[TR 2026]]-Préparation_2025[[#This Row],[TR 2026 Initiale]]</f>
        <v>0</v>
      </c>
      <c r="AJ34">
        <f>Préparation_2025[[#This Row],[Écart AC 2026]]+Préparation_2025[[#This Row],[Écart TR 2026]]</f>
        <v>0</v>
      </c>
      <c r="AK34">
        <v>4669</v>
      </c>
      <c r="AZ34"/>
      <c r="BA34"/>
      <c r="BB34" s="14">
        <f>SUM(Préparation_2025[[#This Row],[AC ANT]:[TR 2025]],Préparation_2025[[#This Row],[AC 2026]:[TR 2026]],Préparation_2025[[#This Row],[AC 2027]:[TR 2034]])</f>
        <v>5041</v>
      </c>
    </row>
    <row r="35" spans="1:54" x14ac:dyDescent="0.3">
      <c r="A35" t="s">
        <v>662</v>
      </c>
      <c r="B35" t="s">
        <v>286</v>
      </c>
      <c r="D35" t="s">
        <v>118</v>
      </c>
      <c r="E35" t="s">
        <v>102</v>
      </c>
      <c r="F35" t="s">
        <v>103</v>
      </c>
      <c r="G35" t="s">
        <v>149</v>
      </c>
      <c r="H35" t="s">
        <v>16</v>
      </c>
      <c r="I35" t="s">
        <v>16</v>
      </c>
      <c r="J35" t="s">
        <v>131</v>
      </c>
      <c r="K35" t="s">
        <v>192</v>
      </c>
      <c r="L35" t="s">
        <v>193</v>
      </c>
      <c r="N35" t="s">
        <v>194</v>
      </c>
      <c r="O35" s="2" t="s">
        <v>148</v>
      </c>
      <c r="P35" t="s">
        <v>164</v>
      </c>
      <c r="Q35" s="1">
        <v>44547</v>
      </c>
      <c r="R35" s="1">
        <v>45091</v>
      </c>
      <c r="S35" s="1">
        <v>45375</v>
      </c>
      <c r="T35">
        <v>7</v>
      </c>
      <c r="V35">
        <v>45</v>
      </c>
      <c r="W35">
        <v>1057</v>
      </c>
      <c r="X35">
        <v>221</v>
      </c>
      <c r="Y35">
        <v>4691</v>
      </c>
      <c r="Z35">
        <v>185</v>
      </c>
      <c r="AA35">
        <f>Préparation_2025[[#This Row],[AC 2025]]-Préparation_2025[[#This Row],[AC 2025 Initiale]]</f>
        <v>36</v>
      </c>
      <c r="AB35">
        <f>Préparation_2025[[#This Row],[TR 2025]]-Préparation_2025[[#This Row],[TR 2025 Initiale]]</f>
        <v>293</v>
      </c>
      <c r="AC35">
        <f>Préparation_2025[[#This Row],[Écart AC 2025]]+Préparation_2025[[#This Row],[Écart TR 2025]]</f>
        <v>329</v>
      </c>
      <c r="AD35">
        <v>4398</v>
      </c>
      <c r="AG35"/>
      <c r="AH35">
        <f>Préparation_2025[[#This Row],[AC 2026]]-Préparation_2025[[#This Row],[AC 2026 Initiale]]</f>
        <v>0</v>
      </c>
      <c r="AI35">
        <f>Préparation_2025[[#This Row],[TR 2026]]-Préparation_2025[[#This Row],[TR 2026 Initiale]]</f>
        <v>0</v>
      </c>
      <c r="AJ35">
        <f>Préparation_2025[[#This Row],[Écart AC 2026]]+Préparation_2025[[#This Row],[Écart TR 2026]]</f>
        <v>0</v>
      </c>
      <c r="AZ35"/>
      <c r="BA35"/>
      <c r="BB35" s="14">
        <f>SUM(Préparation_2025[[#This Row],[AC ANT]:[TR 2025]],Préparation_2025[[#This Row],[AC 2026]:[TR 2026]],Préparation_2025[[#This Row],[AC 2027]:[TR 2034]])</f>
        <v>6021</v>
      </c>
    </row>
    <row r="36" spans="1:54" x14ac:dyDescent="0.3">
      <c r="A36" t="s">
        <v>664</v>
      </c>
      <c r="B36" t="s">
        <v>286</v>
      </c>
      <c r="D36" t="s">
        <v>101</v>
      </c>
      <c r="E36" t="s">
        <v>102</v>
      </c>
      <c r="F36" t="s">
        <v>128</v>
      </c>
      <c r="G36" t="s">
        <v>140</v>
      </c>
      <c r="H36" t="s">
        <v>16</v>
      </c>
      <c r="I36" t="s">
        <v>16</v>
      </c>
      <c r="J36" t="s">
        <v>105</v>
      </c>
      <c r="K36" t="s">
        <v>141</v>
      </c>
      <c r="L36" t="s">
        <v>142</v>
      </c>
      <c r="N36" t="s">
        <v>143</v>
      </c>
      <c r="O36" t="s">
        <v>109</v>
      </c>
      <c r="P36" t="s">
        <v>123</v>
      </c>
      <c r="Q36" s="1">
        <v>42900</v>
      </c>
      <c r="R36" s="1">
        <v>45323</v>
      </c>
      <c r="S36" s="1">
        <v>45889</v>
      </c>
      <c r="T36">
        <v>61</v>
      </c>
      <c r="AA36">
        <f>Préparation_2025[[#This Row],[AC 2025]]-Préparation_2025[[#This Row],[AC 2025 Initiale]]</f>
        <v>0</v>
      </c>
      <c r="AB36">
        <f>Préparation_2025[[#This Row],[TR 2025]]-Préparation_2025[[#This Row],[TR 2025 Initiale]]</f>
        <v>0</v>
      </c>
      <c r="AC36">
        <f>Préparation_2025[[#This Row],[Écart AC 2025]]+Préparation_2025[[#This Row],[Écart TR 2025]]</f>
        <v>0</v>
      </c>
      <c r="AE36">
        <v>400</v>
      </c>
      <c r="AF36">
        <v>5399</v>
      </c>
      <c r="AG36">
        <v>370</v>
      </c>
      <c r="AH36">
        <f>Préparation_2025[[#This Row],[AC 2026]]-Préparation_2025[[#This Row],[AC 2026 Initiale]]</f>
        <v>30</v>
      </c>
      <c r="AI36">
        <f>Préparation_2025[[#This Row],[TR 2026]]-Préparation_2025[[#This Row],[TR 2026 Initiale]]</f>
        <v>451</v>
      </c>
      <c r="AJ36">
        <f>Préparation_2025[[#This Row],[Écart AC 2026]]+Préparation_2025[[#This Row],[Écart TR 2026]]</f>
        <v>481</v>
      </c>
      <c r="AK36">
        <v>4948</v>
      </c>
      <c r="AZ36"/>
      <c r="BA36"/>
      <c r="BB36" s="14">
        <f>SUM(Préparation_2025[[#This Row],[AC ANT]:[TR 2025]],Préparation_2025[[#This Row],[AC 2026]:[TR 2026]],Préparation_2025[[#This Row],[AC 2027]:[TR 2034]])</f>
        <v>5860</v>
      </c>
    </row>
    <row r="37" spans="1:54" x14ac:dyDescent="0.3">
      <c r="A37" t="s">
        <v>664</v>
      </c>
      <c r="B37" t="s">
        <v>286</v>
      </c>
      <c r="D37" t="s">
        <v>101</v>
      </c>
      <c r="E37" t="s">
        <v>102</v>
      </c>
      <c r="F37" t="s">
        <v>103</v>
      </c>
      <c r="G37" t="s">
        <v>104</v>
      </c>
      <c r="H37" t="s">
        <v>16</v>
      </c>
      <c r="I37" t="s">
        <v>16</v>
      </c>
      <c r="J37" t="s">
        <v>105</v>
      </c>
      <c r="K37" t="s">
        <v>106</v>
      </c>
      <c r="L37" t="s">
        <v>107</v>
      </c>
      <c r="N37" t="s">
        <v>108</v>
      </c>
      <c r="O37" t="s">
        <v>109</v>
      </c>
      <c r="P37" t="s">
        <v>123</v>
      </c>
      <c r="Q37" s="1">
        <v>45014</v>
      </c>
      <c r="R37" s="1">
        <v>45799</v>
      </c>
      <c r="S37" s="1">
        <v>46006</v>
      </c>
      <c r="T37">
        <v>69</v>
      </c>
      <c r="V37">
        <v>213</v>
      </c>
      <c r="X37">
        <v>272</v>
      </c>
      <c r="Z37">
        <v>180</v>
      </c>
      <c r="AA37">
        <f>Préparation_2025[[#This Row],[AC 2025]]-Préparation_2025[[#This Row],[AC 2025 Initiale]]</f>
        <v>92</v>
      </c>
      <c r="AB37">
        <f>Préparation_2025[[#This Row],[TR 2025]]-Préparation_2025[[#This Row],[TR 2025 Initiale]]</f>
        <v>0</v>
      </c>
      <c r="AC37">
        <f>Préparation_2025[[#This Row],[Écart AC 2025]]+Préparation_2025[[#This Row],[Écart TR 2025]]</f>
        <v>92</v>
      </c>
      <c r="AE37">
        <v>636</v>
      </c>
      <c r="AF37">
        <v>16507</v>
      </c>
      <c r="AG37">
        <v>881</v>
      </c>
      <c r="AH37">
        <f>Préparation_2025[[#This Row],[AC 2026]]-Préparation_2025[[#This Row],[AC 2026 Initiale]]</f>
        <v>-245</v>
      </c>
      <c r="AI37">
        <f>Préparation_2025[[#This Row],[TR 2026]]-Préparation_2025[[#This Row],[TR 2026 Initiale]]</f>
        <v>-50</v>
      </c>
      <c r="AJ37">
        <f>Préparation_2025[[#This Row],[Écart AC 2026]]+Préparation_2025[[#This Row],[Écart TR 2026]]</f>
        <v>-295</v>
      </c>
      <c r="AK37">
        <v>16557</v>
      </c>
      <c r="AZ37"/>
      <c r="BA37"/>
      <c r="BB37" s="14">
        <f>SUM(Préparation_2025[[#This Row],[AC ANT]:[TR 2025]],Préparation_2025[[#This Row],[AC 2026]:[TR 2026]],Préparation_2025[[#This Row],[AC 2027]:[TR 2034]])</f>
        <v>17697</v>
      </c>
    </row>
    <row r="38" spans="1:54" x14ac:dyDescent="0.3">
      <c r="A38" t="s">
        <v>664</v>
      </c>
      <c r="B38" t="s">
        <v>286</v>
      </c>
      <c r="D38" t="s">
        <v>101</v>
      </c>
      <c r="E38" t="s">
        <v>102</v>
      </c>
      <c r="F38" t="s">
        <v>103</v>
      </c>
      <c r="G38" t="s">
        <v>113</v>
      </c>
      <c r="H38" t="s">
        <v>16</v>
      </c>
      <c r="I38" t="s">
        <v>16</v>
      </c>
      <c r="J38" t="s">
        <v>105</v>
      </c>
      <c r="K38" t="s">
        <v>312</v>
      </c>
      <c r="L38" t="s">
        <v>313</v>
      </c>
      <c r="N38" t="s">
        <v>168</v>
      </c>
      <c r="O38" t="s">
        <v>148</v>
      </c>
      <c r="P38" t="s">
        <v>164</v>
      </c>
      <c r="Q38" s="1">
        <v>44055</v>
      </c>
      <c r="R38" s="1">
        <v>44315</v>
      </c>
      <c r="S38" s="1">
        <v>44589</v>
      </c>
      <c r="T38">
        <v>448</v>
      </c>
      <c r="U38">
        <v>5849</v>
      </c>
      <c r="V38">
        <v>290</v>
      </c>
      <c r="W38">
        <v>3895</v>
      </c>
      <c r="X38">
        <v>93</v>
      </c>
      <c r="Y38">
        <v>390</v>
      </c>
      <c r="AA38">
        <f>Préparation_2025[[#This Row],[AC 2025]]-Préparation_2025[[#This Row],[AC 2025 Initiale]]</f>
        <v>93</v>
      </c>
      <c r="AB38">
        <f>Préparation_2025[[#This Row],[TR 2025]]-Préparation_2025[[#This Row],[TR 2025 Initiale]]</f>
        <v>390</v>
      </c>
      <c r="AC38">
        <f>Préparation_2025[[#This Row],[Écart AC 2025]]+Préparation_2025[[#This Row],[Écart TR 2025]]</f>
        <v>483</v>
      </c>
      <c r="AG38"/>
      <c r="AH38">
        <f>Préparation_2025[[#This Row],[AC 2026]]-Préparation_2025[[#This Row],[AC 2026 Initiale]]</f>
        <v>0</v>
      </c>
      <c r="AI38">
        <f>Préparation_2025[[#This Row],[TR 2026]]-Préparation_2025[[#This Row],[TR 2026 Initiale]]</f>
        <v>0</v>
      </c>
      <c r="AJ38">
        <f>Préparation_2025[[#This Row],[Écart AC 2026]]+Préparation_2025[[#This Row],[Écart TR 2026]]</f>
        <v>0</v>
      </c>
      <c r="AZ38"/>
      <c r="BA38"/>
      <c r="BB38" s="14">
        <f>SUM(Préparation_2025[[#This Row],[AC ANT]:[TR 2025]],Préparation_2025[[#This Row],[AC 2026]:[TR 2026]],Préparation_2025[[#This Row],[AC 2027]:[TR 2034]])</f>
        <v>10965</v>
      </c>
    </row>
    <row r="39" spans="1:54" x14ac:dyDescent="0.3">
      <c r="A39" t="s">
        <v>662</v>
      </c>
      <c r="B39" t="s">
        <v>286</v>
      </c>
      <c r="D39" t="s">
        <v>118</v>
      </c>
      <c r="E39" t="s">
        <v>102</v>
      </c>
      <c r="F39" t="s">
        <v>177</v>
      </c>
      <c r="G39" t="s">
        <v>113</v>
      </c>
      <c r="H39" t="s">
        <v>16</v>
      </c>
      <c r="I39" t="s">
        <v>20</v>
      </c>
      <c r="J39" t="s">
        <v>131</v>
      </c>
      <c r="K39" t="s">
        <v>240</v>
      </c>
      <c r="L39" t="s">
        <v>241</v>
      </c>
      <c r="N39" t="s">
        <v>187</v>
      </c>
      <c r="O39" t="s">
        <v>173</v>
      </c>
      <c r="P39" t="s">
        <v>123</v>
      </c>
      <c r="Q39" s="1">
        <v>45708</v>
      </c>
      <c r="R39" s="1">
        <v>45923</v>
      </c>
      <c r="S39" s="1">
        <v>46296</v>
      </c>
      <c r="X39">
        <v>178</v>
      </c>
      <c r="Z39">
        <v>178</v>
      </c>
      <c r="AA39">
        <f>Préparation_2025[[#This Row],[AC 2025]]-Préparation_2025[[#This Row],[AC 2025 Initiale]]</f>
        <v>0</v>
      </c>
      <c r="AB39">
        <f>Préparation_2025[[#This Row],[TR 2025]]-Préparation_2025[[#This Row],[TR 2025 Initiale]]</f>
        <v>0</v>
      </c>
      <c r="AC39">
        <f>Préparation_2025[[#This Row],[Écart AC 2025]]+Préparation_2025[[#This Row],[Écart TR 2025]]</f>
        <v>0</v>
      </c>
      <c r="AE39">
        <v>176</v>
      </c>
      <c r="AG39">
        <v>176</v>
      </c>
      <c r="AH39">
        <f>Préparation_2025[[#This Row],[AC 2026]]-Préparation_2025[[#This Row],[AC 2026 Initiale]]</f>
        <v>0</v>
      </c>
      <c r="AI39">
        <f>Préparation_2025[[#This Row],[TR 2026]]-Préparation_2025[[#This Row],[TR 2026 Initiale]]</f>
        <v>0</v>
      </c>
      <c r="AJ39">
        <f>Préparation_2025[[#This Row],[Écart AC 2026]]+Préparation_2025[[#This Row],[Écart TR 2026]]</f>
        <v>0</v>
      </c>
      <c r="AL39">
        <v>212</v>
      </c>
      <c r="AM39">
        <v>4831</v>
      </c>
      <c r="AN39">
        <v>151</v>
      </c>
      <c r="AO39">
        <v>3298</v>
      </c>
      <c r="AZ39"/>
      <c r="BA39"/>
      <c r="BB39" s="14">
        <f>SUM(Préparation_2025[[#This Row],[AC ANT]:[TR 2025]],Préparation_2025[[#This Row],[AC 2026]:[TR 2026]],Préparation_2025[[#This Row],[AC 2027]:[TR 2034]])</f>
        <v>8846</v>
      </c>
    </row>
    <row r="40" spans="1:54" x14ac:dyDescent="0.3">
      <c r="A40" t="s">
        <v>664</v>
      </c>
      <c r="B40" t="s">
        <v>286</v>
      </c>
      <c r="D40" t="s">
        <v>101</v>
      </c>
      <c r="E40" t="s">
        <v>102</v>
      </c>
      <c r="F40" t="s">
        <v>103</v>
      </c>
      <c r="G40" t="s">
        <v>206</v>
      </c>
      <c r="H40" t="s">
        <v>16</v>
      </c>
      <c r="I40" t="s">
        <v>16</v>
      </c>
      <c r="J40" t="s">
        <v>105</v>
      </c>
      <c r="K40" t="s">
        <v>314</v>
      </c>
      <c r="L40" t="s">
        <v>315</v>
      </c>
      <c r="N40" t="s">
        <v>316</v>
      </c>
      <c r="O40" t="s">
        <v>148</v>
      </c>
      <c r="P40" t="s">
        <v>164</v>
      </c>
      <c r="Q40" s="1">
        <v>43882</v>
      </c>
      <c r="R40" s="1">
        <v>44033</v>
      </c>
      <c r="S40" s="1">
        <v>45225</v>
      </c>
      <c r="T40">
        <v>257</v>
      </c>
      <c r="U40">
        <v>2407</v>
      </c>
      <c r="V40">
        <v>439</v>
      </c>
      <c r="W40">
        <v>7751</v>
      </c>
      <c r="X40">
        <v>79</v>
      </c>
      <c r="Y40">
        <v>385</v>
      </c>
      <c r="AA40">
        <f>Préparation_2025[[#This Row],[AC 2025]]-Préparation_2025[[#This Row],[AC 2025 Initiale]]</f>
        <v>79</v>
      </c>
      <c r="AB40">
        <f>Préparation_2025[[#This Row],[TR 2025]]-Préparation_2025[[#This Row],[TR 2025 Initiale]]</f>
        <v>385</v>
      </c>
      <c r="AC40">
        <f>Préparation_2025[[#This Row],[Écart AC 2025]]+Préparation_2025[[#This Row],[Écart TR 2025]]</f>
        <v>464</v>
      </c>
      <c r="AG40"/>
      <c r="AH40">
        <f>Préparation_2025[[#This Row],[AC 2026]]-Préparation_2025[[#This Row],[AC 2026 Initiale]]</f>
        <v>0</v>
      </c>
      <c r="AI40">
        <f>Préparation_2025[[#This Row],[TR 2026]]-Préparation_2025[[#This Row],[TR 2026 Initiale]]</f>
        <v>0</v>
      </c>
      <c r="AJ40">
        <f>Préparation_2025[[#This Row],[Écart AC 2026]]+Préparation_2025[[#This Row],[Écart TR 2026]]</f>
        <v>0</v>
      </c>
      <c r="AZ40"/>
      <c r="BA40"/>
      <c r="BB40" s="14">
        <f>SUM(Préparation_2025[[#This Row],[AC ANT]:[TR 2025]],Préparation_2025[[#This Row],[AC 2026]:[TR 2026]],Préparation_2025[[#This Row],[AC 2027]:[TR 2034]])</f>
        <v>11318</v>
      </c>
    </row>
    <row r="41" spans="1:54" x14ac:dyDescent="0.3">
      <c r="A41" t="s">
        <v>664</v>
      </c>
      <c r="B41" t="s">
        <v>286</v>
      </c>
      <c r="D41" t="s">
        <v>101</v>
      </c>
      <c r="E41" t="s">
        <v>102</v>
      </c>
      <c r="F41" t="s">
        <v>136</v>
      </c>
      <c r="G41" t="s">
        <v>149</v>
      </c>
      <c r="H41" t="s">
        <v>16</v>
      </c>
      <c r="I41" t="s">
        <v>20</v>
      </c>
      <c r="J41" t="s">
        <v>131</v>
      </c>
      <c r="K41" t="s">
        <v>212</v>
      </c>
      <c r="L41" t="s">
        <v>213</v>
      </c>
      <c r="N41" t="s">
        <v>214</v>
      </c>
      <c r="O41" t="s">
        <v>184</v>
      </c>
      <c r="P41" t="s">
        <v>155</v>
      </c>
      <c r="Q41" s="1">
        <v>46127</v>
      </c>
      <c r="R41" s="1">
        <v>46798</v>
      </c>
      <c r="S41" s="1">
        <v>47192</v>
      </c>
      <c r="T41">
        <v>47</v>
      </c>
      <c r="V41">
        <v>93</v>
      </c>
      <c r="X41">
        <v>150</v>
      </c>
      <c r="Z41">
        <v>150</v>
      </c>
      <c r="AA41">
        <f>Préparation_2025[[#This Row],[AC 2025]]-Préparation_2025[[#This Row],[AC 2025 Initiale]]</f>
        <v>0</v>
      </c>
      <c r="AB41">
        <f>Préparation_2025[[#This Row],[TR 2025]]-Préparation_2025[[#This Row],[TR 2025 Initiale]]</f>
        <v>0</v>
      </c>
      <c r="AC41">
        <f>Préparation_2025[[#This Row],[Écart AC 2025]]+Préparation_2025[[#This Row],[Écart TR 2025]]</f>
        <v>0</v>
      </c>
      <c r="AE41">
        <v>125</v>
      </c>
      <c r="AG41">
        <v>125</v>
      </c>
      <c r="AH41">
        <f>Préparation_2025[[#This Row],[AC 2026]]-Préparation_2025[[#This Row],[AC 2026 Initiale]]</f>
        <v>0</v>
      </c>
      <c r="AI41">
        <f>Préparation_2025[[#This Row],[TR 2026]]-Préparation_2025[[#This Row],[TR 2026 Initiale]]</f>
        <v>0</v>
      </c>
      <c r="AJ41">
        <f>Préparation_2025[[#This Row],[Écart AC 2026]]+Préparation_2025[[#This Row],[Écart TR 2026]]</f>
        <v>0</v>
      </c>
      <c r="AL41">
        <v>125</v>
      </c>
      <c r="AN41">
        <v>125</v>
      </c>
      <c r="AP41">
        <v>125</v>
      </c>
      <c r="AR41">
        <v>300</v>
      </c>
      <c r="AS41">
        <v>5000</v>
      </c>
      <c r="AT41">
        <v>431</v>
      </c>
      <c r="AU41">
        <v>10000</v>
      </c>
      <c r="AZ41"/>
      <c r="BA41"/>
      <c r="BB41" s="14">
        <f>SUM(Préparation_2025[[#This Row],[AC ANT]:[TR 2025]],Préparation_2025[[#This Row],[AC 2026]:[TR 2026]],Préparation_2025[[#This Row],[AC 2027]:[TR 2034]])</f>
        <v>16521</v>
      </c>
    </row>
    <row r="42" spans="1:54" x14ac:dyDescent="0.3">
      <c r="A42" t="s">
        <v>295</v>
      </c>
      <c r="B42" t="s">
        <v>286</v>
      </c>
      <c r="D42" t="s">
        <v>126</v>
      </c>
      <c r="E42" t="s">
        <v>127</v>
      </c>
      <c r="F42" t="s">
        <v>177</v>
      </c>
      <c r="G42" t="s">
        <v>206</v>
      </c>
      <c r="H42" t="s">
        <v>16</v>
      </c>
      <c r="I42" t="s">
        <v>16</v>
      </c>
      <c r="J42" t="s">
        <v>223</v>
      </c>
      <c r="K42" t="s">
        <v>224</v>
      </c>
      <c r="L42" t="s">
        <v>520</v>
      </c>
      <c r="N42" t="s">
        <v>180</v>
      </c>
      <c r="O42" t="s">
        <v>109</v>
      </c>
      <c r="P42" t="s">
        <v>123</v>
      </c>
      <c r="Q42" s="1">
        <v>44623</v>
      </c>
      <c r="R42" s="1">
        <v>45698</v>
      </c>
      <c r="S42" s="1">
        <v>46341</v>
      </c>
      <c r="T42">
        <v>180.00000000000003</v>
      </c>
      <c r="V42">
        <v>53</v>
      </c>
      <c r="X42">
        <v>150</v>
      </c>
      <c r="Z42">
        <v>150</v>
      </c>
      <c r="AA42">
        <f>Préparation_2025[[#This Row],[AC 2025]]-Préparation_2025[[#This Row],[AC 2025 Initiale]]</f>
        <v>0</v>
      </c>
      <c r="AB42">
        <f>Préparation_2025[[#This Row],[TR 2025]]-Préparation_2025[[#This Row],[TR 2025 Initiale]]</f>
        <v>0</v>
      </c>
      <c r="AC42">
        <f>Préparation_2025[[#This Row],[Écart AC 2025]]+Préparation_2025[[#This Row],[Écart TR 2025]]</f>
        <v>0</v>
      </c>
      <c r="AE42">
        <v>133</v>
      </c>
      <c r="AF42">
        <v>354.99999999999994</v>
      </c>
      <c r="AG42">
        <v>133</v>
      </c>
      <c r="AH42">
        <f>Préparation_2025[[#This Row],[AC 2026]]-Préparation_2025[[#This Row],[AC 2026 Initiale]]</f>
        <v>0</v>
      </c>
      <c r="AI42">
        <f>Préparation_2025[[#This Row],[TR 2026]]-Préparation_2025[[#This Row],[TR 2026 Initiale]]</f>
        <v>0</v>
      </c>
      <c r="AJ42">
        <f>Préparation_2025[[#This Row],[Écart AC 2026]]+Préparation_2025[[#This Row],[Écart TR 2026]]</f>
        <v>0</v>
      </c>
      <c r="AK42">
        <v>355</v>
      </c>
      <c r="AL42">
        <v>53.000000000000007</v>
      </c>
      <c r="AM42">
        <v>1610</v>
      </c>
      <c r="AN42">
        <v>159</v>
      </c>
      <c r="AO42">
        <v>4929</v>
      </c>
      <c r="AP42">
        <v>212</v>
      </c>
      <c r="AQ42">
        <v>6707.0000000000018</v>
      </c>
      <c r="AR42">
        <v>261</v>
      </c>
      <c r="AS42">
        <v>6846.0000000000018</v>
      </c>
      <c r="AZ42"/>
      <c r="BA42"/>
      <c r="BB42" s="14">
        <f>SUM(Préparation_2025[[#This Row],[AC ANT]:[TR 2025]],Préparation_2025[[#This Row],[AC 2026]:[TR 2026]],Préparation_2025[[#This Row],[AC 2027]:[TR 2034]])</f>
        <v>21648.000000000004</v>
      </c>
    </row>
    <row r="43" spans="1:54" x14ac:dyDescent="0.3">
      <c r="A43" t="s">
        <v>662</v>
      </c>
      <c r="B43" t="s">
        <v>286</v>
      </c>
      <c r="D43" t="s">
        <v>118</v>
      </c>
      <c r="E43" t="s">
        <v>102</v>
      </c>
      <c r="F43" t="s">
        <v>103</v>
      </c>
      <c r="G43" t="s">
        <v>104</v>
      </c>
      <c r="H43" t="s">
        <v>16</v>
      </c>
      <c r="I43" t="s">
        <v>16</v>
      </c>
      <c r="J43" t="s">
        <v>131</v>
      </c>
      <c r="K43" t="s">
        <v>319</v>
      </c>
      <c r="L43" t="s">
        <v>320</v>
      </c>
      <c r="N43" t="s">
        <v>159</v>
      </c>
      <c r="P43" t="s">
        <v>164</v>
      </c>
      <c r="Q43" s="1">
        <v>44063</v>
      </c>
      <c r="R43" s="1">
        <v>44488</v>
      </c>
      <c r="S43" s="1">
        <v>44602</v>
      </c>
      <c r="T43">
        <v>334</v>
      </c>
      <c r="U43">
        <v>5521</v>
      </c>
      <c r="V43">
        <v>24</v>
      </c>
      <c r="X43">
        <v>28</v>
      </c>
      <c r="AA43">
        <f>Préparation_2025[[#This Row],[AC 2025]]-Préparation_2025[[#This Row],[AC 2025 Initiale]]</f>
        <v>28</v>
      </c>
      <c r="AB43">
        <f>Préparation_2025[[#This Row],[TR 2025]]-Préparation_2025[[#This Row],[TR 2025 Initiale]]</f>
        <v>0</v>
      </c>
      <c r="AC43">
        <f>Préparation_2025[[#This Row],[Écart AC 2025]]+Préparation_2025[[#This Row],[Écart TR 2025]]</f>
        <v>28</v>
      </c>
      <c r="AG43"/>
      <c r="AH43">
        <f>Préparation_2025[[#This Row],[AC 2026]]-Préparation_2025[[#This Row],[AC 2026 Initiale]]</f>
        <v>0</v>
      </c>
      <c r="AI43">
        <f>Préparation_2025[[#This Row],[TR 2026]]-Préparation_2025[[#This Row],[TR 2026 Initiale]]</f>
        <v>0</v>
      </c>
      <c r="AJ43">
        <f>Préparation_2025[[#This Row],[Écart AC 2026]]+Préparation_2025[[#This Row],[Écart TR 2026]]</f>
        <v>0</v>
      </c>
      <c r="AZ43"/>
      <c r="BA43"/>
      <c r="BB43" s="14">
        <f>SUM(Préparation_2025[[#This Row],[AC ANT]:[TR 2025]],Préparation_2025[[#This Row],[AC 2026]:[TR 2026]],Préparation_2025[[#This Row],[AC 2027]:[TR 2034]])</f>
        <v>5907</v>
      </c>
    </row>
    <row r="44" spans="1:54" x14ac:dyDescent="0.3">
      <c r="A44" t="s">
        <v>295</v>
      </c>
      <c r="B44" t="s">
        <v>286</v>
      </c>
      <c r="D44" t="s">
        <v>126</v>
      </c>
      <c r="E44" t="s">
        <v>127</v>
      </c>
      <c r="F44" t="s">
        <v>103</v>
      </c>
      <c r="G44" t="s">
        <v>104</v>
      </c>
      <c r="H44" t="s">
        <v>16</v>
      </c>
      <c r="I44" t="s">
        <v>130</v>
      </c>
      <c r="J44" t="s">
        <v>131</v>
      </c>
      <c r="K44" t="s">
        <v>220</v>
      </c>
      <c r="L44" t="s">
        <v>221</v>
      </c>
      <c r="N44" t="s">
        <v>159</v>
      </c>
      <c r="O44" t="s">
        <v>197</v>
      </c>
      <c r="P44" t="s">
        <v>155</v>
      </c>
      <c r="Q44" s="1">
        <v>45976</v>
      </c>
      <c r="R44" s="1">
        <v>46264</v>
      </c>
      <c r="S44" s="1">
        <v>46553</v>
      </c>
      <c r="X44">
        <v>130</v>
      </c>
      <c r="Z44">
        <v>130</v>
      </c>
      <c r="AA44">
        <f>Préparation_2025[[#This Row],[AC 2025]]-Préparation_2025[[#This Row],[AC 2025 Initiale]]</f>
        <v>0</v>
      </c>
      <c r="AB44">
        <f>Préparation_2025[[#This Row],[TR 2025]]-Préparation_2025[[#This Row],[TR 2025 Initiale]]</f>
        <v>0</v>
      </c>
      <c r="AC44">
        <f>Préparation_2025[[#This Row],[Écart AC 2025]]+Préparation_2025[[#This Row],[Écart TR 2025]]</f>
        <v>0</v>
      </c>
      <c r="AE44">
        <v>125</v>
      </c>
      <c r="AG44">
        <v>125</v>
      </c>
      <c r="AH44">
        <f>Préparation_2025[[#This Row],[AC 2026]]-Préparation_2025[[#This Row],[AC 2026 Initiale]]</f>
        <v>0</v>
      </c>
      <c r="AI44">
        <f>Préparation_2025[[#This Row],[TR 2026]]-Préparation_2025[[#This Row],[TR 2026 Initiale]]</f>
        <v>0</v>
      </c>
      <c r="AJ44">
        <f>Préparation_2025[[#This Row],[Écart AC 2026]]+Préparation_2025[[#This Row],[Écart TR 2026]]</f>
        <v>0</v>
      </c>
      <c r="AL44">
        <v>100</v>
      </c>
      <c r="AN44">
        <v>70</v>
      </c>
      <c r="AO44">
        <v>14000</v>
      </c>
      <c r="AP44">
        <v>55</v>
      </c>
      <c r="AQ44">
        <v>16662</v>
      </c>
      <c r="AZ44"/>
      <c r="BA44"/>
      <c r="BB44" s="14">
        <f>SUM(Préparation_2025[[#This Row],[AC ANT]:[TR 2025]],Préparation_2025[[#This Row],[AC 2026]:[TR 2026]],Préparation_2025[[#This Row],[AC 2027]:[TR 2034]])</f>
        <v>31142</v>
      </c>
    </row>
    <row r="45" spans="1:54" x14ac:dyDescent="0.3">
      <c r="A45" t="s">
        <v>662</v>
      </c>
      <c r="B45" t="s">
        <v>286</v>
      </c>
      <c r="D45" t="s">
        <v>118</v>
      </c>
      <c r="E45" t="s">
        <v>102</v>
      </c>
      <c r="F45" t="s">
        <v>103</v>
      </c>
      <c r="H45" t="s">
        <v>16</v>
      </c>
      <c r="I45" t="s">
        <v>325</v>
      </c>
      <c r="J45" t="s">
        <v>131</v>
      </c>
      <c r="K45" t="s">
        <v>321</v>
      </c>
      <c r="L45" t="s">
        <v>525</v>
      </c>
      <c r="N45" t="s">
        <v>147</v>
      </c>
      <c r="P45" t="s">
        <v>291</v>
      </c>
      <c r="Q45" s="1"/>
      <c r="R45" s="1"/>
      <c r="S45" s="1"/>
      <c r="T45">
        <v>468</v>
      </c>
      <c r="U45">
        <v>4580</v>
      </c>
      <c r="X45">
        <v>3</v>
      </c>
      <c r="AA45">
        <f>Préparation_2025[[#This Row],[AC 2025]]-Préparation_2025[[#This Row],[AC 2025 Initiale]]</f>
        <v>3</v>
      </c>
      <c r="AB45">
        <f>Préparation_2025[[#This Row],[TR 2025]]-Préparation_2025[[#This Row],[TR 2025 Initiale]]</f>
        <v>0</v>
      </c>
      <c r="AC45">
        <f>Préparation_2025[[#This Row],[Écart AC 2025]]+Préparation_2025[[#This Row],[Écart TR 2025]]</f>
        <v>3</v>
      </c>
      <c r="AG45"/>
      <c r="AH45">
        <f>Préparation_2025[[#This Row],[AC 2026]]-Préparation_2025[[#This Row],[AC 2026 Initiale]]</f>
        <v>0</v>
      </c>
      <c r="AI45">
        <f>Préparation_2025[[#This Row],[TR 2026]]-Préparation_2025[[#This Row],[TR 2026 Initiale]]</f>
        <v>0</v>
      </c>
      <c r="AJ45">
        <f>Préparation_2025[[#This Row],[Écart AC 2026]]+Préparation_2025[[#This Row],[Écart TR 2026]]</f>
        <v>0</v>
      </c>
      <c r="AZ45"/>
      <c r="BA45"/>
      <c r="BB45" s="14">
        <f>SUM(Préparation_2025[[#This Row],[AC ANT]:[TR 2025]],Préparation_2025[[#This Row],[AC 2026]:[TR 2026]],Préparation_2025[[#This Row],[AC 2027]:[TR 2034]])</f>
        <v>5051</v>
      </c>
    </row>
    <row r="46" spans="1:54" x14ac:dyDescent="0.3">
      <c r="A46" t="s">
        <v>664</v>
      </c>
      <c r="B46" t="s">
        <v>286</v>
      </c>
      <c r="D46" t="s">
        <v>101</v>
      </c>
      <c r="E46" t="s">
        <v>102</v>
      </c>
      <c r="F46" t="s">
        <v>103</v>
      </c>
      <c r="H46" t="s">
        <v>16</v>
      </c>
      <c r="I46" t="s">
        <v>325</v>
      </c>
      <c r="J46" t="s">
        <v>131</v>
      </c>
      <c r="K46" t="s">
        <v>326</v>
      </c>
      <c r="L46" t="s">
        <v>327</v>
      </c>
      <c r="N46" t="s">
        <v>183</v>
      </c>
      <c r="P46" t="s">
        <v>291</v>
      </c>
      <c r="Q46" s="1"/>
      <c r="R46" s="1"/>
      <c r="S46" s="1"/>
      <c r="T46">
        <v>595</v>
      </c>
      <c r="U46">
        <v>3578</v>
      </c>
      <c r="X46">
        <v>1</v>
      </c>
      <c r="AA46">
        <f>Préparation_2025[[#This Row],[AC 2025]]-Préparation_2025[[#This Row],[AC 2025 Initiale]]</f>
        <v>1</v>
      </c>
      <c r="AB46">
        <f>Préparation_2025[[#This Row],[TR 2025]]-Préparation_2025[[#This Row],[TR 2025 Initiale]]</f>
        <v>0</v>
      </c>
      <c r="AC46">
        <f>Préparation_2025[[#This Row],[Écart AC 2025]]+Préparation_2025[[#This Row],[Écart TR 2025]]</f>
        <v>1</v>
      </c>
      <c r="AG46"/>
      <c r="AH46">
        <f>Préparation_2025[[#This Row],[AC 2026]]-Préparation_2025[[#This Row],[AC 2026 Initiale]]</f>
        <v>0</v>
      </c>
      <c r="AI46">
        <f>Préparation_2025[[#This Row],[TR 2026]]-Préparation_2025[[#This Row],[TR 2026 Initiale]]</f>
        <v>0</v>
      </c>
      <c r="AJ46">
        <f>Préparation_2025[[#This Row],[Écart AC 2026]]+Préparation_2025[[#This Row],[Écart TR 2026]]</f>
        <v>0</v>
      </c>
      <c r="AZ46"/>
      <c r="BA46"/>
      <c r="BB46" s="14">
        <f>SUM(Préparation_2025[[#This Row],[AC ANT]:[TR 2025]],Préparation_2025[[#This Row],[AC 2026]:[TR 2026]],Préparation_2025[[#This Row],[AC 2027]:[TR 2034]])</f>
        <v>4174</v>
      </c>
    </row>
    <row r="47" spans="1:54" x14ac:dyDescent="0.3">
      <c r="A47" t="s">
        <v>295</v>
      </c>
      <c r="B47" t="s">
        <v>286</v>
      </c>
      <c r="D47" t="s">
        <v>126</v>
      </c>
      <c r="E47" t="s">
        <v>127</v>
      </c>
      <c r="F47" t="s">
        <v>103</v>
      </c>
      <c r="G47" t="s">
        <v>144</v>
      </c>
      <c r="H47" t="s">
        <v>16</v>
      </c>
      <c r="I47" t="s">
        <v>16</v>
      </c>
      <c r="J47" t="s">
        <v>131</v>
      </c>
      <c r="K47" t="s">
        <v>145</v>
      </c>
      <c r="L47" t="s">
        <v>146</v>
      </c>
      <c r="N47" t="s">
        <v>147</v>
      </c>
      <c r="O47" t="s">
        <v>109</v>
      </c>
      <c r="P47" t="s">
        <v>110</v>
      </c>
      <c r="Q47" s="1">
        <v>44609</v>
      </c>
      <c r="R47" s="1">
        <v>46310</v>
      </c>
      <c r="S47" s="1">
        <v>46583</v>
      </c>
      <c r="T47">
        <v>117</v>
      </c>
      <c r="V47">
        <v>84</v>
      </c>
      <c r="X47">
        <v>105</v>
      </c>
      <c r="Z47">
        <v>105</v>
      </c>
      <c r="AA47">
        <f>Préparation_2025[[#This Row],[AC 2025]]-Préparation_2025[[#This Row],[AC 2025 Initiale]]</f>
        <v>0</v>
      </c>
      <c r="AB47">
        <f>Préparation_2025[[#This Row],[TR 2025]]-Préparation_2025[[#This Row],[TR 2025 Initiale]]</f>
        <v>0</v>
      </c>
      <c r="AC47">
        <f>Préparation_2025[[#This Row],[Écart AC 2025]]+Préparation_2025[[#This Row],[Écart TR 2025]]</f>
        <v>0</v>
      </c>
      <c r="AE47">
        <v>417</v>
      </c>
      <c r="AF47">
        <v>9684</v>
      </c>
      <c r="AG47">
        <v>342</v>
      </c>
      <c r="AH47">
        <f>Préparation_2025[[#This Row],[AC 2026]]-Préparation_2025[[#This Row],[AC 2026 Initiale]]</f>
        <v>75</v>
      </c>
      <c r="AI47">
        <f>Préparation_2025[[#This Row],[TR 2026]]-Préparation_2025[[#This Row],[TR 2026 Initiale]]</f>
        <v>0</v>
      </c>
      <c r="AJ47">
        <f>Préparation_2025[[#This Row],[Écart AC 2026]]+Préparation_2025[[#This Row],[Écart TR 2026]]</f>
        <v>75</v>
      </c>
      <c r="AK47">
        <v>9684</v>
      </c>
      <c r="AZ47"/>
      <c r="BA47"/>
      <c r="BB47" s="14">
        <f>SUM(Préparation_2025[[#This Row],[AC ANT]:[TR 2025]],Préparation_2025[[#This Row],[AC 2026]:[TR 2026]],Préparation_2025[[#This Row],[AC 2027]:[TR 2034]])</f>
        <v>10407</v>
      </c>
    </row>
    <row r="48" spans="1:54" x14ac:dyDescent="0.3">
      <c r="A48" t="s">
        <v>664</v>
      </c>
      <c r="B48" t="s">
        <v>286</v>
      </c>
      <c r="D48" t="s">
        <v>101</v>
      </c>
      <c r="E48" t="s">
        <v>102</v>
      </c>
      <c r="F48" t="s">
        <v>200</v>
      </c>
      <c r="H48" t="s">
        <v>16</v>
      </c>
      <c r="I48" t="s">
        <v>325</v>
      </c>
      <c r="J48" t="s">
        <v>131</v>
      </c>
      <c r="K48" t="s">
        <v>328</v>
      </c>
      <c r="L48" t="s">
        <v>329</v>
      </c>
      <c r="N48" t="s">
        <v>152</v>
      </c>
      <c r="P48" t="s">
        <v>291</v>
      </c>
      <c r="Q48" s="1"/>
      <c r="R48" s="1"/>
      <c r="S48" s="1"/>
      <c r="T48">
        <v>186</v>
      </c>
      <c r="U48">
        <v>3019</v>
      </c>
      <c r="X48">
        <v>9</v>
      </c>
      <c r="AA48">
        <f>Préparation_2025[[#This Row],[AC 2025]]-Préparation_2025[[#This Row],[AC 2025 Initiale]]</f>
        <v>9</v>
      </c>
      <c r="AB48">
        <f>Préparation_2025[[#This Row],[TR 2025]]-Préparation_2025[[#This Row],[TR 2025 Initiale]]</f>
        <v>0</v>
      </c>
      <c r="AC48">
        <f>Préparation_2025[[#This Row],[Écart AC 2025]]+Préparation_2025[[#This Row],[Écart TR 2025]]</f>
        <v>9</v>
      </c>
      <c r="AG48"/>
      <c r="AH48">
        <f>Préparation_2025[[#This Row],[AC 2026]]-Préparation_2025[[#This Row],[AC 2026 Initiale]]</f>
        <v>0</v>
      </c>
      <c r="AI48">
        <f>Préparation_2025[[#This Row],[TR 2026]]-Préparation_2025[[#This Row],[TR 2026 Initiale]]</f>
        <v>0</v>
      </c>
      <c r="AJ48">
        <f>Préparation_2025[[#This Row],[Écart AC 2026]]+Préparation_2025[[#This Row],[Écart TR 2026]]</f>
        <v>0</v>
      </c>
      <c r="AZ48"/>
      <c r="BA48"/>
      <c r="BB48" s="14">
        <f>SUM(Préparation_2025[[#This Row],[AC ANT]:[TR 2025]],Préparation_2025[[#This Row],[AC 2026]:[TR 2026]],Préparation_2025[[#This Row],[AC 2027]:[TR 2034]])</f>
        <v>3214</v>
      </c>
    </row>
    <row r="49" spans="1:60" x14ac:dyDescent="0.3">
      <c r="A49" t="s">
        <v>664</v>
      </c>
      <c r="B49" t="s">
        <v>286</v>
      </c>
      <c r="D49" t="s">
        <v>101</v>
      </c>
      <c r="E49" t="s">
        <v>102</v>
      </c>
      <c r="F49" t="s">
        <v>128</v>
      </c>
      <c r="G49" t="s">
        <v>149</v>
      </c>
      <c r="H49" t="s">
        <v>16</v>
      </c>
      <c r="I49" t="s">
        <v>16</v>
      </c>
      <c r="J49" t="s">
        <v>131</v>
      </c>
      <c r="K49" t="s">
        <v>150</v>
      </c>
      <c r="L49" t="s">
        <v>151</v>
      </c>
      <c r="N49" t="s">
        <v>152</v>
      </c>
      <c r="O49" t="s">
        <v>109</v>
      </c>
      <c r="P49" t="s">
        <v>123</v>
      </c>
      <c r="Q49" s="1">
        <v>45079</v>
      </c>
      <c r="R49" s="1">
        <v>45685</v>
      </c>
      <c r="S49" s="1">
        <v>46142</v>
      </c>
      <c r="T49">
        <v>12</v>
      </c>
      <c r="V49">
        <v>163</v>
      </c>
      <c r="X49">
        <v>100</v>
      </c>
      <c r="Z49">
        <v>100</v>
      </c>
      <c r="AA49">
        <f>Préparation_2025[[#This Row],[AC 2025]]-Préparation_2025[[#This Row],[AC 2025 Initiale]]</f>
        <v>0</v>
      </c>
      <c r="AB49">
        <f>Préparation_2025[[#This Row],[TR 2025]]-Préparation_2025[[#This Row],[TR 2025 Initiale]]</f>
        <v>0</v>
      </c>
      <c r="AC49">
        <f>Préparation_2025[[#This Row],[Écart AC 2025]]+Préparation_2025[[#This Row],[Écart TR 2025]]</f>
        <v>0</v>
      </c>
      <c r="AE49">
        <v>300</v>
      </c>
      <c r="AF49">
        <v>4221</v>
      </c>
      <c r="AG49">
        <v>300</v>
      </c>
      <c r="AH49">
        <f>Préparation_2025[[#This Row],[AC 2026]]-Préparation_2025[[#This Row],[AC 2026 Initiale]]</f>
        <v>0</v>
      </c>
      <c r="AI49">
        <f>Préparation_2025[[#This Row],[TR 2026]]-Préparation_2025[[#This Row],[TR 2026 Initiale]]</f>
        <v>0</v>
      </c>
      <c r="AJ49">
        <f>Préparation_2025[[#This Row],[Écart AC 2026]]+Préparation_2025[[#This Row],[Écart TR 2026]]</f>
        <v>0</v>
      </c>
      <c r="AK49">
        <v>4221</v>
      </c>
      <c r="AL49">
        <v>42</v>
      </c>
      <c r="AM49">
        <v>4139</v>
      </c>
      <c r="AZ49"/>
      <c r="BA49"/>
      <c r="BB49" s="14">
        <f>SUM(Préparation_2025[[#This Row],[AC ANT]:[TR 2025]],Préparation_2025[[#This Row],[AC 2026]:[TR 2026]],Préparation_2025[[#This Row],[AC 2027]:[TR 2034]])</f>
        <v>8977</v>
      </c>
    </row>
    <row r="50" spans="1:60" x14ac:dyDescent="0.3">
      <c r="A50" t="s">
        <v>662</v>
      </c>
      <c r="B50" t="s">
        <v>286</v>
      </c>
      <c r="D50" t="s">
        <v>118</v>
      </c>
      <c r="E50" t="s">
        <v>102</v>
      </c>
      <c r="F50" t="s">
        <v>103</v>
      </c>
      <c r="G50" t="s">
        <v>206</v>
      </c>
      <c r="H50" t="s">
        <v>16</v>
      </c>
      <c r="I50" t="s">
        <v>20</v>
      </c>
      <c r="J50" t="s">
        <v>131</v>
      </c>
      <c r="K50" t="s">
        <v>210</v>
      </c>
      <c r="L50" t="s">
        <v>211</v>
      </c>
      <c r="N50" t="s">
        <v>209</v>
      </c>
      <c r="O50" t="s">
        <v>197</v>
      </c>
      <c r="P50" t="s">
        <v>155</v>
      </c>
      <c r="Q50" s="1">
        <v>45976</v>
      </c>
      <c r="R50" s="1">
        <v>46341</v>
      </c>
      <c r="S50" s="1">
        <v>46706</v>
      </c>
      <c r="T50">
        <v>8</v>
      </c>
      <c r="X50">
        <v>100</v>
      </c>
      <c r="Z50">
        <v>100</v>
      </c>
      <c r="AA50">
        <f>Préparation_2025[[#This Row],[AC 2025]]-Préparation_2025[[#This Row],[AC 2025 Initiale]]</f>
        <v>0</v>
      </c>
      <c r="AB50">
        <f>Préparation_2025[[#This Row],[TR 2025]]-Préparation_2025[[#This Row],[TR 2025 Initiale]]</f>
        <v>0</v>
      </c>
      <c r="AC50">
        <f>Préparation_2025[[#This Row],[Écart AC 2025]]+Préparation_2025[[#This Row],[Écart TR 2025]]</f>
        <v>0</v>
      </c>
      <c r="AE50">
        <v>100</v>
      </c>
      <c r="AG50">
        <v>100</v>
      </c>
      <c r="AH50">
        <f>Préparation_2025[[#This Row],[AC 2026]]-Préparation_2025[[#This Row],[AC 2026 Initiale]]</f>
        <v>0</v>
      </c>
      <c r="AI50">
        <f>Préparation_2025[[#This Row],[TR 2026]]-Préparation_2025[[#This Row],[TR 2026 Initiale]]</f>
        <v>0</v>
      </c>
      <c r="AJ50">
        <f>Préparation_2025[[#This Row],[Écart AC 2026]]+Préparation_2025[[#This Row],[Écart TR 2026]]</f>
        <v>0</v>
      </c>
      <c r="AL50">
        <v>100</v>
      </c>
      <c r="AN50">
        <v>250</v>
      </c>
      <c r="AO50">
        <v>7500</v>
      </c>
      <c r="AZ50"/>
      <c r="BA50"/>
      <c r="BB50" s="14">
        <f>SUM(Préparation_2025[[#This Row],[AC ANT]:[TR 2025]],Préparation_2025[[#This Row],[AC 2026]:[TR 2026]],Préparation_2025[[#This Row],[AC 2027]:[TR 2034]])</f>
        <v>8058</v>
      </c>
    </row>
    <row r="51" spans="1:60" x14ac:dyDescent="0.3">
      <c r="A51" t="s">
        <v>664</v>
      </c>
      <c r="B51" t="s">
        <v>286</v>
      </c>
      <c r="D51" t="s">
        <v>101</v>
      </c>
      <c r="E51" t="s">
        <v>102</v>
      </c>
      <c r="F51" t="s">
        <v>200</v>
      </c>
      <c r="G51" t="s">
        <v>104</v>
      </c>
      <c r="H51" t="s">
        <v>16</v>
      </c>
      <c r="I51" t="s">
        <v>16</v>
      </c>
      <c r="J51" t="s">
        <v>105</v>
      </c>
      <c r="K51" t="s">
        <v>330</v>
      </c>
      <c r="L51" t="s">
        <v>331</v>
      </c>
      <c r="N51" t="s">
        <v>180</v>
      </c>
      <c r="O51" t="s">
        <v>148</v>
      </c>
      <c r="P51" t="s">
        <v>164</v>
      </c>
      <c r="Q51" s="1">
        <v>43360</v>
      </c>
      <c r="R51" s="1">
        <v>43671</v>
      </c>
      <c r="S51" s="1">
        <v>44217</v>
      </c>
      <c r="T51">
        <v>432</v>
      </c>
      <c r="U51">
        <v>3057</v>
      </c>
      <c r="V51">
        <v>136</v>
      </c>
      <c r="X51">
        <v>137</v>
      </c>
      <c r="Y51">
        <v>73</v>
      </c>
      <c r="Z51">
        <v>13</v>
      </c>
      <c r="AA51">
        <f>Préparation_2025[[#This Row],[AC 2025]]-Préparation_2025[[#This Row],[AC 2025 Initiale]]</f>
        <v>124</v>
      </c>
      <c r="AB51">
        <f>Préparation_2025[[#This Row],[TR 2025]]-Préparation_2025[[#This Row],[TR 2025 Initiale]]</f>
        <v>73</v>
      </c>
      <c r="AC51">
        <f>Préparation_2025[[#This Row],[Écart AC 2025]]+Préparation_2025[[#This Row],[Écart TR 2025]]</f>
        <v>197</v>
      </c>
      <c r="AG51"/>
      <c r="AH51">
        <f>Préparation_2025[[#This Row],[AC 2026]]-Préparation_2025[[#This Row],[AC 2026 Initiale]]</f>
        <v>0</v>
      </c>
      <c r="AI51">
        <f>Préparation_2025[[#This Row],[TR 2026]]-Préparation_2025[[#This Row],[TR 2026 Initiale]]</f>
        <v>0</v>
      </c>
      <c r="AJ51">
        <f>Préparation_2025[[#This Row],[Écart AC 2026]]+Préparation_2025[[#This Row],[Écart TR 2026]]</f>
        <v>0</v>
      </c>
      <c r="AZ51"/>
      <c r="BA51"/>
      <c r="BB51" s="14">
        <f>SUM(Préparation_2025[[#This Row],[AC ANT]:[TR 2025]],Préparation_2025[[#This Row],[AC 2026]:[TR 2026]],Préparation_2025[[#This Row],[AC 2027]:[TR 2034]])</f>
        <v>3835</v>
      </c>
    </row>
    <row r="52" spans="1:60" x14ac:dyDescent="0.3">
      <c r="A52" t="s">
        <v>295</v>
      </c>
      <c r="B52" t="s">
        <v>286</v>
      </c>
      <c r="D52" t="s">
        <v>126</v>
      </c>
      <c r="E52" t="s">
        <v>127</v>
      </c>
      <c r="F52" t="s">
        <v>136</v>
      </c>
      <c r="G52" t="s">
        <v>113</v>
      </c>
      <c r="H52" t="s">
        <v>16</v>
      </c>
      <c r="I52" t="s">
        <v>20</v>
      </c>
      <c r="J52" t="s">
        <v>131</v>
      </c>
      <c r="K52" t="s">
        <v>226</v>
      </c>
      <c r="L52" t="s">
        <v>227</v>
      </c>
      <c r="N52" t="s">
        <v>139</v>
      </c>
      <c r="O52" t="s">
        <v>184</v>
      </c>
      <c r="P52" t="s">
        <v>110</v>
      </c>
      <c r="Q52" s="1">
        <v>45330</v>
      </c>
      <c r="R52" s="1">
        <v>46690</v>
      </c>
      <c r="S52" s="1">
        <v>47376</v>
      </c>
      <c r="T52">
        <v>44</v>
      </c>
      <c r="V52">
        <v>35</v>
      </c>
      <c r="X52">
        <v>100</v>
      </c>
      <c r="Z52">
        <v>100</v>
      </c>
      <c r="AA52">
        <f>Préparation_2025[[#This Row],[AC 2025]]-Préparation_2025[[#This Row],[AC 2025 Initiale]]</f>
        <v>0</v>
      </c>
      <c r="AB52">
        <f>Préparation_2025[[#This Row],[TR 2025]]-Préparation_2025[[#This Row],[TR 2025 Initiale]]</f>
        <v>0</v>
      </c>
      <c r="AC52">
        <f>Préparation_2025[[#This Row],[Écart AC 2025]]+Préparation_2025[[#This Row],[Écart TR 2025]]</f>
        <v>0</v>
      </c>
      <c r="AE52">
        <v>288</v>
      </c>
      <c r="AG52">
        <v>288</v>
      </c>
      <c r="AH52">
        <f>Préparation_2025[[#This Row],[AC 2026]]-Préparation_2025[[#This Row],[AC 2026 Initiale]]</f>
        <v>0</v>
      </c>
      <c r="AI52">
        <f>Préparation_2025[[#This Row],[TR 2026]]-Préparation_2025[[#This Row],[TR 2026 Initiale]]</f>
        <v>0</v>
      </c>
      <c r="AJ52">
        <f>Préparation_2025[[#This Row],[Écart AC 2026]]+Préparation_2025[[#This Row],[Écart TR 2026]]</f>
        <v>0</v>
      </c>
      <c r="AL52">
        <v>475</v>
      </c>
      <c r="AN52">
        <v>475</v>
      </c>
      <c r="AP52">
        <v>573</v>
      </c>
      <c r="AR52">
        <v>1000</v>
      </c>
      <c r="AS52">
        <v>4362</v>
      </c>
      <c r="AT52">
        <v>1087</v>
      </c>
      <c r="AU52">
        <v>12800</v>
      </c>
      <c r="AZ52"/>
      <c r="BA52"/>
      <c r="BB52" s="14">
        <f>SUM(Préparation_2025[[#This Row],[AC ANT]:[TR 2025]],Préparation_2025[[#This Row],[AC 2026]:[TR 2026]],Préparation_2025[[#This Row],[AC 2027]:[TR 2034]])</f>
        <v>21239</v>
      </c>
    </row>
    <row r="53" spans="1:60" x14ac:dyDescent="0.3">
      <c r="A53" t="s">
        <v>664</v>
      </c>
      <c r="B53" t="s">
        <v>286</v>
      </c>
      <c r="D53" t="s">
        <v>101</v>
      </c>
      <c r="E53" t="s">
        <v>102</v>
      </c>
      <c r="F53" t="s">
        <v>200</v>
      </c>
      <c r="G53" t="s">
        <v>104</v>
      </c>
      <c r="H53" t="s">
        <v>16</v>
      </c>
      <c r="I53" t="s">
        <v>20</v>
      </c>
      <c r="J53" t="s">
        <v>105</v>
      </c>
      <c r="K53" t="s">
        <v>201</v>
      </c>
      <c r="L53" t="s">
        <v>202</v>
      </c>
      <c r="N53" t="s">
        <v>108</v>
      </c>
      <c r="P53" t="s">
        <v>155</v>
      </c>
      <c r="Q53" s="1"/>
      <c r="R53" s="1"/>
      <c r="S53" s="1"/>
      <c r="T53">
        <v>277</v>
      </c>
      <c r="U53">
        <v>4</v>
      </c>
      <c r="AA53">
        <f>Préparation_2025[[#This Row],[AC 2025]]-Préparation_2025[[#This Row],[AC 2025 Initiale]]</f>
        <v>0</v>
      </c>
      <c r="AB53">
        <f>Préparation_2025[[#This Row],[TR 2025]]-Préparation_2025[[#This Row],[TR 2025 Initiale]]</f>
        <v>0</v>
      </c>
      <c r="AC53">
        <f>Préparation_2025[[#This Row],[Écart AC 2025]]+Préparation_2025[[#This Row],[Écart TR 2025]]</f>
        <v>0</v>
      </c>
      <c r="AE53">
        <v>127</v>
      </c>
      <c r="AG53">
        <v>127</v>
      </c>
      <c r="AH53">
        <f>Préparation_2025[[#This Row],[AC 2026]]-Préparation_2025[[#This Row],[AC 2026 Initiale]]</f>
        <v>0</v>
      </c>
      <c r="AI53">
        <f>Préparation_2025[[#This Row],[TR 2026]]-Préparation_2025[[#This Row],[TR 2026 Initiale]]</f>
        <v>0</v>
      </c>
      <c r="AJ53">
        <f>Préparation_2025[[#This Row],[Écart AC 2026]]+Préparation_2025[[#This Row],[Écart TR 2026]]</f>
        <v>0</v>
      </c>
      <c r="AL53">
        <v>125</v>
      </c>
      <c r="AN53">
        <v>471</v>
      </c>
      <c r="AZ53"/>
      <c r="BA53"/>
      <c r="BB53" s="14">
        <f>SUM(Préparation_2025[[#This Row],[AC ANT]:[TR 2025]],Préparation_2025[[#This Row],[AC 2026]:[TR 2026]],Préparation_2025[[#This Row],[AC 2027]:[TR 2034]])</f>
        <v>1004</v>
      </c>
    </row>
    <row r="54" spans="1:60" x14ac:dyDescent="0.3">
      <c r="A54" t="s">
        <v>295</v>
      </c>
      <c r="B54" t="s">
        <v>286</v>
      </c>
      <c r="D54" t="s">
        <v>126</v>
      </c>
      <c r="E54" t="s">
        <v>127</v>
      </c>
      <c r="F54" t="s">
        <v>103</v>
      </c>
      <c r="G54" t="s">
        <v>149</v>
      </c>
      <c r="H54" t="s">
        <v>16</v>
      </c>
      <c r="I54" t="s">
        <v>20</v>
      </c>
      <c r="J54" t="s">
        <v>131</v>
      </c>
      <c r="K54" t="s">
        <v>233</v>
      </c>
      <c r="L54" t="s">
        <v>542</v>
      </c>
      <c r="N54" t="s">
        <v>152</v>
      </c>
      <c r="O54" t="s">
        <v>197</v>
      </c>
      <c r="P54" t="s">
        <v>155</v>
      </c>
      <c r="Q54" s="1">
        <v>46127</v>
      </c>
      <c r="R54" s="1">
        <v>46553</v>
      </c>
      <c r="S54" s="1">
        <v>46980</v>
      </c>
      <c r="X54">
        <v>100</v>
      </c>
      <c r="Z54">
        <v>100</v>
      </c>
      <c r="AA54">
        <f>Préparation_2025[[#This Row],[AC 2025]]-Préparation_2025[[#This Row],[AC 2025 Initiale]]</f>
        <v>0</v>
      </c>
      <c r="AB54">
        <f>Préparation_2025[[#This Row],[TR 2025]]-Préparation_2025[[#This Row],[TR 2025 Initiale]]</f>
        <v>0</v>
      </c>
      <c r="AC54">
        <f>Préparation_2025[[#This Row],[Écart AC 2025]]+Préparation_2025[[#This Row],[Écart TR 2025]]</f>
        <v>0</v>
      </c>
      <c r="AE54">
        <v>267</v>
      </c>
      <c r="AG54">
        <v>267</v>
      </c>
      <c r="AH54">
        <f>Préparation_2025[[#This Row],[AC 2026]]-Préparation_2025[[#This Row],[AC 2026 Initiale]]</f>
        <v>0</v>
      </c>
      <c r="AI54">
        <f>Préparation_2025[[#This Row],[TR 2026]]-Préparation_2025[[#This Row],[TR 2026 Initiale]]</f>
        <v>0</v>
      </c>
      <c r="AJ54">
        <f>Préparation_2025[[#This Row],[Écart AC 2026]]+Préparation_2025[[#This Row],[Écart TR 2026]]</f>
        <v>0</v>
      </c>
      <c r="AL54">
        <v>588</v>
      </c>
      <c r="AO54">
        <v>4500</v>
      </c>
      <c r="AQ54">
        <v>3000</v>
      </c>
      <c r="AZ54"/>
      <c r="BA54"/>
      <c r="BB54" s="14">
        <f>SUM(Préparation_2025[[#This Row],[AC ANT]:[TR 2025]],Préparation_2025[[#This Row],[AC 2026]:[TR 2026]],Préparation_2025[[#This Row],[AC 2027]:[TR 2034]])</f>
        <v>8455</v>
      </c>
    </row>
    <row r="55" spans="1:60" x14ac:dyDescent="0.3">
      <c r="A55" t="s">
        <v>663</v>
      </c>
      <c r="B55" t="s">
        <v>286</v>
      </c>
      <c r="D55" t="s">
        <v>101</v>
      </c>
      <c r="E55" t="s">
        <v>102</v>
      </c>
      <c r="F55" t="s">
        <v>119</v>
      </c>
      <c r="G55" t="s">
        <v>113</v>
      </c>
      <c r="H55" t="s">
        <v>16</v>
      </c>
      <c r="I55" t="s">
        <v>16</v>
      </c>
      <c r="J55" t="s">
        <v>105</v>
      </c>
      <c r="K55" t="s">
        <v>332</v>
      </c>
      <c r="L55" t="s">
        <v>333</v>
      </c>
      <c r="N55" t="s">
        <v>122</v>
      </c>
      <c r="O55" t="s">
        <v>148</v>
      </c>
      <c r="P55" t="s">
        <v>164</v>
      </c>
      <c r="Q55" s="1">
        <v>44162</v>
      </c>
      <c r="R55" s="1">
        <v>44489</v>
      </c>
      <c r="S55" s="1">
        <v>44608</v>
      </c>
      <c r="T55">
        <v>183</v>
      </c>
      <c r="U55">
        <v>33</v>
      </c>
      <c r="V55">
        <v>297</v>
      </c>
      <c r="W55">
        <v>6350</v>
      </c>
      <c r="X55">
        <v>162</v>
      </c>
      <c r="Y55">
        <v>50</v>
      </c>
      <c r="AA55">
        <f>Préparation_2025[[#This Row],[AC 2025]]-Préparation_2025[[#This Row],[AC 2025 Initiale]]</f>
        <v>162</v>
      </c>
      <c r="AB55">
        <f>Préparation_2025[[#This Row],[TR 2025]]-Préparation_2025[[#This Row],[TR 2025 Initiale]]</f>
        <v>50</v>
      </c>
      <c r="AC55">
        <f>Préparation_2025[[#This Row],[Écart AC 2025]]+Préparation_2025[[#This Row],[Écart TR 2025]]</f>
        <v>212</v>
      </c>
      <c r="AG55"/>
      <c r="AH55">
        <f>Préparation_2025[[#This Row],[AC 2026]]-Préparation_2025[[#This Row],[AC 2026 Initiale]]</f>
        <v>0</v>
      </c>
      <c r="AI55">
        <f>Préparation_2025[[#This Row],[TR 2026]]-Préparation_2025[[#This Row],[TR 2026 Initiale]]</f>
        <v>0</v>
      </c>
      <c r="AJ55">
        <f>Préparation_2025[[#This Row],[Écart AC 2026]]+Préparation_2025[[#This Row],[Écart TR 2026]]</f>
        <v>0</v>
      </c>
      <c r="AZ55"/>
      <c r="BA55"/>
      <c r="BB55" s="14">
        <f>SUM(Préparation_2025[[#This Row],[AC ANT]:[TR 2025]],Préparation_2025[[#This Row],[AC 2026]:[TR 2026]],Préparation_2025[[#This Row],[AC 2027]:[TR 2034]])</f>
        <v>7075</v>
      </c>
    </row>
    <row r="56" spans="1:60" x14ac:dyDescent="0.3">
      <c r="A56" t="s">
        <v>664</v>
      </c>
      <c r="B56" t="s">
        <v>286</v>
      </c>
      <c r="D56" t="s">
        <v>101</v>
      </c>
      <c r="E56" t="s">
        <v>102</v>
      </c>
      <c r="F56" t="s">
        <v>103</v>
      </c>
      <c r="G56" t="s">
        <v>149</v>
      </c>
      <c r="H56" t="s">
        <v>16</v>
      </c>
      <c r="I56" t="s">
        <v>20</v>
      </c>
      <c r="J56" t="s">
        <v>105</v>
      </c>
      <c r="K56" t="s">
        <v>237</v>
      </c>
      <c r="L56" t="s">
        <v>238</v>
      </c>
      <c r="N56" t="s">
        <v>239</v>
      </c>
      <c r="O56" t="s">
        <v>173</v>
      </c>
      <c r="P56" t="s">
        <v>110</v>
      </c>
      <c r="Q56" s="1">
        <v>45915</v>
      </c>
      <c r="R56" s="1">
        <v>46037</v>
      </c>
      <c r="S56" s="1">
        <v>46310</v>
      </c>
      <c r="X56">
        <v>100</v>
      </c>
      <c r="Z56">
        <v>100</v>
      </c>
      <c r="AA56">
        <f>Préparation_2025[[#This Row],[AC 2025]]-Préparation_2025[[#This Row],[AC 2025 Initiale]]</f>
        <v>0</v>
      </c>
      <c r="AB56">
        <f>Préparation_2025[[#This Row],[TR 2025]]-Préparation_2025[[#This Row],[TR 2025 Initiale]]</f>
        <v>0</v>
      </c>
      <c r="AC56">
        <f>Préparation_2025[[#This Row],[Écart AC 2025]]+Préparation_2025[[#This Row],[Écart TR 2025]]</f>
        <v>0</v>
      </c>
      <c r="AE56">
        <v>200</v>
      </c>
      <c r="AG56">
        <v>200</v>
      </c>
      <c r="AH56">
        <f>Préparation_2025[[#This Row],[AC 2026]]-Préparation_2025[[#This Row],[AC 2026 Initiale]]</f>
        <v>0</v>
      </c>
      <c r="AI56">
        <f>Préparation_2025[[#This Row],[TR 2026]]-Préparation_2025[[#This Row],[TR 2026 Initiale]]</f>
        <v>0</v>
      </c>
      <c r="AJ56">
        <f>Préparation_2025[[#This Row],[Écart AC 2026]]+Préparation_2025[[#This Row],[Écart TR 2026]]</f>
        <v>0</v>
      </c>
      <c r="AL56">
        <v>475</v>
      </c>
      <c r="AM56">
        <v>11000</v>
      </c>
      <c r="AZ56"/>
      <c r="BA56"/>
      <c r="BB56" s="14">
        <f>SUM(Préparation_2025[[#This Row],[AC ANT]:[TR 2025]],Préparation_2025[[#This Row],[AC 2026]:[TR 2026]],Préparation_2025[[#This Row],[AC 2027]:[TR 2034]])</f>
        <v>11775</v>
      </c>
    </row>
    <row r="57" spans="1:60" x14ac:dyDescent="0.3">
      <c r="A57" t="s">
        <v>664</v>
      </c>
      <c r="B57" t="s">
        <v>286</v>
      </c>
      <c r="D57" t="s">
        <v>101</v>
      </c>
      <c r="E57" t="s">
        <v>102</v>
      </c>
      <c r="F57" t="s">
        <v>200</v>
      </c>
      <c r="G57" t="s">
        <v>149</v>
      </c>
      <c r="H57" t="s">
        <v>16</v>
      </c>
      <c r="I57" t="s">
        <v>16</v>
      </c>
      <c r="J57" t="s">
        <v>105</v>
      </c>
      <c r="K57" t="s">
        <v>334</v>
      </c>
      <c r="L57" t="s">
        <v>335</v>
      </c>
      <c r="N57" t="s">
        <v>205</v>
      </c>
      <c r="O57" t="s">
        <v>148</v>
      </c>
      <c r="P57" t="s">
        <v>164</v>
      </c>
      <c r="Q57" s="1">
        <v>44228</v>
      </c>
      <c r="R57" s="1">
        <v>44579</v>
      </c>
      <c r="S57" s="1">
        <v>44865</v>
      </c>
      <c r="T57">
        <v>262</v>
      </c>
      <c r="U57">
        <v>16</v>
      </c>
      <c r="V57">
        <v>265</v>
      </c>
      <c r="W57">
        <v>6205</v>
      </c>
      <c r="X57">
        <v>183</v>
      </c>
      <c r="Y57">
        <v>282</v>
      </c>
      <c r="AA57">
        <f>Préparation_2025[[#This Row],[AC 2025]]-Préparation_2025[[#This Row],[AC 2025 Initiale]]</f>
        <v>183</v>
      </c>
      <c r="AB57">
        <f>Préparation_2025[[#This Row],[TR 2025]]-Préparation_2025[[#This Row],[TR 2025 Initiale]]</f>
        <v>282</v>
      </c>
      <c r="AC57">
        <f>Préparation_2025[[#This Row],[Écart AC 2025]]+Préparation_2025[[#This Row],[Écart TR 2025]]</f>
        <v>465</v>
      </c>
      <c r="AG57"/>
      <c r="AH57">
        <f>Préparation_2025[[#This Row],[AC 2026]]-Préparation_2025[[#This Row],[AC 2026 Initiale]]</f>
        <v>0</v>
      </c>
      <c r="AI57">
        <f>Préparation_2025[[#This Row],[TR 2026]]-Préparation_2025[[#This Row],[TR 2026 Initiale]]</f>
        <v>0</v>
      </c>
      <c r="AJ57">
        <f>Préparation_2025[[#This Row],[Écart AC 2026]]+Préparation_2025[[#This Row],[Écart TR 2026]]</f>
        <v>0</v>
      </c>
      <c r="AZ57"/>
      <c r="BA57"/>
      <c r="BB57" s="14">
        <f>SUM(Préparation_2025[[#This Row],[AC ANT]:[TR 2025]],Préparation_2025[[#This Row],[AC 2026]:[TR 2026]],Préparation_2025[[#This Row],[AC 2027]:[TR 2034]])</f>
        <v>7213</v>
      </c>
    </row>
    <row r="58" spans="1:60" x14ac:dyDescent="0.3">
      <c r="A58" t="s">
        <v>663</v>
      </c>
      <c r="B58" t="s">
        <v>286</v>
      </c>
      <c r="D58" t="s">
        <v>101</v>
      </c>
      <c r="E58" t="s">
        <v>102</v>
      </c>
      <c r="F58" t="s">
        <v>136</v>
      </c>
      <c r="G58" t="s">
        <v>149</v>
      </c>
      <c r="H58" t="s">
        <v>16</v>
      </c>
      <c r="I58" t="s">
        <v>20</v>
      </c>
      <c r="J58" t="s">
        <v>105</v>
      </c>
      <c r="K58" t="s">
        <v>203</v>
      </c>
      <c r="L58" t="s">
        <v>204</v>
      </c>
      <c r="N58" t="s">
        <v>205</v>
      </c>
      <c r="O58" t="s">
        <v>197</v>
      </c>
      <c r="P58" t="s">
        <v>155</v>
      </c>
      <c r="Q58" s="1">
        <v>45960</v>
      </c>
      <c r="R58" s="1">
        <v>46264</v>
      </c>
      <c r="S58" s="1">
        <v>46629</v>
      </c>
      <c r="X58">
        <v>85</v>
      </c>
      <c r="Z58">
        <v>85</v>
      </c>
      <c r="AA58">
        <f>Préparation_2025[[#This Row],[AC 2025]]-Préparation_2025[[#This Row],[AC 2025 Initiale]]</f>
        <v>0</v>
      </c>
      <c r="AB58">
        <f>Préparation_2025[[#This Row],[TR 2025]]-Préparation_2025[[#This Row],[TR 2025 Initiale]]</f>
        <v>0</v>
      </c>
      <c r="AC58">
        <f>Préparation_2025[[#This Row],[Écart AC 2025]]+Préparation_2025[[#This Row],[Écart TR 2025]]</f>
        <v>0</v>
      </c>
      <c r="AE58">
        <v>85</v>
      </c>
      <c r="AG58">
        <v>85</v>
      </c>
      <c r="AH58">
        <f>Préparation_2025[[#This Row],[AC 2026]]-Préparation_2025[[#This Row],[AC 2026 Initiale]]</f>
        <v>0</v>
      </c>
      <c r="AI58">
        <f>Préparation_2025[[#This Row],[TR 2026]]-Préparation_2025[[#This Row],[TR 2026 Initiale]]</f>
        <v>0</v>
      </c>
      <c r="AJ58">
        <f>Préparation_2025[[#This Row],[Écart AC 2026]]+Préparation_2025[[#This Row],[Écart TR 2026]]</f>
        <v>0</v>
      </c>
      <c r="AL58">
        <v>170</v>
      </c>
      <c r="AO58">
        <v>2000</v>
      </c>
      <c r="AZ58"/>
      <c r="BA58"/>
      <c r="BB58" s="14">
        <f>SUM(Préparation_2025[[#This Row],[AC ANT]:[TR 2025]],Préparation_2025[[#This Row],[AC 2026]:[TR 2026]],Préparation_2025[[#This Row],[AC 2027]:[TR 2034]])</f>
        <v>2340</v>
      </c>
    </row>
    <row r="59" spans="1:60" x14ac:dyDescent="0.3">
      <c r="A59" t="s">
        <v>664</v>
      </c>
      <c r="B59" t="s">
        <v>286</v>
      </c>
      <c r="D59" t="s">
        <v>101</v>
      </c>
      <c r="E59" t="s">
        <v>102</v>
      </c>
      <c r="F59" t="s">
        <v>103</v>
      </c>
      <c r="G59" t="s">
        <v>149</v>
      </c>
      <c r="H59" t="s">
        <v>16</v>
      </c>
      <c r="I59" t="s">
        <v>20</v>
      </c>
      <c r="J59" t="s">
        <v>105</v>
      </c>
      <c r="K59" t="s">
        <v>235</v>
      </c>
      <c r="L59" t="s">
        <v>510</v>
      </c>
      <c r="N59" t="s">
        <v>205</v>
      </c>
      <c r="O59" t="s">
        <v>173</v>
      </c>
      <c r="P59" t="s">
        <v>110</v>
      </c>
      <c r="Q59" s="1">
        <v>45706</v>
      </c>
      <c r="R59" s="1">
        <v>46055</v>
      </c>
      <c r="S59" s="1">
        <v>46273</v>
      </c>
      <c r="X59">
        <v>90</v>
      </c>
      <c r="Z59">
        <v>90</v>
      </c>
      <c r="AA59">
        <f>Préparation_2025[[#This Row],[AC 2025]]-Préparation_2025[[#This Row],[AC 2025 Initiale]]</f>
        <v>0</v>
      </c>
      <c r="AB59">
        <f>Préparation_2025[[#This Row],[TR 2025]]-Préparation_2025[[#This Row],[TR 2025 Initiale]]</f>
        <v>0</v>
      </c>
      <c r="AC59">
        <f>Préparation_2025[[#This Row],[Écart AC 2025]]+Préparation_2025[[#This Row],[Écart TR 2025]]</f>
        <v>0</v>
      </c>
      <c r="AE59">
        <v>200</v>
      </c>
      <c r="AG59">
        <v>200</v>
      </c>
      <c r="AH59">
        <f>Préparation_2025[[#This Row],[AC 2026]]-Préparation_2025[[#This Row],[AC 2026 Initiale]]</f>
        <v>0</v>
      </c>
      <c r="AI59">
        <f>Préparation_2025[[#This Row],[TR 2026]]-Préparation_2025[[#This Row],[TR 2026 Initiale]]</f>
        <v>0</v>
      </c>
      <c r="AJ59">
        <f>Préparation_2025[[#This Row],[Écart AC 2026]]+Préparation_2025[[#This Row],[Écart TR 2026]]</f>
        <v>0</v>
      </c>
      <c r="AL59">
        <v>970</v>
      </c>
      <c r="AM59">
        <v>13608</v>
      </c>
      <c r="AZ59"/>
      <c r="BA59"/>
      <c r="BB59" s="14">
        <f>SUM(Préparation_2025[[#This Row],[AC ANT]:[TR 2025]],Préparation_2025[[#This Row],[AC 2026]:[TR 2026]],Préparation_2025[[#This Row],[AC 2027]:[TR 2034]])</f>
        <v>14868</v>
      </c>
    </row>
    <row r="60" spans="1:60" x14ac:dyDescent="0.3">
      <c r="A60" t="s">
        <v>664</v>
      </c>
      <c r="B60" t="s">
        <v>286</v>
      </c>
      <c r="D60" t="s">
        <v>101</v>
      </c>
      <c r="E60" t="s">
        <v>102</v>
      </c>
      <c r="F60" t="s">
        <v>103</v>
      </c>
      <c r="G60" t="s">
        <v>113</v>
      </c>
      <c r="H60" t="s">
        <v>16</v>
      </c>
      <c r="I60" t="s">
        <v>16</v>
      </c>
      <c r="J60" t="s">
        <v>105</v>
      </c>
      <c r="K60" t="s">
        <v>114</v>
      </c>
      <c r="L60" t="s">
        <v>115</v>
      </c>
      <c r="N60" t="s">
        <v>116</v>
      </c>
      <c r="O60" t="s">
        <v>109</v>
      </c>
      <c r="P60" t="s">
        <v>297</v>
      </c>
      <c r="Q60" s="1">
        <v>45105</v>
      </c>
      <c r="R60" s="1">
        <v>45789</v>
      </c>
      <c r="S60" s="1">
        <v>45932</v>
      </c>
      <c r="T60">
        <v>25</v>
      </c>
      <c r="V60">
        <v>17</v>
      </c>
      <c r="X60">
        <v>48</v>
      </c>
      <c r="Z60">
        <v>48</v>
      </c>
      <c r="AA60">
        <f>Préparation_2025[[#This Row],[AC 2025]]-Préparation_2025[[#This Row],[AC 2025 Initiale]]</f>
        <v>0</v>
      </c>
      <c r="AB60">
        <f>Préparation_2025[[#This Row],[TR 2025]]-Préparation_2025[[#This Row],[TR 2025 Initiale]]</f>
        <v>0</v>
      </c>
      <c r="AC60">
        <f>Préparation_2025[[#This Row],[Écart AC 2025]]+Préparation_2025[[#This Row],[Écart TR 2025]]</f>
        <v>0</v>
      </c>
      <c r="AE60">
        <v>520</v>
      </c>
      <c r="AF60">
        <v>19125</v>
      </c>
      <c r="AG60">
        <v>520</v>
      </c>
      <c r="AH60">
        <f>Préparation_2025[[#This Row],[AC 2026]]-Préparation_2025[[#This Row],[AC 2026 Initiale]]</f>
        <v>0</v>
      </c>
      <c r="AI60">
        <f>Préparation_2025[[#This Row],[TR 2026]]-Préparation_2025[[#This Row],[TR 2026 Initiale]]</f>
        <v>0</v>
      </c>
      <c r="AJ60">
        <f>Préparation_2025[[#This Row],[Écart AC 2026]]+Préparation_2025[[#This Row],[Écart TR 2026]]</f>
        <v>0</v>
      </c>
      <c r="AK60">
        <v>19125</v>
      </c>
      <c r="AZ60"/>
      <c r="BA60"/>
      <c r="BB60" s="14">
        <f>SUM(Préparation_2025[[#This Row],[AC ANT]:[TR 2025]],Préparation_2025[[#This Row],[AC 2026]:[TR 2026]],Préparation_2025[[#This Row],[AC 2027]:[TR 2034]])</f>
        <v>19735</v>
      </c>
      <c r="BC60" s="57"/>
      <c r="BD60" s="57"/>
      <c r="BE60" s="57"/>
      <c r="BF60" s="57"/>
      <c r="BG60" s="57"/>
      <c r="BH60" s="57"/>
    </row>
    <row r="61" spans="1:60" x14ac:dyDescent="0.3">
      <c r="A61" t="s">
        <v>662</v>
      </c>
      <c r="B61" t="s">
        <v>286</v>
      </c>
      <c r="D61" t="s">
        <v>118</v>
      </c>
      <c r="E61" t="s">
        <v>102</v>
      </c>
      <c r="F61" t="s">
        <v>119</v>
      </c>
      <c r="G61" t="s">
        <v>206</v>
      </c>
      <c r="H61" t="s">
        <v>16</v>
      </c>
      <c r="I61" t="s">
        <v>130</v>
      </c>
      <c r="J61" t="s">
        <v>131</v>
      </c>
      <c r="K61" t="s">
        <v>207</v>
      </c>
      <c r="L61" t="s">
        <v>208</v>
      </c>
      <c r="N61" t="s">
        <v>209</v>
      </c>
      <c r="O61" t="s">
        <v>173</v>
      </c>
      <c r="P61" t="s">
        <v>155</v>
      </c>
      <c r="Q61" s="1">
        <v>45976</v>
      </c>
      <c r="R61" s="1">
        <v>46096</v>
      </c>
      <c r="S61" s="1">
        <v>46280</v>
      </c>
      <c r="T61">
        <v>196</v>
      </c>
      <c r="X61">
        <v>40</v>
      </c>
      <c r="Z61">
        <v>40</v>
      </c>
      <c r="AA61">
        <f>Préparation_2025[[#This Row],[AC 2025]]-Préparation_2025[[#This Row],[AC 2025 Initiale]]</f>
        <v>0</v>
      </c>
      <c r="AB61">
        <f>Préparation_2025[[#This Row],[TR 2025]]-Préparation_2025[[#This Row],[TR 2025 Initiale]]</f>
        <v>0</v>
      </c>
      <c r="AC61">
        <f>Préparation_2025[[#This Row],[Écart AC 2025]]+Préparation_2025[[#This Row],[Écart TR 2025]]</f>
        <v>0</v>
      </c>
      <c r="AE61">
        <v>255</v>
      </c>
      <c r="AG61">
        <v>255</v>
      </c>
      <c r="AH61">
        <f>Préparation_2025[[#This Row],[AC 2026]]-Préparation_2025[[#This Row],[AC 2026 Initiale]]</f>
        <v>0</v>
      </c>
      <c r="AI61">
        <f>Préparation_2025[[#This Row],[TR 2026]]-Préparation_2025[[#This Row],[TR 2026 Initiale]]</f>
        <v>0</v>
      </c>
      <c r="AJ61">
        <f>Préparation_2025[[#This Row],[Écart AC 2026]]+Préparation_2025[[#This Row],[Écart TR 2026]]</f>
        <v>0</v>
      </c>
      <c r="AL61">
        <v>396</v>
      </c>
      <c r="AM61">
        <v>1500</v>
      </c>
      <c r="AZ61"/>
      <c r="BA61"/>
      <c r="BB61" s="14">
        <f>SUM(Préparation_2025[[#This Row],[AC ANT]:[TR 2025]],Préparation_2025[[#This Row],[AC 2026]:[TR 2026]],Préparation_2025[[#This Row],[AC 2027]:[TR 2034]])</f>
        <v>2387</v>
      </c>
    </row>
    <row r="62" spans="1:60" x14ac:dyDescent="0.3">
      <c r="A62" t="s">
        <v>663</v>
      </c>
      <c r="B62" t="s">
        <v>286</v>
      </c>
      <c r="D62" t="s">
        <v>101</v>
      </c>
      <c r="E62" t="s">
        <v>102</v>
      </c>
      <c r="F62" t="s">
        <v>177</v>
      </c>
      <c r="G62" t="s">
        <v>129</v>
      </c>
      <c r="H62" t="s">
        <v>16</v>
      </c>
      <c r="I62" t="s">
        <v>16</v>
      </c>
      <c r="J62" t="s">
        <v>131</v>
      </c>
      <c r="K62" t="s">
        <v>178</v>
      </c>
      <c r="L62" t="s">
        <v>179</v>
      </c>
      <c r="N62" t="s">
        <v>180</v>
      </c>
      <c r="O62" t="s">
        <v>148</v>
      </c>
      <c r="P62" t="s">
        <v>164</v>
      </c>
      <c r="Q62" s="1"/>
      <c r="R62" s="1"/>
      <c r="S62" s="1">
        <v>45195</v>
      </c>
      <c r="T62">
        <v>75</v>
      </c>
      <c r="U62">
        <v>101.00000000000001</v>
      </c>
      <c r="V62">
        <v>25</v>
      </c>
      <c r="W62">
        <v>1137</v>
      </c>
      <c r="X62">
        <v>73</v>
      </c>
      <c r="Y62">
        <v>596</v>
      </c>
      <c r="Z62">
        <v>73</v>
      </c>
      <c r="AA62">
        <f>Préparation_2025[[#This Row],[AC 2025]]-Préparation_2025[[#This Row],[AC 2025 Initiale]]</f>
        <v>0</v>
      </c>
      <c r="AB62">
        <f>Préparation_2025[[#This Row],[TR 2025]]-Préparation_2025[[#This Row],[TR 2025 Initiale]]</f>
        <v>16</v>
      </c>
      <c r="AC62">
        <f>Préparation_2025[[#This Row],[Écart AC 2025]]+Préparation_2025[[#This Row],[Écart TR 2025]]</f>
        <v>16</v>
      </c>
      <c r="AD62">
        <v>580</v>
      </c>
      <c r="AG62"/>
      <c r="AH62">
        <f>Préparation_2025[[#This Row],[AC 2026]]-Préparation_2025[[#This Row],[AC 2026 Initiale]]</f>
        <v>0</v>
      </c>
      <c r="AI62">
        <f>Préparation_2025[[#This Row],[TR 2026]]-Préparation_2025[[#This Row],[TR 2026 Initiale]]</f>
        <v>0</v>
      </c>
      <c r="AJ62">
        <f>Préparation_2025[[#This Row],[Écart AC 2026]]+Préparation_2025[[#This Row],[Écart TR 2026]]</f>
        <v>0</v>
      </c>
      <c r="AZ62"/>
      <c r="BA62"/>
      <c r="BB62" s="14">
        <f>SUM(Préparation_2025[[#This Row],[AC ANT]:[TR 2025]],Préparation_2025[[#This Row],[AC 2026]:[TR 2026]],Préparation_2025[[#This Row],[AC 2027]:[TR 2034]])</f>
        <v>2007</v>
      </c>
    </row>
    <row r="63" spans="1:60" x14ac:dyDescent="0.3">
      <c r="A63" t="s">
        <v>662</v>
      </c>
      <c r="B63" t="s">
        <v>286</v>
      </c>
      <c r="D63" t="s">
        <v>118</v>
      </c>
      <c r="E63" t="s">
        <v>102</v>
      </c>
      <c r="F63" t="s">
        <v>242</v>
      </c>
      <c r="G63" t="s">
        <v>129</v>
      </c>
      <c r="H63" t="s">
        <v>16</v>
      </c>
      <c r="I63" t="s">
        <v>20</v>
      </c>
      <c r="J63" t="s">
        <v>131</v>
      </c>
      <c r="K63" t="s">
        <v>385</v>
      </c>
      <c r="L63" t="s">
        <v>386</v>
      </c>
      <c r="N63" t="s">
        <v>134</v>
      </c>
      <c r="O63" t="s">
        <v>197</v>
      </c>
      <c r="P63" t="s">
        <v>155</v>
      </c>
      <c r="Q63" s="1">
        <v>45960</v>
      </c>
      <c r="R63" s="1">
        <v>46395</v>
      </c>
      <c r="S63" s="1">
        <v>46631</v>
      </c>
      <c r="X63">
        <v>20</v>
      </c>
      <c r="Z63">
        <v>20</v>
      </c>
      <c r="AA63">
        <f>Préparation_2025[[#This Row],[AC 2025]]-Préparation_2025[[#This Row],[AC 2025 Initiale]]</f>
        <v>0</v>
      </c>
      <c r="AB63">
        <f>Préparation_2025[[#This Row],[TR 2025]]-Préparation_2025[[#This Row],[TR 2025 Initiale]]</f>
        <v>0</v>
      </c>
      <c r="AC63">
        <f>Préparation_2025[[#This Row],[Écart AC 2025]]+Préparation_2025[[#This Row],[Écart TR 2025]]</f>
        <v>0</v>
      </c>
      <c r="AE63">
        <v>50</v>
      </c>
      <c r="AG63">
        <v>50</v>
      </c>
      <c r="AH63">
        <f>Préparation_2025[[#This Row],[AC 2026]]-Préparation_2025[[#This Row],[AC 2026 Initiale]]</f>
        <v>0</v>
      </c>
      <c r="AI63">
        <f>Préparation_2025[[#This Row],[TR 2026]]-Préparation_2025[[#This Row],[TR 2026 Initiale]]</f>
        <v>0</v>
      </c>
      <c r="AJ63">
        <f>Préparation_2025[[#This Row],[Écart AC 2026]]+Préparation_2025[[#This Row],[Écart TR 2026]]</f>
        <v>0</v>
      </c>
      <c r="AL63">
        <v>50</v>
      </c>
      <c r="AN63">
        <v>200</v>
      </c>
      <c r="AO63">
        <v>2000</v>
      </c>
      <c r="AZ63"/>
      <c r="BA63"/>
      <c r="BB63" s="14">
        <f>SUM(Préparation_2025[[#This Row],[AC ANT]:[TR 2025]],Préparation_2025[[#This Row],[AC 2026]:[TR 2026]],Préparation_2025[[#This Row],[AC 2027]:[TR 2034]])</f>
        <v>2320</v>
      </c>
    </row>
    <row r="64" spans="1:60" x14ac:dyDescent="0.3">
      <c r="A64" t="s">
        <v>664</v>
      </c>
      <c r="B64" t="s">
        <v>286</v>
      </c>
      <c r="D64" t="s">
        <v>101</v>
      </c>
      <c r="E64" t="s">
        <v>102</v>
      </c>
      <c r="F64" t="s">
        <v>103</v>
      </c>
      <c r="G64" t="s">
        <v>113</v>
      </c>
      <c r="H64" t="s">
        <v>16</v>
      </c>
      <c r="I64" t="s">
        <v>16</v>
      </c>
      <c r="J64" t="s">
        <v>105</v>
      </c>
      <c r="K64" t="s">
        <v>362</v>
      </c>
      <c r="L64" t="s">
        <v>363</v>
      </c>
      <c r="N64" t="s">
        <v>122</v>
      </c>
      <c r="P64" t="s">
        <v>164</v>
      </c>
      <c r="Q64" s="1">
        <v>44316</v>
      </c>
      <c r="R64" s="1">
        <v>44636</v>
      </c>
      <c r="S64" s="1">
        <v>45084</v>
      </c>
      <c r="T64">
        <v>123</v>
      </c>
      <c r="V64">
        <v>81</v>
      </c>
      <c r="W64">
        <v>10747</v>
      </c>
      <c r="X64">
        <v>178</v>
      </c>
      <c r="AA64">
        <f>Préparation_2025[[#This Row],[AC 2025]]-Préparation_2025[[#This Row],[AC 2025 Initiale]]</f>
        <v>178</v>
      </c>
      <c r="AB64">
        <f>Préparation_2025[[#This Row],[TR 2025]]-Préparation_2025[[#This Row],[TR 2025 Initiale]]</f>
        <v>0</v>
      </c>
      <c r="AC64">
        <f>Préparation_2025[[#This Row],[Écart AC 2025]]+Préparation_2025[[#This Row],[Écart TR 2025]]</f>
        <v>178</v>
      </c>
      <c r="AG64"/>
      <c r="AH64">
        <f>Préparation_2025[[#This Row],[AC 2026]]-Préparation_2025[[#This Row],[AC 2026 Initiale]]</f>
        <v>0</v>
      </c>
      <c r="AI64">
        <f>Préparation_2025[[#This Row],[TR 2026]]-Préparation_2025[[#This Row],[TR 2026 Initiale]]</f>
        <v>0</v>
      </c>
      <c r="AJ64">
        <f>Préparation_2025[[#This Row],[Écart AC 2026]]+Préparation_2025[[#This Row],[Écart TR 2026]]</f>
        <v>0</v>
      </c>
      <c r="AZ64"/>
      <c r="BA64"/>
      <c r="BB64" s="14">
        <f>SUM(Préparation_2025[[#This Row],[AC ANT]:[TR 2025]],Préparation_2025[[#This Row],[AC 2026]:[TR 2026]],Préparation_2025[[#This Row],[AC 2027]:[TR 2034]])</f>
        <v>11129</v>
      </c>
    </row>
    <row r="65" spans="1:61" x14ac:dyDescent="0.3">
      <c r="A65" t="s">
        <v>662</v>
      </c>
      <c r="B65" t="s">
        <v>286</v>
      </c>
      <c r="D65" t="s">
        <v>118</v>
      </c>
      <c r="E65" t="s">
        <v>102</v>
      </c>
      <c r="F65" t="s">
        <v>242</v>
      </c>
      <c r="G65" t="s">
        <v>113</v>
      </c>
      <c r="H65" t="s">
        <v>16</v>
      </c>
      <c r="I65" t="s">
        <v>20</v>
      </c>
      <c r="J65" t="s">
        <v>131</v>
      </c>
      <c r="K65" t="s">
        <v>243</v>
      </c>
      <c r="L65" t="s">
        <v>244</v>
      </c>
      <c r="N65" t="s">
        <v>245</v>
      </c>
      <c r="O65" t="s">
        <v>197</v>
      </c>
      <c r="P65" t="s">
        <v>155</v>
      </c>
      <c r="Q65" s="1">
        <v>45976</v>
      </c>
      <c r="R65" s="1">
        <v>46280</v>
      </c>
      <c r="S65" s="1">
        <v>46433</v>
      </c>
      <c r="X65">
        <v>50</v>
      </c>
      <c r="Z65">
        <v>50</v>
      </c>
      <c r="AA65">
        <f>Préparation_2025[[#This Row],[AC 2025]]-Préparation_2025[[#This Row],[AC 2025 Initiale]]</f>
        <v>0</v>
      </c>
      <c r="AB65">
        <f>Préparation_2025[[#This Row],[TR 2025]]-Préparation_2025[[#This Row],[TR 2025 Initiale]]</f>
        <v>0</v>
      </c>
      <c r="AC65">
        <f>Préparation_2025[[#This Row],[Écart AC 2025]]+Préparation_2025[[#This Row],[Écart TR 2025]]</f>
        <v>0</v>
      </c>
      <c r="AE65">
        <v>150</v>
      </c>
      <c r="AG65">
        <v>150</v>
      </c>
      <c r="AH65">
        <f>Préparation_2025[[#This Row],[AC 2026]]-Préparation_2025[[#This Row],[AC 2026 Initiale]]</f>
        <v>0</v>
      </c>
      <c r="AI65">
        <f>Préparation_2025[[#This Row],[TR 2026]]-Préparation_2025[[#This Row],[TR 2026 Initiale]]</f>
        <v>0</v>
      </c>
      <c r="AJ65">
        <f>Préparation_2025[[#This Row],[Écart AC 2026]]+Préparation_2025[[#This Row],[Écart TR 2026]]</f>
        <v>0</v>
      </c>
      <c r="AL65">
        <v>150</v>
      </c>
      <c r="AO65">
        <v>2000</v>
      </c>
      <c r="AZ65"/>
      <c r="BA65"/>
      <c r="BB65" s="14">
        <f>SUM(Préparation_2025[[#This Row],[AC ANT]:[TR 2025]],Préparation_2025[[#This Row],[AC 2026]:[TR 2026]],Préparation_2025[[#This Row],[AC 2027]:[TR 2034]])</f>
        <v>2350</v>
      </c>
    </row>
    <row r="66" spans="1:61" x14ac:dyDescent="0.3">
      <c r="A66" t="s">
        <v>664</v>
      </c>
      <c r="B66" t="s">
        <v>286</v>
      </c>
      <c r="D66" t="s">
        <v>101</v>
      </c>
      <c r="E66" t="s">
        <v>102</v>
      </c>
      <c r="F66" t="s">
        <v>200</v>
      </c>
      <c r="G66" t="s">
        <v>113</v>
      </c>
      <c r="H66" t="s">
        <v>16</v>
      </c>
      <c r="I66" t="s">
        <v>16</v>
      </c>
      <c r="J66" t="s">
        <v>131</v>
      </c>
      <c r="K66" t="s">
        <v>336</v>
      </c>
      <c r="L66" t="s">
        <v>337</v>
      </c>
      <c r="N66" t="s">
        <v>180</v>
      </c>
      <c r="O66" t="s">
        <v>148</v>
      </c>
      <c r="P66" t="s">
        <v>164</v>
      </c>
      <c r="Q66" s="1"/>
      <c r="R66" s="1">
        <v>44518</v>
      </c>
      <c r="S66" s="1">
        <v>44657</v>
      </c>
      <c r="T66">
        <v>594</v>
      </c>
      <c r="U66">
        <v>3359</v>
      </c>
      <c r="V66">
        <v>264</v>
      </c>
      <c r="W66">
        <v>2717</v>
      </c>
      <c r="X66">
        <v>63</v>
      </c>
      <c r="Y66">
        <v>462</v>
      </c>
      <c r="AA66">
        <f>Préparation_2025[[#This Row],[AC 2025]]-Préparation_2025[[#This Row],[AC 2025 Initiale]]</f>
        <v>63</v>
      </c>
      <c r="AB66">
        <f>Préparation_2025[[#This Row],[TR 2025]]-Préparation_2025[[#This Row],[TR 2025 Initiale]]</f>
        <v>462</v>
      </c>
      <c r="AC66">
        <f>Préparation_2025[[#This Row],[Écart AC 2025]]+Préparation_2025[[#This Row],[Écart TR 2025]]</f>
        <v>525</v>
      </c>
      <c r="AG66"/>
      <c r="AH66">
        <f>Préparation_2025[[#This Row],[AC 2026]]-Préparation_2025[[#This Row],[AC 2026 Initiale]]</f>
        <v>0</v>
      </c>
      <c r="AI66">
        <f>Préparation_2025[[#This Row],[TR 2026]]-Préparation_2025[[#This Row],[TR 2026 Initiale]]</f>
        <v>0</v>
      </c>
      <c r="AJ66">
        <f>Préparation_2025[[#This Row],[Écart AC 2026]]+Préparation_2025[[#This Row],[Écart TR 2026]]</f>
        <v>0</v>
      </c>
      <c r="AZ66"/>
      <c r="BA66"/>
      <c r="BB66" s="14">
        <f>SUM(Préparation_2025[[#This Row],[AC ANT]:[TR 2025]],Préparation_2025[[#This Row],[AC 2026]:[TR 2026]],Préparation_2025[[#This Row],[AC 2027]:[TR 2034]])</f>
        <v>7459</v>
      </c>
    </row>
    <row r="67" spans="1:61" x14ac:dyDescent="0.3">
      <c r="A67" t="s">
        <v>664</v>
      </c>
      <c r="B67" t="s">
        <v>286</v>
      </c>
      <c r="D67" t="s">
        <v>101</v>
      </c>
      <c r="E67" t="s">
        <v>102</v>
      </c>
      <c r="F67" t="s">
        <v>200</v>
      </c>
      <c r="G67" t="s">
        <v>104</v>
      </c>
      <c r="H67" t="s">
        <v>16</v>
      </c>
      <c r="I67" t="s">
        <v>16</v>
      </c>
      <c r="J67" t="s">
        <v>105</v>
      </c>
      <c r="K67" t="s">
        <v>338</v>
      </c>
      <c r="L67" t="s">
        <v>339</v>
      </c>
      <c r="N67" t="s">
        <v>180</v>
      </c>
      <c r="P67" t="s">
        <v>164</v>
      </c>
      <c r="Q67" s="1">
        <v>43360</v>
      </c>
      <c r="R67" s="1">
        <v>43671</v>
      </c>
      <c r="S67" s="1">
        <v>44217</v>
      </c>
      <c r="T67">
        <v>128</v>
      </c>
      <c r="U67">
        <v>2061</v>
      </c>
      <c r="V67">
        <v>142</v>
      </c>
      <c r="X67">
        <v>65</v>
      </c>
      <c r="Z67">
        <v>43</v>
      </c>
      <c r="AA67">
        <f>Préparation_2025[[#This Row],[AC 2025]]-Préparation_2025[[#This Row],[AC 2025 Initiale]]</f>
        <v>22</v>
      </c>
      <c r="AB67">
        <f>Préparation_2025[[#This Row],[TR 2025]]-Préparation_2025[[#This Row],[TR 2025 Initiale]]</f>
        <v>0</v>
      </c>
      <c r="AC67">
        <f>Préparation_2025[[#This Row],[Écart AC 2025]]+Préparation_2025[[#This Row],[Écart TR 2025]]</f>
        <v>22</v>
      </c>
      <c r="AG67"/>
      <c r="AH67">
        <f>Préparation_2025[[#This Row],[AC 2026]]-Préparation_2025[[#This Row],[AC 2026 Initiale]]</f>
        <v>0</v>
      </c>
      <c r="AI67">
        <f>Préparation_2025[[#This Row],[TR 2026]]-Préparation_2025[[#This Row],[TR 2026 Initiale]]</f>
        <v>0</v>
      </c>
      <c r="AJ67">
        <f>Préparation_2025[[#This Row],[Écart AC 2026]]+Préparation_2025[[#This Row],[Écart TR 2026]]</f>
        <v>0</v>
      </c>
      <c r="AZ67"/>
      <c r="BA67"/>
      <c r="BB67" s="14">
        <f>SUM(Préparation_2025[[#This Row],[AC ANT]:[TR 2025]],Préparation_2025[[#This Row],[AC 2026]:[TR 2026]],Préparation_2025[[#This Row],[AC 2027]:[TR 2034]])</f>
        <v>2396</v>
      </c>
      <c r="BI67" s="57"/>
    </row>
    <row r="68" spans="1:61" x14ac:dyDescent="0.3">
      <c r="A68" t="s">
        <v>662</v>
      </c>
      <c r="B68" t="s">
        <v>286</v>
      </c>
      <c r="D68" t="s">
        <v>118</v>
      </c>
      <c r="E68" t="s">
        <v>102</v>
      </c>
      <c r="F68" t="s">
        <v>103</v>
      </c>
      <c r="G68" t="s">
        <v>340</v>
      </c>
      <c r="H68" t="s">
        <v>16</v>
      </c>
      <c r="I68" t="s">
        <v>16</v>
      </c>
      <c r="J68" t="s">
        <v>131</v>
      </c>
      <c r="K68" t="s">
        <v>341</v>
      </c>
      <c r="L68" t="s">
        <v>342</v>
      </c>
      <c r="N68" t="s">
        <v>147</v>
      </c>
      <c r="P68" t="s">
        <v>164</v>
      </c>
      <c r="Q68" s="1">
        <v>44245</v>
      </c>
      <c r="R68" s="1">
        <v>44469</v>
      </c>
      <c r="S68" s="1">
        <v>44538</v>
      </c>
      <c r="T68">
        <v>603</v>
      </c>
      <c r="U68">
        <v>10120</v>
      </c>
      <c r="V68">
        <v>13</v>
      </c>
      <c r="W68">
        <v>169</v>
      </c>
      <c r="X68">
        <v>60</v>
      </c>
      <c r="AA68">
        <f>Préparation_2025[[#This Row],[AC 2025]]-Préparation_2025[[#This Row],[AC 2025 Initiale]]</f>
        <v>60</v>
      </c>
      <c r="AB68">
        <f>Préparation_2025[[#This Row],[TR 2025]]-Préparation_2025[[#This Row],[TR 2025 Initiale]]</f>
        <v>0</v>
      </c>
      <c r="AC68">
        <f>Préparation_2025[[#This Row],[Écart AC 2025]]+Préparation_2025[[#This Row],[Écart TR 2025]]</f>
        <v>60</v>
      </c>
      <c r="AG68"/>
      <c r="AH68">
        <f>Préparation_2025[[#This Row],[AC 2026]]-Préparation_2025[[#This Row],[AC 2026 Initiale]]</f>
        <v>0</v>
      </c>
      <c r="AI68">
        <f>Préparation_2025[[#This Row],[TR 2026]]-Préparation_2025[[#This Row],[TR 2026 Initiale]]</f>
        <v>0</v>
      </c>
      <c r="AJ68">
        <f>Préparation_2025[[#This Row],[Écart AC 2026]]+Préparation_2025[[#This Row],[Écart TR 2026]]</f>
        <v>0</v>
      </c>
      <c r="AZ68"/>
      <c r="BA68"/>
      <c r="BB68" s="14">
        <f>SUM(Préparation_2025[[#This Row],[AC ANT]:[TR 2025]],Préparation_2025[[#This Row],[AC 2026]:[TR 2026]],Préparation_2025[[#This Row],[AC 2027]:[TR 2034]])</f>
        <v>10965</v>
      </c>
    </row>
    <row r="69" spans="1:61" x14ac:dyDescent="0.3">
      <c r="A69" t="s">
        <v>663</v>
      </c>
      <c r="B69" t="s">
        <v>286</v>
      </c>
      <c r="D69" t="s">
        <v>101</v>
      </c>
      <c r="E69" t="s">
        <v>102</v>
      </c>
      <c r="F69" t="s">
        <v>119</v>
      </c>
      <c r="G69" t="s">
        <v>129</v>
      </c>
      <c r="H69" t="s">
        <v>16</v>
      </c>
      <c r="I69" t="s">
        <v>16</v>
      </c>
      <c r="J69" t="s">
        <v>131</v>
      </c>
      <c r="K69" t="s">
        <v>153</v>
      </c>
      <c r="L69" t="s">
        <v>154</v>
      </c>
      <c r="N69" t="s">
        <v>134</v>
      </c>
      <c r="O69" t="s">
        <v>109</v>
      </c>
      <c r="P69" t="s">
        <v>123</v>
      </c>
      <c r="Q69" s="1">
        <v>45601</v>
      </c>
      <c r="R69" s="1">
        <v>45731</v>
      </c>
      <c r="S69" s="1">
        <v>45976</v>
      </c>
      <c r="X69">
        <v>20</v>
      </c>
      <c r="Z69">
        <v>20</v>
      </c>
      <c r="AA69">
        <f>Préparation_2025[[#This Row],[AC 2025]]-Préparation_2025[[#This Row],[AC 2025 Initiale]]</f>
        <v>0</v>
      </c>
      <c r="AB69">
        <f>Préparation_2025[[#This Row],[TR 2025]]-Préparation_2025[[#This Row],[TR 2025 Initiale]]</f>
        <v>0</v>
      </c>
      <c r="AC69">
        <f>Préparation_2025[[#This Row],[Écart AC 2025]]+Préparation_2025[[#This Row],[Écart TR 2025]]</f>
        <v>0</v>
      </c>
      <c r="AE69">
        <v>55</v>
      </c>
      <c r="AF69">
        <v>543</v>
      </c>
      <c r="AG69">
        <v>55</v>
      </c>
      <c r="AH69">
        <f>Préparation_2025[[#This Row],[AC 2026]]-Préparation_2025[[#This Row],[AC 2026 Initiale]]</f>
        <v>0</v>
      </c>
      <c r="AI69">
        <f>Préparation_2025[[#This Row],[TR 2026]]-Préparation_2025[[#This Row],[TR 2026 Initiale]]</f>
        <v>0</v>
      </c>
      <c r="AJ69">
        <f>Préparation_2025[[#This Row],[Écart AC 2026]]+Préparation_2025[[#This Row],[Écart TR 2026]]</f>
        <v>0</v>
      </c>
      <c r="AK69">
        <v>543</v>
      </c>
      <c r="AZ69"/>
      <c r="BA69"/>
      <c r="BB69" s="14">
        <f>SUM(Préparation_2025[[#This Row],[AC ANT]:[TR 2025]],Préparation_2025[[#This Row],[AC 2026]:[TR 2026]],Préparation_2025[[#This Row],[AC 2027]:[TR 2034]])</f>
        <v>618</v>
      </c>
    </row>
    <row r="70" spans="1:61" x14ac:dyDescent="0.3">
      <c r="A70" t="s">
        <v>663</v>
      </c>
      <c r="B70" t="s">
        <v>286</v>
      </c>
      <c r="D70" t="s">
        <v>101</v>
      </c>
      <c r="E70" t="s">
        <v>102</v>
      </c>
      <c r="F70" t="s">
        <v>103</v>
      </c>
      <c r="G70" t="s">
        <v>140</v>
      </c>
      <c r="H70" t="s">
        <v>16</v>
      </c>
      <c r="I70" t="s">
        <v>20</v>
      </c>
      <c r="J70" t="s">
        <v>131</v>
      </c>
      <c r="K70" t="s">
        <v>246</v>
      </c>
      <c r="L70" t="s">
        <v>515</v>
      </c>
      <c r="N70" t="s">
        <v>180</v>
      </c>
      <c r="O70" t="s">
        <v>173</v>
      </c>
      <c r="P70" t="s">
        <v>110</v>
      </c>
      <c r="Q70" s="1">
        <v>45679</v>
      </c>
      <c r="R70" s="1">
        <v>46096</v>
      </c>
      <c r="S70" s="1">
        <v>46371</v>
      </c>
      <c r="X70">
        <v>130</v>
      </c>
      <c r="Z70">
        <v>130</v>
      </c>
      <c r="AA70">
        <f>Préparation_2025[[#This Row],[AC 2025]]-Préparation_2025[[#This Row],[AC 2025 Initiale]]</f>
        <v>0</v>
      </c>
      <c r="AB70">
        <f>Préparation_2025[[#This Row],[TR 2025]]-Préparation_2025[[#This Row],[TR 2025 Initiale]]</f>
        <v>0</v>
      </c>
      <c r="AC70">
        <f>Préparation_2025[[#This Row],[Écart AC 2025]]+Préparation_2025[[#This Row],[Écart TR 2025]]</f>
        <v>0</v>
      </c>
      <c r="AE70">
        <v>60</v>
      </c>
      <c r="AG70">
        <v>60</v>
      </c>
      <c r="AH70">
        <f>Préparation_2025[[#This Row],[AC 2026]]-Préparation_2025[[#This Row],[AC 2026 Initiale]]</f>
        <v>0</v>
      </c>
      <c r="AI70">
        <f>Préparation_2025[[#This Row],[TR 2026]]-Préparation_2025[[#This Row],[TR 2026 Initiale]]</f>
        <v>0</v>
      </c>
      <c r="AJ70">
        <f>Préparation_2025[[#This Row],[Écart AC 2026]]+Préparation_2025[[#This Row],[Écart TR 2026]]</f>
        <v>0</v>
      </c>
      <c r="AL70">
        <v>283</v>
      </c>
      <c r="AM70">
        <v>3902</v>
      </c>
      <c r="AZ70"/>
      <c r="BA70"/>
      <c r="BB70" s="14">
        <f>SUM(Préparation_2025[[#This Row],[AC ANT]:[TR 2025]],Préparation_2025[[#This Row],[AC 2026]:[TR 2026]],Préparation_2025[[#This Row],[AC 2027]:[TR 2034]])</f>
        <v>4375</v>
      </c>
    </row>
    <row r="71" spans="1:61" x14ac:dyDescent="0.3">
      <c r="A71" t="s">
        <v>662</v>
      </c>
      <c r="B71" t="s">
        <v>286</v>
      </c>
      <c r="D71" t="s">
        <v>118</v>
      </c>
      <c r="E71" t="s">
        <v>102</v>
      </c>
      <c r="F71" t="s">
        <v>136</v>
      </c>
      <c r="G71" t="s">
        <v>113</v>
      </c>
      <c r="H71" t="s">
        <v>16</v>
      </c>
      <c r="I71" t="s">
        <v>20</v>
      </c>
      <c r="J71" t="s">
        <v>105</v>
      </c>
      <c r="K71" t="s">
        <v>248</v>
      </c>
      <c r="L71" t="s">
        <v>249</v>
      </c>
      <c r="N71" t="s">
        <v>180</v>
      </c>
      <c r="O71" t="s">
        <v>173</v>
      </c>
      <c r="P71" t="s">
        <v>110</v>
      </c>
      <c r="Q71" s="1">
        <v>45476</v>
      </c>
      <c r="R71" s="1">
        <v>46068</v>
      </c>
      <c r="S71" s="1">
        <v>46068</v>
      </c>
      <c r="X71">
        <v>100</v>
      </c>
      <c r="Z71">
        <v>100</v>
      </c>
      <c r="AA71">
        <f>Préparation_2025[[#This Row],[AC 2025]]-Préparation_2025[[#This Row],[AC 2025 Initiale]]</f>
        <v>0</v>
      </c>
      <c r="AB71">
        <f>Préparation_2025[[#This Row],[TR 2025]]-Préparation_2025[[#This Row],[TR 2025 Initiale]]</f>
        <v>0</v>
      </c>
      <c r="AC71">
        <f>Préparation_2025[[#This Row],[Écart AC 2025]]+Préparation_2025[[#This Row],[Écart TR 2025]]</f>
        <v>0</v>
      </c>
      <c r="AE71">
        <v>110</v>
      </c>
      <c r="AG71">
        <v>110</v>
      </c>
      <c r="AH71">
        <f>Préparation_2025[[#This Row],[AC 2026]]-Préparation_2025[[#This Row],[AC 2026 Initiale]]</f>
        <v>0</v>
      </c>
      <c r="AI71">
        <f>Préparation_2025[[#This Row],[TR 2026]]-Préparation_2025[[#This Row],[TR 2026 Initiale]]</f>
        <v>0</v>
      </c>
      <c r="AJ71">
        <f>Préparation_2025[[#This Row],[Écart AC 2026]]+Préparation_2025[[#This Row],[Écart TR 2026]]</f>
        <v>0</v>
      </c>
      <c r="AL71">
        <v>110</v>
      </c>
      <c r="AM71">
        <v>3445</v>
      </c>
      <c r="AZ71"/>
      <c r="BA71"/>
      <c r="BB71" s="14">
        <f>SUM(Préparation_2025[[#This Row],[AC ANT]:[TR 2025]],Préparation_2025[[#This Row],[AC 2026]:[TR 2026]],Préparation_2025[[#This Row],[AC 2027]:[TR 2034]])</f>
        <v>3765</v>
      </c>
      <c r="BI71" s="57"/>
    </row>
    <row r="72" spans="1:61" x14ac:dyDescent="0.3">
      <c r="A72" t="s">
        <v>662</v>
      </c>
      <c r="B72" t="s">
        <v>286</v>
      </c>
      <c r="D72" t="s">
        <v>118</v>
      </c>
      <c r="E72" t="s">
        <v>102</v>
      </c>
      <c r="F72" t="s">
        <v>136</v>
      </c>
      <c r="G72" t="s">
        <v>104</v>
      </c>
      <c r="H72" t="s">
        <v>16</v>
      </c>
      <c r="I72" t="s">
        <v>20</v>
      </c>
      <c r="J72" t="s">
        <v>131</v>
      </c>
      <c r="K72" t="s">
        <v>157</v>
      </c>
      <c r="L72" t="s">
        <v>158</v>
      </c>
      <c r="N72" t="s">
        <v>159</v>
      </c>
      <c r="O72" t="s">
        <v>173</v>
      </c>
      <c r="P72" t="s">
        <v>155</v>
      </c>
      <c r="Q72" s="1">
        <v>45991</v>
      </c>
      <c r="R72" s="1"/>
      <c r="S72" s="1">
        <v>46249</v>
      </c>
      <c r="X72">
        <v>75</v>
      </c>
      <c r="Z72">
        <v>75</v>
      </c>
      <c r="AA72">
        <f>Préparation_2025[[#This Row],[AC 2025]]-Préparation_2025[[#This Row],[AC 2025 Initiale]]</f>
        <v>0</v>
      </c>
      <c r="AB72">
        <f>Préparation_2025[[#This Row],[TR 2025]]-Préparation_2025[[#This Row],[TR 2025 Initiale]]</f>
        <v>0</v>
      </c>
      <c r="AC72">
        <f>Préparation_2025[[#This Row],[Écart AC 2025]]+Préparation_2025[[#This Row],[Écart TR 2025]]</f>
        <v>0</v>
      </c>
      <c r="AE72">
        <v>75</v>
      </c>
      <c r="AG72">
        <v>75</v>
      </c>
      <c r="AH72">
        <f>Préparation_2025[[#This Row],[AC 2026]]-Préparation_2025[[#This Row],[AC 2026 Initiale]]</f>
        <v>0</v>
      </c>
      <c r="AI72">
        <f>Préparation_2025[[#This Row],[TR 2026]]-Préparation_2025[[#This Row],[TR 2026 Initiale]]</f>
        <v>0</v>
      </c>
      <c r="AJ72">
        <f>Préparation_2025[[#This Row],[Écart AC 2026]]+Préparation_2025[[#This Row],[Écart TR 2026]]</f>
        <v>0</v>
      </c>
      <c r="AL72">
        <v>150</v>
      </c>
      <c r="AM72">
        <v>650</v>
      </c>
      <c r="AZ72"/>
      <c r="BA72"/>
      <c r="BB72" s="14">
        <f>SUM(Préparation_2025[[#This Row],[AC ANT]:[TR 2025]],Préparation_2025[[#This Row],[AC 2026]:[TR 2026]],Préparation_2025[[#This Row],[AC 2027]:[TR 2034]])</f>
        <v>950</v>
      </c>
    </row>
    <row r="73" spans="1:61" x14ac:dyDescent="0.3">
      <c r="A73" t="s">
        <v>662</v>
      </c>
      <c r="B73" t="s">
        <v>286</v>
      </c>
      <c r="D73" t="s">
        <v>118</v>
      </c>
      <c r="E73" t="s">
        <v>102</v>
      </c>
      <c r="F73" t="s">
        <v>119</v>
      </c>
      <c r="G73" t="s">
        <v>113</v>
      </c>
      <c r="H73" t="s">
        <v>16</v>
      </c>
      <c r="I73" t="s">
        <v>16</v>
      </c>
      <c r="J73" t="s">
        <v>105</v>
      </c>
      <c r="K73" t="s">
        <v>120</v>
      </c>
      <c r="L73" t="s">
        <v>289</v>
      </c>
      <c r="N73" t="s">
        <v>122</v>
      </c>
      <c r="O73" t="s">
        <v>148</v>
      </c>
      <c r="P73" t="s">
        <v>164</v>
      </c>
      <c r="Q73" s="1"/>
      <c r="R73" s="1"/>
      <c r="S73" s="1">
        <v>45712</v>
      </c>
      <c r="X73">
        <v>20</v>
      </c>
      <c r="Y73">
        <v>895</v>
      </c>
      <c r="Z73">
        <v>20</v>
      </c>
      <c r="AA73">
        <f>Préparation_2025[[#This Row],[AC 2025]]-Préparation_2025[[#This Row],[AC 2025 Initiale]]</f>
        <v>0</v>
      </c>
      <c r="AB73">
        <f>Préparation_2025[[#This Row],[TR 2025]]-Préparation_2025[[#This Row],[TR 2025 Initiale]]</f>
        <v>0</v>
      </c>
      <c r="AC73">
        <f>Préparation_2025[[#This Row],[Écart AC 2025]]+Préparation_2025[[#This Row],[Écart TR 2025]]</f>
        <v>0</v>
      </c>
      <c r="AD73">
        <v>895</v>
      </c>
      <c r="AG73"/>
      <c r="AH73">
        <f>Préparation_2025[[#This Row],[AC 2026]]-Préparation_2025[[#This Row],[AC 2026 Initiale]]</f>
        <v>0</v>
      </c>
      <c r="AI73">
        <f>Préparation_2025[[#This Row],[TR 2026]]-Préparation_2025[[#This Row],[TR 2026 Initiale]]</f>
        <v>0</v>
      </c>
      <c r="AJ73">
        <f>Préparation_2025[[#This Row],[Écart AC 2026]]+Préparation_2025[[#This Row],[Écart TR 2026]]</f>
        <v>0</v>
      </c>
      <c r="AZ73"/>
      <c r="BA73"/>
      <c r="BB73" s="14">
        <f>SUM(Préparation_2025[[#This Row],[AC ANT]:[TR 2025]],Préparation_2025[[#This Row],[AC 2026]:[TR 2026]],Préparation_2025[[#This Row],[AC 2027]:[TR 2034]])</f>
        <v>915</v>
      </c>
    </row>
    <row r="74" spans="1:61" x14ac:dyDescent="0.3">
      <c r="A74" t="s">
        <v>664</v>
      </c>
      <c r="B74" t="s">
        <v>286</v>
      </c>
      <c r="D74" t="s">
        <v>101</v>
      </c>
      <c r="E74" t="s">
        <v>102</v>
      </c>
      <c r="F74" t="s">
        <v>128</v>
      </c>
      <c r="G74" t="s">
        <v>129</v>
      </c>
      <c r="H74" t="s">
        <v>16</v>
      </c>
      <c r="I74" t="s">
        <v>20</v>
      </c>
      <c r="J74" t="s">
        <v>131</v>
      </c>
      <c r="K74" t="s">
        <v>250</v>
      </c>
      <c r="L74" t="s">
        <v>251</v>
      </c>
      <c r="N74" t="s">
        <v>214</v>
      </c>
      <c r="O74" t="s">
        <v>197</v>
      </c>
      <c r="P74" t="s">
        <v>110</v>
      </c>
      <c r="Q74" s="1">
        <v>45490</v>
      </c>
      <c r="R74" s="1"/>
      <c r="S74" s="1">
        <v>46447</v>
      </c>
      <c r="X74">
        <v>37</v>
      </c>
      <c r="Z74">
        <v>37</v>
      </c>
      <c r="AA74">
        <f>Préparation_2025[[#This Row],[AC 2025]]-Préparation_2025[[#This Row],[AC 2025 Initiale]]</f>
        <v>0</v>
      </c>
      <c r="AB74">
        <f>Préparation_2025[[#This Row],[TR 2025]]-Préparation_2025[[#This Row],[TR 2025 Initiale]]</f>
        <v>0</v>
      </c>
      <c r="AC74">
        <f>Préparation_2025[[#This Row],[Écart AC 2025]]+Préparation_2025[[#This Row],[Écart TR 2025]]</f>
        <v>0</v>
      </c>
      <c r="AE74">
        <v>10</v>
      </c>
      <c r="AG74">
        <v>10</v>
      </c>
      <c r="AH74">
        <f>Préparation_2025[[#This Row],[AC 2026]]-Préparation_2025[[#This Row],[AC 2026 Initiale]]</f>
        <v>0</v>
      </c>
      <c r="AI74">
        <f>Préparation_2025[[#This Row],[TR 2026]]-Préparation_2025[[#This Row],[TR 2026 Initiale]]</f>
        <v>0</v>
      </c>
      <c r="AJ74">
        <f>Préparation_2025[[#This Row],[Écart AC 2026]]+Préparation_2025[[#This Row],[Écart TR 2026]]</f>
        <v>0</v>
      </c>
      <c r="AL74">
        <v>12</v>
      </c>
      <c r="AN74">
        <v>30</v>
      </c>
      <c r="AO74">
        <v>194</v>
      </c>
      <c r="AZ74"/>
      <c r="BA74"/>
      <c r="BB74" s="14">
        <f>SUM(Préparation_2025[[#This Row],[AC ANT]:[TR 2025]],Préparation_2025[[#This Row],[AC 2026]:[TR 2026]],Préparation_2025[[#This Row],[AC 2027]:[TR 2034]])</f>
        <v>283</v>
      </c>
    </row>
    <row r="75" spans="1:61" x14ac:dyDescent="0.3">
      <c r="A75" t="s">
        <v>295</v>
      </c>
      <c r="B75" t="s">
        <v>286</v>
      </c>
      <c r="D75" t="s">
        <v>126</v>
      </c>
      <c r="E75" t="s">
        <v>127</v>
      </c>
      <c r="F75" t="s">
        <v>128</v>
      </c>
      <c r="G75" t="s">
        <v>252</v>
      </c>
      <c r="H75" t="s">
        <v>16</v>
      </c>
      <c r="I75" t="s">
        <v>16</v>
      </c>
      <c r="J75" t="s">
        <v>131</v>
      </c>
      <c r="K75" t="s">
        <v>253</v>
      </c>
      <c r="L75" t="s">
        <v>254</v>
      </c>
      <c r="N75" t="s">
        <v>147</v>
      </c>
      <c r="O75" t="s">
        <v>148</v>
      </c>
      <c r="P75" t="s">
        <v>291</v>
      </c>
      <c r="Q75" s="1"/>
      <c r="R75" s="1"/>
      <c r="S75" s="1"/>
      <c r="X75">
        <v>10</v>
      </c>
      <c r="Y75">
        <v>39</v>
      </c>
      <c r="Z75">
        <v>10</v>
      </c>
      <c r="AA75">
        <f>Préparation_2025[[#This Row],[AC 2025]]-Préparation_2025[[#This Row],[AC 2025 Initiale]]</f>
        <v>0</v>
      </c>
      <c r="AB75">
        <f>Préparation_2025[[#This Row],[TR 2025]]-Préparation_2025[[#This Row],[TR 2025 Initiale]]</f>
        <v>0</v>
      </c>
      <c r="AC75">
        <f>Préparation_2025[[#This Row],[Écart AC 2025]]+Préparation_2025[[#This Row],[Écart TR 2025]]</f>
        <v>0</v>
      </c>
      <c r="AD75">
        <v>39</v>
      </c>
      <c r="AG75"/>
      <c r="AH75">
        <f>Préparation_2025[[#This Row],[AC 2026]]-Préparation_2025[[#This Row],[AC 2026 Initiale]]</f>
        <v>0</v>
      </c>
      <c r="AI75">
        <f>Préparation_2025[[#This Row],[TR 2026]]-Préparation_2025[[#This Row],[TR 2026 Initiale]]</f>
        <v>0</v>
      </c>
      <c r="AJ75">
        <f>Préparation_2025[[#This Row],[Écart AC 2026]]+Préparation_2025[[#This Row],[Écart TR 2026]]</f>
        <v>0</v>
      </c>
      <c r="AZ75"/>
      <c r="BA75"/>
      <c r="BB75" s="14">
        <f>SUM(Préparation_2025[[#This Row],[AC ANT]:[TR 2025]],Préparation_2025[[#This Row],[AC 2026]:[TR 2026]],Préparation_2025[[#This Row],[AC 2027]:[TR 2034]])</f>
        <v>49</v>
      </c>
    </row>
    <row r="76" spans="1:61" x14ac:dyDescent="0.3">
      <c r="A76" t="s">
        <v>662</v>
      </c>
      <c r="B76" t="s">
        <v>286</v>
      </c>
      <c r="D76" t="s">
        <v>118</v>
      </c>
      <c r="E76" t="s">
        <v>102</v>
      </c>
      <c r="F76" t="s">
        <v>136</v>
      </c>
      <c r="G76" t="s">
        <v>252</v>
      </c>
      <c r="H76" t="s">
        <v>16</v>
      </c>
      <c r="I76" t="s">
        <v>16</v>
      </c>
      <c r="J76" t="s">
        <v>131</v>
      </c>
      <c r="K76" t="s">
        <v>255</v>
      </c>
      <c r="L76" t="s">
        <v>529</v>
      </c>
      <c r="N76" t="s">
        <v>209</v>
      </c>
      <c r="O76" t="s">
        <v>109</v>
      </c>
      <c r="P76" t="s">
        <v>291</v>
      </c>
      <c r="Q76" s="1"/>
      <c r="R76" s="1"/>
      <c r="S76" s="1">
        <v>46006</v>
      </c>
      <c r="X76">
        <v>60</v>
      </c>
      <c r="Z76">
        <v>60</v>
      </c>
      <c r="AA76">
        <f>Préparation_2025[[#This Row],[AC 2025]]-Préparation_2025[[#This Row],[AC 2025 Initiale]]</f>
        <v>0</v>
      </c>
      <c r="AB76">
        <f>Préparation_2025[[#This Row],[TR 2025]]-Préparation_2025[[#This Row],[TR 2025 Initiale]]</f>
        <v>0</v>
      </c>
      <c r="AC76">
        <f>Préparation_2025[[#This Row],[Écart AC 2025]]+Préparation_2025[[#This Row],[Écart TR 2025]]</f>
        <v>0</v>
      </c>
      <c r="AE76">
        <v>20</v>
      </c>
      <c r="AF76">
        <v>540</v>
      </c>
      <c r="AG76">
        <v>20</v>
      </c>
      <c r="AH76">
        <f>Préparation_2025[[#This Row],[AC 2026]]-Préparation_2025[[#This Row],[AC 2026 Initiale]]</f>
        <v>0</v>
      </c>
      <c r="AI76">
        <f>Préparation_2025[[#This Row],[TR 2026]]-Préparation_2025[[#This Row],[TR 2026 Initiale]]</f>
        <v>0</v>
      </c>
      <c r="AJ76">
        <f>Préparation_2025[[#This Row],[Écart AC 2026]]+Préparation_2025[[#This Row],[Écart TR 2026]]</f>
        <v>0</v>
      </c>
      <c r="AK76">
        <v>540</v>
      </c>
      <c r="AZ76"/>
      <c r="BA76"/>
      <c r="BB76" s="14">
        <f>SUM(Préparation_2025[[#This Row],[AC ANT]:[TR 2025]],Préparation_2025[[#This Row],[AC 2026]:[TR 2026]],Préparation_2025[[#This Row],[AC 2027]:[TR 2034]])</f>
        <v>620</v>
      </c>
    </row>
    <row r="77" spans="1:61" x14ac:dyDescent="0.3">
      <c r="B77" t="s">
        <v>11</v>
      </c>
      <c r="D77" t="s">
        <v>118</v>
      </c>
      <c r="E77" t="s">
        <v>102</v>
      </c>
      <c r="F77" t="s">
        <v>103</v>
      </c>
      <c r="G77" t="s">
        <v>252</v>
      </c>
      <c r="H77" t="s">
        <v>20</v>
      </c>
      <c r="I77" t="s">
        <v>16</v>
      </c>
      <c r="J77" t="s">
        <v>131</v>
      </c>
      <c r="K77" t="s">
        <v>257</v>
      </c>
      <c r="L77" t="s">
        <v>258</v>
      </c>
      <c r="N77" t="s">
        <v>180</v>
      </c>
      <c r="O77" t="s">
        <v>148</v>
      </c>
      <c r="P77" t="s">
        <v>291</v>
      </c>
      <c r="Q77" s="1"/>
      <c r="R77" s="1"/>
      <c r="S77" s="1"/>
      <c r="Y77">
        <v>300</v>
      </c>
      <c r="AA77">
        <f>Préparation_2025[[#This Row],[AC 2025]]-Préparation_2025[[#This Row],[AC 2025 Initiale]]</f>
        <v>0</v>
      </c>
      <c r="AB77">
        <f>Préparation_2025[[#This Row],[TR 2025]]-Préparation_2025[[#This Row],[TR 2025 Initiale]]</f>
        <v>0</v>
      </c>
      <c r="AC77">
        <f>Préparation_2025[[#This Row],[Écart AC 2025]]+Préparation_2025[[#This Row],[Écart TR 2025]]</f>
        <v>0</v>
      </c>
      <c r="AD77">
        <v>300</v>
      </c>
      <c r="AG77"/>
      <c r="AH77">
        <f>Préparation_2025[[#This Row],[AC 2026]]-Préparation_2025[[#This Row],[AC 2026 Initiale]]</f>
        <v>0</v>
      </c>
      <c r="AI77">
        <f>Préparation_2025[[#This Row],[TR 2026]]-Préparation_2025[[#This Row],[TR 2026 Initiale]]</f>
        <v>0</v>
      </c>
      <c r="AJ77">
        <f>Préparation_2025[[#This Row],[Écart AC 2026]]+Préparation_2025[[#This Row],[Écart TR 2026]]</f>
        <v>0</v>
      </c>
      <c r="AZ77"/>
      <c r="BA77"/>
      <c r="BB77" s="14">
        <f>SUM(Préparation_2025[[#This Row],[AC ANT]:[TR 2025]],Préparation_2025[[#This Row],[AC 2026]:[TR 2026]],Préparation_2025[[#This Row],[AC 2027]:[TR 2034]])</f>
        <v>300</v>
      </c>
    </row>
    <row r="78" spans="1:61" x14ac:dyDescent="0.3">
      <c r="A78" t="s">
        <v>295</v>
      </c>
      <c r="B78" t="s">
        <v>286</v>
      </c>
      <c r="D78" t="s">
        <v>126</v>
      </c>
      <c r="E78" t="s">
        <v>127</v>
      </c>
      <c r="F78" t="s">
        <v>128</v>
      </c>
      <c r="G78" t="s">
        <v>252</v>
      </c>
      <c r="H78" t="s">
        <v>16</v>
      </c>
      <c r="I78" t="s">
        <v>16</v>
      </c>
      <c r="J78" t="s">
        <v>131</v>
      </c>
      <c r="K78" t="s">
        <v>259</v>
      </c>
      <c r="L78" t="s">
        <v>260</v>
      </c>
      <c r="N78" t="s">
        <v>159</v>
      </c>
      <c r="O78" t="s">
        <v>148</v>
      </c>
      <c r="P78" t="s">
        <v>291</v>
      </c>
      <c r="Q78" s="1"/>
      <c r="R78" s="1"/>
      <c r="S78" s="1"/>
      <c r="X78">
        <v>15</v>
      </c>
      <c r="Y78">
        <v>85</v>
      </c>
      <c r="Z78">
        <v>15</v>
      </c>
      <c r="AA78">
        <f>Préparation_2025[[#This Row],[AC 2025]]-Préparation_2025[[#This Row],[AC 2025 Initiale]]</f>
        <v>0</v>
      </c>
      <c r="AB78">
        <f>Préparation_2025[[#This Row],[TR 2025]]-Préparation_2025[[#This Row],[TR 2025 Initiale]]</f>
        <v>0</v>
      </c>
      <c r="AC78">
        <f>Préparation_2025[[#This Row],[Écart AC 2025]]+Préparation_2025[[#This Row],[Écart TR 2025]]</f>
        <v>0</v>
      </c>
      <c r="AD78">
        <v>85</v>
      </c>
      <c r="AG78"/>
      <c r="AH78">
        <f>Préparation_2025[[#This Row],[AC 2026]]-Préparation_2025[[#This Row],[AC 2026 Initiale]]</f>
        <v>0</v>
      </c>
      <c r="AI78">
        <f>Préparation_2025[[#This Row],[TR 2026]]-Préparation_2025[[#This Row],[TR 2026 Initiale]]</f>
        <v>0</v>
      </c>
      <c r="AJ78">
        <f>Préparation_2025[[#This Row],[Écart AC 2026]]+Préparation_2025[[#This Row],[Écart TR 2026]]</f>
        <v>0</v>
      </c>
      <c r="AZ78"/>
      <c r="BA78"/>
      <c r="BB78" s="14">
        <f>SUM(Préparation_2025[[#This Row],[AC ANT]:[TR 2025]],Préparation_2025[[#This Row],[AC 2026]:[TR 2026]],Préparation_2025[[#This Row],[AC 2027]:[TR 2034]])</f>
        <v>100</v>
      </c>
    </row>
    <row r="79" spans="1:61" x14ac:dyDescent="0.3">
      <c r="A79" t="s">
        <v>662</v>
      </c>
      <c r="B79" t="s">
        <v>286</v>
      </c>
      <c r="D79" t="s">
        <v>118</v>
      </c>
      <c r="E79" t="s">
        <v>102</v>
      </c>
      <c r="F79" t="s">
        <v>177</v>
      </c>
      <c r="G79" t="s">
        <v>129</v>
      </c>
      <c r="H79" t="s">
        <v>16</v>
      </c>
      <c r="I79" t="s">
        <v>16</v>
      </c>
      <c r="J79" t="s">
        <v>131</v>
      </c>
      <c r="K79" t="s">
        <v>293</v>
      </c>
      <c r="L79" t="s">
        <v>294</v>
      </c>
      <c r="N79" t="s">
        <v>134</v>
      </c>
      <c r="O79" t="s">
        <v>148</v>
      </c>
      <c r="P79" t="s">
        <v>164</v>
      </c>
      <c r="Q79" s="1">
        <v>45702</v>
      </c>
      <c r="R79" s="1">
        <v>45702</v>
      </c>
      <c r="S79" s="1">
        <v>45702</v>
      </c>
      <c r="X79">
        <v>50</v>
      </c>
      <c r="Y79">
        <v>2894</v>
      </c>
      <c r="Z79">
        <v>50</v>
      </c>
      <c r="AA79">
        <f>Préparation_2025[[#This Row],[AC 2025]]-Préparation_2025[[#This Row],[AC 2025 Initiale]]</f>
        <v>0</v>
      </c>
      <c r="AB79">
        <f>Préparation_2025[[#This Row],[TR 2025]]-Préparation_2025[[#This Row],[TR 2025 Initiale]]</f>
        <v>0</v>
      </c>
      <c r="AC79">
        <f>Préparation_2025[[#This Row],[Écart AC 2025]]+Préparation_2025[[#This Row],[Écart TR 2025]]</f>
        <v>0</v>
      </c>
      <c r="AD79">
        <v>2894</v>
      </c>
      <c r="AG79"/>
      <c r="AH79">
        <f>Préparation_2025[[#This Row],[AC 2026]]-Préparation_2025[[#This Row],[AC 2026 Initiale]]</f>
        <v>0</v>
      </c>
      <c r="AI79">
        <f>Préparation_2025[[#This Row],[TR 2026]]-Préparation_2025[[#This Row],[TR 2026 Initiale]]</f>
        <v>0</v>
      </c>
      <c r="AJ79">
        <f>Préparation_2025[[#This Row],[Écart AC 2026]]+Préparation_2025[[#This Row],[Écart TR 2026]]</f>
        <v>0</v>
      </c>
      <c r="AZ79"/>
      <c r="BA79"/>
      <c r="BB79" s="14">
        <f>SUM(Préparation_2025[[#This Row],[AC ANT]:[TR 2025]],Préparation_2025[[#This Row],[AC 2026]:[TR 2026]],Préparation_2025[[#This Row],[AC 2027]:[TR 2034]])</f>
        <v>2944</v>
      </c>
    </row>
    <row r="80" spans="1:61" x14ac:dyDescent="0.3">
      <c r="A80" t="s">
        <v>662</v>
      </c>
      <c r="B80" t="s">
        <v>286</v>
      </c>
      <c r="D80" t="s">
        <v>118</v>
      </c>
      <c r="E80" t="s">
        <v>102</v>
      </c>
      <c r="F80" t="s">
        <v>136</v>
      </c>
      <c r="G80" t="s">
        <v>104</v>
      </c>
      <c r="H80" t="s">
        <v>16</v>
      </c>
      <c r="I80" t="s">
        <v>20</v>
      </c>
      <c r="J80" t="s">
        <v>105</v>
      </c>
      <c r="K80" t="s">
        <v>516</v>
      </c>
      <c r="L80" t="s">
        <v>517</v>
      </c>
      <c r="N80" t="s">
        <v>302</v>
      </c>
      <c r="O80" t="s">
        <v>109</v>
      </c>
      <c r="P80" t="s">
        <v>110</v>
      </c>
      <c r="Q80" s="1">
        <v>45904</v>
      </c>
      <c r="R80" s="1"/>
      <c r="S80" s="1">
        <v>46096</v>
      </c>
      <c r="X80">
        <v>59</v>
      </c>
      <c r="Z80">
        <v>25</v>
      </c>
      <c r="AA80">
        <f>Préparation_2025[[#This Row],[AC 2025]]-Préparation_2025[[#This Row],[AC 2025 Initiale]]</f>
        <v>34</v>
      </c>
      <c r="AB80">
        <f>Préparation_2025[[#This Row],[TR 2025]]-Préparation_2025[[#This Row],[TR 2025 Initiale]]</f>
        <v>0</v>
      </c>
      <c r="AC80">
        <f>Préparation_2025[[#This Row],[Écart AC 2025]]+Préparation_2025[[#This Row],[Écart TR 2025]]</f>
        <v>34</v>
      </c>
      <c r="AE80">
        <v>131</v>
      </c>
      <c r="AF80">
        <v>478</v>
      </c>
      <c r="AG80">
        <v>25</v>
      </c>
      <c r="AH80">
        <f>Préparation_2025[[#This Row],[AC 2026]]-Préparation_2025[[#This Row],[AC 2026 Initiale]]</f>
        <v>106</v>
      </c>
      <c r="AI80">
        <f>Préparation_2025[[#This Row],[TR 2026]]-Préparation_2025[[#This Row],[TR 2026 Initiale]]</f>
        <v>478</v>
      </c>
      <c r="AJ80">
        <f>Préparation_2025[[#This Row],[Écart AC 2026]]+Préparation_2025[[#This Row],[Écart TR 2026]]</f>
        <v>584</v>
      </c>
      <c r="AZ80"/>
      <c r="BA80"/>
      <c r="BB80" s="14">
        <f>SUM(Préparation_2025[[#This Row],[AC ANT]:[TR 2025]],Préparation_2025[[#This Row],[AC 2026]:[TR 2026]],Préparation_2025[[#This Row],[AC 2027]:[TR 2034]])</f>
        <v>668</v>
      </c>
    </row>
    <row r="81" spans="1:54" x14ac:dyDescent="0.3">
      <c r="A81" t="s">
        <v>662</v>
      </c>
      <c r="B81" t="s">
        <v>286</v>
      </c>
      <c r="D81" t="s">
        <v>118</v>
      </c>
      <c r="E81" t="s">
        <v>102</v>
      </c>
      <c r="F81" t="s">
        <v>136</v>
      </c>
      <c r="G81" t="s">
        <v>104</v>
      </c>
      <c r="H81" t="s">
        <v>16</v>
      </c>
      <c r="I81" t="s">
        <v>20</v>
      </c>
      <c r="J81" t="s">
        <v>105</v>
      </c>
      <c r="K81" t="s">
        <v>518</v>
      </c>
      <c r="L81" t="s">
        <v>519</v>
      </c>
      <c r="N81" t="s">
        <v>143</v>
      </c>
      <c r="O81" t="s">
        <v>173</v>
      </c>
      <c r="P81" t="s">
        <v>155</v>
      </c>
      <c r="Q81" s="1">
        <v>46127</v>
      </c>
      <c r="R81" s="1"/>
      <c r="S81" s="1"/>
      <c r="X81">
        <v>25</v>
      </c>
      <c r="Z81">
        <v>25</v>
      </c>
      <c r="AA81">
        <f>Préparation_2025[[#This Row],[AC 2025]]-Préparation_2025[[#This Row],[AC 2025 Initiale]]</f>
        <v>0</v>
      </c>
      <c r="AB81">
        <f>Préparation_2025[[#This Row],[TR 2025]]-Préparation_2025[[#This Row],[TR 2025 Initiale]]</f>
        <v>0</v>
      </c>
      <c r="AC81">
        <f>Préparation_2025[[#This Row],[Écart AC 2025]]+Préparation_2025[[#This Row],[Écart TR 2025]]</f>
        <v>0</v>
      </c>
      <c r="AE81">
        <v>25</v>
      </c>
      <c r="AG81">
        <v>25</v>
      </c>
      <c r="AH81">
        <f>Préparation_2025[[#This Row],[AC 2026]]-Préparation_2025[[#This Row],[AC 2026 Initiale]]</f>
        <v>0</v>
      </c>
      <c r="AI81">
        <f>Préparation_2025[[#This Row],[TR 2026]]-Préparation_2025[[#This Row],[TR 2026 Initiale]]</f>
        <v>0</v>
      </c>
      <c r="AJ81">
        <f>Préparation_2025[[#This Row],[Écart AC 2026]]+Préparation_2025[[#This Row],[Écart TR 2026]]</f>
        <v>0</v>
      </c>
      <c r="AM81">
        <v>150</v>
      </c>
      <c r="AZ81"/>
      <c r="BA81"/>
      <c r="BB81" s="14">
        <f>SUM(Préparation_2025[[#This Row],[AC ANT]:[TR 2025]],Préparation_2025[[#This Row],[AC 2026]:[TR 2026]],Préparation_2025[[#This Row],[AC 2027]:[TR 2034]])</f>
        <v>200</v>
      </c>
    </row>
    <row r="82" spans="1:54" x14ac:dyDescent="0.3">
      <c r="B82" t="s">
        <v>286</v>
      </c>
      <c r="D82" t="s">
        <v>118</v>
      </c>
      <c r="E82" t="s">
        <v>102</v>
      </c>
      <c r="F82" t="s">
        <v>136</v>
      </c>
      <c r="G82" t="s">
        <v>252</v>
      </c>
      <c r="H82" t="s">
        <v>20</v>
      </c>
      <c r="I82" t="s">
        <v>16</v>
      </c>
      <c r="J82" t="s">
        <v>131</v>
      </c>
      <c r="K82" t="s">
        <v>599</v>
      </c>
      <c r="L82" t="s">
        <v>638</v>
      </c>
      <c r="N82" t="s">
        <v>139</v>
      </c>
      <c r="O82" t="s">
        <v>148</v>
      </c>
      <c r="P82" t="s">
        <v>291</v>
      </c>
      <c r="Q82" s="1"/>
      <c r="R82" s="1"/>
      <c r="S82" s="1"/>
      <c r="Y82">
        <v>35</v>
      </c>
      <c r="AA82">
        <f>Préparation_2025[[#This Row],[AC 2025]]-Préparation_2025[[#This Row],[AC 2025 Initiale]]</f>
        <v>0</v>
      </c>
      <c r="AB82">
        <f>Préparation_2025[[#This Row],[TR 2025]]-Préparation_2025[[#This Row],[TR 2025 Initiale]]</f>
        <v>35</v>
      </c>
      <c r="AC82">
        <f>Préparation_2025[[#This Row],[Écart AC 2025]]+Préparation_2025[[#This Row],[Écart TR 2025]]</f>
        <v>35</v>
      </c>
      <c r="AG82"/>
      <c r="AH82">
        <f>Préparation_2025[[#This Row],[AC 2026]]-Préparation_2025[[#This Row],[AC 2026 Initiale]]</f>
        <v>0</v>
      </c>
      <c r="AI82">
        <f>Préparation_2025[[#This Row],[TR 2026]]-Préparation_2025[[#This Row],[TR 2026 Initiale]]</f>
        <v>0</v>
      </c>
      <c r="AJ82">
        <f>Préparation_2025[[#This Row],[Écart AC 2026]]+Préparation_2025[[#This Row],[Écart TR 2026]]</f>
        <v>0</v>
      </c>
      <c r="AZ82"/>
      <c r="BA82"/>
      <c r="BB82" s="14">
        <f>SUM(Préparation_2025[[#This Row],[AC ANT]:[TR 2025]],Préparation_2025[[#This Row],[AC 2026]:[TR 2026]],Préparation_2025[[#This Row],[AC 2027]:[TR 2034]])</f>
        <v>35</v>
      </c>
    </row>
    <row r="83" spans="1:54" x14ac:dyDescent="0.3">
      <c r="B83" t="s">
        <v>286</v>
      </c>
      <c r="D83" t="s">
        <v>126</v>
      </c>
      <c r="E83" t="s">
        <v>127</v>
      </c>
      <c r="F83" t="s">
        <v>136</v>
      </c>
      <c r="G83" t="s">
        <v>252</v>
      </c>
      <c r="H83" t="s">
        <v>20</v>
      </c>
      <c r="I83" t="s">
        <v>16</v>
      </c>
      <c r="J83" t="s">
        <v>131</v>
      </c>
      <c r="K83" t="s">
        <v>645</v>
      </c>
      <c r="L83" t="s">
        <v>646</v>
      </c>
      <c r="N83" t="s">
        <v>139</v>
      </c>
      <c r="O83" t="s">
        <v>148</v>
      </c>
      <c r="P83" t="s">
        <v>291</v>
      </c>
      <c r="Q83" s="1"/>
      <c r="R83" s="1"/>
      <c r="S83" s="1"/>
      <c r="Y83">
        <v>100</v>
      </c>
      <c r="AA83">
        <f>Préparation_2025[[#This Row],[AC 2025]]-Préparation_2025[[#This Row],[AC 2025 Initiale]]</f>
        <v>0</v>
      </c>
      <c r="AB83">
        <f>Préparation_2025[[#This Row],[TR 2025]]-Préparation_2025[[#This Row],[TR 2025 Initiale]]</f>
        <v>100</v>
      </c>
      <c r="AC83">
        <f>Préparation_2025[[#This Row],[Écart AC 2025]]+Préparation_2025[[#This Row],[Écart TR 2025]]</f>
        <v>100</v>
      </c>
      <c r="AG83"/>
      <c r="AH83">
        <f>Préparation_2025[[#This Row],[AC 2026]]-Préparation_2025[[#This Row],[AC 2026 Initiale]]</f>
        <v>0</v>
      </c>
      <c r="AI83">
        <f>Préparation_2025[[#This Row],[TR 2026]]-Préparation_2025[[#This Row],[TR 2026 Initiale]]</f>
        <v>0</v>
      </c>
      <c r="AJ83">
        <f>Préparation_2025[[#This Row],[Écart AC 2026]]+Préparation_2025[[#This Row],[Écart TR 2026]]</f>
        <v>0</v>
      </c>
      <c r="AZ83"/>
      <c r="BA83"/>
      <c r="BB83" s="14">
        <f>SUM(Préparation_2025[[#This Row],[AC ANT]:[TR 2025]],Préparation_2025[[#This Row],[AC 2026]:[TR 2026]],Préparation_2025[[#This Row],[AC 2027]:[TR 2034]])</f>
        <v>100</v>
      </c>
    </row>
    <row r="84" spans="1:54" x14ac:dyDescent="0.3">
      <c r="A84" t="s">
        <v>295</v>
      </c>
      <c r="B84" t="s">
        <v>286</v>
      </c>
      <c r="D84" t="s">
        <v>126</v>
      </c>
      <c r="E84" t="s">
        <v>127</v>
      </c>
      <c r="F84" t="s">
        <v>136</v>
      </c>
      <c r="G84" t="s">
        <v>113</v>
      </c>
      <c r="H84" t="s">
        <v>16</v>
      </c>
      <c r="I84" t="s">
        <v>16</v>
      </c>
      <c r="J84" t="s">
        <v>105</v>
      </c>
      <c r="K84" t="s">
        <v>358</v>
      </c>
      <c r="L84" t="s">
        <v>359</v>
      </c>
      <c r="N84" t="s">
        <v>108</v>
      </c>
      <c r="P84" t="s">
        <v>164</v>
      </c>
      <c r="Q84" s="1"/>
      <c r="R84" s="1">
        <v>42383</v>
      </c>
      <c r="S84" s="1">
        <v>43404</v>
      </c>
      <c r="T84">
        <v>2099</v>
      </c>
      <c r="U84">
        <v>8991</v>
      </c>
      <c r="V84">
        <v>93</v>
      </c>
      <c r="X84">
        <v>29</v>
      </c>
      <c r="AA84">
        <f>Préparation_2025[[#This Row],[AC 2025]]-Préparation_2025[[#This Row],[AC 2025 Initiale]]</f>
        <v>29</v>
      </c>
      <c r="AB84">
        <f>Préparation_2025[[#This Row],[TR 2025]]-Préparation_2025[[#This Row],[TR 2025 Initiale]]</f>
        <v>0</v>
      </c>
      <c r="AC84">
        <f>Préparation_2025[[#This Row],[Écart AC 2025]]+Préparation_2025[[#This Row],[Écart TR 2025]]</f>
        <v>29</v>
      </c>
      <c r="AG84"/>
      <c r="AH84">
        <f>Préparation_2025[[#This Row],[AC 2026]]-Préparation_2025[[#This Row],[AC 2026 Initiale]]</f>
        <v>0</v>
      </c>
      <c r="AI84">
        <f>Préparation_2025[[#This Row],[TR 2026]]-Préparation_2025[[#This Row],[TR 2026 Initiale]]</f>
        <v>0</v>
      </c>
      <c r="AJ84">
        <f>Préparation_2025[[#This Row],[Écart AC 2026]]+Préparation_2025[[#This Row],[Écart TR 2026]]</f>
        <v>0</v>
      </c>
      <c r="AZ84"/>
      <c r="BA84"/>
      <c r="BB84" s="14">
        <f>SUM(Préparation_2025[[#This Row],[AC ANT]:[TR 2025]],Préparation_2025[[#This Row],[AC 2026]:[TR 2026]],Préparation_2025[[#This Row],[AC 2027]:[TR 2034]])</f>
        <v>11212</v>
      </c>
    </row>
    <row r="85" spans="1:54" x14ac:dyDescent="0.3">
      <c r="K85">
        <f>SUBTOTAL(103,Préparation_2025[Numéro projet])</f>
        <v>67</v>
      </c>
      <c r="T85" s="14">
        <f>SUBTOTAL(109,Préparation_2025[AC ANT])</f>
        <v>18490</v>
      </c>
      <c r="U85" s="14">
        <f>SUBTOTAL(109,Préparation_2025[TR ANT])</f>
        <v>108030</v>
      </c>
      <c r="V85" s="14">
        <f>SUBTOTAL(109,Préparation_2025[AC 2024])</f>
        <v>4258</v>
      </c>
      <c r="W85" s="14">
        <f>SUBTOTAL(109,Préparation_2025[TR 2024])</f>
        <v>66635</v>
      </c>
      <c r="X85" s="14">
        <f>SUBTOTAL(109,Préparation_2025[AC 2025])</f>
        <v>11792</v>
      </c>
      <c r="Y85" s="14">
        <f>SUBTOTAL(109,Préparation_2025[TR 2025])</f>
        <v>55714</v>
      </c>
      <c r="Z85" s="14">
        <f>SUBTOTAL(109,Préparation_2025[AC 2025 Initiale])</f>
        <v>10230</v>
      </c>
      <c r="AA85" s="14">
        <f>SUBTOTAL(109,Préparation_2025[Écart AC 2025])</f>
        <v>1562</v>
      </c>
      <c r="AB85" s="14">
        <f>SUBTOTAL(109,Préparation_2025[Écart TR 2025])</f>
        <v>5436</v>
      </c>
      <c r="AC85" s="14">
        <f>SUBTOTAL(109,Préparation_2025[Écart 2025 Total])</f>
        <v>6998</v>
      </c>
      <c r="AD85" s="14">
        <f>SUBTOTAL(109,Préparation_2025[TR 2025 Initiale])</f>
        <v>50278</v>
      </c>
      <c r="AE85" s="14">
        <f>SUBTOTAL(109,Préparation_2025[AC 2026])</f>
        <v>10981</v>
      </c>
      <c r="AF85" s="14">
        <f>SUBTOTAL(109,Préparation_2025[TR 2026])</f>
        <v>68290</v>
      </c>
      <c r="AG85" s="14">
        <f>SUBTOTAL(109,Préparation_2025[AC 2026 Initiale])</f>
        <v>10982</v>
      </c>
      <c r="AH85" s="14">
        <f>SUBTOTAL(109,Préparation_2025[Écart AC 2026])</f>
        <v>-1</v>
      </c>
      <c r="AI85" s="14">
        <f>SUBTOTAL(109,Préparation_2025[Écart TR 2026])</f>
        <v>1778</v>
      </c>
      <c r="AJ85" s="14">
        <f>SUBTOTAL(109,Préparation_2025[Écart 2026 Total])</f>
        <v>1777</v>
      </c>
      <c r="AK85" s="14">
        <f>SUBTOTAL(109,Préparation_2025[TR 2026 Initiale])</f>
        <v>66512</v>
      </c>
      <c r="AL85" s="14">
        <f>SUBTOTAL(109,Préparation_2025[AC 2027])</f>
        <v>10406</v>
      </c>
      <c r="AM85" s="14">
        <f>SUBTOTAL(109,Préparation_2025[TR 2027])</f>
        <v>59351</v>
      </c>
      <c r="AN85" s="14">
        <f>SUBTOTAL(109,Préparation_2025[AC 2028])</f>
        <v>6115</v>
      </c>
      <c r="AO85" s="14">
        <f>SUBTOTAL(109,Préparation_2025[TR 2028])</f>
        <v>66548</v>
      </c>
      <c r="AP85" s="14">
        <f>SUBTOTAL(109,Préparation_2025[AC 2029])</f>
        <v>3062</v>
      </c>
      <c r="AQ85" s="14">
        <f>SUBTOTAL(109,Préparation_2025[TR 2029])</f>
        <v>55251</v>
      </c>
      <c r="AR85" s="14">
        <f>SUBTOTAL(109,Préparation_2025[AC 2030])</f>
        <v>2395</v>
      </c>
      <c r="AS85" s="14">
        <f>SUBTOTAL(109,Préparation_2025[TR 2030])</f>
        <v>36208</v>
      </c>
      <c r="AT85" s="14">
        <f>SUBTOTAL(109,Préparation_2025[AC 2031])</f>
        <v>1918</v>
      </c>
      <c r="AU85" s="14">
        <f>SUBTOTAL(109,Préparation_2025[TR 2031])</f>
        <v>41119</v>
      </c>
      <c r="AV85" s="14">
        <f>SUBTOTAL(109,Préparation_2025[AC 2032])</f>
        <v>0</v>
      </c>
      <c r="AW85" s="14">
        <f>SUBTOTAL(109,Préparation_2025[TR 2032])</f>
        <v>0</v>
      </c>
      <c r="AX85" s="14">
        <f>SUBTOTAL(109,Préparation_2025[AC 2033])</f>
        <v>0</v>
      </c>
      <c r="AY85" s="14">
        <f>SUBTOTAL(109,Préparation_2025[TR 2033])</f>
        <v>0</v>
      </c>
      <c r="AZ85" s="14">
        <f>SUBTOTAL(109,Préparation_2025[AC 2034])</f>
        <v>0</v>
      </c>
      <c r="BA85" s="14">
        <f>SUBTOTAL(109,Préparation_2025[TR 2034])</f>
        <v>0</v>
      </c>
      <c r="BB85" s="14">
        <f>SUBTOTAL(109,Préparation_2025[Total Projet])</f>
        <v>626563</v>
      </c>
    </row>
    <row r="147" spans="66:67" x14ac:dyDescent="0.3">
      <c r="BN147" s="57"/>
      <c r="BO147" s="57"/>
    </row>
  </sheetData>
  <mergeCells count="223">
    <mergeCell ref="AO16:AP16"/>
    <mergeCell ref="AQ16:AR16"/>
    <mergeCell ref="AS15:AT15"/>
    <mergeCell ref="AU15:AV15"/>
    <mergeCell ref="AW15:AX15"/>
    <mergeCell ref="AY15:AZ15"/>
    <mergeCell ref="S16:T16"/>
    <mergeCell ref="U16:V16"/>
    <mergeCell ref="W16:X16"/>
    <mergeCell ref="Y16:Z16"/>
    <mergeCell ref="AD16:AE16"/>
    <mergeCell ref="AF15:AG15"/>
    <mergeCell ref="AH15:AJ15"/>
    <mergeCell ref="AK15:AL15"/>
    <mergeCell ref="AM15:AN15"/>
    <mergeCell ref="AO15:AP15"/>
    <mergeCell ref="AQ15:AR15"/>
    <mergeCell ref="AS16:AT16"/>
    <mergeCell ref="AU16:AV16"/>
    <mergeCell ref="AW16:AX16"/>
    <mergeCell ref="AY16:AZ16"/>
    <mergeCell ref="AF16:AG16"/>
    <mergeCell ref="AH16:AJ16"/>
    <mergeCell ref="AK16:AL16"/>
    <mergeCell ref="AM16:AN16"/>
    <mergeCell ref="S15:T15"/>
    <mergeCell ref="U15:V15"/>
    <mergeCell ref="W15:X15"/>
    <mergeCell ref="Y15:Z15"/>
    <mergeCell ref="AD15:AE15"/>
    <mergeCell ref="AF14:AG14"/>
    <mergeCell ref="AH14:AJ14"/>
    <mergeCell ref="AK14:AL14"/>
    <mergeCell ref="AS13:AT13"/>
    <mergeCell ref="AU13:AV13"/>
    <mergeCell ref="AW13:AX13"/>
    <mergeCell ref="AY13:AZ13"/>
    <mergeCell ref="S14:T14"/>
    <mergeCell ref="U14:V14"/>
    <mergeCell ref="W14:X14"/>
    <mergeCell ref="Y14:Z14"/>
    <mergeCell ref="AD14:AE14"/>
    <mergeCell ref="AF13:AG13"/>
    <mergeCell ref="AH13:AJ13"/>
    <mergeCell ref="AK13:AL13"/>
    <mergeCell ref="AM13:AN13"/>
    <mergeCell ref="AO13:AP13"/>
    <mergeCell ref="AQ13:AR13"/>
    <mergeCell ref="AS14:AT14"/>
    <mergeCell ref="AU14:AV14"/>
    <mergeCell ref="AW14:AX14"/>
    <mergeCell ref="AY14:AZ14"/>
    <mergeCell ref="AM14:AN14"/>
    <mergeCell ref="AO14:AP14"/>
    <mergeCell ref="AQ14:AR14"/>
    <mergeCell ref="U13:V13"/>
    <mergeCell ref="W13:X13"/>
    <mergeCell ref="Y13:Z13"/>
    <mergeCell ref="AA13:AC13"/>
    <mergeCell ref="AD13:AE13"/>
    <mergeCell ref="AD12:AE12"/>
    <mergeCell ref="AF12:AG12"/>
    <mergeCell ref="AH12:AJ12"/>
    <mergeCell ref="AK12:AL12"/>
    <mergeCell ref="AQ11:AR11"/>
    <mergeCell ref="W11:X11"/>
    <mergeCell ref="Y11:Z11"/>
    <mergeCell ref="AA11:AC11"/>
    <mergeCell ref="AS11:AT11"/>
    <mergeCell ref="AU11:AV11"/>
    <mergeCell ref="AW11:AX11"/>
    <mergeCell ref="AY11:AZ11"/>
    <mergeCell ref="S12:T12"/>
    <mergeCell ref="U12:V12"/>
    <mergeCell ref="W12:X12"/>
    <mergeCell ref="Y12:Z12"/>
    <mergeCell ref="AA12:AC12"/>
    <mergeCell ref="AD11:AE11"/>
    <mergeCell ref="AF11:AG11"/>
    <mergeCell ref="AH11:AJ11"/>
    <mergeCell ref="AK11:AL11"/>
    <mergeCell ref="AM11:AN11"/>
    <mergeCell ref="AO11:AP11"/>
    <mergeCell ref="AQ12:AR12"/>
    <mergeCell ref="AS12:AT12"/>
    <mergeCell ref="AU12:AV12"/>
    <mergeCell ref="AW12:AX12"/>
    <mergeCell ref="AY12:AZ12"/>
    <mergeCell ref="AM12:AN12"/>
    <mergeCell ref="AO12:AP12"/>
    <mergeCell ref="S11:T11"/>
    <mergeCell ref="U11:V11"/>
    <mergeCell ref="AQ9:AR9"/>
    <mergeCell ref="AS9:AT9"/>
    <mergeCell ref="AU9:AV9"/>
    <mergeCell ref="AW9:AX9"/>
    <mergeCell ref="AY9:AZ9"/>
    <mergeCell ref="AM9:AN9"/>
    <mergeCell ref="AO9:AP9"/>
    <mergeCell ref="AQ10:AR10"/>
    <mergeCell ref="AS10:AT10"/>
    <mergeCell ref="AU10:AV10"/>
    <mergeCell ref="AW10:AX10"/>
    <mergeCell ref="AY10:AZ10"/>
    <mergeCell ref="AM10:AN10"/>
    <mergeCell ref="AO10:AP10"/>
    <mergeCell ref="S10:T10"/>
    <mergeCell ref="U10:V10"/>
    <mergeCell ref="W10:X10"/>
    <mergeCell ref="Y10:Z10"/>
    <mergeCell ref="AA10:AC10"/>
    <mergeCell ref="AD9:AE9"/>
    <mergeCell ref="AF9:AG9"/>
    <mergeCell ref="AH9:AJ9"/>
    <mergeCell ref="AK9:AL9"/>
    <mergeCell ref="S9:T9"/>
    <mergeCell ref="U9:V9"/>
    <mergeCell ref="W9:X9"/>
    <mergeCell ref="Y9:Z9"/>
    <mergeCell ref="AA9:AC9"/>
    <mergeCell ref="AD10:AE10"/>
    <mergeCell ref="AF10:AG10"/>
    <mergeCell ref="AH10:AJ10"/>
    <mergeCell ref="AK10:AL10"/>
    <mergeCell ref="J8:K8"/>
    <mergeCell ref="S8:T8"/>
    <mergeCell ref="U8:V8"/>
    <mergeCell ref="W8:X8"/>
    <mergeCell ref="Y8:Z8"/>
    <mergeCell ref="AA8:AC8"/>
    <mergeCell ref="AF7:AG7"/>
    <mergeCell ref="AH7:AJ7"/>
    <mergeCell ref="AK7:AL7"/>
    <mergeCell ref="AY8:AZ8"/>
    <mergeCell ref="AM8:AN8"/>
    <mergeCell ref="AO8:AP8"/>
    <mergeCell ref="S7:T7"/>
    <mergeCell ref="U7:V7"/>
    <mergeCell ref="W7:X7"/>
    <mergeCell ref="Y7:Z7"/>
    <mergeCell ref="AA7:AC7"/>
    <mergeCell ref="AD7:AE7"/>
    <mergeCell ref="AD8:AE8"/>
    <mergeCell ref="AF8:AG8"/>
    <mergeCell ref="AH8:AJ8"/>
    <mergeCell ref="AK8:AL8"/>
    <mergeCell ref="AS7:AT7"/>
    <mergeCell ref="AU7:AV7"/>
    <mergeCell ref="AW7:AX7"/>
    <mergeCell ref="AY7:AZ7"/>
    <mergeCell ref="AM7:AN7"/>
    <mergeCell ref="AO7:AP7"/>
    <mergeCell ref="AQ7:AR7"/>
    <mergeCell ref="AQ8:AR8"/>
    <mergeCell ref="AS8:AT8"/>
    <mergeCell ref="AU8:AV8"/>
    <mergeCell ref="AW8:AX8"/>
    <mergeCell ref="AF6:AG6"/>
    <mergeCell ref="AH6:AJ6"/>
    <mergeCell ref="AK6:AL6"/>
    <mergeCell ref="AW5:AX5"/>
    <mergeCell ref="AY5:AZ5"/>
    <mergeCell ref="S6:T6"/>
    <mergeCell ref="U6:V6"/>
    <mergeCell ref="W6:X6"/>
    <mergeCell ref="Y6:Z6"/>
    <mergeCell ref="AA6:AC6"/>
    <mergeCell ref="AD6:AE6"/>
    <mergeCell ref="AF5:AG5"/>
    <mergeCell ref="AH5:AJ5"/>
    <mergeCell ref="AK5:AL5"/>
    <mergeCell ref="AM5:AN5"/>
    <mergeCell ref="AO5:AP5"/>
    <mergeCell ref="AQ5:AR5"/>
    <mergeCell ref="AS6:AT6"/>
    <mergeCell ref="AU6:AV6"/>
    <mergeCell ref="AW6:AX6"/>
    <mergeCell ref="AY6:AZ6"/>
    <mergeCell ref="AM6:AN6"/>
    <mergeCell ref="AO6:AP6"/>
    <mergeCell ref="AQ6:AR6"/>
    <mergeCell ref="AS4:AT4"/>
    <mergeCell ref="AU4:AV4"/>
    <mergeCell ref="AW4:AX4"/>
    <mergeCell ref="AY4:AZ4"/>
    <mergeCell ref="S5:T5"/>
    <mergeCell ref="U5:V5"/>
    <mergeCell ref="W5:X5"/>
    <mergeCell ref="Y5:Z5"/>
    <mergeCell ref="AA5:AC5"/>
    <mergeCell ref="AD5:AE5"/>
    <mergeCell ref="AF4:AG4"/>
    <mergeCell ref="AH4:AJ4"/>
    <mergeCell ref="AK4:AL4"/>
    <mergeCell ref="AM4:AN4"/>
    <mergeCell ref="AO4:AP4"/>
    <mergeCell ref="AQ4:AR4"/>
    <mergeCell ref="S4:T4"/>
    <mergeCell ref="U4:V4"/>
    <mergeCell ref="W4:X4"/>
    <mergeCell ref="Y4:Z4"/>
    <mergeCell ref="AA4:AC4"/>
    <mergeCell ref="AD4:AE4"/>
    <mergeCell ref="AS5:AT5"/>
    <mergeCell ref="AU5:AV5"/>
    <mergeCell ref="AU3:AV3"/>
    <mergeCell ref="AW3:AX3"/>
    <mergeCell ref="AY3:AZ3"/>
    <mergeCell ref="AA3:AC3"/>
    <mergeCell ref="AD3:AE3"/>
    <mergeCell ref="AF3:AG3"/>
    <mergeCell ref="AH3:AJ3"/>
    <mergeCell ref="AK3:AL3"/>
    <mergeCell ref="AM3:AN3"/>
    <mergeCell ref="P2:Q2"/>
    <mergeCell ref="Q3:R3"/>
    <mergeCell ref="S3:T3"/>
    <mergeCell ref="U3:V3"/>
    <mergeCell ref="W3:X3"/>
    <mergeCell ref="Y3:Z3"/>
    <mergeCell ref="AO3:AP3"/>
    <mergeCell ref="AQ3:AR3"/>
    <mergeCell ref="AS3:AT3"/>
  </mergeCells>
  <phoneticPr fontId="1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3C51-885A-4242-AFDE-A2E92EF2B593}">
  <dimension ref="A1:BK144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customWidth="1"/>
    <col min="14" max="14" width="28" bestFit="1" customWidth="1"/>
    <col min="15" max="16" width="13.6640625" customWidth="1"/>
    <col min="17" max="17" width="13" customWidth="1"/>
    <col min="18" max="18" width="12.33203125" hidden="1" customWidth="1" outlineLevel="1"/>
    <col min="19" max="19" width="13" hidden="1" customWidth="1" outlineLevel="1"/>
    <col min="20" max="21" width="9.44140625" hidden="1" customWidth="1" outlineLevel="1"/>
    <col min="22" max="22" width="9.5546875" hidden="1" customWidth="1" outlineLevel="1" collapsed="1"/>
    <col min="23" max="23" width="9.5546875" hidden="1" customWidth="1" outlineLevel="1"/>
    <col min="24" max="24" width="9.5546875" customWidth="1" collapsed="1"/>
    <col min="25" max="25" width="13.33203125" hidden="1" customWidth="1" outlineLevel="1"/>
    <col min="26" max="27" width="11.5546875" hidden="1" customWidth="1" outlineLevel="1"/>
    <col min="28" max="28" width="8.33203125" hidden="1" customWidth="1" outlineLevel="1" collapsed="1"/>
    <col min="29" max="29" width="9" hidden="1" customWidth="1" outlineLevel="1"/>
    <col min="30" max="30" width="21.44140625" customWidth="1" collapsed="1"/>
    <col min="31" max="31" width="9" customWidth="1" outlineLevel="1"/>
    <col min="32" max="32" width="9.88671875" style="25" customWidth="1" outlineLevel="1"/>
    <col min="33" max="33" width="9.88671875" style="25" customWidth="1"/>
    <col min="34" max="34" width="9.6640625" hidden="1" customWidth="1" outlineLevel="1"/>
    <col min="35" max="35" width="12.109375" hidden="1" customWidth="1" outlineLevel="1" collapsed="1"/>
    <col min="36" max="36" width="12.109375" hidden="1" customWidth="1" outlineLevel="1"/>
    <col min="37" max="37" width="8.109375" hidden="1" customWidth="1" outlineLevel="1" collapsed="1"/>
    <col min="38" max="38" width="8.109375" hidden="1" customWidth="1" outlineLevel="1"/>
    <col min="39" max="39" width="18.5546875" customWidth="1" collapsed="1"/>
    <col min="40" max="40" width="7.44140625" customWidth="1" outlineLevel="1"/>
    <col min="41" max="41" width="9.44140625" customWidth="1" outlineLevel="1"/>
    <col min="42" max="42" width="10.33203125" customWidth="1" outlineLevel="1"/>
    <col min="43" max="43" width="9.5546875" customWidth="1" outlineLevel="1"/>
    <col min="44" max="49" width="9.88671875" customWidth="1" outlineLevel="1"/>
    <col min="50" max="50" width="9.88671875" style="8" customWidth="1" outlineLevel="1"/>
    <col min="51" max="55" width="9.88671875" customWidth="1" outlineLevel="1"/>
    <col min="56" max="56" width="15.5546875" customWidth="1"/>
    <col min="57" max="57" width="13.33203125" customWidth="1"/>
    <col min="58" max="60" width="9.88671875" customWidth="1"/>
    <col min="61" max="61" width="16.109375" customWidth="1"/>
    <col min="62" max="62" width="17" customWidth="1"/>
    <col min="63" max="73" width="11.33203125" customWidth="1"/>
    <col min="74" max="74" width="12.5546875" customWidth="1"/>
    <col min="75" max="75" width="13.44140625" customWidth="1"/>
    <col min="76" max="76" width="13.109375" customWidth="1"/>
    <col min="77" max="77" width="14" customWidth="1"/>
    <col min="78" max="83" width="17.33203125" customWidth="1"/>
    <col min="84" max="84" width="18.109375" customWidth="1"/>
    <col min="85" max="85" width="17.5546875" customWidth="1"/>
  </cols>
  <sheetData>
    <row r="1" spans="1:59" ht="21" x14ac:dyDescent="0.4">
      <c r="A1" s="85"/>
      <c r="B1" s="85"/>
      <c r="C1" s="85"/>
      <c r="D1" s="85"/>
      <c r="E1" s="85"/>
      <c r="F1" s="85"/>
      <c r="J1" s="32" t="s">
        <v>561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85"/>
      <c r="BG1" s="85"/>
    </row>
    <row r="2" spans="1:59" x14ac:dyDescent="0.3">
      <c r="J2" s="189" t="s">
        <v>562</v>
      </c>
      <c r="K2" s="190"/>
      <c r="P2" s="314"/>
      <c r="Q2" s="314"/>
      <c r="R2" s="25"/>
      <c r="S2" s="25"/>
      <c r="T2" s="25"/>
      <c r="U2" s="8"/>
      <c r="AF2"/>
      <c r="AG2"/>
      <c r="AX2"/>
    </row>
    <row r="3" spans="1:59" ht="25.5" customHeight="1" thickBot="1" x14ac:dyDescent="0.35">
      <c r="J3" s="129" t="s">
        <v>2</v>
      </c>
      <c r="K3" s="130"/>
      <c r="N3" s="65"/>
      <c r="P3" s="332" t="s">
        <v>5</v>
      </c>
      <c r="Q3" s="333"/>
      <c r="R3" s="301" t="s">
        <v>6</v>
      </c>
      <c r="S3" s="302"/>
      <c r="T3" s="303">
        <v>2024</v>
      </c>
      <c r="U3" s="302"/>
      <c r="V3" s="293" t="s">
        <v>263</v>
      </c>
      <c r="W3" s="304"/>
      <c r="X3" s="188"/>
      <c r="Y3" s="297" t="s">
        <v>553</v>
      </c>
      <c r="Z3" s="298"/>
      <c r="AA3" s="200"/>
      <c r="AB3" s="311" t="s">
        <v>554</v>
      </c>
      <c r="AC3" s="312"/>
      <c r="AD3" s="313"/>
      <c r="AE3" s="300" t="s">
        <v>266</v>
      </c>
      <c r="AF3" s="300"/>
      <c r="AG3" s="188"/>
      <c r="AH3" s="297" t="s">
        <v>557</v>
      </c>
      <c r="AI3" s="298"/>
      <c r="AJ3" s="200"/>
      <c r="AK3" s="308" t="s">
        <v>558</v>
      </c>
      <c r="AL3" s="309"/>
      <c r="AM3" s="310"/>
      <c r="AN3" s="300">
        <v>2027</v>
      </c>
      <c r="AO3" s="294"/>
      <c r="AP3" s="293">
        <v>2028</v>
      </c>
      <c r="AQ3" s="294"/>
      <c r="AR3" s="293">
        <v>2029</v>
      </c>
      <c r="AS3" s="294"/>
      <c r="AT3" s="293">
        <v>2030</v>
      </c>
      <c r="AU3" s="294"/>
      <c r="AV3" s="293">
        <v>2031</v>
      </c>
      <c r="AW3" s="294"/>
      <c r="AX3" s="293">
        <v>2032</v>
      </c>
      <c r="AY3" s="294"/>
      <c r="AZ3" s="293">
        <v>2033</v>
      </c>
      <c r="BA3" s="294"/>
      <c r="BB3" s="293">
        <v>2034</v>
      </c>
      <c r="BC3" s="294"/>
      <c r="BD3" s="26" t="s">
        <v>269</v>
      </c>
      <c r="BE3" s="26" t="s">
        <v>8</v>
      </c>
    </row>
    <row r="4" spans="1:59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SUMIFS(Travaux_202517[AC 2024],Travaux_202517[DES_COMPL_NATR_COMPB],"=Fonctionnement")+SUMIFS(Travaux_202517[TR 2024],Travaux_202517[DES_COMPL_NATR_COMPB],"=Fonctionnement")</f>
        <v>0</v>
      </c>
      <c r="U4" s="260"/>
      <c r="V4" s="295">
        <f>SUMIFS(Travaux_202517[AC 2025],Travaux_202517[DES_COMPL_NATR_COMPB],"=Fonctionnement")+SUMIFS(Travaux_202517[TR 2025],Travaux_202517[DES_COMPL_NATR_COMPB],"=Fonctionnement")</f>
        <v>300</v>
      </c>
      <c r="W4" s="296"/>
      <c r="X4" s="187"/>
      <c r="Y4" s="334">
        <f>SUMIFS(Travaux_202517[AC 2025 Initiale],Travaux_202517[DES_COMPL_NATR_COMPB],"=Fonctionnement")+SUMIFS(Travaux_202517[TR 2025 Initiale],Travaux_202517[DES_COMPL_NATR_COMPB],"=Fonctionnement")</f>
        <v>300</v>
      </c>
      <c r="Z4" s="296"/>
      <c r="AA4" s="78"/>
      <c r="AB4" s="279"/>
      <c r="AC4" s="260"/>
      <c r="AD4" s="280"/>
      <c r="AE4" s="334">
        <f>SUMIFS(Travaux_202517[AC 2026],Travaux_202517[DES_COMPL_NATR_COMPB],"=Fonctionnement")+SUMIFS(Travaux_202517[TR 2026],Travaux_202517[DES_COMPL_NATR_COMPB],"=Fonctionnement")</f>
        <v>0</v>
      </c>
      <c r="AF4" s="295"/>
      <c r="AG4" s="187"/>
      <c r="AH4" s="295">
        <f>SUMIFS(Travaux_202517[AC 2026 Initiale],Travaux_202517[DES_COMPL_NATR_COMPB],"=Fonctionnement")+SUMIFS(Travaux_202517[TR 2026 Initiale],Travaux_202517[DES_COMPL_NATR_COMPB],"=Fonctionnement")</f>
        <v>0</v>
      </c>
      <c r="AI4" s="296"/>
      <c r="AJ4" s="78"/>
      <c r="AK4" s="279"/>
      <c r="AL4" s="260"/>
      <c r="AM4" s="280"/>
      <c r="AN4" s="334">
        <f>SUMIFS(Travaux_202517[AC 2027],Travaux_202517[DES_COMPL_NATR_COMPB],"=Fonctionnement")+SUMIFS(Travaux_202517[TR 2027],Travaux_202517[DES_COMPL_NATR_COMPB],"=Fonctionnement")</f>
        <v>0</v>
      </c>
      <c r="AO4" s="295"/>
      <c r="AP4" s="295">
        <f>SUMIFS(Travaux_202517[AC 2028],Travaux_202517[DES_COMPL_NATR_COMPB],"=Fonctionnement")+SUMIFS(Travaux_202517[TR 2028],Travaux_202517[DES_COMPL_NATR_COMPB],"=Fonctionnement")</f>
        <v>0</v>
      </c>
      <c r="AQ4" s="295"/>
      <c r="AR4" s="295">
        <f>SUMIFS(Travaux_202517[AC 2029],Travaux_202517[DES_COMPL_NATR_COMPB],"=Fonctionnement")+SUMIFS(Travaux_202517[TR 2029],Travaux_202517[DES_COMPL_NATR_COMPB],"=Fonctionnement")</f>
        <v>0</v>
      </c>
      <c r="AS4" s="295"/>
      <c r="AT4" s="295">
        <f>SUMIFS(Travaux_202517[AC 2030],Travaux_202517[DES_COMPL_NATR_COMPB],"=Fonctionnement")+SUMIFS(Travaux_202517[TR 2030],Travaux_202517[DES_COMPL_NATR_COMPB],"=Fonctionnement")</f>
        <v>0</v>
      </c>
      <c r="AU4" s="295"/>
      <c r="AV4" s="295">
        <f>SUMIFS(Travaux_202517[AC 2031],Travaux_202517[DES_COMPL_NATR_COMPB],"=Fonctionnement")+SUMIFS(Travaux_202517[TR 2031],Travaux_202517[DES_COMPL_NATR_COMPB],"=Fonctionnement")</f>
        <v>0</v>
      </c>
      <c r="AW4" s="295"/>
      <c r="AX4" s="295">
        <f>SUMIFS(Travaux_202517[AC 2032],Travaux_202517[DES_COMPL_NATR_COMPB],"=Fonctionnement")+SUMIFS(Travaux_202517[TR 2032],Travaux_202517[DES_COMPL_NATR_COMPB],"=Fonctionnement")</f>
        <v>0</v>
      </c>
      <c r="AY4" s="295"/>
      <c r="AZ4" s="295">
        <f>SUMIFS(Travaux_202517[AC 2033],Travaux_202517[DES_COMPL_NATR_COMPB],"=Fonctionnement")+SUMIFS(Travaux_202517[TR 2033],Travaux_202517[DES_COMPL_NATR_COMPB],"=Fonctionnement")</f>
        <v>0</v>
      </c>
      <c r="BA4" s="295"/>
      <c r="BB4" s="295">
        <f>SUMIFS(Travaux_202517[AC 2034],Travaux_202517[DES_COMPL_NATR_COMPB],"=Fonctionnement")+SUMIFS(Travaux_202517[TR 2034],Travaux_202517[DES_COMPL_NATR_COMPB],"=Fonctionnement")</f>
        <v>0</v>
      </c>
      <c r="BC4" s="295"/>
      <c r="BD4" s="16">
        <f t="shared" ref="BD4:BD12" si="0">SUM(V4,AE4)</f>
        <v>300</v>
      </c>
      <c r="BE4" s="16">
        <f t="shared" ref="BE4:BE11" si="1">SUM(V4,AE4,AN4:BC4)</f>
        <v>300</v>
      </c>
    </row>
    <row r="5" spans="1:59" x14ac:dyDescent="0.3">
      <c r="J5" s="27" t="s">
        <v>12</v>
      </c>
      <c r="K5" s="28" t="s">
        <v>13</v>
      </c>
      <c r="Q5" s="104" t="s">
        <v>15</v>
      </c>
      <c r="R5" s="279">
        <f>SUMIFS(Travaux_202517[AC ANT],Travaux_202517[État Composante AC],"=PR")</f>
        <v>6160</v>
      </c>
      <c r="S5" s="260"/>
      <c r="T5" s="260">
        <f>SUMIFS(Travaux_202517[AC 2024],Travaux_202517[État Composante AC],"=PR")</f>
        <v>1111</v>
      </c>
      <c r="U5" s="260"/>
      <c r="V5" s="260">
        <f>SUMIFS(Travaux_202517[AC 2025],Travaux_202517[État Composante AC],"=PR")</f>
        <v>2716</v>
      </c>
      <c r="W5" s="280"/>
      <c r="X5" s="78"/>
      <c r="Y5" s="279">
        <f>SUMIFS(Travaux_202517[AC 2025 Initiale],Travaux_202517[État Composante AC],"=PR")</f>
        <v>2716</v>
      </c>
      <c r="Z5" s="280"/>
      <c r="AA5" s="78"/>
      <c r="AB5" s="279">
        <f>SUMIFS(Travaux_202517[Écart AC 2025],Travaux_202517[État Composante AC],"=PR")</f>
        <v>0</v>
      </c>
      <c r="AC5" s="260"/>
      <c r="AD5" s="280"/>
      <c r="AE5" s="279">
        <f>SUMIFS(Travaux_202517[AC 2026],Travaux_202517[État Composante AC],"=PR")</f>
        <v>60</v>
      </c>
      <c r="AF5" s="260"/>
      <c r="AG5" s="78"/>
      <c r="AH5" s="260">
        <f>SUMIFS(Travaux_202517[AC 2026 Initiale],Travaux_202517[État Composante AC],"=PR")</f>
        <v>60</v>
      </c>
      <c r="AI5" s="280"/>
      <c r="AJ5" s="78"/>
      <c r="AK5" s="279">
        <f>SUMIFS(Travaux_202517[Écart AC 2026],Travaux_202517[État Composante AC],"=PR")</f>
        <v>0</v>
      </c>
      <c r="AL5" s="260"/>
      <c r="AM5" s="280"/>
      <c r="AN5" s="279">
        <f>SUMIFS(Travaux_202517[AC 2027],Travaux_202517[État Composante AC],"=PR")</f>
        <v>0</v>
      </c>
      <c r="AO5" s="260"/>
      <c r="AP5" s="260">
        <f>SUMIFS(Travaux_202517[AC 2028],Travaux_202517[État Composante AC],"=PR")</f>
        <v>0</v>
      </c>
      <c r="AQ5" s="260"/>
      <c r="AR5" s="260">
        <f>SUMIFS(Travaux_202517[AC 2029],Travaux_202517[État Composante AC],"=PR")</f>
        <v>0</v>
      </c>
      <c r="AS5" s="260"/>
      <c r="AT5" s="260">
        <f>SUMIFS(Travaux_202517[AC 2030],Travaux_202517[État Composante AC],"=PR")</f>
        <v>0</v>
      </c>
      <c r="AU5" s="260"/>
      <c r="AV5" s="260">
        <f>SUMIFS(Travaux_202517[AC 2031],Travaux_202517[État Composante AC],"=PR")</f>
        <v>0</v>
      </c>
      <c r="AW5" s="260"/>
      <c r="AX5" s="260">
        <f>SUMIFS(Travaux_202517[AC 2032],Travaux_202517[État Composante AC],"=PR")</f>
        <v>0</v>
      </c>
      <c r="AY5" s="260"/>
      <c r="AZ5" s="260">
        <f>SUMIFS(Travaux_202517[AC 2033],Travaux_202517[État Composante AC],"=PR")</f>
        <v>0</v>
      </c>
      <c r="BA5" s="260"/>
      <c r="BB5" s="260">
        <f>SUMIFS(Travaux_202517[AC 2034],Travaux_202517[État Composante AC],"=PR")</f>
        <v>0</v>
      </c>
      <c r="BC5" s="260"/>
      <c r="BD5" s="16">
        <f t="shared" si="0"/>
        <v>2776</v>
      </c>
      <c r="BE5" s="16">
        <f t="shared" si="1"/>
        <v>2776</v>
      </c>
    </row>
    <row r="6" spans="1:59" ht="15" thickBot="1" x14ac:dyDescent="0.35">
      <c r="J6" s="29" t="s">
        <v>16</v>
      </c>
      <c r="K6" s="28" t="s">
        <v>17</v>
      </c>
      <c r="Q6" s="83" t="s">
        <v>19</v>
      </c>
      <c r="R6" s="279">
        <f>SUMIFS(Travaux_202517[TR ANT],Travaux_202517[État Composante TR],"=PR")</f>
        <v>33242</v>
      </c>
      <c r="S6" s="260"/>
      <c r="T6" s="260">
        <f>SUMIFS(Travaux_202517[TR 2024],Travaux_202517[État Composante TR],"=PR")</f>
        <v>32184</v>
      </c>
      <c r="U6" s="260"/>
      <c r="V6" s="260">
        <f>SUMIFS(Travaux_202517[TR 2025],Travaux_202517[État Composante TR],"=PR")</f>
        <v>50278</v>
      </c>
      <c r="W6" s="280"/>
      <c r="X6" s="78"/>
      <c r="Y6" s="279">
        <f>SUMIFS(Travaux_202517[TR 2025 Initiale],Travaux_202517[État Composante TR],"=PR")</f>
        <v>50278</v>
      </c>
      <c r="Z6" s="280"/>
      <c r="AA6" s="78"/>
      <c r="AB6" s="279">
        <f>SUMIFS(Travaux_202517[Écart TR 2025],Travaux_202517[État Composante TR],"=PR")</f>
        <v>0</v>
      </c>
      <c r="AC6" s="260"/>
      <c r="AD6" s="280"/>
      <c r="AE6" s="279">
        <f>SUMIFS(Travaux_202517[TR 2026],Travaux_202517[État Composante TR],"=PR")</f>
        <v>0</v>
      </c>
      <c r="AF6" s="260"/>
      <c r="AG6" s="78"/>
      <c r="AH6" s="260">
        <f>SUMIFS(Travaux_202517[TR 2026 Initiale],Travaux_202517[État Composante TR],"=PR")</f>
        <v>0</v>
      </c>
      <c r="AI6" s="280"/>
      <c r="AJ6" s="78"/>
      <c r="AK6" s="279">
        <f>SUMIFS(Travaux_202517[Écart TR 2026],Travaux_202517[État Composante TR],"=PR")</f>
        <v>0</v>
      </c>
      <c r="AL6" s="260"/>
      <c r="AM6" s="280"/>
      <c r="AN6" s="279">
        <f>SUMIFS(Travaux_202517[TR 2027],Travaux_202517[État Composante TR],"=PR")</f>
        <v>0</v>
      </c>
      <c r="AO6" s="260"/>
      <c r="AP6" s="331">
        <f>SUMIFS(Travaux_202517[TR 2028],Travaux_202517[État Composante TR],"=PR")</f>
        <v>0</v>
      </c>
      <c r="AQ6" s="331"/>
      <c r="AR6" s="331">
        <f>SUMIFS(Travaux_202517[TR 2029],Travaux_202517[État Composante TR],"=PR")</f>
        <v>0</v>
      </c>
      <c r="AS6" s="331"/>
      <c r="AT6" s="331">
        <f>SUMIFS(Travaux_202517[TR 2030],Travaux_202517[État Composante TR],"=PR")</f>
        <v>0</v>
      </c>
      <c r="AU6" s="331"/>
      <c r="AV6" s="331">
        <f>SUMIFS(Travaux_202517[TR 2031],Travaux_202517[État Composante TR],"=PR")</f>
        <v>0</v>
      </c>
      <c r="AW6" s="331"/>
      <c r="AX6" s="331">
        <f>SUMIFS(Travaux_202517[TR 2032],Travaux_202517[État Composante TR],"=PR")</f>
        <v>0</v>
      </c>
      <c r="AY6" s="331"/>
      <c r="AZ6" s="331">
        <f>SUMIFS(Travaux_202517[TR 2033],Travaux_202517[État Composante TR],"=PR")</f>
        <v>0</v>
      </c>
      <c r="BA6" s="331"/>
      <c r="BB6" s="331">
        <f>SUMIFS(Travaux_202517[TR 2034],Travaux_202517[État Composante TR],"=PR")</f>
        <v>0</v>
      </c>
      <c r="BC6" s="331"/>
      <c r="BD6" s="16">
        <f t="shared" si="0"/>
        <v>50278</v>
      </c>
      <c r="BE6" s="16">
        <f t="shared" si="1"/>
        <v>50278</v>
      </c>
    </row>
    <row r="7" spans="1:59" ht="15" thickTop="1" x14ac:dyDescent="0.3">
      <c r="J7" s="30" t="s">
        <v>20</v>
      </c>
      <c r="K7" s="31" t="s">
        <v>21</v>
      </c>
      <c r="P7" s="127"/>
      <c r="Q7" s="116" t="s">
        <v>23</v>
      </c>
      <c r="R7" s="288">
        <f>R5+R6</f>
        <v>39402</v>
      </c>
      <c r="S7" s="262"/>
      <c r="T7" s="262">
        <f>T5+T6</f>
        <v>33295</v>
      </c>
      <c r="U7" s="262"/>
      <c r="V7" s="262">
        <f>V5+V6</f>
        <v>52994</v>
      </c>
      <c r="W7" s="289"/>
      <c r="X7" s="20"/>
      <c r="Y7" s="288">
        <f>Y5+Y6</f>
        <v>52994</v>
      </c>
      <c r="Z7" s="289"/>
      <c r="AA7" s="20"/>
      <c r="AB7" s="290">
        <f>AB5+AB6</f>
        <v>0</v>
      </c>
      <c r="AC7" s="292"/>
      <c r="AD7" s="291"/>
      <c r="AE7" s="290">
        <f>AE5+AE6</f>
        <v>60</v>
      </c>
      <c r="AF7" s="291"/>
      <c r="AG7" s="20"/>
      <c r="AH7" s="288">
        <f>AH5+AH6</f>
        <v>60</v>
      </c>
      <c r="AI7" s="289"/>
      <c r="AJ7" s="20"/>
      <c r="AK7" s="290">
        <f>AK5+AK6</f>
        <v>0</v>
      </c>
      <c r="AL7" s="292"/>
      <c r="AM7" s="291"/>
      <c r="AN7" s="288">
        <f>AN5+AN6</f>
        <v>0</v>
      </c>
      <c r="AO7" s="262"/>
      <c r="AP7" s="325">
        <f>AP5+AP6</f>
        <v>0</v>
      </c>
      <c r="AQ7" s="325"/>
      <c r="AR7" s="325">
        <f>AR5+AR6</f>
        <v>0</v>
      </c>
      <c r="AS7" s="325"/>
      <c r="AT7" s="325">
        <f>AT5+AT6</f>
        <v>0</v>
      </c>
      <c r="AU7" s="325"/>
      <c r="AV7" s="325">
        <f>AV5+AV6</f>
        <v>0</v>
      </c>
      <c r="AW7" s="325"/>
      <c r="AX7" s="325">
        <f>AX5+AX6</f>
        <v>0</v>
      </c>
      <c r="AY7" s="325"/>
      <c r="AZ7" s="325">
        <f>AZ5+AZ6</f>
        <v>0</v>
      </c>
      <c r="BA7" s="325"/>
      <c r="BB7" s="325">
        <f>BB5+BB6</f>
        <v>0</v>
      </c>
      <c r="BC7" s="325"/>
      <c r="BD7" s="20">
        <f>SUM(V7,AE7)</f>
        <v>53054</v>
      </c>
      <c r="BE7" s="20">
        <f t="shared" si="1"/>
        <v>53054</v>
      </c>
    </row>
    <row r="8" spans="1:59" x14ac:dyDescent="0.3">
      <c r="J8" s="329" t="s">
        <v>563</v>
      </c>
      <c r="K8" s="330"/>
      <c r="Q8" s="83" t="s">
        <v>25</v>
      </c>
      <c r="R8" s="279">
        <f>SUMIFS(Travaux_202517[AC ANT],Travaux_202517[État Composante AC],"&lt;&gt;PR")</f>
        <v>0</v>
      </c>
      <c r="S8" s="260"/>
      <c r="T8" s="260">
        <f>SUMIFS(Travaux_202517[AC 2024],Travaux_202517[État Composante AC],"&lt;&gt;PR")</f>
        <v>0</v>
      </c>
      <c r="U8" s="260"/>
      <c r="V8" s="260">
        <f>SUMIFS(Travaux_202517[AC 2025],Travaux_202517[État Composante AC],"&lt;&gt;PR")</f>
        <v>0</v>
      </c>
      <c r="W8" s="280"/>
      <c r="X8" s="78"/>
      <c r="Y8" s="279">
        <f>SUMIFS(Travaux_202517[AC 2025 Initiale],Travaux_202517[État Composante AC],"&lt;&gt;PR")</f>
        <v>0</v>
      </c>
      <c r="Z8" s="280"/>
      <c r="AA8" s="78"/>
      <c r="AB8" s="326">
        <f>SUMIFS(Travaux_202517[Écart AC 2025],Travaux_202517[État Composante AC],"&lt;&gt;PR")</f>
        <v>0</v>
      </c>
      <c r="AC8" s="327"/>
      <c r="AD8" s="328"/>
      <c r="AE8" s="326">
        <f>SUMIFS(Travaux_202517[AC 2026],Travaux_202517[État Composante AC],"&lt;&gt;PR")</f>
        <v>0</v>
      </c>
      <c r="AF8" s="327"/>
      <c r="AG8" s="78"/>
      <c r="AH8" s="260">
        <f>SUMIFS(Travaux_202517[AC 2026 Initiale],Travaux_202517[État Composante AC],"&lt;&gt;PR")</f>
        <v>0</v>
      </c>
      <c r="AI8" s="280"/>
      <c r="AJ8" s="78"/>
      <c r="AK8" s="326">
        <f>SUMIFS(Travaux_202517[Écart AC 2026],Travaux_202517[État Composante AC],"&lt;&gt;PR")</f>
        <v>0</v>
      </c>
      <c r="AL8" s="327"/>
      <c r="AM8" s="328"/>
      <c r="AN8" s="279">
        <f>SUMIFS(Travaux_202517[AC 2027],Travaux_202517[État Composante AC],"&lt;&gt;PR")</f>
        <v>0</v>
      </c>
      <c r="AO8" s="260"/>
      <c r="AP8" s="260">
        <f>SUMIFS(Travaux_202517[AC 2028],Travaux_202517[État Composante AC],"&lt;&gt;PR")</f>
        <v>0</v>
      </c>
      <c r="AQ8" s="260"/>
      <c r="AR8" s="260">
        <f>SUMIFS(Travaux_202517[AC 2029],Travaux_202517[État Composante AC],"&lt;&gt;PR")</f>
        <v>0</v>
      </c>
      <c r="AS8" s="260"/>
      <c r="AT8" s="260">
        <f>SUMIFS(Travaux_202517[AC 2030],Travaux_202517[État Composante AC],"&lt;&gt;PR")</f>
        <v>0</v>
      </c>
      <c r="AU8" s="260"/>
      <c r="AV8" s="260">
        <f>SUMIFS(Travaux_202517[AC 2031],Travaux_202517[État Composante AC],"&lt;&gt;PR")</f>
        <v>0</v>
      </c>
      <c r="AW8" s="260"/>
      <c r="AX8" s="260">
        <f>SUMIFS(Travaux_202517[AC 2032],Travaux_202517[État Composante AC],"&lt;&gt;PR")</f>
        <v>0</v>
      </c>
      <c r="AY8" s="260"/>
      <c r="AZ8" s="260">
        <f>SUMIFS(Travaux_202517[AC 2033],Travaux_202517[État Composante AC],"&lt;&gt;PR")</f>
        <v>0</v>
      </c>
      <c r="BA8" s="260"/>
      <c r="BB8" s="260">
        <f>SUMIFS(Travaux_202517[AC 2034],Travaux_202517[État Composante AC],"&lt;&gt;PR")</f>
        <v>0</v>
      </c>
      <c r="BC8" s="260"/>
      <c r="BD8" s="16">
        <f t="shared" si="0"/>
        <v>0</v>
      </c>
      <c r="BE8" s="16">
        <f t="shared" si="1"/>
        <v>0</v>
      </c>
    </row>
    <row r="9" spans="1:59" x14ac:dyDescent="0.3">
      <c r="J9" s="191"/>
      <c r="K9" s="28" t="s">
        <v>564</v>
      </c>
      <c r="Q9" s="83" t="s">
        <v>27</v>
      </c>
      <c r="R9" s="279">
        <f>SUMIFS(Travaux_202517[TR ANT],Travaux_202517[État Composante TR],"&lt;&gt;PR")</f>
        <v>0</v>
      </c>
      <c r="S9" s="260"/>
      <c r="T9" s="260">
        <f>SUMIFS(Travaux_202517[TR 2024],Travaux_202517[État Composante TR],"&lt;&gt;PR")</f>
        <v>0</v>
      </c>
      <c r="U9" s="260"/>
      <c r="V9" s="260">
        <f>SUMIFS(Travaux_202517[TR 2025],Travaux_202517[État Composante TR],"&lt;&gt;PR")</f>
        <v>0</v>
      </c>
      <c r="W9" s="280"/>
      <c r="X9" s="78"/>
      <c r="Y9" s="279">
        <f>SUMIFS(Travaux_202517[TR 2025 Initiale],Travaux_202517[État Composante TR],"&lt;&gt;PR")</f>
        <v>0</v>
      </c>
      <c r="Z9" s="280"/>
      <c r="AA9" s="78"/>
      <c r="AB9" s="279">
        <f>SUMIFS(Travaux_202517[Écart TR 2025],Travaux_202517[État Composante TR],"&lt;&gt;PR")</f>
        <v>0</v>
      </c>
      <c r="AC9" s="260"/>
      <c r="AD9" s="280"/>
      <c r="AE9" s="279">
        <f>SUMIFS(Travaux_202517[TR 2026],Travaux_202517[État Composante TR],"&lt;&gt;PR")</f>
        <v>0</v>
      </c>
      <c r="AF9" s="260"/>
      <c r="AG9" s="78"/>
      <c r="AH9" s="260">
        <f>SUMIFS(Travaux_202517[TR 2026 Initiale],Travaux_202517[État Composante TR],"&lt;&gt;PR")</f>
        <v>0</v>
      </c>
      <c r="AI9" s="280"/>
      <c r="AJ9" s="78"/>
      <c r="AK9" s="279">
        <f>SUMIFS(Travaux_202517[Écart TR 2026],Travaux_202517[État Composante TR],"&lt;&gt;PR")</f>
        <v>0</v>
      </c>
      <c r="AL9" s="260"/>
      <c r="AM9" s="280"/>
      <c r="AN9" s="279">
        <f>SUMIFS(Travaux_202517[TR 2027],Travaux_202517[État Composante TR],"&lt;&gt;PR")</f>
        <v>0</v>
      </c>
      <c r="AO9" s="260"/>
      <c r="AP9" s="260">
        <f>SUMIFS(Travaux_202517[TR 2028],Travaux_202517[État Composante TR],"&lt;&gt;PR")</f>
        <v>0</v>
      </c>
      <c r="AQ9" s="260"/>
      <c r="AR9" s="260">
        <f>SUMIFS(Travaux_202517[TR 2029],Travaux_202517[État Composante TR],"&lt;&gt;PR")</f>
        <v>0</v>
      </c>
      <c r="AS9" s="260"/>
      <c r="AT9" s="260">
        <f>SUMIFS(Travaux_202517[TR 2030],Travaux_202517[État Composante TR],"&lt;&gt;PR")</f>
        <v>0</v>
      </c>
      <c r="AU9" s="260"/>
      <c r="AV9" s="260">
        <f>SUMIFS(Travaux_202517[TR 2031],Travaux_202517[État Composante TR],"&lt;&gt;PR")</f>
        <v>0</v>
      </c>
      <c r="AW9" s="260"/>
      <c r="AX9" s="260">
        <f>SUMIFS(Travaux_202517[TR 2032],Travaux_202517[État Composante TR],"&lt;&gt;PR")</f>
        <v>0</v>
      </c>
      <c r="AY9" s="260"/>
      <c r="AZ9" s="260">
        <f>SUMIFS(Travaux_202517[TR 2033],Travaux_202517[État Composante TR],"&lt;&gt;PR")</f>
        <v>0</v>
      </c>
      <c r="BA9" s="260"/>
      <c r="BB9" s="260">
        <f>SUMIFS(Travaux_202517[TR 2034],Travaux_202517[État Composante TR],"&lt;&gt;PR")</f>
        <v>0</v>
      </c>
      <c r="BC9" s="260"/>
      <c r="BD9" s="16">
        <f t="shared" si="0"/>
        <v>0</v>
      </c>
      <c r="BE9" s="16">
        <f t="shared" si="1"/>
        <v>0</v>
      </c>
    </row>
    <row r="10" spans="1:59" x14ac:dyDescent="0.3">
      <c r="J10" s="192"/>
      <c r="K10" s="28" t="s">
        <v>565</v>
      </c>
      <c r="P10" s="127"/>
      <c r="Q10" s="117" t="s">
        <v>29</v>
      </c>
      <c r="R10" s="288">
        <f>R8+R9</f>
        <v>0</v>
      </c>
      <c r="S10" s="262"/>
      <c r="T10" s="262">
        <f>T8+T9</f>
        <v>0</v>
      </c>
      <c r="U10" s="262"/>
      <c r="V10" s="262">
        <f>V8+V9</f>
        <v>0</v>
      </c>
      <c r="W10" s="289"/>
      <c r="X10" s="20"/>
      <c r="Y10" s="288">
        <f>Y8+Y9</f>
        <v>0</v>
      </c>
      <c r="Z10" s="289"/>
      <c r="AA10" s="20"/>
      <c r="AB10" s="288">
        <f>AB9+AB8</f>
        <v>0</v>
      </c>
      <c r="AC10" s="262"/>
      <c r="AD10" s="289"/>
      <c r="AE10" s="288">
        <f>AE8+AE9</f>
        <v>0</v>
      </c>
      <c r="AF10" s="262"/>
      <c r="AG10" s="20"/>
      <c r="AH10" s="262">
        <f>AH8+AH9</f>
        <v>0</v>
      </c>
      <c r="AI10" s="289"/>
      <c r="AJ10" s="20"/>
      <c r="AK10" s="288">
        <f>AK9+AK8</f>
        <v>0</v>
      </c>
      <c r="AL10" s="262"/>
      <c r="AM10" s="289"/>
      <c r="AN10" s="288">
        <f>AN8+AN9</f>
        <v>0</v>
      </c>
      <c r="AO10" s="262"/>
      <c r="AP10" s="262">
        <f>AP8+AP9</f>
        <v>0</v>
      </c>
      <c r="AQ10" s="262"/>
      <c r="AR10" s="262">
        <f>AR8+AR9</f>
        <v>0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62">
        <f>AZ8+AZ9</f>
        <v>0</v>
      </c>
      <c r="BA10" s="262"/>
      <c r="BB10" s="262">
        <f>BB8+BB9</f>
        <v>0</v>
      </c>
      <c r="BC10" s="262"/>
      <c r="BD10" s="20">
        <f t="shared" si="0"/>
        <v>0</v>
      </c>
      <c r="BE10" s="20">
        <f t="shared" si="1"/>
        <v>0</v>
      </c>
    </row>
    <row r="11" spans="1:59" s="133" customFormat="1" x14ac:dyDescent="0.3">
      <c r="J11" s="176"/>
      <c r="K11" s="193" t="s">
        <v>566</v>
      </c>
      <c r="P11" s="134"/>
      <c r="Q11" s="135" t="s">
        <v>272</v>
      </c>
      <c r="R11" s="286">
        <f>R10+R7</f>
        <v>39402</v>
      </c>
      <c r="S11" s="284"/>
      <c r="T11" s="285">
        <f>T10+T7</f>
        <v>33295</v>
      </c>
      <c r="U11" s="284"/>
      <c r="V11" s="285">
        <f>V10+V7</f>
        <v>52994</v>
      </c>
      <c r="W11" s="284"/>
      <c r="X11" s="105"/>
      <c r="Y11" s="285">
        <f>Y10+Y7</f>
        <v>52994</v>
      </c>
      <c r="Z11" s="287"/>
      <c r="AA11" s="105"/>
      <c r="AB11" s="286">
        <f>AB10+AB7</f>
        <v>0</v>
      </c>
      <c r="AC11" s="283"/>
      <c r="AD11" s="287"/>
      <c r="AE11" s="286">
        <f>AE10+AE7-AE4</f>
        <v>60</v>
      </c>
      <c r="AF11" s="284"/>
      <c r="AG11" s="105"/>
      <c r="AH11" s="285">
        <f>AH10+AH7</f>
        <v>60</v>
      </c>
      <c r="AI11" s="287"/>
      <c r="AJ11" s="105"/>
      <c r="AK11" s="286">
        <f>AK10+AK7</f>
        <v>0</v>
      </c>
      <c r="AL11" s="283"/>
      <c r="AM11" s="287"/>
      <c r="AN11" s="286">
        <f>AN10+AN7-AN4</f>
        <v>0</v>
      </c>
      <c r="AO11" s="284"/>
      <c r="AP11" s="285">
        <f>AP10+AP7-AP4</f>
        <v>0</v>
      </c>
      <c r="AQ11" s="284"/>
      <c r="AR11" s="285">
        <f>AR10+AR7-AR4</f>
        <v>0</v>
      </c>
      <c r="AS11" s="284"/>
      <c r="AT11" s="285">
        <f>AT10+AT7-AT4</f>
        <v>0</v>
      </c>
      <c r="AU11" s="284"/>
      <c r="AV11" s="285">
        <f>AV10+AV7-AV4</f>
        <v>0</v>
      </c>
      <c r="AW11" s="284"/>
      <c r="AX11" s="285">
        <f>AX10+AX7-AX4</f>
        <v>0</v>
      </c>
      <c r="AY11" s="284"/>
      <c r="AZ11" s="285">
        <f>AZ10+AZ7-AZ4</f>
        <v>0</v>
      </c>
      <c r="BA11" s="284"/>
      <c r="BB11" s="285">
        <f>BB10+BB7-BB4</f>
        <v>0</v>
      </c>
      <c r="BC11" s="284"/>
      <c r="BD11" s="105">
        <f t="shared" si="0"/>
        <v>53054</v>
      </c>
      <c r="BE11" s="105">
        <f t="shared" si="1"/>
        <v>53054</v>
      </c>
    </row>
    <row r="12" spans="1:59" ht="15" customHeight="1" x14ac:dyDescent="0.3">
      <c r="J12" s="194"/>
      <c r="K12" s="28" t="s">
        <v>567</v>
      </c>
      <c r="Q12" s="83" t="s">
        <v>32</v>
      </c>
      <c r="R12" s="279"/>
      <c r="S12" s="260"/>
      <c r="T12" s="260"/>
      <c r="U12" s="260"/>
      <c r="V12" s="260"/>
      <c r="W12" s="280"/>
      <c r="X12" s="78"/>
      <c r="Y12" s="279"/>
      <c r="Z12" s="280"/>
      <c r="AA12" s="78"/>
      <c r="AB12" s="322"/>
      <c r="AC12" s="323"/>
      <c r="AD12" s="324"/>
      <c r="AE12" s="279"/>
      <c r="AF12" s="260"/>
      <c r="AG12" s="78"/>
      <c r="AH12" s="260"/>
      <c r="AI12" s="280"/>
      <c r="AJ12" s="78"/>
      <c r="AK12" s="322"/>
      <c r="AL12" s="323"/>
      <c r="AM12" s="324"/>
      <c r="AN12" s="279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>
        <v>0</v>
      </c>
      <c r="AY12" s="260"/>
      <c r="AZ12" s="260">
        <v>0</v>
      </c>
      <c r="BA12" s="260"/>
      <c r="BB12" s="260">
        <v>0</v>
      </c>
      <c r="BC12" s="260"/>
      <c r="BD12" s="78">
        <f t="shared" si="0"/>
        <v>0</v>
      </c>
      <c r="BE12" s="78">
        <f>SUM(AN12:BC12,V12,AE12)</f>
        <v>0</v>
      </c>
    </row>
    <row r="13" spans="1:59" ht="16.2" thickBot="1" x14ac:dyDescent="0.35">
      <c r="J13" s="195"/>
      <c r="K13" s="31" t="s">
        <v>568</v>
      </c>
      <c r="P13" s="126"/>
      <c r="Q13" s="118" t="s">
        <v>33</v>
      </c>
      <c r="R13" s="120"/>
      <c r="S13" s="64"/>
      <c r="T13" s="319">
        <f>T12+T11</f>
        <v>33295</v>
      </c>
      <c r="U13" s="321"/>
      <c r="V13" s="258">
        <f>V12+V11</f>
        <v>52994</v>
      </c>
      <c r="W13" s="259"/>
      <c r="X13" s="167"/>
      <c r="Y13" s="258">
        <f>Y12+Y11</f>
        <v>52994</v>
      </c>
      <c r="Z13" s="259"/>
      <c r="AA13" s="167"/>
      <c r="AB13" s="258">
        <f>AB12+AB11</f>
        <v>0</v>
      </c>
      <c r="AC13" s="261"/>
      <c r="AD13" s="261"/>
      <c r="AE13" s="261">
        <f>AE12+AE11</f>
        <v>60</v>
      </c>
      <c r="AF13" s="259"/>
      <c r="AG13" s="167"/>
      <c r="AH13" s="258">
        <f>AH12+AH11</f>
        <v>60</v>
      </c>
      <c r="AI13" s="259"/>
      <c r="AJ13" s="167"/>
      <c r="AK13" s="319">
        <f>AK12+AK11</f>
        <v>0</v>
      </c>
      <c r="AL13" s="320"/>
      <c r="AM13" s="320"/>
      <c r="AN13" s="261">
        <f>AN12+AN11</f>
        <v>0</v>
      </c>
      <c r="AO13" s="259"/>
      <c r="AP13" s="258">
        <f>AP12+AP11</f>
        <v>0</v>
      </c>
      <c r="AQ13" s="259"/>
      <c r="AR13" s="258">
        <f>AR12+AR11</f>
        <v>0</v>
      </c>
      <c r="AS13" s="259"/>
      <c r="AT13" s="258">
        <f>AT12+AT11</f>
        <v>0</v>
      </c>
      <c r="AU13" s="259"/>
      <c r="AV13" s="258">
        <f>AV12+AV11</f>
        <v>0</v>
      </c>
      <c r="AW13" s="259"/>
      <c r="AX13" s="258">
        <f>AX12+AX11</f>
        <v>0</v>
      </c>
      <c r="AY13" s="259"/>
      <c r="AZ13" s="258">
        <f>AZ12+AZ11</f>
        <v>0</v>
      </c>
      <c r="BA13" s="259"/>
      <c r="BB13" s="258">
        <f>BB12+BB11</f>
        <v>0</v>
      </c>
      <c r="BC13" s="259"/>
      <c r="BD13" s="21">
        <f>BD12+BD11</f>
        <v>53054</v>
      </c>
      <c r="BE13" s="21">
        <f>BE12+BE11</f>
        <v>53054</v>
      </c>
    </row>
    <row r="14" spans="1:59" s="11" customFormat="1" ht="75.599999999999994" customHeight="1" x14ac:dyDescent="0.3">
      <c r="A14" s="11" t="s">
        <v>273</v>
      </c>
      <c r="B14" s="11" t="s">
        <v>274</v>
      </c>
      <c r="C14" s="11" t="s">
        <v>37</v>
      </c>
      <c r="D14" s="11" t="s">
        <v>38</v>
      </c>
      <c r="E14" s="11" t="s">
        <v>39</v>
      </c>
      <c r="F14" s="11" t="s">
        <v>40</v>
      </c>
      <c r="G14" s="11" t="s">
        <v>41</v>
      </c>
      <c r="H14" s="11" t="s">
        <v>42</v>
      </c>
      <c r="I14" s="11" t="s">
        <v>44</v>
      </c>
      <c r="J14" s="11" t="s">
        <v>45</v>
      </c>
      <c r="K14" s="11" t="s">
        <v>46</v>
      </c>
      <c r="L14" s="11" t="s">
        <v>47</v>
      </c>
      <c r="M14" s="11" t="s">
        <v>48</v>
      </c>
      <c r="N14" s="11" t="s">
        <v>49</v>
      </c>
      <c r="O14" s="11" t="s">
        <v>50</v>
      </c>
      <c r="P14" s="11" t="s">
        <v>51</v>
      </c>
      <c r="Q14" s="11" t="s">
        <v>52</v>
      </c>
      <c r="R14" s="9" t="s">
        <v>76</v>
      </c>
      <c r="S14" s="9" t="s">
        <v>77</v>
      </c>
      <c r="T14" s="9" t="s">
        <v>78</v>
      </c>
      <c r="U14" s="9" t="s">
        <v>79</v>
      </c>
      <c r="V14" s="11" t="s">
        <v>80</v>
      </c>
      <c r="W14" s="11" t="s">
        <v>81</v>
      </c>
      <c r="X14" s="11" t="s">
        <v>579</v>
      </c>
      <c r="Y14" s="11" t="s">
        <v>549</v>
      </c>
      <c r="Z14" s="11" t="s">
        <v>550</v>
      </c>
      <c r="AA14" s="11" t="s">
        <v>577</v>
      </c>
      <c r="AB14" s="99" t="s">
        <v>277</v>
      </c>
      <c r="AC14" s="99" t="s">
        <v>278</v>
      </c>
      <c r="AD14" s="99" t="s">
        <v>279</v>
      </c>
      <c r="AE14" s="11" t="s">
        <v>82</v>
      </c>
      <c r="AF14" s="11" t="s">
        <v>83</v>
      </c>
      <c r="AG14" s="11" t="s">
        <v>578</v>
      </c>
      <c r="AH14" s="11" t="s">
        <v>551</v>
      </c>
      <c r="AI14" s="11" t="s">
        <v>552</v>
      </c>
      <c r="AJ14" s="11" t="s">
        <v>580</v>
      </c>
      <c r="AK14" s="93" t="s">
        <v>283</v>
      </c>
      <c r="AL14" s="93" t="s">
        <v>284</v>
      </c>
      <c r="AM14" s="93" t="s">
        <v>285</v>
      </c>
      <c r="AN14" s="11" t="s">
        <v>84</v>
      </c>
      <c r="AO14" s="11" t="s">
        <v>85</v>
      </c>
      <c r="AP14" s="11" t="s">
        <v>86</v>
      </c>
      <c r="AQ14" s="11" t="s">
        <v>87</v>
      </c>
      <c r="AR14" s="11" t="s">
        <v>88</v>
      </c>
      <c r="AS14" s="11" t="s">
        <v>89</v>
      </c>
      <c r="AT14" s="11" t="s">
        <v>90</v>
      </c>
      <c r="AU14" s="11" t="s">
        <v>91</v>
      </c>
      <c r="AV14" s="11" t="s">
        <v>92</v>
      </c>
      <c r="AW14" s="11" t="s">
        <v>93</v>
      </c>
      <c r="AX14" s="11" t="s">
        <v>94</v>
      </c>
      <c r="AY14" s="11" t="s">
        <v>95</v>
      </c>
      <c r="AZ14" s="11" t="s">
        <v>96</v>
      </c>
      <c r="BA14" s="11" t="s">
        <v>97</v>
      </c>
      <c r="BB14" s="11" t="s">
        <v>98</v>
      </c>
      <c r="BC14" s="11" t="s">
        <v>99</v>
      </c>
      <c r="BD14" s="11" t="s">
        <v>100</v>
      </c>
    </row>
    <row r="15" spans="1:59" x14ac:dyDescent="0.3">
      <c r="A15" t="s">
        <v>286</v>
      </c>
      <c r="C15" t="s">
        <v>126</v>
      </c>
      <c r="D15" t="s">
        <v>127</v>
      </c>
      <c r="E15" t="s">
        <v>136</v>
      </c>
      <c r="F15" t="s">
        <v>104</v>
      </c>
      <c r="G15" t="s">
        <v>16</v>
      </c>
      <c r="H15" t="s">
        <v>16</v>
      </c>
      <c r="I15" t="s">
        <v>105</v>
      </c>
      <c r="J15" t="s">
        <v>162</v>
      </c>
      <c r="K15" t="s">
        <v>163</v>
      </c>
      <c r="L15" t="s">
        <v>122</v>
      </c>
      <c r="M15" s="2" t="s">
        <v>148</v>
      </c>
      <c r="N15" t="s">
        <v>164</v>
      </c>
      <c r="O15" s="1"/>
      <c r="P15" s="1"/>
      <c r="Q15" s="1"/>
      <c r="R15">
        <v>5398</v>
      </c>
      <c r="S15">
        <v>28152</v>
      </c>
      <c r="T15">
        <v>79</v>
      </c>
      <c r="U15">
        <v>891</v>
      </c>
      <c r="V15">
        <v>399</v>
      </c>
      <c r="W15">
        <v>67</v>
      </c>
      <c r="X15">
        <f>Travaux_202517[[#This Row],[AC 2025]]+Travaux_202517[[#This Row],[TR 2025]]</f>
        <v>466</v>
      </c>
      <c r="Y15">
        <v>399</v>
      </c>
      <c r="Z15">
        <v>67</v>
      </c>
      <c r="AA15">
        <f>Travaux_202517[[#This Row],[AC 2025 Initiale]]+Travaux_202517[[#This Row],[TR 2025 Initiale]]</f>
        <v>466</v>
      </c>
      <c r="AB15">
        <f>Travaux_202517[[#This Row],[AC 2025]]-Travaux_202517[[#This Row],[AC 2025 Initiale]]</f>
        <v>0</v>
      </c>
      <c r="AC15">
        <f>Travaux_202517[[#This Row],[TR 2025]]-Travaux_202517[[#This Row],[TR 2025 Initiale]]</f>
        <v>0</v>
      </c>
      <c r="AD15">
        <f>Travaux_202517[[#This Row],[Écart AC 2025]]+Travaux_202517[[#This Row],[Écart TR 2025]]</f>
        <v>0</v>
      </c>
      <c r="AE15">
        <v>60</v>
      </c>
      <c r="AF15"/>
      <c r="AG15">
        <f>Travaux_202517[[#This Row],[AC 2026]]+Travaux_202517[[#This Row],[TR 2026]]</f>
        <v>60</v>
      </c>
      <c r="AH15">
        <v>60</v>
      </c>
      <c r="AJ15">
        <f>Travaux_202517[[#This Row],[AC 2026 Initiale]]+Travaux_202517[[#This Row],[TR 2026 Initiale]]</f>
        <v>60</v>
      </c>
      <c r="AK15">
        <f>Travaux_202517[[#This Row],[AC 2026]]-Travaux_202517[[#This Row],[AC 2026 Initiale]]</f>
        <v>0</v>
      </c>
      <c r="AL15">
        <f>Travaux_202517[[#This Row],[TR 2026]]-Travaux_202517[[#This Row],[TR 2026 Initiale]]</f>
        <v>0</v>
      </c>
      <c r="AM15">
        <f>Travaux_202517[[#This Row],[Écart AC 2026]]+Travaux_202517[[#This Row],[Écart TR 2026]]</f>
        <v>0</v>
      </c>
      <c r="AX15"/>
      <c r="BD15" s="14">
        <f>SUM(Travaux_202517[[#This Row],[AC ANT]:[TR 2025]],Travaux_202517[[#This Row],[AC 2026]:[TR 2026]],Travaux_202517[[#This Row],[AC 2027]:[TR 2034]])</f>
        <v>35046</v>
      </c>
    </row>
    <row r="16" spans="1:59" x14ac:dyDescent="0.3">
      <c r="A16" t="s">
        <v>286</v>
      </c>
      <c r="C16" t="s">
        <v>101</v>
      </c>
      <c r="D16" t="s">
        <v>102</v>
      </c>
      <c r="E16" t="s">
        <v>103</v>
      </c>
      <c r="F16" t="s">
        <v>104</v>
      </c>
      <c r="G16" t="s">
        <v>16</v>
      </c>
      <c r="H16" t="s">
        <v>16</v>
      </c>
      <c r="I16" t="s">
        <v>105</v>
      </c>
      <c r="J16" t="s">
        <v>215</v>
      </c>
      <c r="K16" t="s">
        <v>216</v>
      </c>
      <c r="L16" t="s">
        <v>217</v>
      </c>
      <c r="M16" t="s">
        <v>148</v>
      </c>
      <c r="N16" t="s">
        <v>164</v>
      </c>
      <c r="O16" s="1">
        <v>44838</v>
      </c>
      <c r="P16" s="1">
        <v>45441</v>
      </c>
      <c r="Q16" s="1">
        <v>45623</v>
      </c>
      <c r="R16">
        <v>218</v>
      </c>
      <c r="S16">
        <v>3</v>
      </c>
      <c r="T16">
        <v>98</v>
      </c>
      <c r="V16">
        <v>641</v>
      </c>
      <c r="W16">
        <v>12563</v>
      </c>
      <c r="X16">
        <f>Travaux_202517[[#This Row],[AC 2025]]+Travaux_202517[[#This Row],[TR 2025]]</f>
        <v>13204</v>
      </c>
      <c r="Y16">
        <v>641</v>
      </c>
      <c r="Z16">
        <v>12563</v>
      </c>
      <c r="AA16">
        <f>Travaux_202517[[#This Row],[AC 2025 Initiale]]+Travaux_202517[[#This Row],[TR 2025 Initiale]]</f>
        <v>13204</v>
      </c>
      <c r="AB16">
        <f>Travaux_202517[[#This Row],[AC 2025]]-Travaux_202517[[#This Row],[AC 2025 Initiale]]</f>
        <v>0</v>
      </c>
      <c r="AC16">
        <f>Travaux_202517[[#This Row],[TR 2025]]-Travaux_202517[[#This Row],[TR 2025 Initiale]]</f>
        <v>0</v>
      </c>
      <c r="AD16">
        <f>Travaux_202517[[#This Row],[Écart AC 2025]]+Travaux_202517[[#This Row],[Écart TR 2025]]</f>
        <v>0</v>
      </c>
      <c r="AF16"/>
      <c r="AG16">
        <f>Travaux_202517[[#This Row],[AC 2026]]+Travaux_202517[[#This Row],[TR 2026]]</f>
        <v>0</v>
      </c>
      <c r="AJ16">
        <f>Travaux_202517[[#This Row],[AC 2026 Initiale]]+Travaux_202517[[#This Row],[TR 2026 Initiale]]</f>
        <v>0</v>
      </c>
      <c r="AK16">
        <f>Travaux_202517[[#This Row],[AC 2026]]-Travaux_202517[[#This Row],[AC 2026 Initiale]]</f>
        <v>0</v>
      </c>
      <c r="AL16">
        <f>Travaux_202517[[#This Row],[TR 2026]]-Travaux_202517[[#This Row],[TR 2026 Initiale]]</f>
        <v>0</v>
      </c>
      <c r="AM16">
        <f>Travaux_202517[[#This Row],[Écart AC 2026]]+Travaux_202517[[#This Row],[Écart TR 2026]]</f>
        <v>0</v>
      </c>
      <c r="AX16"/>
      <c r="BD16" s="14">
        <f>SUM(Travaux_202517[[#This Row],[AC ANT]:[TR 2025]],Travaux_202517[[#This Row],[AC 2026]:[TR 2026]],Travaux_202517[[#This Row],[AC 2027]:[TR 2034]])</f>
        <v>13523</v>
      </c>
    </row>
    <row r="17" spans="1:56" x14ac:dyDescent="0.3">
      <c r="A17" t="s">
        <v>286</v>
      </c>
      <c r="C17" t="s">
        <v>101</v>
      </c>
      <c r="D17" t="s">
        <v>102</v>
      </c>
      <c r="E17" t="s">
        <v>103</v>
      </c>
      <c r="F17" t="s">
        <v>140</v>
      </c>
      <c r="G17" t="s">
        <v>16</v>
      </c>
      <c r="H17" t="s">
        <v>16</v>
      </c>
      <c r="I17" t="s">
        <v>105</v>
      </c>
      <c r="J17" t="s">
        <v>174</v>
      </c>
      <c r="K17" t="s">
        <v>175</v>
      </c>
      <c r="L17" t="s">
        <v>143</v>
      </c>
      <c r="M17" t="s">
        <v>148</v>
      </c>
      <c r="N17" t="s">
        <v>164</v>
      </c>
      <c r="O17" s="1">
        <v>44014</v>
      </c>
      <c r="P17" s="1">
        <v>44294</v>
      </c>
      <c r="Q17" s="1">
        <v>45239</v>
      </c>
      <c r="R17">
        <v>389</v>
      </c>
      <c r="S17">
        <v>4986</v>
      </c>
      <c r="T17">
        <v>729</v>
      </c>
      <c r="U17">
        <v>28833</v>
      </c>
      <c r="V17">
        <v>399</v>
      </c>
      <c r="W17">
        <v>11768</v>
      </c>
      <c r="X17">
        <f>Travaux_202517[[#This Row],[AC 2025]]+Travaux_202517[[#This Row],[TR 2025]]</f>
        <v>12167</v>
      </c>
      <c r="Y17">
        <v>399</v>
      </c>
      <c r="Z17">
        <v>11768</v>
      </c>
      <c r="AA17">
        <f>Travaux_202517[[#This Row],[AC 2025 Initiale]]+Travaux_202517[[#This Row],[TR 2025 Initiale]]</f>
        <v>12167</v>
      </c>
      <c r="AB17">
        <f>Travaux_202517[[#This Row],[AC 2025]]-Travaux_202517[[#This Row],[AC 2025 Initiale]]</f>
        <v>0</v>
      </c>
      <c r="AC17">
        <f>Travaux_202517[[#This Row],[TR 2025]]-Travaux_202517[[#This Row],[TR 2025 Initiale]]</f>
        <v>0</v>
      </c>
      <c r="AD17">
        <f>Travaux_202517[[#This Row],[Écart AC 2025]]+Travaux_202517[[#This Row],[Écart TR 2025]]</f>
        <v>0</v>
      </c>
      <c r="AF17"/>
      <c r="AG17">
        <f>Travaux_202517[[#This Row],[AC 2026]]+Travaux_202517[[#This Row],[TR 2026]]</f>
        <v>0</v>
      </c>
      <c r="AJ17">
        <f>Travaux_202517[[#This Row],[AC 2026 Initiale]]+Travaux_202517[[#This Row],[TR 2026 Initiale]]</f>
        <v>0</v>
      </c>
      <c r="AK17">
        <f>Travaux_202517[[#This Row],[AC 2026]]-Travaux_202517[[#This Row],[AC 2026 Initiale]]</f>
        <v>0</v>
      </c>
      <c r="AL17">
        <f>Travaux_202517[[#This Row],[TR 2026]]-Travaux_202517[[#This Row],[TR 2026 Initiale]]</f>
        <v>0</v>
      </c>
      <c r="AM17">
        <f>Travaux_202517[[#This Row],[Écart AC 2026]]+Travaux_202517[[#This Row],[Écart TR 2026]]</f>
        <v>0</v>
      </c>
      <c r="AX17"/>
      <c r="BD17" s="14">
        <f>SUM(Travaux_202517[[#This Row],[AC ANT]:[TR 2025]],Travaux_202517[[#This Row],[AC 2026]:[TR 2026]],Travaux_202517[[#This Row],[AC 2027]:[TR 2034]])</f>
        <v>47104</v>
      </c>
    </row>
    <row r="18" spans="1:56" x14ac:dyDescent="0.3">
      <c r="A18" t="s">
        <v>286</v>
      </c>
      <c r="C18" t="s">
        <v>101</v>
      </c>
      <c r="D18" t="s">
        <v>102</v>
      </c>
      <c r="E18" t="s">
        <v>103</v>
      </c>
      <c r="F18" t="s">
        <v>149</v>
      </c>
      <c r="G18" t="s">
        <v>16</v>
      </c>
      <c r="H18" t="s">
        <v>16</v>
      </c>
      <c r="I18" t="s">
        <v>105</v>
      </c>
      <c r="J18" t="s">
        <v>228</v>
      </c>
      <c r="K18" t="s">
        <v>229</v>
      </c>
      <c r="L18" t="s">
        <v>230</v>
      </c>
      <c r="M18" t="s">
        <v>148</v>
      </c>
      <c r="N18" t="s">
        <v>164</v>
      </c>
      <c r="O18" s="1">
        <v>45022</v>
      </c>
      <c r="P18" s="1">
        <v>45463</v>
      </c>
      <c r="Q18" s="1">
        <v>45590</v>
      </c>
      <c r="R18">
        <v>61</v>
      </c>
      <c r="T18">
        <v>21</v>
      </c>
      <c r="V18">
        <v>580</v>
      </c>
      <c r="W18">
        <v>11581</v>
      </c>
      <c r="X18">
        <f>Travaux_202517[[#This Row],[AC 2025]]+Travaux_202517[[#This Row],[TR 2025]]</f>
        <v>12161</v>
      </c>
      <c r="Y18">
        <v>580</v>
      </c>
      <c r="Z18">
        <v>11581</v>
      </c>
      <c r="AA18">
        <f>Travaux_202517[[#This Row],[AC 2025 Initiale]]+Travaux_202517[[#This Row],[TR 2025 Initiale]]</f>
        <v>12161</v>
      </c>
      <c r="AB18">
        <f>Travaux_202517[[#This Row],[AC 2025]]-Travaux_202517[[#This Row],[AC 2025 Initiale]]</f>
        <v>0</v>
      </c>
      <c r="AC18">
        <f>Travaux_202517[[#This Row],[TR 2025]]-Travaux_202517[[#This Row],[TR 2025 Initiale]]</f>
        <v>0</v>
      </c>
      <c r="AD18">
        <f>Travaux_202517[[#This Row],[Écart AC 2025]]+Travaux_202517[[#This Row],[Écart TR 2025]]</f>
        <v>0</v>
      </c>
      <c r="AF18"/>
      <c r="AG18">
        <f>Travaux_202517[[#This Row],[AC 2026]]+Travaux_202517[[#This Row],[TR 2026]]</f>
        <v>0</v>
      </c>
      <c r="AJ18">
        <f>Travaux_202517[[#This Row],[AC 2026 Initiale]]+Travaux_202517[[#This Row],[TR 2026 Initiale]]</f>
        <v>0</v>
      </c>
      <c r="AK18">
        <f>Travaux_202517[[#This Row],[AC 2026]]-Travaux_202517[[#This Row],[AC 2026 Initiale]]</f>
        <v>0</v>
      </c>
      <c r="AL18">
        <f>Travaux_202517[[#This Row],[TR 2026]]-Travaux_202517[[#This Row],[TR 2026 Initiale]]</f>
        <v>0</v>
      </c>
      <c r="AM18">
        <f>Travaux_202517[[#This Row],[Écart AC 2026]]+Travaux_202517[[#This Row],[Écart TR 2026]]</f>
        <v>0</v>
      </c>
      <c r="AX18"/>
      <c r="BD18" s="14">
        <f>SUM(Travaux_202517[[#This Row],[AC ANT]:[TR 2025]],Travaux_202517[[#This Row],[AC 2026]:[TR 2026]],Travaux_202517[[#This Row],[AC 2027]:[TR 2034]])</f>
        <v>12243</v>
      </c>
    </row>
    <row r="19" spans="1:56" x14ac:dyDescent="0.3">
      <c r="A19" t="s">
        <v>286</v>
      </c>
      <c r="C19" t="s">
        <v>118</v>
      </c>
      <c r="D19" t="s">
        <v>102</v>
      </c>
      <c r="E19" t="s">
        <v>136</v>
      </c>
      <c r="F19" t="s">
        <v>129</v>
      </c>
      <c r="G19" t="s">
        <v>16</v>
      </c>
      <c r="H19" t="s">
        <v>16</v>
      </c>
      <c r="I19" t="s">
        <v>131</v>
      </c>
      <c r="J19" t="s">
        <v>218</v>
      </c>
      <c r="K19" t="s">
        <v>219</v>
      </c>
      <c r="L19" t="s">
        <v>152</v>
      </c>
      <c r="M19" t="s">
        <v>148</v>
      </c>
      <c r="N19" t="s">
        <v>164</v>
      </c>
      <c r="O19" s="1">
        <v>45370</v>
      </c>
      <c r="P19" s="1"/>
      <c r="Q19" s="1">
        <v>45706</v>
      </c>
      <c r="R19">
        <v>6</v>
      </c>
      <c r="T19">
        <v>59</v>
      </c>
      <c r="V19">
        <v>24</v>
      </c>
      <c r="W19">
        <v>605</v>
      </c>
      <c r="X19">
        <f>Travaux_202517[[#This Row],[AC 2025]]+Travaux_202517[[#This Row],[TR 2025]]</f>
        <v>629</v>
      </c>
      <c r="Y19">
        <v>24</v>
      </c>
      <c r="Z19">
        <v>605</v>
      </c>
      <c r="AA19">
        <f>Travaux_202517[[#This Row],[AC 2025 Initiale]]+Travaux_202517[[#This Row],[TR 2025 Initiale]]</f>
        <v>629</v>
      </c>
      <c r="AB19">
        <f>Travaux_202517[[#This Row],[AC 2025]]-Travaux_202517[[#This Row],[AC 2025 Initiale]]</f>
        <v>0</v>
      </c>
      <c r="AC19">
        <f>Travaux_202517[[#This Row],[TR 2025]]-Travaux_202517[[#This Row],[TR 2025 Initiale]]</f>
        <v>0</v>
      </c>
      <c r="AD19">
        <f>Travaux_202517[[#This Row],[Écart AC 2025]]+Travaux_202517[[#This Row],[Écart TR 2025]]</f>
        <v>0</v>
      </c>
      <c r="AF19"/>
      <c r="AG19">
        <f>Travaux_202517[[#This Row],[AC 2026]]+Travaux_202517[[#This Row],[TR 2026]]</f>
        <v>0</v>
      </c>
      <c r="AJ19">
        <f>Travaux_202517[[#This Row],[AC 2026 Initiale]]+Travaux_202517[[#This Row],[TR 2026 Initiale]]</f>
        <v>0</v>
      </c>
      <c r="AK19">
        <f>Travaux_202517[[#This Row],[AC 2026]]-Travaux_202517[[#This Row],[AC 2026 Initiale]]</f>
        <v>0</v>
      </c>
      <c r="AL19">
        <f>Travaux_202517[[#This Row],[TR 2026]]-Travaux_202517[[#This Row],[TR 2026 Initiale]]</f>
        <v>0</v>
      </c>
      <c r="AM19">
        <f>Travaux_202517[[#This Row],[Écart AC 2026]]+Travaux_202517[[#This Row],[Écart TR 2026]]</f>
        <v>0</v>
      </c>
      <c r="AX19"/>
      <c r="BD19" s="14">
        <f>SUM(Travaux_202517[[#This Row],[AC ANT]:[TR 2025]],Travaux_202517[[#This Row],[AC 2026]:[TR 2026]],Travaux_202517[[#This Row],[AC 2027]:[TR 2034]])</f>
        <v>694</v>
      </c>
    </row>
    <row r="20" spans="1:56" x14ac:dyDescent="0.3">
      <c r="A20" t="s">
        <v>286</v>
      </c>
      <c r="C20" t="s">
        <v>101</v>
      </c>
      <c r="D20" t="s">
        <v>102</v>
      </c>
      <c r="E20" t="s">
        <v>177</v>
      </c>
      <c r="F20" t="s">
        <v>129</v>
      </c>
      <c r="G20" t="s">
        <v>16</v>
      </c>
      <c r="H20" t="s">
        <v>16</v>
      </c>
      <c r="I20" t="s">
        <v>131</v>
      </c>
      <c r="J20" t="s">
        <v>178</v>
      </c>
      <c r="K20" t="s">
        <v>179</v>
      </c>
      <c r="L20" t="s">
        <v>180</v>
      </c>
      <c r="M20" t="s">
        <v>148</v>
      </c>
      <c r="N20" t="s">
        <v>164</v>
      </c>
      <c r="O20" s="1"/>
      <c r="P20" s="1"/>
      <c r="Q20" s="1">
        <v>45195</v>
      </c>
      <c r="R20">
        <v>74.999999999999972</v>
      </c>
      <c r="S20">
        <v>101.00000000000001</v>
      </c>
      <c r="T20">
        <v>25</v>
      </c>
      <c r="U20">
        <v>1110</v>
      </c>
      <c r="V20">
        <v>73</v>
      </c>
      <c r="W20">
        <v>580</v>
      </c>
      <c r="X20">
        <f>Travaux_202517[[#This Row],[AC 2025]]+Travaux_202517[[#This Row],[TR 2025]]</f>
        <v>653</v>
      </c>
      <c r="Y20">
        <v>73</v>
      </c>
      <c r="Z20">
        <v>580</v>
      </c>
      <c r="AA20">
        <f>Travaux_202517[[#This Row],[AC 2025 Initiale]]+Travaux_202517[[#This Row],[TR 2025 Initiale]]</f>
        <v>653</v>
      </c>
      <c r="AB20">
        <f>Travaux_202517[[#This Row],[AC 2025]]-Travaux_202517[[#This Row],[AC 2025 Initiale]]</f>
        <v>0</v>
      </c>
      <c r="AC20">
        <f>Travaux_202517[[#This Row],[TR 2025]]-Travaux_202517[[#This Row],[TR 2025 Initiale]]</f>
        <v>0</v>
      </c>
      <c r="AD20">
        <f>Travaux_202517[[#This Row],[Écart AC 2025]]+Travaux_202517[[#This Row],[Écart TR 2025]]</f>
        <v>0</v>
      </c>
      <c r="AF20"/>
      <c r="AG20">
        <f>Travaux_202517[[#This Row],[AC 2026]]+Travaux_202517[[#This Row],[TR 2026]]</f>
        <v>0</v>
      </c>
      <c r="AJ20">
        <f>Travaux_202517[[#This Row],[AC 2026 Initiale]]+Travaux_202517[[#This Row],[TR 2026 Initiale]]</f>
        <v>0</v>
      </c>
      <c r="AK20">
        <f>Travaux_202517[[#This Row],[AC 2026]]-Travaux_202517[[#This Row],[AC 2026 Initiale]]</f>
        <v>0</v>
      </c>
      <c r="AL20">
        <f>Travaux_202517[[#This Row],[TR 2026]]-Travaux_202517[[#This Row],[TR 2026 Initiale]]</f>
        <v>0</v>
      </c>
      <c r="AM20">
        <f>Travaux_202517[[#This Row],[Écart AC 2026]]+Travaux_202517[[#This Row],[Écart TR 2026]]</f>
        <v>0</v>
      </c>
      <c r="AX20"/>
      <c r="BD20" s="14">
        <f>SUM(Travaux_202517[[#This Row],[AC ANT]:[TR 2025]],Travaux_202517[[#This Row],[AC 2026]:[TR 2026]],Travaux_202517[[#This Row],[AC 2027]:[TR 2034]])</f>
        <v>1964</v>
      </c>
    </row>
    <row r="21" spans="1:56" x14ac:dyDescent="0.3">
      <c r="A21" t="s">
        <v>286</v>
      </c>
      <c r="C21" t="s">
        <v>101</v>
      </c>
      <c r="D21" t="s">
        <v>102</v>
      </c>
      <c r="E21" t="s">
        <v>128</v>
      </c>
      <c r="F21" t="s">
        <v>113</v>
      </c>
      <c r="G21" t="s">
        <v>16</v>
      </c>
      <c r="H21" t="s">
        <v>16</v>
      </c>
      <c r="I21" t="s">
        <v>105</v>
      </c>
      <c r="J21" t="s">
        <v>160</v>
      </c>
      <c r="K21" t="s">
        <v>161</v>
      </c>
      <c r="L21" t="s">
        <v>122</v>
      </c>
      <c r="M21" t="s">
        <v>148</v>
      </c>
      <c r="N21" t="s">
        <v>164</v>
      </c>
      <c r="O21" s="1">
        <v>44956</v>
      </c>
      <c r="P21" s="1">
        <v>45321</v>
      </c>
      <c r="Q21" s="1">
        <v>45687</v>
      </c>
      <c r="R21">
        <v>6</v>
      </c>
      <c r="T21">
        <v>19</v>
      </c>
      <c r="V21">
        <v>320</v>
      </c>
      <c r="W21">
        <v>4503</v>
      </c>
      <c r="X21">
        <f>Travaux_202517[[#This Row],[AC 2025]]+Travaux_202517[[#This Row],[TR 2025]]</f>
        <v>4823</v>
      </c>
      <c r="Y21">
        <v>320</v>
      </c>
      <c r="Z21">
        <v>4503</v>
      </c>
      <c r="AA21">
        <f>Travaux_202517[[#This Row],[AC 2025 Initiale]]+Travaux_202517[[#This Row],[TR 2025 Initiale]]</f>
        <v>4823</v>
      </c>
      <c r="AB21">
        <f>Travaux_202517[[#This Row],[AC 2025]]-Travaux_202517[[#This Row],[AC 2025 Initiale]]</f>
        <v>0</v>
      </c>
      <c r="AC21">
        <f>Travaux_202517[[#This Row],[TR 2025]]-Travaux_202517[[#This Row],[TR 2025 Initiale]]</f>
        <v>0</v>
      </c>
      <c r="AD21">
        <f>Travaux_202517[[#This Row],[Écart AC 2025]]+Travaux_202517[[#This Row],[Écart TR 2025]]</f>
        <v>0</v>
      </c>
      <c r="AF21"/>
      <c r="AG21">
        <f>Travaux_202517[[#This Row],[AC 2026]]+Travaux_202517[[#This Row],[TR 2026]]</f>
        <v>0</v>
      </c>
      <c r="AJ21">
        <f>Travaux_202517[[#This Row],[AC 2026 Initiale]]+Travaux_202517[[#This Row],[TR 2026 Initiale]]</f>
        <v>0</v>
      </c>
      <c r="AK21">
        <f>Travaux_202517[[#This Row],[AC 2026]]-Travaux_202517[[#This Row],[AC 2026 Initiale]]</f>
        <v>0</v>
      </c>
      <c r="AL21">
        <f>Travaux_202517[[#This Row],[TR 2026]]-Travaux_202517[[#This Row],[TR 2026 Initiale]]</f>
        <v>0</v>
      </c>
      <c r="AM21">
        <f>Travaux_202517[[#This Row],[Écart AC 2026]]+Travaux_202517[[#This Row],[Écart TR 2026]]</f>
        <v>0</v>
      </c>
      <c r="AX21"/>
      <c r="BD21" s="14">
        <f>SUM(Travaux_202517[[#This Row],[AC ANT]:[TR 2025]],Travaux_202517[[#This Row],[AC 2026]:[TR 2026]],Travaux_202517[[#This Row],[AC 2027]:[TR 2034]])</f>
        <v>4848</v>
      </c>
    </row>
    <row r="22" spans="1:56" x14ac:dyDescent="0.3">
      <c r="A22" t="s">
        <v>286</v>
      </c>
      <c r="C22" t="s">
        <v>118</v>
      </c>
      <c r="D22" t="s">
        <v>102</v>
      </c>
      <c r="E22" t="s">
        <v>103</v>
      </c>
      <c r="F22" t="s">
        <v>149</v>
      </c>
      <c r="G22" t="s">
        <v>16</v>
      </c>
      <c r="H22" t="s">
        <v>16</v>
      </c>
      <c r="I22" t="s">
        <v>131</v>
      </c>
      <c r="J22" t="s">
        <v>192</v>
      </c>
      <c r="K22" t="s">
        <v>193</v>
      </c>
      <c r="L22" t="s">
        <v>194</v>
      </c>
      <c r="M22" t="s">
        <v>148</v>
      </c>
      <c r="N22" t="s">
        <v>164</v>
      </c>
      <c r="O22" s="1">
        <v>44547</v>
      </c>
      <c r="P22" s="1">
        <v>45091</v>
      </c>
      <c r="Q22" s="1">
        <v>45375</v>
      </c>
      <c r="R22">
        <v>7</v>
      </c>
      <c r="T22">
        <v>81</v>
      </c>
      <c r="U22">
        <v>1350</v>
      </c>
      <c r="V22">
        <v>185</v>
      </c>
      <c r="W22">
        <v>4398</v>
      </c>
      <c r="X22">
        <f>Travaux_202517[[#This Row],[AC 2025]]+Travaux_202517[[#This Row],[TR 2025]]</f>
        <v>4583</v>
      </c>
      <c r="Y22">
        <v>185</v>
      </c>
      <c r="Z22">
        <v>4398</v>
      </c>
      <c r="AA22">
        <f>Travaux_202517[[#This Row],[AC 2025 Initiale]]+Travaux_202517[[#This Row],[TR 2025 Initiale]]</f>
        <v>4583</v>
      </c>
      <c r="AB22">
        <f>Travaux_202517[[#This Row],[AC 2025]]-Travaux_202517[[#This Row],[AC 2025 Initiale]]</f>
        <v>0</v>
      </c>
      <c r="AC22">
        <f>Travaux_202517[[#This Row],[TR 2025]]-Travaux_202517[[#This Row],[TR 2025 Initiale]]</f>
        <v>0</v>
      </c>
      <c r="AD22">
        <f>Travaux_202517[[#This Row],[Écart AC 2025]]+Travaux_202517[[#This Row],[Écart TR 2025]]</f>
        <v>0</v>
      </c>
      <c r="AF22"/>
      <c r="AG22">
        <f>Travaux_202517[[#This Row],[AC 2026]]+Travaux_202517[[#This Row],[TR 2026]]</f>
        <v>0</v>
      </c>
      <c r="AJ22">
        <f>Travaux_202517[[#This Row],[AC 2026 Initiale]]+Travaux_202517[[#This Row],[TR 2026 Initiale]]</f>
        <v>0</v>
      </c>
      <c r="AK22">
        <f>Travaux_202517[[#This Row],[AC 2026]]-Travaux_202517[[#This Row],[AC 2026 Initiale]]</f>
        <v>0</v>
      </c>
      <c r="AL22">
        <f>Travaux_202517[[#This Row],[TR 2026]]-Travaux_202517[[#This Row],[TR 2026 Initiale]]</f>
        <v>0</v>
      </c>
      <c r="AM22">
        <f>Travaux_202517[[#This Row],[Écart AC 2026]]+Travaux_202517[[#This Row],[Écart TR 2026]]</f>
        <v>0</v>
      </c>
      <c r="AX22"/>
      <c r="BD22" s="14">
        <f>SUM(Travaux_202517[[#This Row],[AC ANT]:[TR 2025]],Travaux_202517[[#This Row],[AC 2026]:[TR 2026]],Travaux_202517[[#This Row],[AC 2027]:[TR 2034]])</f>
        <v>6021</v>
      </c>
    </row>
    <row r="23" spans="1:56" x14ac:dyDescent="0.3">
      <c r="A23" t="s">
        <v>286</v>
      </c>
      <c r="C23" t="s">
        <v>126</v>
      </c>
      <c r="D23" t="s">
        <v>127</v>
      </c>
      <c r="E23" t="s">
        <v>128</v>
      </c>
      <c r="F23" t="s">
        <v>252</v>
      </c>
      <c r="G23" t="s">
        <v>16</v>
      </c>
      <c r="H23" t="s">
        <v>16</v>
      </c>
      <c r="I23" t="s">
        <v>131</v>
      </c>
      <c r="J23" t="s">
        <v>259</v>
      </c>
      <c r="K23" t="s">
        <v>260</v>
      </c>
      <c r="L23" t="s">
        <v>159</v>
      </c>
      <c r="M23" t="s">
        <v>148</v>
      </c>
      <c r="N23" t="s">
        <v>291</v>
      </c>
      <c r="O23" s="1"/>
      <c r="P23" s="1"/>
      <c r="Q23" s="1"/>
      <c r="V23">
        <v>15</v>
      </c>
      <c r="W23">
        <v>85</v>
      </c>
      <c r="X23">
        <f>Travaux_202517[[#This Row],[AC 2025]]+Travaux_202517[[#This Row],[TR 2025]]</f>
        <v>100</v>
      </c>
      <c r="Y23">
        <v>15</v>
      </c>
      <c r="Z23">
        <v>85</v>
      </c>
      <c r="AA23">
        <f>Travaux_202517[[#This Row],[AC 2025 Initiale]]+Travaux_202517[[#This Row],[TR 2025 Initiale]]</f>
        <v>100</v>
      </c>
      <c r="AB23">
        <f>Travaux_202517[[#This Row],[AC 2025]]-Travaux_202517[[#This Row],[AC 2025 Initiale]]</f>
        <v>0</v>
      </c>
      <c r="AC23">
        <f>Travaux_202517[[#This Row],[TR 2025]]-Travaux_202517[[#This Row],[TR 2025 Initiale]]</f>
        <v>0</v>
      </c>
      <c r="AD23">
        <f>Travaux_202517[[#This Row],[Écart AC 2025]]+Travaux_202517[[#This Row],[Écart TR 2025]]</f>
        <v>0</v>
      </c>
      <c r="AF23"/>
      <c r="AG23">
        <f>Travaux_202517[[#This Row],[AC 2026]]+Travaux_202517[[#This Row],[TR 2026]]</f>
        <v>0</v>
      </c>
      <c r="AJ23">
        <f>Travaux_202517[[#This Row],[AC 2026 Initiale]]+Travaux_202517[[#This Row],[TR 2026 Initiale]]</f>
        <v>0</v>
      </c>
      <c r="AK23">
        <f>Travaux_202517[[#This Row],[AC 2026]]-Travaux_202517[[#This Row],[AC 2026 Initiale]]</f>
        <v>0</v>
      </c>
      <c r="AL23">
        <f>Travaux_202517[[#This Row],[TR 2026]]-Travaux_202517[[#This Row],[TR 2026 Initiale]]</f>
        <v>0</v>
      </c>
      <c r="AM23">
        <f>Travaux_202517[[#This Row],[Écart AC 2026]]+Travaux_202517[[#This Row],[Écart TR 2026]]</f>
        <v>0</v>
      </c>
      <c r="AX23"/>
      <c r="BD23" s="14">
        <f>SUM(Travaux_202517[[#This Row],[AC ANT]:[TR 2025]],Travaux_202517[[#This Row],[AC 2026]:[TR 2026]],Travaux_202517[[#This Row],[AC 2027]:[TR 2034]])</f>
        <v>100</v>
      </c>
    </row>
    <row r="24" spans="1:56" x14ac:dyDescent="0.3">
      <c r="A24" t="s">
        <v>286</v>
      </c>
      <c r="C24" t="s">
        <v>118</v>
      </c>
      <c r="D24" t="s">
        <v>102</v>
      </c>
      <c r="E24" t="s">
        <v>177</v>
      </c>
      <c r="F24" t="s">
        <v>129</v>
      </c>
      <c r="G24" t="s">
        <v>16</v>
      </c>
      <c r="H24" t="s">
        <v>16</v>
      </c>
      <c r="I24" t="s">
        <v>131</v>
      </c>
      <c r="J24" t="s">
        <v>293</v>
      </c>
      <c r="K24" t="s">
        <v>294</v>
      </c>
      <c r="L24" t="s">
        <v>134</v>
      </c>
      <c r="M24" t="s">
        <v>148</v>
      </c>
      <c r="N24" t="s">
        <v>297</v>
      </c>
      <c r="O24" s="1">
        <v>45702</v>
      </c>
      <c r="P24" s="1">
        <v>45702</v>
      </c>
      <c r="Q24" s="1">
        <v>45702</v>
      </c>
      <c r="V24">
        <v>50</v>
      </c>
      <c r="W24">
        <v>2894</v>
      </c>
      <c r="X24">
        <f>Travaux_202517[[#This Row],[AC 2025]]+Travaux_202517[[#This Row],[TR 2025]]</f>
        <v>2944</v>
      </c>
      <c r="Y24">
        <v>50</v>
      </c>
      <c r="Z24">
        <v>2894</v>
      </c>
      <c r="AA24">
        <f>Travaux_202517[[#This Row],[AC 2025 Initiale]]+Travaux_202517[[#This Row],[TR 2025 Initiale]]</f>
        <v>2944</v>
      </c>
      <c r="AB24">
        <f>Travaux_202517[[#This Row],[AC 2025]]-Travaux_202517[[#This Row],[AC 2025 Initiale]]</f>
        <v>0</v>
      </c>
      <c r="AC24">
        <f>Travaux_202517[[#This Row],[TR 2025]]-Travaux_202517[[#This Row],[TR 2025 Initiale]]</f>
        <v>0</v>
      </c>
      <c r="AD24">
        <f>Travaux_202517[[#This Row],[Écart AC 2025]]+Travaux_202517[[#This Row],[Écart TR 2025]]</f>
        <v>0</v>
      </c>
      <c r="AF24"/>
      <c r="AG24">
        <f>Travaux_202517[[#This Row],[AC 2026]]+Travaux_202517[[#This Row],[TR 2026]]</f>
        <v>0</v>
      </c>
      <c r="AJ24">
        <f>Travaux_202517[[#This Row],[AC 2026 Initiale]]+Travaux_202517[[#This Row],[TR 2026 Initiale]]</f>
        <v>0</v>
      </c>
      <c r="AK24">
        <f>Travaux_202517[[#This Row],[AC 2026]]-Travaux_202517[[#This Row],[AC 2026 Initiale]]</f>
        <v>0</v>
      </c>
      <c r="AL24">
        <f>Travaux_202517[[#This Row],[TR 2026]]-Travaux_202517[[#This Row],[TR 2026 Initiale]]</f>
        <v>0</v>
      </c>
      <c r="AM24">
        <f>Travaux_202517[[#This Row],[Écart AC 2026]]+Travaux_202517[[#This Row],[Écart TR 2026]]</f>
        <v>0</v>
      </c>
      <c r="AX24"/>
      <c r="BD24" s="14">
        <f>SUM(Travaux_202517[[#This Row],[AC ANT]:[TR 2025]],Travaux_202517[[#This Row],[AC 2026]:[TR 2026]],Travaux_202517[[#This Row],[AC 2027]:[TR 2034]])</f>
        <v>2944</v>
      </c>
    </row>
    <row r="25" spans="1:56" x14ac:dyDescent="0.3">
      <c r="A25" t="s">
        <v>286</v>
      </c>
      <c r="C25" t="s">
        <v>126</v>
      </c>
      <c r="D25" t="s">
        <v>127</v>
      </c>
      <c r="E25" t="s">
        <v>128</v>
      </c>
      <c r="F25" t="s">
        <v>252</v>
      </c>
      <c r="G25" t="s">
        <v>16</v>
      </c>
      <c r="H25" t="s">
        <v>16</v>
      </c>
      <c r="I25" t="s">
        <v>131</v>
      </c>
      <c r="J25" t="s">
        <v>253</v>
      </c>
      <c r="K25" t="s">
        <v>254</v>
      </c>
      <c r="L25" t="s">
        <v>147</v>
      </c>
      <c r="M25" t="s">
        <v>148</v>
      </c>
      <c r="N25" t="s">
        <v>110</v>
      </c>
      <c r="O25" s="1">
        <v>45378</v>
      </c>
      <c r="P25" s="1"/>
      <c r="Q25" s="1">
        <v>45611</v>
      </c>
      <c r="V25">
        <v>10</v>
      </c>
      <c r="W25">
        <v>39</v>
      </c>
      <c r="X25">
        <f>Travaux_202517[[#This Row],[AC 2025]]+Travaux_202517[[#This Row],[TR 2025]]</f>
        <v>49</v>
      </c>
      <c r="Y25">
        <v>10</v>
      </c>
      <c r="Z25">
        <v>39</v>
      </c>
      <c r="AA25">
        <f>Travaux_202517[[#This Row],[AC 2025 Initiale]]+Travaux_202517[[#This Row],[TR 2025 Initiale]]</f>
        <v>49</v>
      </c>
      <c r="AB25">
        <f>Travaux_202517[[#This Row],[AC 2025]]-Travaux_202517[[#This Row],[AC 2025 Initiale]]</f>
        <v>0</v>
      </c>
      <c r="AC25">
        <f>Travaux_202517[[#This Row],[TR 2025]]-Travaux_202517[[#This Row],[TR 2025 Initiale]]</f>
        <v>0</v>
      </c>
      <c r="AD25">
        <f>Travaux_202517[[#This Row],[Écart AC 2025]]+Travaux_202517[[#This Row],[Écart TR 2025]]</f>
        <v>0</v>
      </c>
      <c r="AF25"/>
      <c r="AG25">
        <f>Travaux_202517[[#This Row],[AC 2026]]+Travaux_202517[[#This Row],[TR 2026]]</f>
        <v>0</v>
      </c>
      <c r="AJ25">
        <f>Travaux_202517[[#This Row],[AC 2026 Initiale]]+Travaux_202517[[#This Row],[TR 2026 Initiale]]</f>
        <v>0</v>
      </c>
      <c r="AK25">
        <f>Travaux_202517[[#This Row],[AC 2026]]-Travaux_202517[[#This Row],[AC 2026 Initiale]]</f>
        <v>0</v>
      </c>
      <c r="AL25">
        <f>Travaux_202517[[#This Row],[TR 2026]]-Travaux_202517[[#This Row],[TR 2026 Initiale]]</f>
        <v>0</v>
      </c>
      <c r="AM25">
        <f>Travaux_202517[[#This Row],[Écart AC 2026]]+Travaux_202517[[#This Row],[Écart TR 2026]]</f>
        <v>0</v>
      </c>
      <c r="AX25"/>
      <c r="BD25" s="14">
        <f>SUM(Travaux_202517[[#This Row],[AC ANT]:[TR 2025]],Travaux_202517[[#This Row],[AC 2026]:[TR 2026]],Travaux_202517[[#This Row],[AC 2027]:[TR 2034]])</f>
        <v>49</v>
      </c>
    </row>
    <row r="26" spans="1:56" x14ac:dyDescent="0.3">
      <c r="A26" t="s">
        <v>286</v>
      </c>
      <c r="C26" t="s">
        <v>118</v>
      </c>
      <c r="D26" t="s">
        <v>102</v>
      </c>
      <c r="E26" t="s">
        <v>119</v>
      </c>
      <c r="F26" t="s">
        <v>113</v>
      </c>
      <c r="G26" t="s">
        <v>16</v>
      </c>
      <c r="H26" t="s">
        <v>16</v>
      </c>
      <c r="I26" t="s">
        <v>105</v>
      </c>
      <c r="J26" t="s">
        <v>120</v>
      </c>
      <c r="K26" t="s">
        <v>289</v>
      </c>
      <c r="L26" t="s">
        <v>122</v>
      </c>
      <c r="M26" t="s">
        <v>148</v>
      </c>
      <c r="N26" t="s">
        <v>164</v>
      </c>
      <c r="O26" s="1"/>
      <c r="P26" s="1"/>
      <c r="Q26" s="1">
        <v>45712</v>
      </c>
      <c r="V26">
        <v>20</v>
      </c>
      <c r="W26">
        <v>895</v>
      </c>
      <c r="X26">
        <f>Travaux_202517[[#This Row],[AC 2025]]+Travaux_202517[[#This Row],[TR 2025]]</f>
        <v>915</v>
      </c>
      <c r="Y26">
        <v>20</v>
      </c>
      <c r="Z26">
        <v>895</v>
      </c>
      <c r="AA26">
        <f>Travaux_202517[[#This Row],[AC 2025 Initiale]]+Travaux_202517[[#This Row],[TR 2025 Initiale]]</f>
        <v>915</v>
      </c>
      <c r="AB26">
        <f>Travaux_202517[[#This Row],[AC 2025]]-Travaux_202517[[#This Row],[AC 2025 Initiale]]</f>
        <v>0</v>
      </c>
      <c r="AC26">
        <f>Travaux_202517[[#This Row],[TR 2025]]-Travaux_202517[[#This Row],[TR 2025 Initiale]]</f>
        <v>0</v>
      </c>
      <c r="AD26">
        <f>Travaux_202517[[#This Row],[Écart AC 2025]]+Travaux_202517[[#This Row],[Écart TR 2025]]</f>
        <v>0</v>
      </c>
      <c r="AF26"/>
      <c r="AG26">
        <f>Travaux_202517[[#This Row],[AC 2026]]+Travaux_202517[[#This Row],[TR 2026]]</f>
        <v>0</v>
      </c>
      <c r="AJ26">
        <f>Travaux_202517[[#This Row],[AC 2026 Initiale]]+Travaux_202517[[#This Row],[TR 2026 Initiale]]</f>
        <v>0</v>
      </c>
      <c r="AK26">
        <f>Travaux_202517[[#This Row],[AC 2026]]-Travaux_202517[[#This Row],[AC 2026 Initiale]]</f>
        <v>0</v>
      </c>
      <c r="AL26">
        <f>Travaux_202517[[#This Row],[TR 2026]]-Travaux_202517[[#This Row],[TR 2026 Initiale]]</f>
        <v>0</v>
      </c>
      <c r="AM26">
        <f>Travaux_202517[[#This Row],[Écart AC 2026]]+Travaux_202517[[#This Row],[Écart TR 2026]]</f>
        <v>0</v>
      </c>
      <c r="AX26"/>
      <c r="BD26" s="14">
        <f>SUM(Travaux_202517[[#This Row],[AC ANT]:[TR 2025]],Travaux_202517[[#This Row],[AC 2026]:[TR 2026]],Travaux_202517[[#This Row],[AC 2027]:[TR 2034]])</f>
        <v>915</v>
      </c>
    </row>
    <row r="27" spans="1:56" x14ac:dyDescent="0.3">
      <c r="A27" t="s">
        <v>11</v>
      </c>
      <c r="C27" t="s">
        <v>118</v>
      </c>
      <c r="D27" t="s">
        <v>102</v>
      </c>
      <c r="E27" t="s">
        <v>103</v>
      </c>
      <c r="F27" t="s">
        <v>252</v>
      </c>
      <c r="G27" t="s">
        <v>20</v>
      </c>
      <c r="H27" t="s">
        <v>16</v>
      </c>
      <c r="I27" t="s">
        <v>131</v>
      </c>
      <c r="J27" t="s">
        <v>257</v>
      </c>
      <c r="K27" t="s">
        <v>258</v>
      </c>
      <c r="L27" t="s">
        <v>180</v>
      </c>
      <c r="M27" t="s">
        <v>148</v>
      </c>
      <c r="N27" t="s">
        <v>291</v>
      </c>
      <c r="O27" s="1"/>
      <c r="P27" s="1"/>
      <c r="Q27" s="1"/>
      <c r="W27">
        <v>300</v>
      </c>
      <c r="X27">
        <f>Travaux_202517[[#This Row],[AC 2025]]+Travaux_202517[[#This Row],[TR 2025]]</f>
        <v>300</v>
      </c>
      <c r="Z27">
        <v>300</v>
      </c>
      <c r="AA27">
        <f>Travaux_202517[[#This Row],[AC 2025 Initiale]]+Travaux_202517[[#This Row],[TR 2025 Initiale]]</f>
        <v>300</v>
      </c>
      <c r="AB27">
        <f>Travaux_202517[[#This Row],[AC 2025]]-Travaux_202517[[#This Row],[AC 2025 Initiale]]</f>
        <v>0</v>
      </c>
      <c r="AC27">
        <f>Travaux_202517[[#This Row],[TR 2025]]-Travaux_202517[[#This Row],[TR 2025 Initiale]]</f>
        <v>0</v>
      </c>
      <c r="AD27">
        <f>Travaux_202517[[#This Row],[Écart AC 2025]]+Travaux_202517[[#This Row],[Écart TR 2025]]</f>
        <v>0</v>
      </c>
      <c r="AF27"/>
      <c r="AG27">
        <f>Travaux_202517[[#This Row],[AC 2026]]+Travaux_202517[[#This Row],[TR 2026]]</f>
        <v>0</v>
      </c>
      <c r="AJ27">
        <f>Travaux_202517[[#This Row],[AC 2026 Initiale]]+Travaux_202517[[#This Row],[TR 2026 Initiale]]</f>
        <v>0</v>
      </c>
      <c r="AK27">
        <f>Travaux_202517[[#This Row],[AC 2026]]-Travaux_202517[[#This Row],[AC 2026 Initiale]]</f>
        <v>0</v>
      </c>
      <c r="AL27">
        <f>Travaux_202517[[#This Row],[TR 2026]]-Travaux_202517[[#This Row],[TR 2026 Initiale]]</f>
        <v>0</v>
      </c>
      <c r="AM27">
        <f>Travaux_202517[[#This Row],[Écart AC 2026]]+Travaux_202517[[#This Row],[Écart TR 2026]]</f>
        <v>0</v>
      </c>
      <c r="AX27"/>
      <c r="BD27" s="14">
        <f>SUM(Travaux_202517[[#This Row],[AC ANT]:[TR 2025]],Travaux_202517[[#This Row],[AC 2026]:[TR 2026]],Travaux_202517[[#This Row],[AC 2027]:[TR 2034]])</f>
        <v>300</v>
      </c>
    </row>
    <row r="28" spans="1:56" x14ac:dyDescent="0.3">
      <c r="J28">
        <f>SUBTOTAL(103,Travaux_202517[Numéro projet])</f>
        <v>13</v>
      </c>
      <c r="R28" s="14">
        <f>SUBTOTAL(109,Travaux_202517[AC ANT])</f>
        <v>6160</v>
      </c>
      <c r="S28" s="14">
        <f>SUBTOTAL(109,Travaux_202517[TR ANT])</f>
        <v>33242</v>
      </c>
      <c r="T28" s="14">
        <f>SUBTOTAL(109,Travaux_202517[AC 2024])</f>
        <v>1111</v>
      </c>
      <c r="U28" s="14">
        <f>SUBTOTAL(109,Travaux_202517[TR 2024])</f>
        <v>32184</v>
      </c>
      <c r="V28" s="14">
        <f>SUBTOTAL(109,Travaux_202517[AC 2025])</f>
        <v>2716</v>
      </c>
      <c r="W28" s="14">
        <f>SUBTOTAL(109,Travaux_202517[TR 2025])</f>
        <v>50278</v>
      </c>
      <c r="X28" s="14">
        <f>SUBTOTAL(109,Travaux_202517[Actuel 2025])</f>
        <v>52994</v>
      </c>
      <c r="Y28" s="14">
        <f>SUBTOTAL(109,Travaux_202517[AC 2025 Initiale])</f>
        <v>2716</v>
      </c>
      <c r="Z28" s="14">
        <f>SUBTOTAL(109,Travaux_202517[TR 2025 Initiale])</f>
        <v>50278</v>
      </c>
      <c r="AA28" s="14">
        <f>SUBTOTAL(109,Travaux_202517[Initiale 2025])</f>
        <v>52994</v>
      </c>
      <c r="AB28" s="14">
        <f>SUBTOTAL(109,Travaux_202517[Écart AC 2025])</f>
        <v>0</v>
      </c>
      <c r="AC28" s="14">
        <f>SUBTOTAL(109,Travaux_202517[Écart TR 2025])</f>
        <v>0</v>
      </c>
      <c r="AD28" s="14">
        <f>SUBTOTAL(109,Travaux_202517[Écart 2025 Total])</f>
        <v>0</v>
      </c>
      <c r="AE28" s="14">
        <f>SUBTOTAL(109,Travaux_202517[AC 2026])</f>
        <v>60</v>
      </c>
      <c r="AF28" s="14">
        <f>SUBTOTAL(109,Travaux_202517[TR 2026])</f>
        <v>0</v>
      </c>
      <c r="AG28" s="14">
        <f>SUBTOTAL(109,Travaux_202517[Actuel 2026])</f>
        <v>60</v>
      </c>
      <c r="AH28" s="14">
        <f>SUBTOTAL(109,Travaux_202517[AC 2026 Initiale])</f>
        <v>60</v>
      </c>
      <c r="AI28" s="14">
        <f>SUBTOTAL(109,Travaux_202517[TR 2026 Initiale])</f>
        <v>0</v>
      </c>
      <c r="AJ28" s="14">
        <f>SUBTOTAL(109,Travaux_202517[Initiale 2026])</f>
        <v>60</v>
      </c>
      <c r="AK28" s="14">
        <f>SUBTOTAL(109,Travaux_202517[Écart AC 2026])</f>
        <v>0</v>
      </c>
      <c r="AL28" s="14">
        <f>SUBTOTAL(109,Travaux_202517[Écart TR 2026])</f>
        <v>0</v>
      </c>
      <c r="AM28" s="14">
        <f>SUBTOTAL(109,Travaux_202517[Écart 2026 Total])</f>
        <v>0</v>
      </c>
      <c r="AN28" s="14">
        <f>SUBTOTAL(109,Travaux_202517[AC 2027])</f>
        <v>0</v>
      </c>
      <c r="AO28" s="14">
        <f>SUBTOTAL(109,Travaux_202517[TR 2027])</f>
        <v>0</v>
      </c>
      <c r="AP28" s="14">
        <f>SUBTOTAL(109,Travaux_202517[AC 2028])</f>
        <v>0</v>
      </c>
      <c r="AQ28" s="14">
        <f>SUBTOTAL(109,Travaux_202517[TR 2028])</f>
        <v>0</v>
      </c>
      <c r="AR28" s="14">
        <f>SUBTOTAL(109,Travaux_202517[AC 2029])</f>
        <v>0</v>
      </c>
      <c r="AS28" s="14">
        <f>SUBTOTAL(109,Travaux_202517[TR 2029])</f>
        <v>0</v>
      </c>
      <c r="AT28" s="14">
        <f>SUBTOTAL(109,Travaux_202517[AC 2030])</f>
        <v>0</v>
      </c>
      <c r="AU28" s="14">
        <f>SUBTOTAL(109,Travaux_202517[TR 2030])</f>
        <v>0</v>
      </c>
      <c r="AV28" s="14">
        <f>SUBTOTAL(109,Travaux_202517[AC 2031])</f>
        <v>0</v>
      </c>
      <c r="AW28" s="14">
        <f>SUBTOTAL(109,Travaux_202517[TR 2031])</f>
        <v>0</v>
      </c>
      <c r="AX28" s="14">
        <f>SUBTOTAL(109,Travaux_202517[AC 2032])</f>
        <v>0</v>
      </c>
      <c r="AY28" s="14">
        <f>SUBTOTAL(109,Travaux_202517[TR 2032])</f>
        <v>0</v>
      </c>
      <c r="AZ28" s="14">
        <f>SUBTOTAL(109,Travaux_202517[AC 2033])</f>
        <v>0</v>
      </c>
      <c r="BA28" s="14">
        <f>SUBTOTAL(109,Travaux_202517[TR 2033])</f>
        <v>0</v>
      </c>
      <c r="BB28" s="14">
        <f>SUBTOTAL(109,Travaux_202517[AC 2034])</f>
        <v>0</v>
      </c>
      <c r="BC28" s="14">
        <f>SUBTOTAL(109,Travaux_202517[TR 2034])</f>
        <v>0</v>
      </c>
      <c r="BD28" s="14">
        <f>SUBTOTAL(109,Travaux_202517[Total Projet])</f>
        <v>125751</v>
      </c>
    </row>
    <row r="30" spans="1:56" x14ac:dyDescent="0.3">
      <c r="AZ30" s="57"/>
      <c r="BA30" s="57"/>
      <c r="BB30" s="57"/>
      <c r="BC30" s="57"/>
      <c r="BD30" s="57"/>
    </row>
    <row r="64" spans="57:57" x14ac:dyDescent="0.3">
      <c r="BE64" s="57"/>
    </row>
    <row r="68" spans="57:57" x14ac:dyDescent="0.3">
      <c r="BE68" s="57"/>
    </row>
    <row r="144" spans="62:63" x14ac:dyDescent="0.3">
      <c r="BJ144" s="57"/>
      <c r="BK144" s="57"/>
    </row>
  </sheetData>
  <mergeCells count="178">
    <mergeCell ref="AV13:AW13"/>
    <mergeCell ref="AX13:AY13"/>
    <mergeCell ref="AZ13:BA13"/>
    <mergeCell ref="BB13:BC13"/>
    <mergeCell ref="AH13:AI13"/>
    <mergeCell ref="AK13:AM13"/>
    <mergeCell ref="AN13:AO13"/>
    <mergeCell ref="AP13:AQ13"/>
    <mergeCell ref="AR13:AS13"/>
    <mergeCell ref="AT13:AU13"/>
    <mergeCell ref="T13:U13"/>
    <mergeCell ref="V13:W13"/>
    <mergeCell ref="Y13:Z13"/>
    <mergeCell ref="AB13:AD13"/>
    <mergeCell ref="AE13:AF13"/>
    <mergeCell ref="AE12:AF12"/>
    <mergeCell ref="AH12:AI12"/>
    <mergeCell ref="AK12:AM12"/>
    <mergeCell ref="AN12:AO12"/>
    <mergeCell ref="AV11:AW11"/>
    <mergeCell ref="AX11:AY11"/>
    <mergeCell ref="AZ11:BA11"/>
    <mergeCell ref="BB11:BC11"/>
    <mergeCell ref="R12:S12"/>
    <mergeCell ref="T12:U12"/>
    <mergeCell ref="V12:W12"/>
    <mergeCell ref="Y12:Z12"/>
    <mergeCell ref="AB12:AD12"/>
    <mergeCell ref="AE11:AF11"/>
    <mergeCell ref="AH11:AI11"/>
    <mergeCell ref="AK11:AM11"/>
    <mergeCell ref="AN11:AO11"/>
    <mergeCell ref="AP11:AQ11"/>
    <mergeCell ref="AR11:AS11"/>
    <mergeCell ref="AT12:AU12"/>
    <mergeCell ref="AV12:AW12"/>
    <mergeCell ref="AX12:AY12"/>
    <mergeCell ref="AZ12:BA12"/>
    <mergeCell ref="BB12:BC12"/>
    <mergeCell ref="AP12:AQ12"/>
    <mergeCell ref="AR12:AS12"/>
    <mergeCell ref="R11:S11"/>
    <mergeCell ref="T11:U11"/>
    <mergeCell ref="V11:W11"/>
    <mergeCell ref="Y11:Z11"/>
    <mergeCell ref="AB11:AD11"/>
    <mergeCell ref="AE10:AF10"/>
    <mergeCell ref="AH10:AI10"/>
    <mergeCell ref="AK10:AM10"/>
    <mergeCell ref="AN10:AO10"/>
    <mergeCell ref="AT9:AU9"/>
    <mergeCell ref="V9:W9"/>
    <mergeCell ref="Y9:Z9"/>
    <mergeCell ref="AB9:AD9"/>
    <mergeCell ref="AT11:AU11"/>
    <mergeCell ref="AV9:AW9"/>
    <mergeCell ref="AX9:AY9"/>
    <mergeCell ref="AZ9:BA9"/>
    <mergeCell ref="BB9:BC9"/>
    <mergeCell ref="R10:S10"/>
    <mergeCell ref="T10:U10"/>
    <mergeCell ref="V10:W10"/>
    <mergeCell ref="Y10:Z10"/>
    <mergeCell ref="AB10:AD10"/>
    <mergeCell ref="AE9:AF9"/>
    <mergeCell ref="AH9:AI9"/>
    <mergeCell ref="AK9:AM9"/>
    <mergeCell ref="AN9:AO9"/>
    <mergeCell ref="AP9:AQ9"/>
    <mergeCell ref="AR9:AS9"/>
    <mergeCell ref="AT10:AU10"/>
    <mergeCell ref="AV10:AW10"/>
    <mergeCell ref="AX10:AY10"/>
    <mergeCell ref="AZ10:BA10"/>
    <mergeCell ref="BB10:BC10"/>
    <mergeCell ref="AP10:AQ10"/>
    <mergeCell ref="AR10:AS10"/>
    <mergeCell ref="R9:S9"/>
    <mergeCell ref="T9:U9"/>
    <mergeCell ref="J8:K8"/>
    <mergeCell ref="R8:S8"/>
    <mergeCell ref="T8:U8"/>
    <mergeCell ref="V8:W8"/>
    <mergeCell ref="Y8:Z8"/>
    <mergeCell ref="AB8:AD8"/>
    <mergeCell ref="AH7:AI7"/>
    <mergeCell ref="AK7:AM7"/>
    <mergeCell ref="AN7:AO7"/>
    <mergeCell ref="BB8:BC8"/>
    <mergeCell ref="AP8:AQ8"/>
    <mergeCell ref="AR8:AS8"/>
    <mergeCell ref="R7:S7"/>
    <mergeCell ref="T7:U7"/>
    <mergeCell ref="V7:W7"/>
    <mergeCell ref="Y7:Z7"/>
    <mergeCell ref="AB7:AD7"/>
    <mergeCell ref="AE7:AF7"/>
    <mergeCell ref="AE8:AF8"/>
    <mergeCell ref="AH8:AI8"/>
    <mergeCell ref="AK8:AM8"/>
    <mergeCell ref="AN8:AO8"/>
    <mergeCell ref="AV7:AW7"/>
    <mergeCell ref="AX7:AY7"/>
    <mergeCell ref="AZ7:BA7"/>
    <mergeCell ref="BB7:BC7"/>
    <mergeCell ref="AP7:AQ7"/>
    <mergeCell ref="AR7:AS7"/>
    <mergeCell ref="AT7:AU7"/>
    <mergeCell ref="AT8:AU8"/>
    <mergeCell ref="AV8:AW8"/>
    <mergeCell ref="AX8:AY8"/>
    <mergeCell ref="AZ8:BA8"/>
    <mergeCell ref="AH6:AI6"/>
    <mergeCell ref="AK6:AM6"/>
    <mergeCell ref="AN6:AO6"/>
    <mergeCell ref="AZ5:BA5"/>
    <mergeCell ref="BB5:BC5"/>
    <mergeCell ref="R6:S6"/>
    <mergeCell ref="T6:U6"/>
    <mergeCell ref="V6:W6"/>
    <mergeCell ref="Y6:Z6"/>
    <mergeCell ref="AB6:AD6"/>
    <mergeCell ref="AE6:AF6"/>
    <mergeCell ref="AH5:AI5"/>
    <mergeCell ref="AK5:AM5"/>
    <mergeCell ref="AN5:AO5"/>
    <mergeCell ref="AP5:AQ5"/>
    <mergeCell ref="AR5:AS5"/>
    <mergeCell ref="AT5:AU5"/>
    <mergeCell ref="AV6:AW6"/>
    <mergeCell ref="AX6:AY6"/>
    <mergeCell ref="AZ6:BA6"/>
    <mergeCell ref="BB6:BC6"/>
    <mergeCell ref="AP6:AQ6"/>
    <mergeCell ref="AR6:AS6"/>
    <mergeCell ref="AT6:AU6"/>
    <mergeCell ref="AV4:AW4"/>
    <mergeCell ref="AX4:AY4"/>
    <mergeCell ref="AZ4:BA4"/>
    <mergeCell ref="BB4:BC4"/>
    <mergeCell ref="R5:S5"/>
    <mergeCell ref="T5:U5"/>
    <mergeCell ref="V5:W5"/>
    <mergeCell ref="Y5:Z5"/>
    <mergeCell ref="AB5:AD5"/>
    <mergeCell ref="AE5:AF5"/>
    <mergeCell ref="AH4:AI4"/>
    <mergeCell ref="AK4:AM4"/>
    <mergeCell ref="AN4:AO4"/>
    <mergeCell ref="AP4:AQ4"/>
    <mergeCell ref="AR4:AS4"/>
    <mergeCell ref="AT4:AU4"/>
    <mergeCell ref="R4:S4"/>
    <mergeCell ref="T4:U4"/>
    <mergeCell ref="V4:W4"/>
    <mergeCell ref="Y4:Z4"/>
    <mergeCell ref="AB4:AD4"/>
    <mergeCell ref="AE4:AF4"/>
    <mergeCell ref="AV5:AW5"/>
    <mergeCell ref="AX5:AY5"/>
    <mergeCell ref="AX3:AY3"/>
    <mergeCell ref="AZ3:BA3"/>
    <mergeCell ref="BB3:BC3"/>
    <mergeCell ref="AB3:AD3"/>
    <mergeCell ref="AE3:AF3"/>
    <mergeCell ref="AH3:AI3"/>
    <mergeCell ref="AK3:AM3"/>
    <mergeCell ref="AN3:AO3"/>
    <mergeCell ref="AP3:AQ3"/>
    <mergeCell ref="P2:Q2"/>
    <mergeCell ref="P3:Q3"/>
    <mergeCell ref="R3:S3"/>
    <mergeCell ref="T3:U3"/>
    <mergeCell ref="V3:W3"/>
    <mergeCell ref="Y3:Z3"/>
    <mergeCell ref="AR3:AS3"/>
    <mergeCell ref="AT3:AU3"/>
    <mergeCell ref="AV3:AW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6D4C-D381-4E87-8D20-6E98BE80FCC7}">
  <dimension ref="A1:BN144"/>
  <sheetViews>
    <sheetView topLeftCell="AQ1" workbookViewId="0">
      <selection activeCell="J10" sqref="J10"/>
    </sheetView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17.109375" customWidth="1"/>
    <col min="12" max="12" width="99" bestFit="1" customWidth="1" collapsed="1"/>
    <col min="13" max="13" width="22.33203125" customWidth="1"/>
    <col min="14" max="14" width="10" customWidth="1"/>
    <col min="15" max="15" width="16" bestFit="1" customWidth="1"/>
    <col min="16" max="16" width="13.6640625" customWidth="1"/>
    <col min="17" max="17" width="13" customWidth="1"/>
    <col min="18" max="18" width="12.33203125" customWidth="1"/>
    <col min="19" max="19" width="11.44140625" hidden="1" customWidth="1" outlineLevel="1"/>
    <col min="20" max="21" width="9.44140625" hidden="1" customWidth="1" outlineLevel="1"/>
    <col min="22" max="22" width="9.5546875" hidden="1" customWidth="1" outlineLevel="1"/>
    <col min="23" max="23" width="9.5546875" customWidth="1" collapsed="1"/>
    <col min="24" max="24" width="9.5546875" customWidth="1"/>
    <col min="25" max="25" width="13.33203125" customWidth="1" outlineLevel="1"/>
    <col min="26" max="27" width="11.5546875" customWidth="1" outlineLevel="1"/>
    <col min="28" max="28" width="8.33203125" customWidth="1" outlineLevel="1" collapsed="1"/>
    <col min="29" max="29" width="9" customWidth="1" outlineLevel="1"/>
    <col min="30" max="30" width="11.44140625" customWidth="1"/>
    <col min="31" max="31" width="9" customWidth="1" outlineLevel="1"/>
    <col min="32" max="32" width="9.88671875" style="25" customWidth="1" outlineLevel="1"/>
    <col min="33" max="33" width="9.88671875" style="25" customWidth="1"/>
    <col min="34" max="34" width="9.6640625" customWidth="1" outlineLevel="1"/>
    <col min="35" max="35" width="12.109375" customWidth="1" outlineLevel="1" collapsed="1"/>
    <col min="36" max="36" width="9.5546875" customWidth="1" outlineLevel="1"/>
    <col min="37" max="37" width="8.109375" customWidth="1" outlineLevel="1" collapsed="1"/>
    <col min="38" max="38" width="8.109375" customWidth="1" outlineLevel="1"/>
    <col min="39" max="39" width="10.33203125" customWidth="1"/>
    <col min="40" max="40" width="7.44140625" customWidth="1" outlineLevel="1"/>
    <col min="41" max="41" width="9.44140625" customWidth="1" outlineLevel="1"/>
    <col min="42" max="42" width="10.33203125" customWidth="1" outlineLevel="1"/>
    <col min="43" max="43" width="9.5546875" customWidth="1" outlineLevel="1"/>
    <col min="44" max="49" width="9.88671875" customWidth="1" outlineLevel="1"/>
    <col min="50" max="50" width="9.88671875" style="8" customWidth="1" outlineLevel="1"/>
    <col min="51" max="58" width="9.88671875" customWidth="1" outlineLevel="1"/>
    <col min="59" max="59" width="15.5546875" customWidth="1"/>
    <col min="60" max="60" width="13.33203125" customWidth="1"/>
    <col min="61" max="63" width="9.88671875" customWidth="1"/>
    <col min="64" max="64" width="16.109375" customWidth="1"/>
    <col min="65" max="65" width="17" customWidth="1"/>
    <col min="66" max="76" width="11.33203125" customWidth="1"/>
    <col min="77" max="77" width="12.5546875" customWidth="1"/>
    <col min="78" max="78" width="13.44140625" customWidth="1"/>
    <col min="79" max="79" width="13.109375" customWidth="1"/>
    <col min="80" max="80" width="14" customWidth="1"/>
    <col min="81" max="86" width="17.33203125" customWidth="1"/>
    <col min="87" max="87" width="18.109375" customWidth="1"/>
    <col min="88" max="88" width="17.5546875" customWidth="1"/>
  </cols>
  <sheetData>
    <row r="1" spans="1:58" ht="21" x14ac:dyDescent="0.4">
      <c r="A1" s="85"/>
      <c r="B1" s="85"/>
      <c r="C1" s="85"/>
      <c r="D1" s="85"/>
      <c r="E1" s="85"/>
      <c r="F1" s="85"/>
      <c r="J1" s="32" t="s">
        <v>561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85"/>
      <c r="BF1" s="85"/>
    </row>
    <row r="2" spans="1:58" x14ac:dyDescent="0.3">
      <c r="J2" s="189" t="s">
        <v>562</v>
      </c>
      <c r="K2" s="190"/>
      <c r="P2" s="314"/>
      <c r="Q2" s="314"/>
      <c r="R2" s="25"/>
      <c r="S2" s="25"/>
      <c r="T2" s="25"/>
      <c r="U2" s="8"/>
      <c r="AF2"/>
      <c r="AG2"/>
      <c r="AX2"/>
    </row>
    <row r="3" spans="1:58" ht="25.5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0"/>
      <c r="Y3" s="297" t="s">
        <v>553</v>
      </c>
      <c r="Z3" s="298"/>
      <c r="AA3" s="311" t="s">
        <v>554</v>
      </c>
      <c r="AB3" s="312"/>
      <c r="AC3" s="313"/>
      <c r="AD3" s="300" t="s">
        <v>266</v>
      </c>
      <c r="AE3" s="300"/>
      <c r="AF3" s="297" t="s">
        <v>557</v>
      </c>
      <c r="AG3" s="298"/>
      <c r="AH3" s="308" t="s">
        <v>558</v>
      </c>
      <c r="AI3" s="309"/>
      <c r="AJ3" s="310"/>
      <c r="AK3" s="300">
        <v>2027</v>
      </c>
      <c r="AL3" s="294"/>
      <c r="AM3" s="293">
        <v>2028</v>
      </c>
      <c r="AN3" s="294"/>
      <c r="AO3" s="293">
        <v>2029</v>
      </c>
      <c r="AP3" s="294"/>
      <c r="AQ3" s="293">
        <v>2030</v>
      </c>
      <c r="AR3" s="294"/>
      <c r="AS3" s="293">
        <v>2031</v>
      </c>
      <c r="AT3" s="294"/>
      <c r="AU3" s="293">
        <v>2032</v>
      </c>
      <c r="AV3" s="294"/>
      <c r="AW3" s="293">
        <v>2033</v>
      </c>
      <c r="AX3" s="294"/>
      <c r="AY3" s="293">
        <v>2034</v>
      </c>
      <c r="AZ3" s="294"/>
      <c r="BA3" s="293">
        <v>2035</v>
      </c>
      <c r="BB3" s="294"/>
      <c r="BC3" s="178"/>
      <c r="BD3" s="26" t="s">
        <v>269</v>
      </c>
      <c r="BE3" s="26" t="s">
        <v>8</v>
      </c>
    </row>
    <row r="4" spans="1:58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SUMIFS(Travaux_2025[AC 2024],Travaux_2025[DES_COMPL_NATR_COMPB],"=Fonctionnement")+SUMIFS(Travaux_2025[TR 2024],Travaux_2025[DES_COMPL_NATR_COMPB],"=Fonctionnement")</f>
        <v>0</v>
      </c>
      <c r="V4" s="260"/>
      <c r="W4" s="295">
        <f>SUMIFS(Travaux_2025[AC 2025],Travaux_2025[DES_COMPL_NATR_COMPB],"=Fonctionnement")+SUMIFS(Travaux_2025[TR 2025],Travaux_2025[DES_COMPL_NATR_COMPB],"=Fonctionnement")</f>
        <v>300</v>
      </c>
      <c r="X4" s="295"/>
      <c r="Y4" s="334">
        <f>SUMIFS(Travaux_2025[AC 2025 Initiale],Travaux_2025[DES_COMPL_NATR_COMPB],"=Fonctionnement")+SUMIFS(Travaux_2025[TR 2025 Initiale],Travaux_2025[DES_COMPL_NATR_COMPB],"=Fonctionnement")</f>
        <v>300</v>
      </c>
      <c r="Z4" s="296"/>
      <c r="AA4" s="279"/>
      <c r="AB4" s="260"/>
      <c r="AC4" s="280"/>
      <c r="AD4" s="334">
        <f>SUMIFS(Travaux_2025[AC 2026],Travaux_2025[DES_COMPL_NATR_COMPB],"=Fonctionnement")+SUMIFS(Travaux_2025[TR 2026],Travaux_2025[DES_COMPL_NATR_COMPB],"=Fonctionnement")</f>
        <v>0</v>
      </c>
      <c r="AE4" s="295"/>
      <c r="AF4" s="295">
        <f>SUMIFS(Travaux_2025[AC 2026 Initiale],Travaux_2025[DES_COMPL_NATR_COMPB],"=Fonctionnement")+SUMIFS(Travaux_2025[TR 2026 Initiale],Travaux_2025[DES_COMPL_NATR_COMPB],"=Fonctionnement")</f>
        <v>0</v>
      </c>
      <c r="AG4" s="296"/>
      <c r="AH4" s="279"/>
      <c r="AI4" s="260"/>
      <c r="AJ4" s="280"/>
      <c r="AK4" s="334">
        <f>SUMIFS(Travaux_2025[AC 2027],Travaux_2025[DES_COMPL_NATR_COMPB],"=Fonctionnement")+SUMIFS(Travaux_2025[TR 2027],Travaux_2025[DES_COMPL_NATR_COMPB],"=Fonctionnement")</f>
        <v>0</v>
      </c>
      <c r="AL4" s="295"/>
      <c r="AM4" s="295">
        <f>SUMIFS(Travaux_2025[AC 2028],Travaux_2025[DES_COMPL_NATR_COMPB],"=Fonctionnement")+SUMIFS(Travaux_2025[TR 2028],Travaux_2025[DES_COMPL_NATR_COMPB],"=Fonctionnement")</f>
        <v>0</v>
      </c>
      <c r="AN4" s="295"/>
      <c r="AO4" s="295">
        <f>SUMIFS(Travaux_2025[AC 2029],Travaux_2025[DES_COMPL_NATR_COMPB],"=Fonctionnement")+SUMIFS(Travaux_2025[TR 2029],Travaux_2025[DES_COMPL_NATR_COMPB],"=Fonctionnement")</f>
        <v>0</v>
      </c>
      <c r="AP4" s="295"/>
      <c r="AQ4" s="295">
        <f>SUMIFS(Travaux_2025[AC 2030],Travaux_2025[DES_COMPL_NATR_COMPB],"=Fonctionnement")+SUMIFS(Travaux_2025[TR 2030],Travaux_2025[DES_COMPL_NATR_COMPB],"=Fonctionnement")</f>
        <v>0</v>
      </c>
      <c r="AR4" s="295"/>
      <c r="AS4" s="295">
        <f>SUMIFS(Travaux_2025[AC 2031],Travaux_2025[DES_COMPL_NATR_COMPB],"=Fonctionnement")+SUMIFS(Travaux_2025[TR 2031],Travaux_2025[DES_COMPL_NATR_COMPB],"=Fonctionnement")</f>
        <v>0</v>
      </c>
      <c r="AT4" s="295"/>
      <c r="AU4" s="295">
        <f>SUMIFS(Travaux_2025[AC 2032],Travaux_2025[DES_COMPL_NATR_COMPB],"=Fonctionnement")+SUMIFS(Travaux_2025[TR 2032],Travaux_2025[DES_COMPL_NATR_COMPB],"=Fonctionnement")</f>
        <v>0</v>
      </c>
      <c r="AV4" s="295"/>
      <c r="AW4" s="295">
        <f>SUMIFS(Travaux_2025[AC 2033],Travaux_2025[DES_COMPL_NATR_COMPB],"=Fonctionnement")+SUMIFS(Travaux_2025[TR 2033],Travaux_2025[DES_COMPL_NATR_COMPB],"=Fonctionnement")</f>
        <v>0</v>
      </c>
      <c r="AX4" s="295"/>
      <c r="AY4" s="295">
        <f>SUMIFS(Travaux_2025[AC 2034],Travaux_2025[DES_COMPL_NATR_COMPB],"=Fonctionnement")+SUMIFS(Travaux_2025[TR 2034],Travaux_2025[DES_COMPL_NATR_COMPB],"=Fonctionnement")</f>
        <v>0</v>
      </c>
      <c r="AZ4" s="295"/>
      <c r="BA4" s="295">
        <f>SUMIFS(Travaux_2025[AC 2035],Travaux_2025[DES_COMPL_NATR_COMPB],"=Fonctionnement")+SUMIFS(Travaux_2025[TR 2035],Travaux_2025[DES_COMPL_NATR_COMPB],"=Fonctionnement")</f>
        <v>0</v>
      </c>
      <c r="BB4" s="295"/>
      <c r="BC4" s="78"/>
      <c r="BD4" s="16">
        <f t="shared" ref="BD4:BD12" si="0">SUM(W4,AD4)</f>
        <v>300</v>
      </c>
      <c r="BE4" s="16">
        <f t="shared" ref="BE4:BE11" si="1">SUM(W4,AD4,AK4:AZ4)</f>
        <v>300</v>
      </c>
    </row>
    <row r="5" spans="1:58" x14ac:dyDescent="0.3">
      <c r="J5" s="27" t="s">
        <v>12</v>
      </c>
      <c r="K5" s="28" t="s">
        <v>13</v>
      </c>
      <c r="R5" s="104" t="s">
        <v>15</v>
      </c>
      <c r="S5" s="279">
        <f>SUMIFS(Travaux_2025[AC ANT],Travaux_2025[État Composante AC],"=PR")</f>
        <v>8803</v>
      </c>
      <c r="T5" s="260"/>
      <c r="U5" s="260">
        <f>SUMIFS(Travaux_2025[AC 2024],Travaux_2025[État Composante AC],"=PR")</f>
        <v>2412</v>
      </c>
      <c r="V5" s="260"/>
      <c r="W5" s="260">
        <f>SUMIFS(Travaux_2025[AC 2025],Travaux_2025[État Composante AC],"=PR")</f>
        <v>3817</v>
      </c>
      <c r="X5" s="260"/>
      <c r="Y5" s="279">
        <f>SUMIFS(Travaux_2025[AC 2025 Initiale],Travaux_2025[État Composante AC],"=PR")</f>
        <v>2729</v>
      </c>
      <c r="Z5" s="280"/>
      <c r="AA5" s="279">
        <f>SUMIFS(Travaux_2025[Écart AC 2025],Travaux_2025[État Composante AC],"=PR")</f>
        <v>1088</v>
      </c>
      <c r="AB5" s="260"/>
      <c r="AC5" s="280"/>
      <c r="AD5" s="279">
        <f>SUMIFS(Travaux_2025[AC 2026],Travaux_2025[État Composante AC],"=PR")</f>
        <v>93</v>
      </c>
      <c r="AE5" s="260"/>
      <c r="AF5" s="260">
        <f>SUMIFS(Travaux_2025[AC 2026 Initiale],Travaux_2025[État Composante AC],"=PR")</f>
        <v>60</v>
      </c>
      <c r="AG5" s="280"/>
      <c r="AH5" s="279">
        <f>SUMIFS(Travaux_2025[Écart AC 2026],Travaux_2025[État Composante AC],"=PR")</f>
        <v>33</v>
      </c>
      <c r="AI5" s="260"/>
      <c r="AJ5" s="280"/>
      <c r="AK5" s="279">
        <f>SUMIFS(Travaux_2025[AC 2027],Travaux_2025[État Composante AC],"=PR")</f>
        <v>0</v>
      </c>
      <c r="AL5" s="260"/>
      <c r="AM5" s="260">
        <f>SUMIFS(Travaux_2025[AC 2028],Travaux_2025[État Composante AC],"=PR")</f>
        <v>0</v>
      </c>
      <c r="AN5" s="260"/>
      <c r="AO5" s="260">
        <f>SUMIFS(Travaux_2025[AC 2029],Travaux_2025[État Composante AC],"=PR")</f>
        <v>0</v>
      </c>
      <c r="AP5" s="260"/>
      <c r="AQ5" s="260">
        <f>SUMIFS(Travaux_2025[AC 2030],Travaux_2025[État Composante AC],"=PR")</f>
        <v>0</v>
      </c>
      <c r="AR5" s="260"/>
      <c r="AS5" s="260">
        <f>SUMIFS(Travaux_2025[AC 2031],Travaux_2025[État Composante AC],"=PR")</f>
        <v>0</v>
      </c>
      <c r="AT5" s="260"/>
      <c r="AU5" s="260">
        <f>SUMIFS(Travaux_2025[AC 2032],Travaux_2025[État Composante AC],"=PR")</f>
        <v>0</v>
      </c>
      <c r="AV5" s="260"/>
      <c r="AW5" s="260">
        <f>SUMIFS(Travaux_2025[AC 2033],Travaux_2025[État Composante AC],"=PR")</f>
        <v>0</v>
      </c>
      <c r="AX5" s="260"/>
      <c r="AY5" s="260">
        <f>SUMIFS(Travaux_2025[AC 2034],Travaux_2025[État Composante AC],"=PR")</f>
        <v>0</v>
      </c>
      <c r="AZ5" s="260"/>
      <c r="BA5" s="260">
        <f>SUMIFS(Travaux_2025[AC 2035],Travaux_2025[État Composante AC],"=PR")</f>
        <v>0</v>
      </c>
      <c r="BB5" s="260"/>
      <c r="BC5" s="78"/>
      <c r="BD5" s="16">
        <f t="shared" si="0"/>
        <v>3910</v>
      </c>
      <c r="BE5" s="16">
        <f t="shared" si="1"/>
        <v>3910</v>
      </c>
    </row>
    <row r="6" spans="1:58" ht="15" thickBot="1" x14ac:dyDescent="0.35">
      <c r="J6" s="29" t="s">
        <v>16</v>
      </c>
      <c r="K6" s="28" t="s">
        <v>17</v>
      </c>
      <c r="R6" s="83" t="s">
        <v>19</v>
      </c>
      <c r="S6" s="279">
        <f>SUMIFS(Travaux_2025[TR ANT],Travaux_2025[État Composante TR],"=PR")</f>
        <v>53016</v>
      </c>
      <c r="T6" s="260"/>
      <c r="U6" s="260">
        <f>SUMIFS(Travaux_2025[TR 2024],Travaux_2025[État Composante TR],"=PR")</f>
        <v>55621</v>
      </c>
      <c r="V6" s="260"/>
      <c r="W6" s="260">
        <f>SUMIFS(Travaux_2025[TR 2025],Travaux_2025[État Composante TR],"=PR")</f>
        <v>55714</v>
      </c>
      <c r="X6" s="260"/>
      <c r="Y6" s="279">
        <f>SUMIFS(Travaux_2025[TR 2025 Initiale],Travaux_2025[État Composante TR],"=PR")</f>
        <v>50278</v>
      </c>
      <c r="Z6" s="280"/>
      <c r="AA6" s="279">
        <f>SUMIFS(Travaux_2025[Écart TR 2025],Travaux_2025[État Composante TR],"=PR")</f>
        <v>5436</v>
      </c>
      <c r="AB6" s="260"/>
      <c r="AC6" s="280"/>
      <c r="AD6" s="279">
        <f>SUMIFS(Travaux_2025[TR 2026],Travaux_2025[État Composante TR],"=PR")</f>
        <v>0</v>
      </c>
      <c r="AE6" s="260"/>
      <c r="AF6" s="260">
        <f>SUMIFS(Travaux_2025[TR 2026 Initiale],Travaux_2025[État Composante TR],"=PR")</f>
        <v>0</v>
      </c>
      <c r="AG6" s="280"/>
      <c r="AH6" s="279">
        <f>SUMIFS(Travaux_2025[Écart TR 2026],Travaux_2025[État Composante TR],"=PR")</f>
        <v>0</v>
      </c>
      <c r="AI6" s="260"/>
      <c r="AJ6" s="280"/>
      <c r="AK6" s="279">
        <f>SUMIFS(Travaux_2025[TR 2027],Travaux_2025[État Composante TR],"=PR")</f>
        <v>0</v>
      </c>
      <c r="AL6" s="260"/>
      <c r="AM6" s="331">
        <f>SUMIFS(Travaux_2025[TR 2028],Travaux_2025[État Composante TR],"=PR")</f>
        <v>0</v>
      </c>
      <c r="AN6" s="331"/>
      <c r="AO6" s="331">
        <f>SUMIFS(Travaux_2025[TR 2029],Travaux_2025[État Composante TR],"=PR")</f>
        <v>0</v>
      </c>
      <c r="AP6" s="331"/>
      <c r="AQ6" s="331">
        <f>SUMIFS(Travaux_2025[TR 2030],Travaux_2025[État Composante TR],"=PR")</f>
        <v>0</v>
      </c>
      <c r="AR6" s="331"/>
      <c r="AS6" s="331">
        <f>SUMIFS(Travaux_2025[TR 2031],Travaux_2025[État Composante TR],"=PR")</f>
        <v>0</v>
      </c>
      <c r="AT6" s="331"/>
      <c r="AU6" s="331">
        <f>SUMIFS(Travaux_2025[TR 2032],Travaux_2025[État Composante TR],"=PR")</f>
        <v>0</v>
      </c>
      <c r="AV6" s="331"/>
      <c r="AW6" s="331">
        <f>SUMIFS(Travaux_2025[TR 2033],Travaux_2025[État Composante TR],"=PR")</f>
        <v>0</v>
      </c>
      <c r="AX6" s="331"/>
      <c r="AY6" s="331">
        <f>SUMIFS(Travaux_2025[TR 2034],Travaux_2025[État Composante TR],"=PR")</f>
        <v>0</v>
      </c>
      <c r="AZ6" s="331"/>
      <c r="BA6" s="331">
        <f>SUMIFS(Travaux_2025[TR 2035],Travaux_2025[État Composante TR],"=PR")</f>
        <v>0</v>
      </c>
      <c r="BB6" s="331"/>
      <c r="BC6" s="78"/>
      <c r="BD6" s="16">
        <f t="shared" si="0"/>
        <v>55714</v>
      </c>
      <c r="BE6" s="16">
        <f t="shared" si="1"/>
        <v>55714</v>
      </c>
    </row>
    <row r="7" spans="1:58" ht="15" thickTop="1" x14ac:dyDescent="0.3">
      <c r="J7" s="30" t="s">
        <v>20</v>
      </c>
      <c r="K7" s="31" t="s">
        <v>21</v>
      </c>
      <c r="Q7" s="127"/>
      <c r="R7" s="116" t="s">
        <v>23</v>
      </c>
      <c r="S7" s="288">
        <f>S5+S6</f>
        <v>61819</v>
      </c>
      <c r="T7" s="262"/>
      <c r="U7" s="262">
        <f>U5+U6</f>
        <v>58033</v>
      </c>
      <c r="V7" s="262"/>
      <c r="W7" s="262">
        <f>W5+W6</f>
        <v>59531</v>
      </c>
      <c r="X7" s="262"/>
      <c r="Y7" s="288">
        <f>Y5+Y6</f>
        <v>53007</v>
      </c>
      <c r="Z7" s="289"/>
      <c r="AA7" s="290">
        <f>AA5+AA6</f>
        <v>6524</v>
      </c>
      <c r="AB7" s="292"/>
      <c r="AC7" s="291"/>
      <c r="AD7" s="290">
        <f>AD5+AD6</f>
        <v>93</v>
      </c>
      <c r="AE7" s="291"/>
      <c r="AF7" s="288">
        <f>AF5+AF6</f>
        <v>60</v>
      </c>
      <c r="AG7" s="289"/>
      <c r="AH7" s="290">
        <f>AH5+AH6</f>
        <v>33</v>
      </c>
      <c r="AI7" s="292"/>
      <c r="AJ7" s="291"/>
      <c r="AK7" s="288">
        <f>AK5+AK6</f>
        <v>0</v>
      </c>
      <c r="AL7" s="262"/>
      <c r="AM7" s="325">
        <f>AM5+AM6</f>
        <v>0</v>
      </c>
      <c r="AN7" s="325"/>
      <c r="AO7" s="325">
        <f>AO5+AO6</f>
        <v>0</v>
      </c>
      <c r="AP7" s="325"/>
      <c r="AQ7" s="325">
        <f>AQ5+AQ6</f>
        <v>0</v>
      </c>
      <c r="AR7" s="325"/>
      <c r="AS7" s="325">
        <f>AS5+AS6</f>
        <v>0</v>
      </c>
      <c r="AT7" s="325"/>
      <c r="AU7" s="325">
        <f>AU5+AU6</f>
        <v>0</v>
      </c>
      <c r="AV7" s="325"/>
      <c r="AW7" s="325">
        <f>AW5+AW6</f>
        <v>0</v>
      </c>
      <c r="AX7" s="325"/>
      <c r="AY7" s="325">
        <f>AY5+AY6</f>
        <v>0</v>
      </c>
      <c r="AZ7" s="325"/>
      <c r="BA7" s="325">
        <f>BA5+BA6</f>
        <v>0</v>
      </c>
      <c r="BB7" s="325"/>
      <c r="BC7" s="20"/>
      <c r="BD7" s="20">
        <f t="shared" si="0"/>
        <v>59624</v>
      </c>
      <c r="BE7" s="20">
        <f t="shared" si="1"/>
        <v>59624</v>
      </c>
    </row>
    <row r="8" spans="1:58" x14ac:dyDescent="0.3">
      <c r="J8" s="329" t="s">
        <v>563</v>
      </c>
      <c r="K8" s="330"/>
      <c r="R8" s="83" t="s">
        <v>25</v>
      </c>
      <c r="S8" s="279">
        <f>SUMIFS(Travaux_2025[AC ANT],Travaux_2025[État Composante AC],"&lt;&gt;PR")</f>
        <v>0</v>
      </c>
      <c r="T8" s="260"/>
      <c r="U8" s="260">
        <f>SUMIFS(Travaux_2025[AC 2024],Travaux_2025[État Composante AC],"&lt;&gt;PR")</f>
        <v>0</v>
      </c>
      <c r="V8" s="260"/>
      <c r="W8" s="260">
        <f>SUMIFS(Travaux_2025[AC 2025],Travaux_2025[État Composante AC],"&lt;&gt;PR")</f>
        <v>0</v>
      </c>
      <c r="X8" s="260"/>
      <c r="Y8" s="279">
        <f>SUMIFS(Travaux_2025[AC 2025 Initiale],Travaux_2025[État Composante AC],"&lt;&gt;PR")</f>
        <v>0</v>
      </c>
      <c r="Z8" s="280"/>
      <c r="AA8" s="326">
        <f>SUMIFS(Travaux_2025[Écart AC 2025],Travaux_2025[État Composante AC],"&lt;&gt;PR")</f>
        <v>0</v>
      </c>
      <c r="AB8" s="327"/>
      <c r="AC8" s="328"/>
      <c r="AD8" s="326">
        <f>SUMIFS(Travaux_2025[AC 2026],Travaux_2025[État Composante AC],"&lt;&gt;PR")</f>
        <v>0</v>
      </c>
      <c r="AE8" s="327"/>
      <c r="AF8" s="260">
        <f>SUMIFS(Travaux_2025[AC 2026 Initiale],Travaux_2025[État Composante AC],"&lt;&gt;PR")</f>
        <v>0</v>
      </c>
      <c r="AG8" s="280"/>
      <c r="AH8" s="326">
        <f>SUMIFS(Travaux_2025[Écart AC 2026],Travaux_2025[État Composante AC],"&lt;&gt;PR")</f>
        <v>0</v>
      </c>
      <c r="AI8" s="327"/>
      <c r="AJ8" s="328"/>
      <c r="AK8" s="279">
        <f>SUMIFS(Travaux_2025[AC 2027],Travaux_2025[État Composante AC],"&lt;&gt;PR")</f>
        <v>0</v>
      </c>
      <c r="AL8" s="260"/>
      <c r="AM8" s="260">
        <f>SUMIFS(Travaux_2025[AC 2028],Travaux_2025[État Composante AC],"&lt;&gt;PR")</f>
        <v>0</v>
      </c>
      <c r="AN8" s="260"/>
      <c r="AO8" s="260">
        <f>SUMIFS(Travaux_2025[AC 2029],Travaux_2025[État Composante AC],"&lt;&gt;PR")</f>
        <v>0</v>
      </c>
      <c r="AP8" s="260"/>
      <c r="AQ8" s="260">
        <f>SUMIFS(Travaux_2025[AC 2030],Travaux_2025[État Composante AC],"&lt;&gt;PR")</f>
        <v>0</v>
      </c>
      <c r="AR8" s="260"/>
      <c r="AS8" s="260">
        <f>SUMIFS(Travaux_2025[AC 2031],Travaux_2025[État Composante AC],"&lt;&gt;PR")</f>
        <v>0</v>
      </c>
      <c r="AT8" s="260"/>
      <c r="AU8" s="260">
        <f>SUMIFS(Travaux_2025[AC 2032],Travaux_2025[État Composante AC],"&lt;&gt;PR")</f>
        <v>0</v>
      </c>
      <c r="AV8" s="260"/>
      <c r="AW8" s="260">
        <f>SUMIFS(Travaux_2025[AC 2033],Travaux_2025[État Composante AC],"&lt;&gt;PR")</f>
        <v>0</v>
      </c>
      <c r="AX8" s="260"/>
      <c r="AY8" s="260">
        <f>SUMIFS(Travaux_2025[AC 2034],Travaux_2025[État Composante AC],"&lt;&gt;PR")</f>
        <v>0</v>
      </c>
      <c r="AZ8" s="260"/>
      <c r="BA8" s="260">
        <f>SUMIFS(Travaux_2025[AC 2035],Travaux_2025[État Composante AC],"&lt;&gt;PR")</f>
        <v>0</v>
      </c>
      <c r="BB8" s="260"/>
      <c r="BC8" s="78"/>
      <c r="BD8" s="16">
        <f t="shared" si="0"/>
        <v>0</v>
      </c>
      <c r="BE8" s="16">
        <f t="shared" si="1"/>
        <v>0</v>
      </c>
    </row>
    <row r="9" spans="1:58" x14ac:dyDescent="0.3">
      <c r="J9" s="191"/>
      <c r="K9" s="28" t="s">
        <v>564</v>
      </c>
      <c r="R9" s="83" t="s">
        <v>27</v>
      </c>
      <c r="S9" s="279">
        <f>SUMIFS(Travaux_2025[TR ANT],Travaux_2025[État Composante TR],"&lt;&gt;PR")</f>
        <v>0</v>
      </c>
      <c r="T9" s="260"/>
      <c r="U9" s="260">
        <f>SUMIFS(Travaux_2025[TR 2024],Travaux_2025[État Composante TR],"&lt;&gt;PR")</f>
        <v>0</v>
      </c>
      <c r="V9" s="260"/>
      <c r="W9" s="260">
        <f>SUMIFS(Travaux_2025[TR 2025],Travaux_2025[État Composante TR],"&lt;&gt;PR")</f>
        <v>0</v>
      </c>
      <c r="X9" s="260"/>
      <c r="Y9" s="279">
        <f>SUMIFS(Travaux_2025[TR 2025 Initiale],Travaux_2025[État Composante TR],"&lt;&gt;PR")</f>
        <v>0</v>
      </c>
      <c r="Z9" s="280"/>
      <c r="AA9" s="279">
        <f>SUMIFS(Travaux_2025[Écart TR 2025],Travaux_2025[État Composante TR],"&lt;&gt;PR")</f>
        <v>0</v>
      </c>
      <c r="AB9" s="260"/>
      <c r="AC9" s="280"/>
      <c r="AD9" s="279">
        <f>SUMIFS(Travaux_2025[TR 2026],Travaux_2025[État Composante TR],"&lt;&gt;PR")</f>
        <v>0</v>
      </c>
      <c r="AE9" s="260"/>
      <c r="AF9" s="260">
        <f>SUMIFS(Travaux_2025[TR 2026 Initiale],Travaux_2025[État Composante TR],"&lt;&gt;PR")</f>
        <v>0</v>
      </c>
      <c r="AG9" s="280"/>
      <c r="AH9" s="279">
        <f>SUMIFS(Travaux_2025[Écart TR 2026],Travaux_2025[État Composante TR],"&lt;&gt;PR")</f>
        <v>0</v>
      </c>
      <c r="AI9" s="260"/>
      <c r="AJ9" s="280"/>
      <c r="AK9" s="279">
        <f>SUMIFS(Travaux_2025[TR 2027],Travaux_2025[État Composante TR],"&lt;&gt;PR")</f>
        <v>0</v>
      </c>
      <c r="AL9" s="260"/>
      <c r="AM9" s="260">
        <f>SUMIFS(Travaux_2025[TR 2028],Travaux_2025[État Composante TR],"&lt;&gt;PR")</f>
        <v>0</v>
      </c>
      <c r="AN9" s="260"/>
      <c r="AO9" s="260">
        <f>SUMIFS(Travaux_2025[TR 2029],Travaux_2025[État Composante TR],"&lt;&gt;PR")</f>
        <v>0</v>
      </c>
      <c r="AP9" s="260"/>
      <c r="AQ9" s="260">
        <f>SUMIFS(Travaux_2025[TR 2030],Travaux_2025[État Composante TR],"&lt;&gt;PR")</f>
        <v>0</v>
      </c>
      <c r="AR9" s="260"/>
      <c r="AS9" s="260">
        <f>SUMIFS(Travaux_2025[TR 2031],Travaux_2025[État Composante TR],"&lt;&gt;PR")</f>
        <v>0</v>
      </c>
      <c r="AT9" s="260"/>
      <c r="AU9" s="260">
        <f>SUMIFS(Travaux_2025[TR 2032],Travaux_2025[État Composante TR],"&lt;&gt;PR")</f>
        <v>0</v>
      </c>
      <c r="AV9" s="260"/>
      <c r="AW9" s="260">
        <f>SUMIFS(Travaux_2025[TR 2033],Travaux_2025[État Composante TR],"&lt;&gt;PR")</f>
        <v>0</v>
      </c>
      <c r="AX9" s="260"/>
      <c r="AY9" s="260">
        <f>SUMIFS(Travaux_2025[TR 2034],Travaux_2025[État Composante TR],"&lt;&gt;PR")</f>
        <v>0</v>
      </c>
      <c r="AZ9" s="260"/>
      <c r="BA9" s="260">
        <f>SUMIFS(Travaux_2025[TR 2035],Travaux_2025[État Composante TR],"&lt;&gt;PR")</f>
        <v>0</v>
      </c>
      <c r="BB9" s="260"/>
      <c r="BC9" s="78"/>
      <c r="BD9" s="16">
        <f t="shared" si="0"/>
        <v>0</v>
      </c>
      <c r="BE9" s="16">
        <f t="shared" si="1"/>
        <v>0</v>
      </c>
    </row>
    <row r="10" spans="1:58" x14ac:dyDescent="0.3">
      <c r="J10" s="192"/>
      <c r="K10" s="28" t="s">
        <v>565</v>
      </c>
      <c r="Q10" s="127"/>
      <c r="R10" s="117" t="s">
        <v>29</v>
      </c>
      <c r="S10" s="288">
        <f>S8+S9</f>
        <v>0</v>
      </c>
      <c r="T10" s="262"/>
      <c r="U10" s="262">
        <f>U8+U9</f>
        <v>0</v>
      </c>
      <c r="V10" s="262"/>
      <c r="W10" s="262">
        <f>W8+W9</f>
        <v>0</v>
      </c>
      <c r="X10" s="262"/>
      <c r="Y10" s="288">
        <f>Y8+Y9</f>
        <v>0</v>
      </c>
      <c r="Z10" s="289"/>
      <c r="AA10" s="288">
        <f>AA9+AA8</f>
        <v>0</v>
      </c>
      <c r="AB10" s="262"/>
      <c r="AC10" s="289"/>
      <c r="AD10" s="288">
        <f>AD8+AD9</f>
        <v>0</v>
      </c>
      <c r="AE10" s="262"/>
      <c r="AF10" s="262">
        <f>AF8+AF9</f>
        <v>0</v>
      </c>
      <c r="AG10" s="289"/>
      <c r="AH10" s="288">
        <f>AH9+AH8</f>
        <v>0</v>
      </c>
      <c r="AI10" s="262"/>
      <c r="AJ10" s="289"/>
      <c r="AK10" s="288">
        <f>AK8+AK9</f>
        <v>0</v>
      </c>
      <c r="AL10" s="262"/>
      <c r="AM10" s="262">
        <f>AM8+AM9</f>
        <v>0</v>
      </c>
      <c r="AN10" s="262"/>
      <c r="AO10" s="262">
        <f>AO8+AO9</f>
        <v>0</v>
      </c>
      <c r="AP10" s="262"/>
      <c r="AQ10" s="262">
        <f>AQ8+AQ9</f>
        <v>0</v>
      </c>
      <c r="AR10" s="262"/>
      <c r="AS10" s="262">
        <f>AS8+AS9</f>
        <v>0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0"/>
      <c r="BD10" s="20">
        <f t="shared" si="0"/>
        <v>0</v>
      </c>
      <c r="BE10" s="20">
        <f t="shared" si="1"/>
        <v>0</v>
      </c>
    </row>
    <row r="11" spans="1:58" s="133" customFormat="1" x14ac:dyDescent="0.3">
      <c r="J11" s="176"/>
      <c r="K11" s="193" t="s">
        <v>566</v>
      </c>
      <c r="Q11" s="134"/>
      <c r="R11" s="135" t="s">
        <v>272</v>
      </c>
      <c r="S11" s="286">
        <f>S10+S7</f>
        <v>61819</v>
      </c>
      <c r="T11" s="284"/>
      <c r="U11" s="285">
        <f>U10+U7</f>
        <v>58033</v>
      </c>
      <c r="V11" s="284"/>
      <c r="W11" s="285">
        <f>W10+W7</f>
        <v>59531</v>
      </c>
      <c r="X11" s="283"/>
      <c r="Y11" s="285">
        <f>Y10+Y7</f>
        <v>53007</v>
      </c>
      <c r="Z11" s="287"/>
      <c r="AA11" s="286">
        <f>AA10+AA7</f>
        <v>6524</v>
      </c>
      <c r="AB11" s="283"/>
      <c r="AC11" s="287"/>
      <c r="AD11" s="286">
        <f>AD10+AD7</f>
        <v>93</v>
      </c>
      <c r="AE11" s="284"/>
      <c r="AF11" s="285">
        <f>AF10+AF7</f>
        <v>60</v>
      </c>
      <c r="AG11" s="287"/>
      <c r="AH11" s="286">
        <f>AH10+AH7</f>
        <v>33</v>
      </c>
      <c r="AI11" s="283"/>
      <c r="AJ11" s="287"/>
      <c r="AK11" s="286">
        <f>AK10+AK7</f>
        <v>0</v>
      </c>
      <c r="AL11" s="284"/>
      <c r="AM11" s="285">
        <f>AM10+AM7</f>
        <v>0</v>
      </c>
      <c r="AN11" s="284"/>
      <c r="AO11" s="285">
        <f>AO10+AO7</f>
        <v>0</v>
      </c>
      <c r="AP11" s="284"/>
      <c r="AQ11" s="285">
        <f>AQ10+AQ7</f>
        <v>0</v>
      </c>
      <c r="AR11" s="284"/>
      <c r="AS11" s="285">
        <f>AS10+AS7</f>
        <v>0</v>
      </c>
      <c r="AT11" s="284"/>
      <c r="AU11" s="285">
        <f>AU10+AU7</f>
        <v>0</v>
      </c>
      <c r="AV11" s="284"/>
      <c r="AW11" s="285">
        <f>AW10+AW7</f>
        <v>0</v>
      </c>
      <c r="AX11" s="284"/>
      <c r="AY11" s="285">
        <f>AY10+AY7</f>
        <v>0</v>
      </c>
      <c r="AZ11" s="284"/>
      <c r="BA11" s="285">
        <f>BA10+BA7</f>
        <v>0</v>
      </c>
      <c r="BB11" s="284"/>
      <c r="BC11" s="105"/>
      <c r="BD11" s="105">
        <f t="shared" si="0"/>
        <v>59624</v>
      </c>
      <c r="BE11" s="105">
        <f t="shared" si="1"/>
        <v>59624</v>
      </c>
    </row>
    <row r="12" spans="1:58" ht="15" customHeight="1" x14ac:dyDescent="0.3">
      <c r="J12" s="194"/>
      <c r="K12" s="28" t="s">
        <v>567</v>
      </c>
      <c r="R12" s="83" t="s">
        <v>32</v>
      </c>
      <c r="S12" s="279"/>
      <c r="T12" s="260"/>
      <c r="U12" s="260"/>
      <c r="V12" s="260"/>
      <c r="W12" s="260"/>
      <c r="X12" s="260"/>
      <c r="Y12" s="279"/>
      <c r="Z12" s="280"/>
      <c r="AA12" s="322"/>
      <c r="AB12" s="323"/>
      <c r="AC12" s="324"/>
      <c r="AD12" s="279"/>
      <c r="AE12" s="260"/>
      <c r="AF12" s="260"/>
      <c r="AG12" s="280"/>
      <c r="AH12" s="322"/>
      <c r="AI12" s="323"/>
      <c r="AJ12" s="324"/>
      <c r="AK12" s="279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>
        <v>0</v>
      </c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78"/>
      <c r="BD12" s="78">
        <f t="shared" si="0"/>
        <v>0</v>
      </c>
      <c r="BE12" s="78">
        <f>SUM(AK12:AZ12,W12,AD12)</f>
        <v>0</v>
      </c>
    </row>
    <row r="13" spans="1:58" ht="16.2" thickBot="1" x14ac:dyDescent="0.35">
      <c r="J13" s="195"/>
      <c r="K13" s="31" t="s">
        <v>568</v>
      </c>
      <c r="Q13" s="126"/>
      <c r="R13" s="118" t="s">
        <v>33</v>
      </c>
      <c r="S13" s="120"/>
      <c r="T13" s="167"/>
      <c r="U13" s="261">
        <f>U12+U11</f>
        <v>58033</v>
      </c>
      <c r="V13" s="261"/>
      <c r="W13" s="261">
        <f>W12+W11</f>
        <v>59531</v>
      </c>
      <c r="X13" s="261"/>
      <c r="Y13" s="258">
        <f>Y12+Y11</f>
        <v>53007</v>
      </c>
      <c r="Z13" s="259"/>
      <c r="AA13" s="258">
        <f>AA12+AA11</f>
        <v>6524</v>
      </c>
      <c r="AB13" s="261"/>
      <c r="AC13" s="261"/>
      <c r="AD13" s="261">
        <f>AD12+AD11</f>
        <v>93</v>
      </c>
      <c r="AE13" s="259"/>
      <c r="AF13" s="258">
        <f>AF12+AF11</f>
        <v>60</v>
      </c>
      <c r="AG13" s="259"/>
      <c r="AH13" s="319">
        <f>AH12+AH11</f>
        <v>33</v>
      </c>
      <c r="AI13" s="320"/>
      <c r="AJ13" s="320"/>
      <c r="AK13" s="261">
        <f>AK12+AK11</f>
        <v>0</v>
      </c>
      <c r="AL13" s="259"/>
      <c r="AM13" s="258">
        <f>AM12+AM11</f>
        <v>0</v>
      </c>
      <c r="AN13" s="259"/>
      <c r="AO13" s="258">
        <f>AO12+AO11</f>
        <v>0</v>
      </c>
      <c r="AP13" s="259"/>
      <c r="AQ13" s="258">
        <f>AQ12+AQ11</f>
        <v>0</v>
      </c>
      <c r="AR13" s="259"/>
      <c r="AS13" s="258">
        <f>AS12+AS11</f>
        <v>0</v>
      </c>
      <c r="AT13" s="259"/>
      <c r="AU13" s="258">
        <f>AU12+AU11</f>
        <v>0</v>
      </c>
      <c r="AV13" s="259"/>
      <c r="AW13" s="258">
        <f>AW12+AW11</f>
        <v>0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167"/>
      <c r="BD13" s="21">
        <f>BD12+BD11</f>
        <v>59624</v>
      </c>
      <c r="BE13" s="21">
        <f>BE12+BE11</f>
        <v>59624</v>
      </c>
    </row>
    <row r="14" spans="1:58" s="11" customFormat="1" ht="75.599999999999994" customHeight="1" x14ac:dyDescent="0.3">
      <c r="A14" t="s">
        <v>661</v>
      </c>
      <c r="B14" s="11" t="s">
        <v>273</v>
      </c>
      <c r="C14" s="11" t="s">
        <v>274</v>
      </c>
      <c r="D14" s="11" t="s">
        <v>37</v>
      </c>
      <c r="E14" s="11" t="s">
        <v>38</v>
      </c>
      <c r="F14" s="11" t="s">
        <v>39</v>
      </c>
      <c r="G14" s="11" t="s">
        <v>40</v>
      </c>
      <c r="H14" s="11" t="s">
        <v>41</v>
      </c>
      <c r="I14" s="11" t="s">
        <v>42</v>
      </c>
      <c r="J14" s="11" t="s">
        <v>44</v>
      </c>
      <c r="K14" s="11" t="s">
        <v>45</v>
      </c>
      <c r="L14" s="11" t="s">
        <v>46</v>
      </c>
      <c r="M14" s="11" t="s">
        <v>47</v>
      </c>
      <c r="N14" s="11" t="s">
        <v>48</v>
      </c>
      <c r="O14" s="11" t="s">
        <v>49</v>
      </c>
      <c r="P14" s="11" t="s">
        <v>50</v>
      </c>
      <c r="Q14" s="11" t="s">
        <v>51</v>
      </c>
      <c r="R14" s="11" t="s">
        <v>52</v>
      </c>
      <c r="S14" s="11" t="s">
        <v>76</v>
      </c>
      <c r="T14" s="11" t="s">
        <v>77</v>
      </c>
      <c r="U14" s="11" t="s">
        <v>78</v>
      </c>
      <c r="V14" s="11" t="s">
        <v>79</v>
      </c>
      <c r="W14" s="11" t="s">
        <v>80</v>
      </c>
      <c r="X14" s="11" t="s">
        <v>81</v>
      </c>
      <c r="Y14" s="11" t="s">
        <v>549</v>
      </c>
      <c r="Z14" s="99" t="s">
        <v>277</v>
      </c>
      <c r="AA14" s="99" t="s">
        <v>278</v>
      </c>
      <c r="AB14" s="99" t="s">
        <v>279</v>
      </c>
      <c r="AC14" s="11" t="s">
        <v>550</v>
      </c>
      <c r="AD14" s="11" t="s">
        <v>82</v>
      </c>
      <c r="AE14" s="11" t="s">
        <v>83</v>
      </c>
      <c r="AF14" s="11" t="s">
        <v>551</v>
      </c>
      <c r="AG14" s="11" t="s">
        <v>580</v>
      </c>
      <c r="AH14" s="93" t="s">
        <v>283</v>
      </c>
      <c r="AI14" s="93" t="s">
        <v>284</v>
      </c>
      <c r="AJ14" s="93" t="s">
        <v>285</v>
      </c>
      <c r="AK14" s="11" t="s">
        <v>552</v>
      </c>
      <c r="AL14" s="11" t="s">
        <v>84</v>
      </c>
      <c r="AM14" s="11" t="s">
        <v>85</v>
      </c>
      <c r="AN14" s="11" t="s">
        <v>86</v>
      </c>
      <c r="AO14" s="11" t="s">
        <v>87</v>
      </c>
      <c r="AP14" s="11" t="s">
        <v>88</v>
      </c>
      <c r="AQ14" s="11" t="s">
        <v>89</v>
      </c>
      <c r="AR14" s="11" t="s">
        <v>90</v>
      </c>
      <c r="AS14" s="11" t="s">
        <v>91</v>
      </c>
      <c r="AT14" s="11" t="s">
        <v>92</v>
      </c>
      <c r="AU14" s="11" t="s">
        <v>93</v>
      </c>
      <c r="AV14" s="11" t="s">
        <v>94</v>
      </c>
      <c r="AW14" s="11" t="s">
        <v>95</v>
      </c>
      <c r="AX14" s="11" t="s">
        <v>96</v>
      </c>
      <c r="AY14" s="11" t="s">
        <v>97</v>
      </c>
      <c r="AZ14" s="11" t="s">
        <v>98</v>
      </c>
      <c r="BA14" s="11" t="s">
        <v>99</v>
      </c>
      <c r="BB14" s="11" t="s">
        <v>593</v>
      </c>
      <c r="BC14" s="11" t="s">
        <v>594</v>
      </c>
      <c r="BD14" s="11" t="s">
        <v>100</v>
      </c>
    </row>
    <row r="15" spans="1:58" hidden="1" x14ac:dyDescent="0.3">
      <c r="A15" t="s">
        <v>664</v>
      </c>
      <c r="B15" t="s">
        <v>286</v>
      </c>
      <c r="D15" t="s">
        <v>101</v>
      </c>
      <c r="E15" t="s">
        <v>102</v>
      </c>
      <c r="F15" t="s">
        <v>103</v>
      </c>
      <c r="G15" t="s">
        <v>104</v>
      </c>
      <c r="H15" t="s">
        <v>16</v>
      </c>
      <c r="I15" t="s">
        <v>16</v>
      </c>
      <c r="J15" t="s">
        <v>105</v>
      </c>
      <c r="K15" t="s">
        <v>215</v>
      </c>
      <c r="L15" t="s">
        <v>216</v>
      </c>
      <c r="M15" t="s">
        <v>217</v>
      </c>
      <c r="N15" t="s">
        <v>148</v>
      </c>
      <c r="O15" t="s">
        <v>164</v>
      </c>
      <c r="P15" s="1">
        <v>44838</v>
      </c>
      <c r="Q15" s="1">
        <v>45441</v>
      </c>
      <c r="R15" s="1">
        <v>45623</v>
      </c>
      <c r="S15">
        <v>218</v>
      </c>
      <c r="T15">
        <v>3</v>
      </c>
      <c r="U15">
        <v>96</v>
      </c>
      <c r="W15">
        <v>643</v>
      </c>
      <c r="X15">
        <v>12563</v>
      </c>
      <c r="Y15">
        <v>641</v>
      </c>
      <c r="Z15">
        <f>Travaux_2025[[#This Row],[AC 2025]]-Travaux_2025[[#This Row],[AC 2025 Initiale]]</f>
        <v>2</v>
      </c>
      <c r="AA15">
        <f>Travaux_2025[[#This Row],[TR 2025]]-Travaux_2025[[#This Row],[TR 2025 Initiale]]</f>
        <v>0</v>
      </c>
      <c r="AB15">
        <f>Travaux_2025[[#This Row],[Écart AC 2025]]+Travaux_2025[[#This Row],[Écart TR 2025]]</f>
        <v>2</v>
      </c>
      <c r="AC15">
        <v>12563</v>
      </c>
      <c r="AF15"/>
      <c r="AG15">
        <f>Travaux_2025[[#This Row],[AC 2026 Initiale]]+Travaux_2025[[#This Row],[TR 2026 Initiale]]</f>
        <v>0</v>
      </c>
      <c r="AH15">
        <f>Travaux_2025[[#This Row],[AC 2026]]-Travaux_2025[[#This Row],[AC 2026 Initiale]]</f>
        <v>0</v>
      </c>
      <c r="AI15">
        <f>Travaux_2025[[#This Row],[TR 2026]]-Travaux_2025[[#This Row],[TR 2026 Initiale]]</f>
        <v>0</v>
      </c>
      <c r="AJ15">
        <f>Travaux_2025[[#This Row],[Écart AC 2026]]+Travaux_2025[[#This Row],[Écart TR 2026]]</f>
        <v>0</v>
      </c>
      <c r="AX15"/>
      <c r="BD15" s="14">
        <f>SUM(Travaux_2025[[#This Row],[AC ANT]:[TR 2025]],Travaux_2025[[#This Row],[AC 2026]:[TR 2026]],Travaux_2025[[#This Row],[AC 2027]:[TR 2034]])</f>
        <v>13523</v>
      </c>
    </row>
    <row r="16" spans="1:58" hidden="1" x14ac:dyDescent="0.3">
      <c r="A16" t="s">
        <v>664</v>
      </c>
      <c r="B16" t="s">
        <v>286</v>
      </c>
      <c r="D16" t="s">
        <v>101</v>
      </c>
      <c r="E16" t="s">
        <v>102</v>
      </c>
      <c r="F16" t="s">
        <v>103</v>
      </c>
      <c r="G16" t="s">
        <v>140</v>
      </c>
      <c r="H16" t="s">
        <v>16</v>
      </c>
      <c r="I16" t="s">
        <v>16</v>
      </c>
      <c r="J16" t="s">
        <v>105</v>
      </c>
      <c r="K16" t="s">
        <v>174</v>
      </c>
      <c r="L16" t="s">
        <v>175</v>
      </c>
      <c r="M16" t="s">
        <v>143</v>
      </c>
      <c r="N16" t="s">
        <v>148</v>
      </c>
      <c r="O16" t="s">
        <v>164</v>
      </c>
      <c r="P16" s="1">
        <v>44014</v>
      </c>
      <c r="Q16" s="1">
        <v>44294</v>
      </c>
      <c r="R16" s="1">
        <v>45239</v>
      </c>
      <c r="S16">
        <v>389</v>
      </c>
      <c r="T16">
        <v>4986</v>
      </c>
      <c r="U16">
        <v>450</v>
      </c>
      <c r="V16">
        <v>25618</v>
      </c>
      <c r="W16">
        <v>678</v>
      </c>
      <c r="X16">
        <v>14983</v>
      </c>
      <c r="Y16">
        <v>399</v>
      </c>
      <c r="Z16">
        <f>Travaux_2025[[#This Row],[AC 2025]]-Travaux_2025[[#This Row],[AC 2025 Initiale]]</f>
        <v>279</v>
      </c>
      <c r="AA16">
        <f>Travaux_2025[[#This Row],[TR 2025]]-Travaux_2025[[#This Row],[TR 2025 Initiale]]</f>
        <v>3215</v>
      </c>
      <c r="AB16">
        <f>Travaux_2025[[#This Row],[Écart AC 2025]]+Travaux_2025[[#This Row],[Écart TR 2025]]</f>
        <v>3494</v>
      </c>
      <c r="AC16">
        <v>11768</v>
      </c>
      <c r="AF16"/>
      <c r="AG16">
        <f>Travaux_2025[[#This Row],[AC 2026 Initiale]]+Travaux_2025[[#This Row],[TR 2026 Initiale]]</f>
        <v>0</v>
      </c>
      <c r="AH16">
        <f>Travaux_2025[[#This Row],[AC 2026]]-Travaux_2025[[#This Row],[AC 2026 Initiale]]</f>
        <v>0</v>
      </c>
      <c r="AI16">
        <f>Travaux_2025[[#This Row],[TR 2026]]-Travaux_2025[[#This Row],[TR 2026 Initiale]]</f>
        <v>0</v>
      </c>
      <c r="AJ16">
        <f>Travaux_2025[[#This Row],[Écart AC 2026]]+Travaux_2025[[#This Row],[Écart TR 2026]]</f>
        <v>0</v>
      </c>
      <c r="AX16"/>
      <c r="BD16" s="14">
        <f>SUM(Travaux_2025[[#This Row],[AC ANT]:[TR 2025]],Travaux_2025[[#This Row],[AC 2026]:[TR 2026]],Travaux_2025[[#This Row],[AC 2027]:[TR 2034]])</f>
        <v>47104</v>
      </c>
    </row>
    <row r="17" spans="1:56" hidden="1" x14ac:dyDescent="0.3">
      <c r="A17" t="s">
        <v>664</v>
      </c>
      <c r="B17" t="s">
        <v>286</v>
      </c>
      <c r="D17" t="s">
        <v>101</v>
      </c>
      <c r="E17" t="s">
        <v>102</v>
      </c>
      <c r="F17" t="s">
        <v>103</v>
      </c>
      <c r="G17" t="s">
        <v>149</v>
      </c>
      <c r="H17" t="s">
        <v>16</v>
      </c>
      <c r="I17" t="s">
        <v>16</v>
      </c>
      <c r="J17" t="s">
        <v>105</v>
      </c>
      <c r="K17" t="s">
        <v>228</v>
      </c>
      <c r="L17" t="s">
        <v>229</v>
      </c>
      <c r="M17" t="s">
        <v>230</v>
      </c>
      <c r="N17" t="s">
        <v>148</v>
      </c>
      <c r="O17" t="s">
        <v>164</v>
      </c>
      <c r="P17" s="1">
        <v>45022</v>
      </c>
      <c r="Q17" s="1">
        <v>45463</v>
      </c>
      <c r="R17" s="1">
        <v>45590</v>
      </c>
      <c r="S17">
        <v>61</v>
      </c>
      <c r="W17">
        <v>601</v>
      </c>
      <c r="X17">
        <v>11581</v>
      </c>
      <c r="Y17">
        <v>580</v>
      </c>
      <c r="Z17">
        <f>Travaux_2025[[#This Row],[AC 2025]]-Travaux_2025[[#This Row],[AC 2025 Initiale]]</f>
        <v>21</v>
      </c>
      <c r="AA17">
        <f>Travaux_2025[[#This Row],[TR 2025]]-Travaux_2025[[#This Row],[TR 2025 Initiale]]</f>
        <v>0</v>
      </c>
      <c r="AB17">
        <f>Travaux_2025[[#This Row],[Écart AC 2025]]+Travaux_2025[[#This Row],[Écart TR 2025]]</f>
        <v>21</v>
      </c>
      <c r="AC17">
        <v>11581</v>
      </c>
      <c r="AF17"/>
      <c r="AG17">
        <f>Travaux_2025[[#This Row],[AC 2026 Initiale]]+Travaux_2025[[#This Row],[TR 2026 Initiale]]</f>
        <v>0</v>
      </c>
      <c r="AH17">
        <f>Travaux_2025[[#This Row],[AC 2026]]-Travaux_2025[[#This Row],[AC 2026 Initiale]]</f>
        <v>0</v>
      </c>
      <c r="AI17">
        <f>Travaux_2025[[#This Row],[TR 2026]]-Travaux_2025[[#This Row],[TR 2026 Initiale]]</f>
        <v>0</v>
      </c>
      <c r="AJ17">
        <f>Travaux_2025[[#This Row],[Écart AC 2026]]+Travaux_2025[[#This Row],[Écart TR 2026]]</f>
        <v>0</v>
      </c>
      <c r="AX17"/>
      <c r="BD17" s="14">
        <f>SUM(Travaux_2025[[#This Row],[AC ANT]:[TR 2025]],Travaux_2025[[#This Row],[AC 2026]:[TR 2026]],Travaux_2025[[#This Row],[AC 2027]:[TR 2034]])</f>
        <v>12243</v>
      </c>
    </row>
    <row r="18" spans="1:56" hidden="1" x14ac:dyDescent="0.3">
      <c r="A18" t="s">
        <v>664</v>
      </c>
      <c r="B18" t="s">
        <v>286</v>
      </c>
      <c r="D18" t="s">
        <v>101</v>
      </c>
      <c r="E18" t="s">
        <v>102</v>
      </c>
      <c r="F18" t="s">
        <v>128</v>
      </c>
      <c r="G18" t="s">
        <v>113</v>
      </c>
      <c r="H18" t="s">
        <v>16</v>
      </c>
      <c r="I18" t="s">
        <v>16</v>
      </c>
      <c r="J18" t="s">
        <v>105</v>
      </c>
      <c r="K18" t="s">
        <v>160</v>
      </c>
      <c r="L18" t="s">
        <v>161</v>
      </c>
      <c r="M18" t="s">
        <v>122</v>
      </c>
      <c r="N18" t="s">
        <v>148</v>
      </c>
      <c r="O18" t="s">
        <v>164</v>
      </c>
      <c r="P18" s="1">
        <v>44956</v>
      </c>
      <c r="Q18" s="1">
        <v>45321</v>
      </c>
      <c r="R18" s="1">
        <v>45687</v>
      </c>
      <c r="S18">
        <v>6</v>
      </c>
      <c r="U18">
        <v>14</v>
      </c>
      <c r="W18">
        <v>325</v>
      </c>
      <c r="X18">
        <v>4503</v>
      </c>
      <c r="Y18">
        <v>320</v>
      </c>
      <c r="Z18">
        <f>Travaux_2025[[#This Row],[AC 2025]]-Travaux_2025[[#This Row],[AC 2025 Initiale]]</f>
        <v>5</v>
      </c>
      <c r="AA18">
        <f>Travaux_2025[[#This Row],[TR 2025]]-Travaux_2025[[#This Row],[TR 2025 Initiale]]</f>
        <v>0</v>
      </c>
      <c r="AB18">
        <f>Travaux_2025[[#This Row],[Écart AC 2025]]+Travaux_2025[[#This Row],[Écart TR 2025]]</f>
        <v>5</v>
      </c>
      <c r="AC18">
        <v>4503</v>
      </c>
      <c r="AF18"/>
      <c r="AG18">
        <f>Travaux_2025[[#This Row],[AC 2026 Initiale]]+Travaux_2025[[#This Row],[TR 2026 Initiale]]</f>
        <v>0</v>
      </c>
      <c r="AH18">
        <f>Travaux_2025[[#This Row],[AC 2026]]-Travaux_2025[[#This Row],[AC 2026 Initiale]]</f>
        <v>0</v>
      </c>
      <c r="AI18">
        <f>Travaux_2025[[#This Row],[TR 2026]]-Travaux_2025[[#This Row],[TR 2026 Initiale]]</f>
        <v>0</v>
      </c>
      <c r="AJ18">
        <f>Travaux_2025[[#This Row],[Écart AC 2026]]+Travaux_2025[[#This Row],[Écart TR 2026]]</f>
        <v>0</v>
      </c>
      <c r="AX18"/>
      <c r="BD18" s="14">
        <f>SUM(Travaux_2025[[#This Row],[AC ANT]:[TR 2025]],Travaux_2025[[#This Row],[AC 2026]:[TR 2026]],Travaux_2025[[#This Row],[AC 2027]:[TR 2034]])</f>
        <v>4848</v>
      </c>
    </row>
    <row r="19" spans="1:56" hidden="1" x14ac:dyDescent="0.3">
      <c r="A19" t="s">
        <v>662</v>
      </c>
      <c r="B19" t="s">
        <v>286</v>
      </c>
      <c r="D19" t="s">
        <v>118</v>
      </c>
      <c r="E19" t="s">
        <v>102</v>
      </c>
      <c r="F19" t="s">
        <v>103</v>
      </c>
      <c r="G19" t="s">
        <v>149</v>
      </c>
      <c r="H19" t="s">
        <v>16</v>
      </c>
      <c r="I19" t="s">
        <v>16</v>
      </c>
      <c r="J19" t="s">
        <v>131</v>
      </c>
      <c r="K19" t="s">
        <v>192</v>
      </c>
      <c r="L19" t="s">
        <v>193</v>
      </c>
      <c r="M19" t="s">
        <v>194</v>
      </c>
      <c r="N19" t="s">
        <v>148</v>
      </c>
      <c r="O19" t="s">
        <v>164</v>
      </c>
      <c r="P19" s="1">
        <v>44547</v>
      </c>
      <c r="Q19" s="1">
        <v>45091</v>
      </c>
      <c r="R19" s="1">
        <v>45375</v>
      </c>
      <c r="S19">
        <v>7</v>
      </c>
      <c r="U19">
        <v>45</v>
      </c>
      <c r="V19">
        <v>1057</v>
      </c>
      <c r="W19">
        <v>221</v>
      </c>
      <c r="X19">
        <v>4691</v>
      </c>
      <c r="Y19">
        <v>185</v>
      </c>
      <c r="Z19">
        <f>Travaux_2025[[#This Row],[AC 2025]]-Travaux_2025[[#This Row],[AC 2025 Initiale]]</f>
        <v>36</v>
      </c>
      <c r="AA19">
        <f>Travaux_2025[[#This Row],[TR 2025]]-Travaux_2025[[#This Row],[TR 2025 Initiale]]</f>
        <v>293</v>
      </c>
      <c r="AB19">
        <f>Travaux_2025[[#This Row],[Écart AC 2025]]+Travaux_2025[[#This Row],[Écart TR 2025]]</f>
        <v>329</v>
      </c>
      <c r="AC19">
        <v>4398</v>
      </c>
      <c r="AF19"/>
      <c r="AG19">
        <f>Travaux_2025[[#This Row],[AC 2026 Initiale]]+Travaux_2025[[#This Row],[TR 2026 Initiale]]</f>
        <v>0</v>
      </c>
      <c r="AH19">
        <f>Travaux_2025[[#This Row],[AC 2026]]-Travaux_2025[[#This Row],[AC 2026 Initiale]]</f>
        <v>0</v>
      </c>
      <c r="AI19">
        <f>Travaux_2025[[#This Row],[TR 2026]]-Travaux_2025[[#This Row],[TR 2026 Initiale]]</f>
        <v>0</v>
      </c>
      <c r="AJ19">
        <f>Travaux_2025[[#This Row],[Écart AC 2026]]+Travaux_2025[[#This Row],[Écart TR 2026]]</f>
        <v>0</v>
      </c>
      <c r="AX19"/>
      <c r="BD19" s="14">
        <f>SUM(Travaux_2025[[#This Row],[AC ANT]:[TR 2025]],Travaux_2025[[#This Row],[AC 2026]:[TR 2026]],Travaux_2025[[#This Row],[AC 2027]:[TR 2034]])</f>
        <v>6021</v>
      </c>
    </row>
    <row r="20" spans="1:56" hidden="1" x14ac:dyDescent="0.3">
      <c r="A20" t="s">
        <v>662</v>
      </c>
      <c r="B20" t="s">
        <v>286</v>
      </c>
      <c r="D20" t="s">
        <v>118</v>
      </c>
      <c r="E20" t="s">
        <v>102</v>
      </c>
      <c r="F20" t="s">
        <v>177</v>
      </c>
      <c r="G20" t="s">
        <v>129</v>
      </c>
      <c r="H20" t="s">
        <v>16</v>
      </c>
      <c r="I20" t="s">
        <v>16</v>
      </c>
      <c r="J20" t="s">
        <v>131</v>
      </c>
      <c r="K20" t="s">
        <v>293</v>
      </c>
      <c r="L20" t="s">
        <v>294</v>
      </c>
      <c r="M20" t="s">
        <v>134</v>
      </c>
      <c r="N20" t="s">
        <v>148</v>
      </c>
      <c r="O20" t="s">
        <v>164</v>
      </c>
      <c r="P20" s="1">
        <v>45702</v>
      </c>
      <c r="Q20" s="1">
        <v>45702</v>
      </c>
      <c r="R20" s="1">
        <v>45702</v>
      </c>
      <c r="W20">
        <v>50</v>
      </c>
      <c r="X20">
        <v>2894</v>
      </c>
      <c r="Y20">
        <v>50</v>
      </c>
      <c r="Z20">
        <f>Travaux_2025[[#This Row],[AC 2025]]-Travaux_2025[[#This Row],[AC 2025 Initiale]]</f>
        <v>0</v>
      </c>
      <c r="AA20">
        <f>Travaux_2025[[#This Row],[TR 2025]]-Travaux_2025[[#This Row],[TR 2025 Initiale]]</f>
        <v>0</v>
      </c>
      <c r="AB20">
        <f>Travaux_2025[[#This Row],[Écart AC 2025]]+Travaux_2025[[#This Row],[Écart TR 2025]]</f>
        <v>0</v>
      </c>
      <c r="AC20">
        <v>2894</v>
      </c>
      <c r="AF20"/>
      <c r="AG20">
        <f>Travaux_2025[[#This Row],[AC 2026 Initiale]]+Travaux_2025[[#This Row],[TR 2026 Initiale]]</f>
        <v>0</v>
      </c>
      <c r="AH20">
        <f>Travaux_2025[[#This Row],[AC 2026]]-Travaux_2025[[#This Row],[AC 2026 Initiale]]</f>
        <v>0</v>
      </c>
      <c r="AI20">
        <f>Travaux_2025[[#This Row],[TR 2026]]-Travaux_2025[[#This Row],[TR 2026 Initiale]]</f>
        <v>0</v>
      </c>
      <c r="AJ20">
        <f>Travaux_2025[[#This Row],[Écart AC 2026]]+Travaux_2025[[#This Row],[Écart TR 2026]]</f>
        <v>0</v>
      </c>
      <c r="AX20"/>
      <c r="BD20" s="14">
        <f>SUM(Travaux_2025[[#This Row],[AC ANT]:[TR 2025]],Travaux_2025[[#This Row],[AC 2026]:[TR 2026]],Travaux_2025[[#This Row],[AC 2027]:[TR 2034]])</f>
        <v>2944</v>
      </c>
    </row>
    <row r="21" spans="1:56" hidden="1" x14ac:dyDescent="0.3">
      <c r="A21" t="s">
        <v>662</v>
      </c>
      <c r="B21" t="s">
        <v>286</v>
      </c>
      <c r="D21" t="s">
        <v>118</v>
      </c>
      <c r="E21" t="s">
        <v>102</v>
      </c>
      <c r="F21" t="s">
        <v>119</v>
      </c>
      <c r="G21" t="s">
        <v>113</v>
      </c>
      <c r="H21" t="s">
        <v>16</v>
      </c>
      <c r="I21" t="s">
        <v>16</v>
      </c>
      <c r="J21" t="s">
        <v>105</v>
      </c>
      <c r="K21" t="s">
        <v>120</v>
      </c>
      <c r="L21" t="s">
        <v>289</v>
      </c>
      <c r="M21" t="s">
        <v>122</v>
      </c>
      <c r="N21" t="s">
        <v>148</v>
      </c>
      <c r="O21" t="s">
        <v>164</v>
      </c>
      <c r="P21" s="1"/>
      <c r="Q21" s="1"/>
      <c r="R21" s="1">
        <v>45712</v>
      </c>
      <c r="W21">
        <v>20</v>
      </c>
      <c r="X21">
        <v>895</v>
      </c>
      <c r="Y21">
        <v>20</v>
      </c>
      <c r="Z21">
        <f>Travaux_2025[[#This Row],[AC 2025]]-Travaux_2025[[#This Row],[AC 2025 Initiale]]</f>
        <v>0</v>
      </c>
      <c r="AA21">
        <f>Travaux_2025[[#This Row],[TR 2025]]-Travaux_2025[[#This Row],[TR 2025 Initiale]]</f>
        <v>0</v>
      </c>
      <c r="AB21">
        <f>Travaux_2025[[#This Row],[Écart AC 2025]]+Travaux_2025[[#This Row],[Écart TR 2025]]</f>
        <v>0</v>
      </c>
      <c r="AC21">
        <v>895</v>
      </c>
      <c r="AF21"/>
      <c r="AG21">
        <f>Travaux_2025[[#This Row],[AC 2026 Initiale]]+Travaux_2025[[#This Row],[TR 2026 Initiale]]</f>
        <v>0</v>
      </c>
      <c r="AH21">
        <f>Travaux_2025[[#This Row],[AC 2026]]-Travaux_2025[[#This Row],[AC 2026 Initiale]]</f>
        <v>0</v>
      </c>
      <c r="AI21">
        <f>Travaux_2025[[#This Row],[TR 2026]]-Travaux_2025[[#This Row],[TR 2026 Initiale]]</f>
        <v>0</v>
      </c>
      <c r="AJ21">
        <f>Travaux_2025[[#This Row],[Écart AC 2026]]+Travaux_2025[[#This Row],[Écart TR 2026]]</f>
        <v>0</v>
      </c>
      <c r="AX21"/>
      <c r="BD21" s="14">
        <f>SUM(Travaux_2025[[#This Row],[AC ANT]:[TR 2025]],Travaux_2025[[#This Row],[AC 2026]:[TR 2026]],Travaux_2025[[#This Row],[AC 2027]:[TR 2034]])</f>
        <v>915</v>
      </c>
    </row>
    <row r="22" spans="1:56" hidden="1" x14ac:dyDescent="0.3">
      <c r="A22" t="s">
        <v>662</v>
      </c>
      <c r="B22" t="s">
        <v>286</v>
      </c>
      <c r="D22" t="s">
        <v>118</v>
      </c>
      <c r="E22" t="s">
        <v>102</v>
      </c>
      <c r="F22" t="s">
        <v>136</v>
      </c>
      <c r="G22" t="s">
        <v>129</v>
      </c>
      <c r="H22" t="s">
        <v>16</v>
      </c>
      <c r="I22" t="s">
        <v>16</v>
      </c>
      <c r="J22" t="s">
        <v>131</v>
      </c>
      <c r="K22" t="s">
        <v>218</v>
      </c>
      <c r="L22" t="s">
        <v>219</v>
      </c>
      <c r="M22" t="s">
        <v>152</v>
      </c>
      <c r="N22" t="s">
        <v>148</v>
      </c>
      <c r="O22" t="s">
        <v>164</v>
      </c>
      <c r="P22" s="1">
        <v>45370</v>
      </c>
      <c r="Q22" s="1"/>
      <c r="R22" s="1">
        <v>45706</v>
      </c>
      <c r="S22">
        <v>6</v>
      </c>
      <c r="U22">
        <v>45</v>
      </c>
      <c r="W22">
        <v>38</v>
      </c>
      <c r="X22">
        <v>605</v>
      </c>
      <c r="Y22">
        <v>24</v>
      </c>
      <c r="Z22">
        <f>Travaux_2025[[#This Row],[AC 2025]]-Travaux_2025[[#This Row],[AC 2025 Initiale]]</f>
        <v>14</v>
      </c>
      <c r="AA22">
        <f>Travaux_2025[[#This Row],[TR 2025]]-Travaux_2025[[#This Row],[TR 2025 Initiale]]</f>
        <v>0</v>
      </c>
      <c r="AB22">
        <f>Travaux_2025[[#This Row],[Écart AC 2025]]+Travaux_2025[[#This Row],[Écart TR 2025]]</f>
        <v>14</v>
      </c>
      <c r="AC22">
        <v>605</v>
      </c>
      <c r="AF22"/>
      <c r="AG22">
        <f>Travaux_2025[[#This Row],[AC 2026 Initiale]]+Travaux_2025[[#This Row],[TR 2026 Initiale]]</f>
        <v>0</v>
      </c>
      <c r="AH22">
        <f>Travaux_2025[[#This Row],[AC 2026]]-Travaux_2025[[#This Row],[AC 2026 Initiale]]</f>
        <v>0</v>
      </c>
      <c r="AI22">
        <f>Travaux_2025[[#This Row],[TR 2026]]-Travaux_2025[[#This Row],[TR 2026 Initiale]]</f>
        <v>0</v>
      </c>
      <c r="AJ22">
        <f>Travaux_2025[[#This Row],[Écart AC 2026]]+Travaux_2025[[#This Row],[Écart TR 2026]]</f>
        <v>0</v>
      </c>
      <c r="AX22"/>
      <c r="BD22" s="14">
        <f>SUM(Travaux_2025[[#This Row],[AC ANT]:[TR 2025]],Travaux_2025[[#This Row],[AC 2026]:[TR 2026]],Travaux_2025[[#This Row],[AC 2027]:[TR 2034]])</f>
        <v>694</v>
      </c>
    </row>
    <row r="23" spans="1:56" hidden="1" x14ac:dyDescent="0.3">
      <c r="A23" t="s">
        <v>663</v>
      </c>
      <c r="B23" t="s">
        <v>286</v>
      </c>
      <c r="D23" t="s">
        <v>101</v>
      </c>
      <c r="E23" t="s">
        <v>102</v>
      </c>
      <c r="F23" t="s">
        <v>177</v>
      </c>
      <c r="G23" t="s">
        <v>129</v>
      </c>
      <c r="H23" t="s">
        <v>16</v>
      </c>
      <c r="I23" t="s">
        <v>16</v>
      </c>
      <c r="J23" t="s">
        <v>131</v>
      </c>
      <c r="K23" t="s">
        <v>178</v>
      </c>
      <c r="L23" t="s">
        <v>179</v>
      </c>
      <c r="M23" t="s">
        <v>180</v>
      </c>
      <c r="N23" t="s">
        <v>148</v>
      </c>
      <c r="O23" t="s">
        <v>164</v>
      </c>
      <c r="P23" s="1"/>
      <c r="Q23" s="1"/>
      <c r="R23" s="1">
        <v>45195</v>
      </c>
      <c r="S23">
        <v>75</v>
      </c>
      <c r="T23">
        <v>101.00000000000001</v>
      </c>
      <c r="U23">
        <v>25</v>
      </c>
      <c r="V23">
        <v>1137</v>
      </c>
      <c r="W23">
        <v>73</v>
      </c>
      <c r="X23">
        <v>596</v>
      </c>
      <c r="Y23">
        <v>73</v>
      </c>
      <c r="Z23">
        <f>Travaux_2025[[#This Row],[AC 2025]]-Travaux_2025[[#This Row],[AC 2025 Initiale]]</f>
        <v>0</v>
      </c>
      <c r="AA23">
        <f>Travaux_2025[[#This Row],[TR 2025]]-Travaux_2025[[#This Row],[TR 2025 Initiale]]</f>
        <v>16</v>
      </c>
      <c r="AB23">
        <f>Travaux_2025[[#This Row],[Écart AC 2025]]+Travaux_2025[[#This Row],[Écart TR 2025]]</f>
        <v>16</v>
      </c>
      <c r="AC23">
        <v>580</v>
      </c>
      <c r="AF23"/>
      <c r="AG23">
        <f>Travaux_2025[[#This Row],[AC 2026 Initiale]]+Travaux_2025[[#This Row],[TR 2026 Initiale]]</f>
        <v>0</v>
      </c>
      <c r="AH23">
        <f>Travaux_2025[[#This Row],[AC 2026]]-Travaux_2025[[#This Row],[AC 2026 Initiale]]</f>
        <v>0</v>
      </c>
      <c r="AI23">
        <f>Travaux_2025[[#This Row],[TR 2026]]-Travaux_2025[[#This Row],[TR 2026 Initiale]]</f>
        <v>0</v>
      </c>
      <c r="AJ23">
        <f>Travaux_2025[[#This Row],[Écart AC 2026]]+Travaux_2025[[#This Row],[Écart TR 2026]]</f>
        <v>0</v>
      </c>
      <c r="AX23"/>
      <c r="BD23" s="14">
        <f>SUM(Travaux_2025[[#This Row],[AC ANT]:[TR 2025]],Travaux_2025[[#This Row],[AC 2026]:[TR 2026]],Travaux_2025[[#This Row],[AC 2027]:[TR 2034]])</f>
        <v>2007</v>
      </c>
    </row>
    <row r="24" spans="1:56" hidden="1" x14ac:dyDescent="0.3">
      <c r="B24" t="s">
        <v>11</v>
      </c>
      <c r="D24" t="s">
        <v>118</v>
      </c>
      <c r="E24" t="s">
        <v>102</v>
      </c>
      <c r="F24" t="s">
        <v>103</v>
      </c>
      <c r="G24" t="s">
        <v>252</v>
      </c>
      <c r="H24" t="s">
        <v>20</v>
      </c>
      <c r="I24" t="s">
        <v>16</v>
      </c>
      <c r="J24" t="s">
        <v>131</v>
      </c>
      <c r="K24" t="s">
        <v>257</v>
      </c>
      <c r="L24" t="s">
        <v>258</v>
      </c>
      <c r="M24" t="s">
        <v>180</v>
      </c>
      <c r="N24" t="s">
        <v>148</v>
      </c>
      <c r="O24" t="s">
        <v>291</v>
      </c>
      <c r="P24" s="1"/>
      <c r="Q24" s="1"/>
      <c r="R24" s="1"/>
      <c r="X24">
        <v>300</v>
      </c>
      <c r="Z24">
        <f>Travaux_2025[[#This Row],[AC 2025]]-Travaux_2025[[#This Row],[AC 2025 Initiale]]</f>
        <v>0</v>
      </c>
      <c r="AA24">
        <f>Travaux_2025[[#This Row],[TR 2025]]-Travaux_2025[[#This Row],[TR 2025 Initiale]]</f>
        <v>0</v>
      </c>
      <c r="AB24">
        <f>Travaux_2025[[#This Row],[Écart AC 2025]]+Travaux_2025[[#This Row],[Écart TR 2025]]</f>
        <v>0</v>
      </c>
      <c r="AC24">
        <v>300</v>
      </c>
      <c r="AF24"/>
      <c r="AG24">
        <f>Travaux_2025[[#This Row],[AC 2026 Initiale]]+Travaux_2025[[#This Row],[TR 2026 Initiale]]</f>
        <v>0</v>
      </c>
      <c r="AH24">
        <f>Travaux_2025[[#This Row],[AC 2026]]-Travaux_2025[[#This Row],[AC 2026 Initiale]]</f>
        <v>0</v>
      </c>
      <c r="AI24">
        <f>Travaux_2025[[#This Row],[TR 2026]]-Travaux_2025[[#This Row],[TR 2026 Initiale]]</f>
        <v>0</v>
      </c>
      <c r="AJ24">
        <f>Travaux_2025[[#This Row],[Écart AC 2026]]+Travaux_2025[[#This Row],[Écart TR 2026]]</f>
        <v>0</v>
      </c>
      <c r="AX24"/>
      <c r="BD24" s="14">
        <f>SUM(Travaux_2025[[#This Row],[AC ANT]:[TR 2025]],Travaux_2025[[#This Row],[AC 2026]:[TR 2026]],Travaux_2025[[#This Row],[AC 2027]:[TR 2034]])</f>
        <v>300</v>
      </c>
    </row>
    <row r="25" spans="1:56" hidden="1" x14ac:dyDescent="0.3">
      <c r="A25" t="s">
        <v>295</v>
      </c>
      <c r="B25" t="s">
        <v>286</v>
      </c>
      <c r="D25" t="s">
        <v>126</v>
      </c>
      <c r="E25" t="s">
        <v>127</v>
      </c>
      <c r="F25" t="s">
        <v>128</v>
      </c>
      <c r="G25" t="s">
        <v>252</v>
      </c>
      <c r="H25" t="s">
        <v>16</v>
      </c>
      <c r="I25" t="s">
        <v>16</v>
      </c>
      <c r="J25" t="s">
        <v>131</v>
      </c>
      <c r="K25" t="s">
        <v>259</v>
      </c>
      <c r="L25" t="s">
        <v>260</v>
      </c>
      <c r="M25" t="s">
        <v>159</v>
      </c>
      <c r="N25" t="s">
        <v>148</v>
      </c>
      <c r="O25" t="s">
        <v>291</v>
      </c>
      <c r="P25" s="1"/>
      <c r="Q25" s="1"/>
      <c r="R25" s="1"/>
      <c r="W25">
        <v>15</v>
      </c>
      <c r="X25">
        <v>85</v>
      </c>
      <c r="Y25">
        <v>15</v>
      </c>
      <c r="Z25">
        <f>Travaux_2025[[#This Row],[AC 2025]]-Travaux_2025[[#This Row],[AC 2025 Initiale]]</f>
        <v>0</v>
      </c>
      <c r="AA25">
        <f>Travaux_2025[[#This Row],[TR 2025]]-Travaux_2025[[#This Row],[TR 2025 Initiale]]</f>
        <v>0</v>
      </c>
      <c r="AB25">
        <f>Travaux_2025[[#This Row],[Écart AC 2025]]+Travaux_2025[[#This Row],[Écart TR 2025]]</f>
        <v>0</v>
      </c>
      <c r="AC25">
        <v>85</v>
      </c>
      <c r="AF25"/>
      <c r="AG25">
        <f>Travaux_2025[[#This Row],[AC 2026 Initiale]]+Travaux_2025[[#This Row],[TR 2026 Initiale]]</f>
        <v>0</v>
      </c>
      <c r="AH25">
        <f>Travaux_2025[[#This Row],[AC 2026]]-Travaux_2025[[#This Row],[AC 2026 Initiale]]</f>
        <v>0</v>
      </c>
      <c r="AI25">
        <f>Travaux_2025[[#This Row],[TR 2026]]-Travaux_2025[[#This Row],[TR 2026 Initiale]]</f>
        <v>0</v>
      </c>
      <c r="AJ25">
        <f>Travaux_2025[[#This Row],[Écart AC 2026]]+Travaux_2025[[#This Row],[Écart TR 2026]]</f>
        <v>0</v>
      </c>
      <c r="AX25"/>
      <c r="BD25" s="14">
        <f>SUM(Travaux_2025[[#This Row],[AC ANT]:[TR 2025]],Travaux_2025[[#This Row],[AC 2026]:[TR 2026]],Travaux_2025[[#This Row],[AC 2027]:[TR 2034]])</f>
        <v>100</v>
      </c>
    </row>
    <row r="26" spans="1:56" hidden="1" x14ac:dyDescent="0.3">
      <c r="A26" t="s">
        <v>295</v>
      </c>
      <c r="B26" t="s">
        <v>286</v>
      </c>
      <c r="D26" t="s">
        <v>126</v>
      </c>
      <c r="E26" t="s">
        <v>127</v>
      </c>
      <c r="F26" t="s">
        <v>136</v>
      </c>
      <c r="G26" t="s">
        <v>104</v>
      </c>
      <c r="H26" t="s">
        <v>16</v>
      </c>
      <c r="I26" t="s">
        <v>16</v>
      </c>
      <c r="J26" t="s">
        <v>105</v>
      </c>
      <c r="K26" t="s">
        <v>162</v>
      </c>
      <c r="L26" t="s">
        <v>163</v>
      </c>
      <c r="M26" t="s">
        <v>122</v>
      </c>
      <c r="N26" t="s">
        <v>148</v>
      </c>
      <c r="O26" t="s">
        <v>164</v>
      </c>
      <c r="P26" s="1"/>
      <c r="Q26" s="1"/>
      <c r="R26" s="1"/>
      <c r="S26">
        <v>5398</v>
      </c>
      <c r="T26">
        <v>28152</v>
      </c>
      <c r="U26">
        <v>46</v>
      </c>
      <c r="V26">
        <v>891</v>
      </c>
      <c r="W26">
        <v>399</v>
      </c>
      <c r="X26">
        <v>67</v>
      </c>
      <c r="Y26">
        <v>399</v>
      </c>
      <c r="Z26">
        <f>Travaux_2025[[#This Row],[AC 2025]]-Travaux_2025[[#This Row],[AC 2025 Initiale]]</f>
        <v>0</v>
      </c>
      <c r="AA26">
        <f>Travaux_2025[[#This Row],[TR 2025]]-Travaux_2025[[#This Row],[TR 2025 Initiale]]</f>
        <v>0</v>
      </c>
      <c r="AB26">
        <f>Travaux_2025[[#This Row],[Écart AC 2025]]+Travaux_2025[[#This Row],[Écart TR 2025]]</f>
        <v>0</v>
      </c>
      <c r="AC26">
        <v>67</v>
      </c>
      <c r="AD26">
        <v>93</v>
      </c>
      <c r="AF26">
        <v>60</v>
      </c>
      <c r="AG26">
        <f>Travaux_2025[[#This Row],[AC 2026 Initiale]]+Travaux_2025[[#This Row],[TR 2026 Initiale]]</f>
        <v>60</v>
      </c>
      <c r="AH26">
        <f>Travaux_2025[[#This Row],[AC 2026]]-Travaux_2025[[#This Row],[AC 2026 Initiale]]</f>
        <v>33</v>
      </c>
      <c r="AI26">
        <f>Travaux_2025[[#This Row],[TR 2026]]-Travaux_2025[[#This Row],[TR 2026 Initiale]]</f>
        <v>0</v>
      </c>
      <c r="AJ26">
        <f>Travaux_2025[[#This Row],[Écart AC 2026]]+Travaux_2025[[#This Row],[Écart TR 2026]]</f>
        <v>33</v>
      </c>
      <c r="AX26"/>
      <c r="BD26" s="14">
        <f>SUM(Travaux_2025[[#This Row],[AC ANT]:[TR 2025]],Travaux_2025[[#This Row],[AC 2026]:[TR 2026]],Travaux_2025[[#This Row],[AC 2027]:[TR 2034]])</f>
        <v>35046</v>
      </c>
    </row>
    <row r="27" spans="1:56" hidden="1" x14ac:dyDescent="0.3">
      <c r="A27" t="s">
        <v>295</v>
      </c>
      <c r="B27" t="s">
        <v>286</v>
      </c>
      <c r="D27" t="s">
        <v>126</v>
      </c>
      <c r="E27" t="s">
        <v>127</v>
      </c>
      <c r="F27" t="s">
        <v>128</v>
      </c>
      <c r="G27" t="s">
        <v>252</v>
      </c>
      <c r="H27" t="s">
        <v>16</v>
      </c>
      <c r="I27" t="s">
        <v>16</v>
      </c>
      <c r="J27" t="s">
        <v>131</v>
      </c>
      <c r="K27" t="s">
        <v>253</v>
      </c>
      <c r="L27" t="s">
        <v>254</v>
      </c>
      <c r="M27" t="s">
        <v>147</v>
      </c>
      <c r="N27" t="s">
        <v>148</v>
      </c>
      <c r="O27" t="s">
        <v>291</v>
      </c>
      <c r="P27" s="1"/>
      <c r="Q27" s="1"/>
      <c r="R27" s="1"/>
      <c r="W27">
        <v>10</v>
      </c>
      <c r="X27">
        <v>39</v>
      </c>
      <c r="Y27">
        <v>10</v>
      </c>
      <c r="Z27">
        <f>Travaux_2025[[#This Row],[AC 2025]]-Travaux_2025[[#This Row],[AC 2025 Initiale]]</f>
        <v>0</v>
      </c>
      <c r="AA27">
        <f>Travaux_2025[[#This Row],[TR 2025]]-Travaux_2025[[#This Row],[TR 2025 Initiale]]</f>
        <v>0</v>
      </c>
      <c r="AB27">
        <f>Travaux_2025[[#This Row],[Écart AC 2025]]+Travaux_2025[[#This Row],[Écart TR 2025]]</f>
        <v>0</v>
      </c>
      <c r="AC27">
        <v>39</v>
      </c>
      <c r="AF27"/>
      <c r="AG27">
        <f>Travaux_2025[[#This Row],[AC 2026 Initiale]]+Travaux_2025[[#This Row],[TR 2026 Initiale]]</f>
        <v>0</v>
      </c>
      <c r="AH27">
        <f>Travaux_2025[[#This Row],[AC 2026]]-Travaux_2025[[#This Row],[AC 2026 Initiale]]</f>
        <v>0</v>
      </c>
      <c r="AI27">
        <f>Travaux_2025[[#This Row],[TR 2026]]-Travaux_2025[[#This Row],[TR 2026 Initiale]]</f>
        <v>0</v>
      </c>
      <c r="AJ27">
        <f>Travaux_2025[[#This Row],[Écart AC 2026]]+Travaux_2025[[#This Row],[Écart TR 2026]]</f>
        <v>0</v>
      </c>
      <c r="AX27"/>
      <c r="BD27" s="14">
        <f>SUM(Travaux_2025[[#This Row],[AC ANT]:[TR 2025]],Travaux_2025[[#This Row],[AC 2026]:[TR 2026]],Travaux_2025[[#This Row],[AC 2027]:[TR 2034]])</f>
        <v>49</v>
      </c>
    </row>
    <row r="28" spans="1:56" x14ac:dyDescent="0.3">
      <c r="A28" t="s">
        <v>664</v>
      </c>
      <c r="B28" t="s">
        <v>286</v>
      </c>
      <c r="D28" t="s">
        <v>101</v>
      </c>
      <c r="E28" t="s">
        <v>102</v>
      </c>
      <c r="F28" t="s">
        <v>103</v>
      </c>
      <c r="H28" t="s">
        <v>16</v>
      </c>
      <c r="I28" t="s">
        <v>16</v>
      </c>
      <c r="J28" t="s">
        <v>105</v>
      </c>
      <c r="K28" t="s">
        <v>309</v>
      </c>
      <c r="L28" t="s">
        <v>310</v>
      </c>
      <c r="M28" t="s">
        <v>108</v>
      </c>
      <c r="N28" t="s">
        <v>148</v>
      </c>
      <c r="O28" t="s">
        <v>291</v>
      </c>
      <c r="P28" s="1"/>
      <c r="Q28" s="1"/>
      <c r="R28" s="1"/>
      <c r="S28">
        <v>467</v>
      </c>
      <c r="T28">
        <v>5053</v>
      </c>
      <c r="W28">
        <v>27</v>
      </c>
      <c r="X28">
        <v>135</v>
      </c>
      <c r="Z28">
        <f>Travaux_2025[[#This Row],[AC 2025]]-Travaux_2025[[#This Row],[AC 2025 Initiale]]</f>
        <v>27</v>
      </c>
      <c r="AA28">
        <f>Travaux_2025[[#This Row],[TR 2025]]-Travaux_2025[[#This Row],[TR 2025 Initiale]]</f>
        <v>135</v>
      </c>
      <c r="AB28">
        <f>Travaux_2025[[#This Row],[Écart AC 2025]]+Travaux_2025[[#This Row],[Écart TR 2025]]</f>
        <v>162</v>
      </c>
      <c r="AF28"/>
      <c r="AG28">
        <f>Travaux_2025[[#This Row],[AC 2026 Initiale]]+Travaux_2025[[#This Row],[TR 2026 Initiale]]</f>
        <v>0</v>
      </c>
      <c r="AH28">
        <f>Travaux_2025[[#This Row],[AC 2026]]-Travaux_2025[[#This Row],[AC 2026 Initiale]]</f>
        <v>0</v>
      </c>
      <c r="AI28">
        <f>Travaux_2025[[#This Row],[TR 2026]]-Travaux_2025[[#This Row],[TR 2026 Initiale]]</f>
        <v>0</v>
      </c>
      <c r="AJ28">
        <f>Travaux_2025[[#This Row],[Écart AC 2026]]+Travaux_2025[[#This Row],[Écart TR 2026]]</f>
        <v>0</v>
      </c>
      <c r="AX28"/>
      <c r="BD28" s="14">
        <f>SUM(Travaux_2025[[#This Row],[AC ANT]:[TR 2025]],Travaux_2025[[#This Row],[AC 2026]:[TR 2026]],Travaux_2025[[#This Row],[AC 2027]:[TR 2034]])</f>
        <v>5682</v>
      </c>
    </row>
    <row r="29" spans="1:56" x14ac:dyDescent="0.3">
      <c r="A29" t="s">
        <v>664</v>
      </c>
      <c r="B29" t="s">
        <v>286</v>
      </c>
      <c r="D29" t="s">
        <v>101</v>
      </c>
      <c r="E29" t="s">
        <v>102</v>
      </c>
      <c r="F29" t="s">
        <v>103</v>
      </c>
      <c r="G29" t="s">
        <v>113</v>
      </c>
      <c r="H29" t="s">
        <v>16</v>
      </c>
      <c r="I29" t="s">
        <v>16</v>
      </c>
      <c r="J29" t="s">
        <v>105</v>
      </c>
      <c r="K29" t="s">
        <v>312</v>
      </c>
      <c r="L29" t="s">
        <v>313</v>
      </c>
      <c r="M29" t="s">
        <v>168</v>
      </c>
      <c r="N29" t="s">
        <v>148</v>
      </c>
      <c r="O29" t="s">
        <v>164</v>
      </c>
      <c r="P29" s="1">
        <v>44055</v>
      </c>
      <c r="Q29" s="1">
        <v>44315</v>
      </c>
      <c r="R29" s="1">
        <v>44589</v>
      </c>
      <c r="S29">
        <v>448</v>
      </c>
      <c r="T29">
        <v>5849</v>
      </c>
      <c r="U29">
        <v>290</v>
      </c>
      <c r="V29">
        <v>3895</v>
      </c>
      <c r="W29">
        <v>93</v>
      </c>
      <c r="X29">
        <v>390</v>
      </c>
      <c r="Z29">
        <f>Travaux_2025[[#This Row],[AC 2025]]-Travaux_2025[[#This Row],[AC 2025 Initiale]]</f>
        <v>93</v>
      </c>
      <c r="AA29">
        <f>Travaux_2025[[#This Row],[TR 2025]]-Travaux_2025[[#This Row],[TR 2025 Initiale]]</f>
        <v>390</v>
      </c>
      <c r="AB29">
        <f>Travaux_2025[[#This Row],[Écart AC 2025]]+Travaux_2025[[#This Row],[Écart TR 2025]]</f>
        <v>483</v>
      </c>
      <c r="AF29"/>
      <c r="AG29">
        <f>Travaux_2025[[#This Row],[AC 2026 Initiale]]+Travaux_2025[[#This Row],[TR 2026 Initiale]]</f>
        <v>0</v>
      </c>
      <c r="AH29">
        <f>Travaux_2025[[#This Row],[AC 2026]]-Travaux_2025[[#This Row],[AC 2026 Initiale]]</f>
        <v>0</v>
      </c>
      <c r="AI29">
        <f>Travaux_2025[[#This Row],[TR 2026]]-Travaux_2025[[#This Row],[TR 2026 Initiale]]</f>
        <v>0</v>
      </c>
      <c r="AJ29">
        <f>Travaux_2025[[#This Row],[Écart AC 2026]]+Travaux_2025[[#This Row],[Écart TR 2026]]</f>
        <v>0</v>
      </c>
      <c r="AX29"/>
      <c r="BD29" s="14">
        <f>SUM(Travaux_2025[[#This Row],[AC ANT]:[TR 2025]],Travaux_2025[[#This Row],[AC 2026]:[TR 2026]],Travaux_2025[[#This Row],[AC 2027]:[TR 2034]])</f>
        <v>10965</v>
      </c>
    </row>
    <row r="30" spans="1:56" x14ac:dyDescent="0.3">
      <c r="A30" t="s">
        <v>664</v>
      </c>
      <c r="B30" t="s">
        <v>286</v>
      </c>
      <c r="D30" t="s">
        <v>101</v>
      </c>
      <c r="E30" t="s">
        <v>102</v>
      </c>
      <c r="F30" t="s">
        <v>103</v>
      </c>
      <c r="G30" t="s">
        <v>206</v>
      </c>
      <c r="H30" t="s">
        <v>16</v>
      </c>
      <c r="I30" t="s">
        <v>16</v>
      </c>
      <c r="J30" t="s">
        <v>105</v>
      </c>
      <c r="K30" t="s">
        <v>314</v>
      </c>
      <c r="L30" t="s">
        <v>315</v>
      </c>
      <c r="M30" t="s">
        <v>316</v>
      </c>
      <c r="N30" t="s">
        <v>148</v>
      </c>
      <c r="O30" t="s">
        <v>164</v>
      </c>
      <c r="P30" s="1">
        <v>43882</v>
      </c>
      <c r="Q30" s="1">
        <v>44033</v>
      </c>
      <c r="R30" s="1">
        <v>45225</v>
      </c>
      <c r="S30">
        <v>257</v>
      </c>
      <c r="T30">
        <v>2407</v>
      </c>
      <c r="U30">
        <v>439</v>
      </c>
      <c r="V30">
        <v>7751</v>
      </c>
      <c r="W30">
        <v>79</v>
      </c>
      <c r="X30">
        <v>385</v>
      </c>
      <c r="Z30">
        <f>Travaux_2025[[#This Row],[AC 2025]]-Travaux_2025[[#This Row],[AC 2025 Initiale]]</f>
        <v>79</v>
      </c>
      <c r="AA30">
        <f>Travaux_2025[[#This Row],[TR 2025]]-Travaux_2025[[#This Row],[TR 2025 Initiale]]</f>
        <v>385</v>
      </c>
      <c r="AB30">
        <f>Travaux_2025[[#This Row],[Écart AC 2025]]+Travaux_2025[[#This Row],[Écart TR 2025]]</f>
        <v>464</v>
      </c>
      <c r="AF30"/>
      <c r="AG30">
        <f>Travaux_2025[[#This Row],[AC 2026 Initiale]]+Travaux_2025[[#This Row],[TR 2026 Initiale]]</f>
        <v>0</v>
      </c>
      <c r="AH30">
        <f>Travaux_2025[[#This Row],[AC 2026]]-Travaux_2025[[#This Row],[AC 2026 Initiale]]</f>
        <v>0</v>
      </c>
      <c r="AI30">
        <f>Travaux_2025[[#This Row],[TR 2026]]-Travaux_2025[[#This Row],[TR 2026 Initiale]]</f>
        <v>0</v>
      </c>
      <c r="AJ30">
        <f>Travaux_2025[[#This Row],[Écart AC 2026]]+Travaux_2025[[#This Row],[Écart TR 2026]]</f>
        <v>0</v>
      </c>
      <c r="AX30"/>
      <c r="BD30" s="14">
        <f>SUM(Travaux_2025[[#This Row],[AC ANT]:[TR 2025]],Travaux_2025[[#This Row],[AC 2026]:[TR 2026]],Travaux_2025[[#This Row],[AC 2027]:[TR 2034]])</f>
        <v>11318</v>
      </c>
    </row>
    <row r="31" spans="1:56" x14ac:dyDescent="0.3">
      <c r="A31" t="s">
        <v>664</v>
      </c>
      <c r="B31" t="s">
        <v>286</v>
      </c>
      <c r="D31" t="s">
        <v>101</v>
      </c>
      <c r="E31" t="s">
        <v>102</v>
      </c>
      <c r="F31" t="s">
        <v>200</v>
      </c>
      <c r="G31" t="s">
        <v>104</v>
      </c>
      <c r="H31" t="s">
        <v>16</v>
      </c>
      <c r="I31" t="s">
        <v>16</v>
      </c>
      <c r="J31" t="s">
        <v>105</v>
      </c>
      <c r="K31" t="s">
        <v>330</v>
      </c>
      <c r="L31" t="s">
        <v>331</v>
      </c>
      <c r="M31" t="s">
        <v>180</v>
      </c>
      <c r="N31" s="2" t="s">
        <v>148</v>
      </c>
      <c r="O31" t="s">
        <v>164</v>
      </c>
      <c r="P31" s="1">
        <v>43360</v>
      </c>
      <c r="Q31" s="1">
        <v>43671</v>
      </c>
      <c r="R31" s="1">
        <v>44217</v>
      </c>
      <c r="S31">
        <v>432</v>
      </c>
      <c r="T31">
        <v>3057</v>
      </c>
      <c r="U31">
        <v>136</v>
      </c>
      <c r="W31">
        <v>137</v>
      </c>
      <c r="X31">
        <v>73</v>
      </c>
      <c r="Y31">
        <v>13</v>
      </c>
      <c r="Z31">
        <f>Travaux_2025[[#This Row],[AC 2025]]-Travaux_2025[[#This Row],[AC 2025 Initiale]]</f>
        <v>124</v>
      </c>
      <c r="AA31">
        <f>Travaux_2025[[#This Row],[TR 2025]]-Travaux_2025[[#This Row],[TR 2025 Initiale]]</f>
        <v>73</v>
      </c>
      <c r="AB31">
        <f>Travaux_2025[[#This Row],[Écart AC 2025]]+Travaux_2025[[#This Row],[Écart TR 2025]]</f>
        <v>197</v>
      </c>
      <c r="AF31"/>
      <c r="AG31">
        <f>Travaux_2025[[#This Row],[AC 2026 Initiale]]+Travaux_2025[[#This Row],[TR 2026 Initiale]]</f>
        <v>0</v>
      </c>
      <c r="AH31">
        <f>Travaux_2025[[#This Row],[AC 2026]]-Travaux_2025[[#This Row],[AC 2026 Initiale]]</f>
        <v>0</v>
      </c>
      <c r="AI31">
        <f>Travaux_2025[[#This Row],[TR 2026]]-Travaux_2025[[#This Row],[TR 2026 Initiale]]</f>
        <v>0</v>
      </c>
      <c r="AJ31">
        <f>Travaux_2025[[#This Row],[Écart AC 2026]]+Travaux_2025[[#This Row],[Écart TR 2026]]</f>
        <v>0</v>
      </c>
      <c r="AX31"/>
      <c r="BD31" s="14">
        <f>SUM(Travaux_2025[[#This Row],[AC ANT]:[TR 2025]],Travaux_2025[[#This Row],[AC 2026]:[TR 2026]],Travaux_2025[[#This Row],[AC 2027]:[TR 2034]])</f>
        <v>3835</v>
      </c>
    </row>
    <row r="32" spans="1:56" x14ac:dyDescent="0.3">
      <c r="A32" t="s">
        <v>663</v>
      </c>
      <c r="B32" t="s">
        <v>286</v>
      </c>
      <c r="D32" t="s">
        <v>101</v>
      </c>
      <c r="E32" t="s">
        <v>102</v>
      </c>
      <c r="F32" t="s">
        <v>119</v>
      </c>
      <c r="G32" t="s">
        <v>113</v>
      </c>
      <c r="H32" t="s">
        <v>16</v>
      </c>
      <c r="I32" t="s">
        <v>16</v>
      </c>
      <c r="J32" t="s">
        <v>105</v>
      </c>
      <c r="K32" t="s">
        <v>332</v>
      </c>
      <c r="L32" t="s">
        <v>333</v>
      </c>
      <c r="M32" t="s">
        <v>122</v>
      </c>
      <c r="N32" t="s">
        <v>148</v>
      </c>
      <c r="O32" t="s">
        <v>164</v>
      </c>
      <c r="P32" s="1">
        <v>44162</v>
      </c>
      <c r="Q32" s="1">
        <v>44489</v>
      </c>
      <c r="R32" s="1">
        <v>44608</v>
      </c>
      <c r="S32">
        <v>183</v>
      </c>
      <c r="T32">
        <v>33</v>
      </c>
      <c r="U32">
        <v>297</v>
      </c>
      <c r="V32">
        <v>6350</v>
      </c>
      <c r="W32">
        <v>162</v>
      </c>
      <c r="X32">
        <v>50</v>
      </c>
      <c r="Z32">
        <f>Travaux_2025[[#This Row],[AC 2025]]-Travaux_2025[[#This Row],[AC 2025 Initiale]]</f>
        <v>162</v>
      </c>
      <c r="AA32">
        <f>Travaux_2025[[#This Row],[TR 2025]]-Travaux_2025[[#This Row],[TR 2025 Initiale]]</f>
        <v>50</v>
      </c>
      <c r="AB32">
        <f>Travaux_2025[[#This Row],[Écart AC 2025]]+Travaux_2025[[#This Row],[Écart TR 2025]]</f>
        <v>212</v>
      </c>
      <c r="AF32"/>
      <c r="AG32">
        <f>Travaux_2025[[#This Row],[AC 2026 Initiale]]+Travaux_2025[[#This Row],[TR 2026 Initiale]]</f>
        <v>0</v>
      </c>
      <c r="AH32">
        <f>Travaux_2025[[#This Row],[AC 2026]]-Travaux_2025[[#This Row],[AC 2026 Initiale]]</f>
        <v>0</v>
      </c>
      <c r="AI32">
        <f>Travaux_2025[[#This Row],[TR 2026]]-Travaux_2025[[#This Row],[TR 2026 Initiale]]</f>
        <v>0</v>
      </c>
      <c r="AJ32">
        <f>Travaux_2025[[#This Row],[Écart AC 2026]]+Travaux_2025[[#This Row],[Écart TR 2026]]</f>
        <v>0</v>
      </c>
      <c r="AX32"/>
      <c r="BD32" s="14">
        <f>SUM(Travaux_2025[[#This Row],[AC ANT]:[TR 2025]],Travaux_2025[[#This Row],[AC 2026]:[TR 2026]],Travaux_2025[[#This Row],[AC 2027]:[TR 2034]])</f>
        <v>7075</v>
      </c>
    </row>
    <row r="33" spans="1:59" x14ac:dyDescent="0.3">
      <c r="A33" t="s">
        <v>664</v>
      </c>
      <c r="B33" t="s">
        <v>286</v>
      </c>
      <c r="D33" t="s">
        <v>101</v>
      </c>
      <c r="E33" t="s">
        <v>102</v>
      </c>
      <c r="F33" t="s">
        <v>200</v>
      </c>
      <c r="G33" t="s">
        <v>149</v>
      </c>
      <c r="H33" t="s">
        <v>16</v>
      </c>
      <c r="I33" t="s">
        <v>16</v>
      </c>
      <c r="J33" t="s">
        <v>105</v>
      </c>
      <c r="K33" t="s">
        <v>334</v>
      </c>
      <c r="L33" t="s">
        <v>335</v>
      </c>
      <c r="M33" t="s">
        <v>205</v>
      </c>
      <c r="N33" t="s">
        <v>148</v>
      </c>
      <c r="O33" t="s">
        <v>164</v>
      </c>
      <c r="P33" s="1">
        <v>44228</v>
      </c>
      <c r="Q33" s="1">
        <v>44579</v>
      </c>
      <c r="R33" s="1">
        <v>44865</v>
      </c>
      <c r="S33">
        <v>262</v>
      </c>
      <c r="T33">
        <v>16</v>
      </c>
      <c r="U33">
        <v>265</v>
      </c>
      <c r="V33">
        <v>6205</v>
      </c>
      <c r="W33">
        <v>183</v>
      </c>
      <c r="X33">
        <v>282</v>
      </c>
      <c r="Z33">
        <f>Travaux_2025[[#This Row],[AC 2025]]-Travaux_2025[[#This Row],[AC 2025 Initiale]]</f>
        <v>183</v>
      </c>
      <c r="AA33">
        <f>Travaux_2025[[#This Row],[TR 2025]]-Travaux_2025[[#This Row],[TR 2025 Initiale]]</f>
        <v>282</v>
      </c>
      <c r="AB33">
        <f>Travaux_2025[[#This Row],[Écart AC 2025]]+Travaux_2025[[#This Row],[Écart TR 2025]]</f>
        <v>465</v>
      </c>
      <c r="AF33"/>
      <c r="AG33">
        <f>Travaux_2025[[#This Row],[AC 2026 Initiale]]+Travaux_2025[[#This Row],[TR 2026 Initiale]]</f>
        <v>0</v>
      </c>
      <c r="AH33">
        <f>Travaux_2025[[#This Row],[AC 2026]]-Travaux_2025[[#This Row],[AC 2026 Initiale]]</f>
        <v>0</v>
      </c>
      <c r="AI33">
        <f>Travaux_2025[[#This Row],[TR 2026]]-Travaux_2025[[#This Row],[TR 2026 Initiale]]</f>
        <v>0</v>
      </c>
      <c r="AJ33">
        <f>Travaux_2025[[#This Row],[Écart AC 2026]]+Travaux_2025[[#This Row],[Écart TR 2026]]</f>
        <v>0</v>
      </c>
      <c r="AX33"/>
      <c r="BD33" s="14">
        <f>SUM(Travaux_2025[[#This Row],[AC ANT]:[TR 2025]],Travaux_2025[[#This Row],[AC 2026]:[TR 2026]],Travaux_2025[[#This Row],[AC 2027]:[TR 2034]])</f>
        <v>7213</v>
      </c>
    </row>
    <row r="34" spans="1:59" x14ac:dyDescent="0.3">
      <c r="A34" t="s">
        <v>664</v>
      </c>
      <c r="B34" t="s">
        <v>286</v>
      </c>
      <c r="D34" t="s">
        <v>101</v>
      </c>
      <c r="E34" t="s">
        <v>102</v>
      </c>
      <c r="F34" t="s">
        <v>200</v>
      </c>
      <c r="G34" t="s">
        <v>113</v>
      </c>
      <c r="H34" t="s">
        <v>16</v>
      </c>
      <c r="I34" t="s">
        <v>16</v>
      </c>
      <c r="J34" t="s">
        <v>131</v>
      </c>
      <c r="K34" t="s">
        <v>336</v>
      </c>
      <c r="L34" t="s">
        <v>337</v>
      </c>
      <c r="M34" t="s">
        <v>180</v>
      </c>
      <c r="N34" t="s">
        <v>148</v>
      </c>
      <c r="O34" t="s">
        <v>164</v>
      </c>
      <c r="P34" s="1"/>
      <c r="Q34" s="1">
        <v>44518</v>
      </c>
      <c r="R34" s="1">
        <v>44657</v>
      </c>
      <c r="S34">
        <v>594</v>
      </c>
      <c r="T34">
        <v>3359</v>
      </c>
      <c r="U34">
        <v>264</v>
      </c>
      <c r="V34">
        <v>2717</v>
      </c>
      <c r="W34">
        <v>63</v>
      </c>
      <c r="X34">
        <v>462</v>
      </c>
      <c r="Z34">
        <f>Travaux_2025[[#This Row],[AC 2025]]-Travaux_2025[[#This Row],[AC 2025 Initiale]]</f>
        <v>63</v>
      </c>
      <c r="AA34">
        <f>Travaux_2025[[#This Row],[TR 2025]]-Travaux_2025[[#This Row],[TR 2025 Initiale]]</f>
        <v>462</v>
      </c>
      <c r="AB34">
        <f>Travaux_2025[[#This Row],[Écart AC 2025]]+Travaux_2025[[#This Row],[Écart TR 2025]]</f>
        <v>525</v>
      </c>
      <c r="AF34"/>
      <c r="AG34">
        <f>Travaux_2025[[#This Row],[AC 2026 Initiale]]+Travaux_2025[[#This Row],[TR 2026 Initiale]]</f>
        <v>0</v>
      </c>
      <c r="AH34">
        <f>Travaux_2025[[#This Row],[AC 2026]]-Travaux_2025[[#This Row],[AC 2026 Initiale]]</f>
        <v>0</v>
      </c>
      <c r="AI34">
        <f>Travaux_2025[[#This Row],[TR 2026]]-Travaux_2025[[#This Row],[TR 2026 Initiale]]</f>
        <v>0</v>
      </c>
      <c r="AJ34">
        <f>Travaux_2025[[#This Row],[Écart AC 2026]]+Travaux_2025[[#This Row],[Écart TR 2026]]</f>
        <v>0</v>
      </c>
      <c r="AX34"/>
      <c r="BD34" s="14">
        <f>SUM(Travaux_2025[[#This Row],[AC ANT]:[TR 2025]],Travaux_2025[[#This Row],[AC 2026]:[TR 2026]],Travaux_2025[[#This Row],[AC 2027]:[TR 2034]])</f>
        <v>7459</v>
      </c>
    </row>
    <row r="35" spans="1:59" x14ac:dyDescent="0.3">
      <c r="B35" t="s">
        <v>286</v>
      </c>
      <c r="D35" t="s">
        <v>118</v>
      </c>
      <c r="E35" t="s">
        <v>102</v>
      </c>
      <c r="F35" t="s">
        <v>136</v>
      </c>
      <c r="G35" t="s">
        <v>252</v>
      </c>
      <c r="H35" t="s">
        <v>20</v>
      </c>
      <c r="I35" t="s">
        <v>16</v>
      </c>
      <c r="J35" t="s">
        <v>131</v>
      </c>
      <c r="K35" t="s">
        <v>599</v>
      </c>
      <c r="L35" t="s">
        <v>638</v>
      </c>
      <c r="M35" t="s">
        <v>139</v>
      </c>
      <c r="N35" t="s">
        <v>148</v>
      </c>
      <c r="O35" t="s">
        <v>291</v>
      </c>
      <c r="P35" s="1"/>
      <c r="Q35" s="1"/>
      <c r="R35" s="1"/>
      <c r="X35">
        <v>35</v>
      </c>
      <c r="Z35">
        <f>Travaux_2025[[#This Row],[AC 2025]]-Travaux_2025[[#This Row],[AC 2025 Initiale]]</f>
        <v>0</v>
      </c>
      <c r="AA35">
        <f>Travaux_2025[[#This Row],[TR 2025]]-Travaux_2025[[#This Row],[TR 2025 Initiale]]</f>
        <v>35</v>
      </c>
      <c r="AB35">
        <f>Travaux_2025[[#This Row],[Écart AC 2025]]+Travaux_2025[[#This Row],[Écart TR 2025]]</f>
        <v>35</v>
      </c>
      <c r="AF35"/>
      <c r="AG35">
        <f>Travaux_2025[[#This Row],[AC 2026 Initiale]]+Travaux_2025[[#This Row],[TR 2026 Initiale]]</f>
        <v>0</v>
      </c>
      <c r="AH35">
        <f>Travaux_2025[[#This Row],[AC 2026]]-Travaux_2025[[#This Row],[AC 2026 Initiale]]</f>
        <v>0</v>
      </c>
      <c r="AI35">
        <f>Travaux_2025[[#This Row],[TR 2026]]-Travaux_2025[[#This Row],[TR 2026 Initiale]]</f>
        <v>0</v>
      </c>
      <c r="AJ35">
        <f>Travaux_2025[[#This Row],[Écart AC 2026]]+Travaux_2025[[#This Row],[Écart TR 2026]]</f>
        <v>0</v>
      </c>
      <c r="AX35"/>
      <c r="BD35" s="14">
        <f>SUM(Travaux_2025[[#This Row],[AC ANT]:[TR 2025]],Travaux_2025[[#This Row],[AC 2026]:[TR 2026]],Travaux_2025[[#This Row],[AC 2027]:[TR 2034]])</f>
        <v>35</v>
      </c>
    </row>
    <row r="36" spans="1:59" x14ac:dyDescent="0.3">
      <c r="B36" t="s">
        <v>286</v>
      </c>
      <c r="D36" t="s">
        <v>126</v>
      </c>
      <c r="E36" t="s">
        <v>127</v>
      </c>
      <c r="F36" t="s">
        <v>136</v>
      </c>
      <c r="G36" t="s">
        <v>252</v>
      </c>
      <c r="H36" t="s">
        <v>20</v>
      </c>
      <c r="I36" t="s">
        <v>16</v>
      </c>
      <c r="J36" t="s">
        <v>131</v>
      </c>
      <c r="K36" t="s">
        <v>645</v>
      </c>
      <c r="L36" t="s">
        <v>646</v>
      </c>
      <c r="M36" t="s">
        <v>139</v>
      </c>
      <c r="N36" t="s">
        <v>148</v>
      </c>
      <c r="O36" t="s">
        <v>291</v>
      </c>
      <c r="P36" s="1"/>
      <c r="Q36" s="1"/>
      <c r="R36" s="1"/>
      <c r="X36">
        <v>100</v>
      </c>
      <c r="Z36">
        <f>Travaux_2025[[#This Row],[AC 2025]]-Travaux_2025[[#This Row],[AC 2025 Initiale]]</f>
        <v>0</v>
      </c>
      <c r="AA36">
        <f>Travaux_2025[[#This Row],[TR 2025]]-Travaux_2025[[#This Row],[TR 2025 Initiale]]</f>
        <v>100</v>
      </c>
      <c r="AB36">
        <f>Travaux_2025[[#This Row],[Écart AC 2025]]+Travaux_2025[[#This Row],[Écart TR 2025]]</f>
        <v>100</v>
      </c>
      <c r="AF36"/>
      <c r="AG36">
        <f>Travaux_2025[[#This Row],[AC 2026 Initiale]]+Travaux_2025[[#This Row],[TR 2026 Initiale]]</f>
        <v>0</v>
      </c>
      <c r="AH36">
        <f>Travaux_2025[[#This Row],[AC 2026]]-Travaux_2025[[#This Row],[AC 2026 Initiale]]</f>
        <v>0</v>
      </c>
      <c r="AI36">
        <f>Travaux_2025[[#This Row],[TR 2026]]-Travaux_2025[[#This Row],[TR 2026 Initiale]]</f>
        <v>0</v>
      </c>
      <c r="AJ36">
        <f>Travaux_2025[[#This Row],[Écart AC 2026]]+Travaux_2025[[#This Row],[Écart TR 2026]]</f>
        <v>0</v>
      </c>
      <c r="AX36"/>
      <c r="BD36" s="14">
        <f>SUM(Travaux_2025[[#This Row],[AC ANT]:[TR 2025]],Travaux_2025[[#This Row],[AC 2026]:[TR 2026]],Travaux_2025[[#This Row],[AC 2027]:[TR 2034]])</f>
        <v>100</v>
      </c>
    </row>
    <row r="37" spans="1:59" x14ac:dyDescent="0.3">
      <c r="K37">
        <f>SUBTOTAL(103,Travaux_2025[Numéro projet])</f>
        <v>9</v>
      </c>
      <c r="S37" s="14">
        <f>SUBTOTAL(109,Travaux_2025[AC ANT])</f>
        <v>2643</v>
      </c>
      <c r="T37" s="14">
        <f>SUBTOTAL(109,Travaux_2025[TR ANT])</f>
        <v>19774</v>
      </c>
      <c r="U37" s="14">
        <f>SUBTOTAL(109,Travaux_2025[AC 2024])</f>
        <v>1691</v>
      </c>
      <c r="V37" s="14">
        <f>SUBTOTAL(109,Travaux_2025[TR 2024])</f>
        <v>26918</v>
      </c>
      <c r="W37" s="14">
        <f>SUBTOTAL(109,Travaux_2025[AC 2025])</f>
        <v>744</v>
      </c>
      <c r="X37" s="14">
        <f>SUBTOTAL(109,Travaux_2025[TR 2025])</f>
        <v>1912</v>
      </c>
      <c r="Y37" s="14">
        <f>SUBTOTAL(109,Travaux_2025[AC 2025 Initiale])</f>
        <v>13</v>
      </c>
      <c r="Z37" s="14">
        <f>SUBTOTAL(109,Travaux_2025[Écart AC 2025])</f>
        <v>731</v>
      </c>
      <c r="AA37" s="14">
        <f>SUBTOTAL(109,Travaux_2025[Écart TR 2025])</f>
        <v>1912</v>
      </c>
      <c r="AB37" s="14">
        <f>SUBTOTAL(109,Travaux_2025[Écart 2025 Total])</f>
        <v>2643</v>
      </c>
      <c r="AC37" s="14">
        <f>SUBTOTAL(109,Travaux_2025[TR 2025 Initiale])</f>
        <v>0</v>
      </c>
      <c r="AD37" s="14">
        <f>SUBTOTAL(109,Travaux_2025[AC 2026])</f>
        <v>0</v>
      </c>
      <c r="AE37" s="14">
        <f>SUBTOTAL(109,Travaux_2025[TR 2026])</f>
        <v>0</v>
      </c>
      <c r="AF37" s="14">
        <f>SUBTOTAL(109,Travaux_2025[AC 2026 Initiale])</f>
        <v>0</v>
      </c>
      <c r="AG37" s="14">
        <f>SUBTOTAL(109,Travaux_2025[Initiale 2026])</f>
        <v>0</v>
      </c>
      <c r="AH37" s="14">
        <f>SUBTOTAL(109,Travaux_2025[Écart AC 2026])</f>
        <v>0</v>
      </c>
      <c r="AI37" s="14">
        <f>SUBTOTAL(109,Travaux_2025[Écart TR 2026])</f>
        <v>0</v>
      </c>
      <c r="AJ37" s="14">
        <f>SUBTOTAL(109,Travaux_2025[Écart 2026 Total])</f>
        <v>0</v>
      </c>
      <c r="AK37" s="14">
        <f>SUBTOTAL(109,Travaux_2025[TR 2026 Initiale])</f>
        <v>0</v>
      </c>
      <c r="AL37" s="14">
        <f>SUBTOTAL(109,Travaux_2025[AC 2027])</f>
        <v>0</v>
      </c>
      <c r="AM37" s="14">
        <f>SUBTOTAL(109,Travaux_2025[TR 2027])</f>
        <v>0</v>
      </c>
      <c r="AN37" s="14">
        <f>SUBTOTAL(109,Travaux_2025[AC 2028])</f>
        <v>0</v>
      </c>
      <c r="AO37" s="14">
        <f>SUBTOTAL(109,Travaux_2025[TR 2028])</f>
        <v>0</v>
      </c>
      <c r="AP37" s="14">
        <f>SUBTOTAL(109,Travaux_2025[AC 2029])</f>
        <v>0</v>
      </c>
      <c r="AQ37" s="14">
        <f>SUBTOTAL(109,Travaux_2025[TR 2029])</f>
        <v>0</v>
      </c>
      <c r="AR37" s="14">
        <f>SUBTOTAL(109,Travaux_2025[AC 2030])</f>
        <v>0</v>
      </c>
      <c r="AS37" s="14">
        <f>SUBTOTAL(109,Travaux_2025[TR 2030])</f>
        <v>0</v>
      </c>
      <c r="AT37" s="14">
        <f>SUBTOTAL(109,Travaux_2025[AC 2031])</f>
        <v>0</v>
      </c>
      <c r="AU37" s="14">
        <f>SUBTOTAL(109,Travaux_2025[TR 2031])</f>
        <v>0</v>
      </c>
      <c r="AV37" s="14">
        <f>SUBTOTAL(109,Travaux_2025[AC 2032])</f>
        <v>0</v>
      </c>
      <c r="AW37" s="14">
        <f>SUBTOTAL(109,Travaux_2025[TR 2032])</f>
        <v>0</v>
      </c>
      <c r="AX37" s="14">
        <f>SUBTOTAL(109,Travaux_2025[AC 2033])</f>
        <v>0</v>
      </c>
      <c r="AY37" s="14">
        <f>SUBTOTAL(109,Travaux_2025[TR 2033])</f>
        <v>0</v>
      </c>
      <c r="AZ37" s="14">
        <f>SUBTOTAL(109,Travaux_2025[AC 2034])</f>
        <v>0</v>
      </c>
      <c r="BA37" s="14">
        <f>SUBTOTAL(109,Travaux_2025[TR 2034])</f>
        <v>0</v>
      </c>
      <c r="BD37" s="14">
        <f>SUBTOTAL(109,Travaux_2025[Total Projet])</f>
        <v>53682</v>
      </c>
    </row>
    <row r="39" spans="1:59" x14ac:dyDescent="0.3">
      <c r="AZ39" s="57"/>
      <c r="BA39" s="57"/>
      <c r="BB39" s="57"/>
      <c r="BC39" s="57"/>
      <c r="BD39" s="57"/>
      <c r="BE39" s="57"/>
      <c r="BF39" s="57"/>
      <c r="BG39" s="57"/>
    </row>
    <row r="64" spans="60:60" x14ac:dyDescent="0.3">
      <c r="BH64" s="57"/>
    </row>
    <row r="68" spans="60:60" x14ac:dyDescent="0.3">
      <c r="BH68" s="57"/>
    </row>
    <row r="144" spans="65:66" x14ac:dyDescent="0.3">
      <c r="BM144" s="57"/>
      <c r="BN144" s="57"/>
    </row>
  </sheetData>
  <mergeCells count="189">
    <mergeCell ref="AS13:AT13"/>
    <mergeCell ref="S5:T5"/>
    <mergeCell ref="U5:V5"/>
    <mergeCell ref="W5:X5"/>
    <mergeCell ref="Y5:Z5"/>
    <mergeCell ref="AA5:AC5"/>
    <mergeCell ref="AD5:AE5"/>
    <mergeCell ref="J8:K8"/>
    <mergeCell ref="AD8:AE8"/>
    <mergeCell ref="AA8:AC8"/>
    <mergeCell ref="Y8:Z8"/>
    <mergeCell ref="W8:X8"/>
    <mergeCell ref="U8:V8"/>
    <mergeCell ref="S8:T8"/>
    <mergeCell ref="AS12:AT12"/>
    <mergeCell ref="S12:T12"/>
    <mergeCell ref="W12:X12"/>
    <mergeCell ref="Y12:Z12"/>
    <mergeCell ref="AA12:AC12"/>
    <mergeCell ref="AD12:AE12"/>
    <mergeCell ref="AF11:AG11"/>
    <mergeCell ref="AH11:AJ11"/>
    <mergeCell ref="AK11:AL11"/>
    <mergeCell ref="AS10:AT10"/>
    <mergeCell ref="AU12:AV12"/>
    <mergeCell ref="AW12:AX12"/>
    <mergeCell ref="AY12:AZ12"/>
    <mergeCell ref="U13:V13"/>
    <mergeCell ref="W13:X13"/>
    <mergeCell ref="Y13:Z13"/>
    <mergeCell ref="AA13:AC13"/>
    <mergeCell ref="AD13:AE13"/>
    <mergeCell ref="AF13:AG13"/>
    <mergeCell ref="AF12:AG12"/>
    <mergeCell ref="AH12:AJ12"/>
    <mergeCell ref="AK12:AL12"/>
    <mergeCell ref="AM12:AN12"/>
    <mergeCell ref="AO12:AP12"/>
    <mergeCell ref="AQ12:AR12"/>
    <mergeCell ref="AU13:AV13"/>
    <mergeCell ref="AW13:AX13"/>
    <mergeCell ref="AY13:AZ13"/>
    <mergeCell ref="AH13:AJ13"/>
    <mergeCell ref="AK13:AL13"/>
    <mergeCell ref="AM13:AN13"/>
    <mergeCell ref="AO13:AP13"/>
    <mergeCell ref="AQ13:AR13"/>
    <mergeCell ref="U12:V12"/>
    <mergeCell ref="AW10:AX10"/>
    <mergeCell ref="AY10:AZ10"/>
    <mergeCell ref="S11:T11"/>
    <mergeCell ref="U11:V11"/>
    <mergeCell ref="W11:X11"/>
    <mergeCell ref="Y11:Z11"/>
    <mergeCell ref="AA11:AC11"/>
    <mergeCell ref="AD11:AE11"/>
    <mergeCell ref="AF10:AG10"/>
    <mergeCell ref="AH10:AJ10"/>
    <mergeCell ref="AK10:AL10"/>
    <mergeCell ref="AM10:AN10"/>
    <mergeCell ref="AO10:AP10"/>
    <mergeCell ref="AQ10:AR10"/>
    <mergeCell ref="AS11:AT11"/>
    <mergeCell ref="AU11:AV11"/>
    <mergeCell ref="AW11:AX11"/>
    <mergeCell ref="AY11:AZ11"/>
    <mergeCell ref="AM11:AN11"/>
    <mergeCell ref="AO11:AP11"/>
    <mergeCell ref="AQ11:AR11"/>
    <mergeCell ref="S10:T10"/>
    <mergeCell ref="U10:V10"/>
    <mergeCell ref="W10:X10"/>
    <mergeCell ref="Y10:Z10"/>
    <mergeCell ref="AA10:AC10"/>
    <mergeCell ref="AD10:AE10"/>
    <mergeCell ref="AF9:AG9"/>
    <mergeCell ref="AH9:AJ9"/>
    <mergeCell ref="AK9:AL9"/>
    <mergeCell ref="AS8:AT8"/>
    <mergeCell ref="AU8:AV8"/>
    <mergeCell ref="AU10:AV10"/>
    <mergeCell ref="AW8:AX8"/>
    <mergeCell ref="AY8:AZ8"/>
    <mergeCell ref="S9:T9"/>
    <mergeCell ref="U9:V9"/>
    <mergeCell ref="W9:X9"/>
    <mergeCell ref="Y9:Z9"/>
    <mergeCell ref="AA9:AC9"/>
    <mergeCell ref="AD9:AE9"/>
    <mergeCell ref="AF8:AG8"/>
    <mergeCell ref="AH8:AJ8"/>
    <mergeCell ref="AK8:AL8"/>
    <mergeCell ref="AM8:AN8"/>
    <mergeCell ref="AO8:AP8"/>
    <mergeCell ref="AQ8:AR8"/>
    <mergeCell ref="AS9:AT9"/>
    <mergeCell ref="AU9:AV9"/>
    <mergeCell ref="AW9:AX9"/>
    <mergeCell ref="AY9:AZ9"/>
    <mergeCell ref="AM9:AN9"/>
    <mergeCell ref="AO9:AP9"/>
    <mergeCell ref="AQ9:AR9"/>
    <mergeCell ref="AS7:AT7"/>
    <mergeCell ref="AU7:AV7"/>
    <mergeCell ref="AW7:AX7"/>
    <mergeCell ref="AY7:AZ7"/>
    <mergeCell ref="AF7:AG7"/>
    <mergeCell ref="AH7:AJ7"/>
    <mergeCell ref="AK7:AL7"/>
    <mergeCell ref="AM7:AN7"/>
    <mergeCell ref="AO7:AP7"/>
    <mergeCell ref="AQ7:AR7"/>
    <mergeCell ref="S7:T7"/>
    <mergeCell ref="U7:V7"/>
    <mergeCell ref="W7:X7"/>
    <mergeCell ref="Y7:Z7"/>
    <mergeCell ref="AA7:AC7"/>
    <mergeCell ref="AD7:AE7"/>
    <mergeCell ref="AF6:AG6"/>
    <mergeCell ref="AH6:AJ6"/>
    <mergeCell ref="AK6:AL6"/>
    <mergeCell ref="AS5:AT5"/>
    <mergeCell ref="AU5:AV5"/>
    <mergeCell ref="AW5:AX5"/>
    <mergeCell ref="AY5:AZ5"/>
    <mergeCell ref="S6:T6"/>
    <mergeCell ref="U6:V6"/>
    <mergeCell ref="W6:X6"/>
    <mergeCell ref="Y6:Z6"/>
    <mergeCell ref="AA6:AC6"/>
    <mergeCell ref="AD6:AE6"/>
    <mergeCell ref="AF5:AG5"/>
    <mergeCell ref="AH5:AJ5"/>
    <mergeCell ref="AK5:AL5"/>
    <mergeCell ref="AM5:AN5"/>
    <mergeCell ref="AO5:AP5"/>
    <mergeCell ref="AQ5:AR5"/>
    <mergeCell ref="AS6:AT6"/>
    <mergeCell ref="AU6:AV6"/>
    <mergeCell ref="AW6:AX6"/>
    <mergeCell ref="AY6:AZ6"/>
    <mergeCell ref="AM6:AN6"/>
    <mergeCell ref="AO6:AP6"/>
    <mergeCell ref="AQ6:AR6"/>
    <mergeCell ref="AU4:AV4"/>
    <mergeCell ref="AW4:AX4"/>
    <mergeCell ref="AY4:AZ4"/>
    <mergeCell ref="AF4:AG4"/>
    <mergeCell ref="AH4:AJ4"/>
    <mergeCell ref="AK4:AL4"/>
    <mergeCell ref="AM4:AN4"/>
    <mergeCell ref="AO4:AP4"/>
    <mergeCell ref="AQ4:AR4"/>
    <mergeCell ref="S4:T4"/>
    <mergeCell ref="U4:V4"/>
    <mergeCell ref="W4:X4"/>
    <mergeCell ref="Y4:Z4"/>
    <mergeCell ref="AA4:AC4"/>
    <mergeCell ref="AD4:AE4"/>
    <mergeCell ref="AO3:AP3"/>
    <mergeCell ref="AQ3:AR3"/>
    <mergeCell ref="AS3:AT3"/>
    <mergeCell ref="AS4:AT4"/>
    <mergeCell ref="P2:Q2"/>
    <mergeCell ref="Q3:R3"/>
    <mergeCell ref="S3:T3"/>
    <mergeCell ref="U3:V3"/>
    <mergeCell ref="W3:X3"/>
    <mergeCell ref="Y3:Z3"/>
    <mergeCell ref="AU3:AV3"/>
    <mergeCell ref="AW3:AX3"/>
    <mergeCell ref="AY3:AZ3"/>
    <mergeCell ref="AA3:AC3"/>
    <mergeCell ref="AD3:AE3"/>
    <mergeCell ref="AF3:AG3"/>
    <mergeCell ref="AH3:AJ3"/>
    <mergeCell ref="AK3:AL3"/>
    <mergeCell ref="AM3:AN3"/>
    <mergeCell ref="BA12:BB12"/>
    <mergeCell ref="BA13:BB13"/>
    <mergeCell ref="BA3:BB3"/>
    <mergeCell ref="BA4:BB4"/>
    <mergeCell ref="BA5:BB5"/>
    <mergeCell ref="BA6:BB6"/>
    <mergeCell ref="BA7:BB7"/>
    <mergeCell ref="BA8:BB8"/>
    <mergeCell ref="BA9:BB9"/>
    <mergeCell ref="BA10:BB10"/>
    <mergeCell ref="BA11:BB11"/>
  </mergeCells>
  <phoneticPr fontId="1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CB7E-A30D-4CA9-ACA4-FED3417810C5}">
  <dimension ref="A1:BN143"/>
  <sheetViews>
    <sheetView topLeftCell="I1" workbookViewId="0"/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82.33203125" customWidth="1"/>
    <col min="12" max="12" width="25.33203125" customWidth="1" collapsed="1"/>
    <col min="13" max="13" width="11.33203125" customWidth="1"/>
    <col min="14" max="14" width="28" bestFit="1" customWidth="1"/>
    <col min="15" max="16" width="13.6640625" customWidth="1"/>
    <col min="17" max="17" width="13" customWidth="1"/>
    <col min="18" max="18" width="12.33203125" hidden="1" customWidth="1" outlineLevel="1"/>
    <col min="19" max="19" width="13" hidden="1" customWidth="1" outlineLevel="1"/>
    <col min="20" max="21" width="9.44140625" hidden="1" customWidth="1" outlineLevel="1"/>
    <col min="22" max="22" width="9.5546875" hidden="1" customWidth="1" outlineLevel="1" collapsed="1"/>
    <col min="23" max="23" width="9.5546875" hidden="1" customWidth="1" outlineLevel="1"/>
    <col min="24" max="24" width="9.5546875" customWidth="1" collapsed="1"/>
    <col min="25" max="25" width="13.33203125" hidden="1" customWidth="1" outlineLevel="1"/>
    <col min="26" max="27" width="11.5546875" hidden="1" customWidth="1" outlineLevel="1"/>
    <col min="28" max="28" width="8.33203125" hidden="1" customWidth="1" outlineLevel="1" collapsed="1"/>
    <col min="29" max="29" width="9" hidden="1" customWidth="1" outlineLevel="1"/>
    <col min="30" max="30" width="20.33203125" customWidth="1" collapsed="1"/>
    <col min="31" max="31" width="9" hidden="1" customWidth="1" outlineLevel="1"/>
    <col min="32" max="32" width="9.88671875" style="25" hidden="1" customWidth="1" outlineLevel="1"/>
    <col min="33" max="33" width="9.88671875" style="25" customWidth="1" collapsed="1"/>
    <col min="34" max="34" width="9.6640625" hidden="1" customWidth="1" outlineLevel="1"/>
    <col min="35" max="35" width="12.109375" hidden="1" customWidth="1" outlineLevel="1" collapsed="1"/>
    <col min="36" max="36" width="12.109375" hidden="1" customWidth="1" outlineLevel="1"/>
    <col min="37" max="37" width="8.109375" hidden="1" customWidth="1" outlineLevel="1" collapsed="1"/>
    <col min="38" max="38" width="8.109375" hidden="1" customWidth="1" outlineLevel="1"/>
    <col min="39" max="39" width="21" customWidth="1" collapsed="1"/>
    <col min="40" max="40" width="7.44140625" customWidth="1" outlineLevel="1"/>
    <col min="41" max="41" width="9.44140625" customWidth="1" outlineLevel="1"/>
    <col min="42" max="42" width="10.33203125" customWidth="1" outlineLevel="1"/>
    <col min="43" max="43" width="9.5546875" customWidth="1" outlineLevel="1"/>
    <col min="44" max="49" width="9.88671875" customWidth="1" outlineLevel="1"/>
    <col min="50" max="50" width="9.88671875" style="8" customWidth="1" outlineLevel="1"/>
    <col min="51" max="58" width="9.88671875" customWidth="1" outlineLevel="1"/>
    <col min="59" max="59" width="15.5546875" customWidth="1"/>
    <col min="60" max="60" width="13.33203125" customWidth="1"/>
    <col min="61" max="63" width="9.88671875" customWidth="1"/>
    <col min="64" max="64" width="16.109375" customWidth="1"/>
    <col min="65" max="65" width="17" customWidth="1"/>
    <col min="66" max="76" width="11.33203125" customWidth="1"/>
    <col min="77" max="77" width="12.5546875" customWidth="1"/>
    <col min="78" max="78" width="13.44140625" customWidth="1"/>
    <col min="79" max="79" width="13.109375" customWidth="1"/>
    <col min="80" max="80" width="14" customWidth="1"/>
    <col min="81" max="86" width="17.33203125" customWidth="1"/>
    <col min="87" max="87" width="18.109375" customWidth="1"/>
    <col min="88" max="88" width="17.5546875" customWidth="1"/>
  </cols>
  <sheetData>
    <row r="1" spans="1:62" ht="21" x14ac:dyDescent="0.4">
      <c r="A1" s="85"/>
      <c r="B1" s="85"/>
      <c r="C1" s="85"/>
      <c r="D1" s="85"/>
      <c r="E1" s="85"/>
      <c r="F1" s="85"/>
      <c r="J1" s="32" t="s">
        <v>569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85"/>
      <c r="BJ1" s="85"/>
    </row>
    <row r="2" spans="1:62" x14ac:dyDescent="0.3">
      <c r="J2" s="189" t="s">
        <v>562</v>
      </c>
      <c r="K2" s="190"/>
      <c r="P2" s="314"/>
      <c r="Q2" s="314"/>
      <c r="R2" s="25"/>
      <c r="S2" s="25"/>
      <c r="T2" s="25"/>
      <c r="U2" s="8"/>
      <c r="AF2"/>
      <c r="AG2"/>
      <c r="AX2"/>
    </row>
    <row r="3" spans="1:62" ht="26.4" customHeight="1" thickBot="1" x14ac:dyDescent="0.35">
      <c r="J3" s="129" t="s">
        <v>2</v>
      </c>
      <c r="K3" s="130"/>
      <c r="N3" s="65"/>
      <c r="P3" s="332" t="s">
        <v>5</v>
      </c>
      <c r="Q3" s="333"/>
      <c r="R3" s="301" t="s">
        <v>6</v>
      </c>
      <c r="S3" s="302"/>
      <c r="T3" s="303">
        <v>2024</v>
      </c>
      <c r="U3" s="302"/>
      <c r="V3" s="293" t="s">
        <v>263</v>
      </c>
      <c r="W3" s="304"/>
      <c r="X3" s="188"/>
      <c r="Y3" s="297" t="s">
        <v>553</v>
      </c>
      <c r="Z3" s="298"/>
      <c r="AA3" s="200"/>
      <c r="AB3" s="311" t="s">
        <v>554</v>
      </c>
      <c r="AC3" s="312"/>
      <c r="AD3" s="313"/>
      <c r="AE3" s="300" t="s">
        <v>266</v>
      </c>
      <c r="AF3" s="300"/>
      <c r="AG3" s="188"/>
      <c r="AH3" s="297" t="s">
        <v>557</v>
      </c>
      <c r="AI3" s="298"/>
      <c r="AJ3" s="200"/>
      <c r="AK3" s="308" t="s">
        <v>558</v>
      </c>
      <c r="AL3" s="309"/>
      <c r="AM3" s="310"/>
      <c r="AN3" s="300">
        <v>2027</v>
      </c>
      <c r="AO3" s="294"/>
      <c r="AP3" s="293">
        <v>2028</v>
      </c>
      <c r="AQ3" s="294"/>
      <c r="AR3" s="293">
        <v>2029</v>
      </c>
      <c r="AS3" s="294"/>
      <c r="AT3" s="293">
        <v>2030</v>
      </c>
      <c r="AU3" s="294"/>
      <c r="AV3" s="293">
        <v>2031</v>
      </c>
      <c r="AW3" s="294"/>
      <c r="AX3" s="293">
        <v>2032</v>
      </c>
      <c r="AY3" s="294"/>
      <c r="AZ3" s="293">
        <v>2033</v>
      </c>
      <c r="BA3" s="294"/>
      <c r="BB3" s="293">
        <v>2034</v>
      </c>
      <c r="BC3" s="294"/>
      <c r="BD3" s="293">
        <v>2035</v>
      </c>
      <c r="BE3" s="294"/>
      <c r="BF3" s="178"/>
      <c r="BG3" s="26" t="s">
        <v>269</v>
      </c>
      <c r="BH3" s="26" t="s">
        <v>8</v>
      </c>
    </row>
    <row r="4" spans="1:62" ht="15" thickTop="1" x14ac:dyDescent="0.3">
      <c r="J4" s="27" t="s">
        <v>9</v>
      </c>
      <c r="K4" s="28" t="s">
        <v>10</v>
      </c>
      <c r="N4" s="65"/>
      <c r="Q4" s="104" t="s">
        <v>11</v>
      </c>
      <c r="R4" s="279"/>
      <c r="S4" s="260"/>
      <c r="T4" s="260">
        <f>SUMIFS(Travaux_2026[AC 2024],Travaux_2026[DES_COMPL_NATR_COMPB],"=Fonctionnement")+SUMIFS(Travaux_2026[TR 2024],Travaux_2026[DES_COMPL_NATR_COMPB],"=Fonctionnement")</f>
        <v>0</v>
      </c>
      <c r="U4" s="260"/>
      <c r="V4" s="295">
        <f>SUMIFS(Travaux_2026[AC 2025],Travaux_2026[DES_COMPL_NATR_COMPB],"=Fonctionnement")+SUMIFS(Travaux_2026[TR 2025],Travaux_2026[DES_COMPL_NATR_COMPB],"=Fonctionnement")</f>
        <v>0</v>
      </c>
      <c r="W4" s="296"/>
      <c r="X4" s="187"/>
      <c r="Y4" s="334">
        <f>SUMIFS(Travaux_2026[AC 2025 Initiale],Travaux_2026[DES_COMPL_NATR_COMPB],"=Fonctionnement")+SUMIFS(Travaux_2026[TR 2025 Initiale],Travaux_2026[DES_COMPL_NATR_COMPB],"=Fonctionnement")</f>
        <v>0</v>
      </c>
      <c r="Z4" s="296"/>
      <c r="AA4" s="78"/>
      <c r="AB4" s="279"/>
      <c r="AC4" s="260"/>
      <c r="AD4" s="280"/>
      <c r="AE4" s="334">
        <f>SUMIFS(Travaux_2026[AC 2026],Travaux_2026[DES_COMPL_NATR_COMPB],"=Fonctionnement")+SUMIFS(Travaux_2026[TR 2026],Travaux_2026[DES_COMPL_NATR_COMPB],"=Fonctionnement")</f>
        <v>0</v>
      </c>
      <c r="AF4" s="295"/>
      <c r="AG4" s="187"/>
      <c r="AH4" s="295">
        <f>SUMIFS(Travaux_2026[AC 2026 Initiale],Travaux_2026[DES_COMPL_NATR_COMPB],"=Fonctionnement")+SUMIFS(Travaux_2026[TR 2026 Initiale],Travaux_2026[DES_COMPL_NATR_COMPB],"=Fonctionnement")</f>
        <v>0</v>
      </c>
      <c r="AI4" s="296"/>
      <c r="AJ4" s="78"/>
      <c r="AK4" s="279"/>
      <c r="AL4" s="260"/>
      <c r="AM4" s="280"/>
      <c r="AN4" s="334">
        <f>SUMIFS(Travaux_2026[AC 2027],Travaux_2026[DES_COMPL_NATR_COMPB],"=Fonctionnement")+SUMIFS(Travaux_2026[TR 2027],Travaux_2026[DES_COMPL_NATR_COMPB],"=Fonctionnement")</f>
        <v>0</v>
      </c>
      <c r="AO4" s="295"/>
      <c r="AP4" s="295">
        <f>SUMIFS(Travaux_2026[AC 2028],Travaux_2026[DES_COMPL_NATR_COMPB],"=Fonctionnement")+SUMIFS(Travaux_2026[TR 2028],Travaux_2026[DES_COMPL_NATR_COMPB],"=Fonctionnement")</f>
        <v>0</v>
      </c>
      <c r="AQ4" s="295"/>
      <c r="AR4" s="295">
        <f>SUMIFS(Travaux_2026[AC 2029],Travaux_2026[DES_COMPL_NATR_COMPB],"=Fonctionnement")+SUMIFS(Travaux_2026[TR 2029],Travaux_2026[DES_COMPL_NATR_COMPB],"=Fonctionnement")</f>
        <v>0</v>
      </c>
      <c r="AS4" s="295"/>
      <c r="AT4" s="295">
        <f>SUMIFS(Travaux_2026[AC 2030],Travaux_2026[DES_COMPL_NATR_COMPB],"=Fonctionnement")+SUMIFS(Travaux_2026[TR 2030],Travaux_2026[DES_COMPL_NATR_COMPB],"=Fonctionnement")</f>
        <v>0</v>
      </c>
      <c r="AU4" s="295"/>
      <c r="AV4" s="295">
        <f>SUMIFS(Travaux_2026[AC 2031],Travaux_2026[DES_COMPL_NATR_COMPB],"=Fonctionnement")+SUMIFS(Travaux_2026[TR 2031],Travaux_2026[DES_COMPL_NATR_COMPB],"=Fonctionnement")</f>
        <v>0</v>
      </c>
      <c r="AW4" s="295"/>
      <c r="AX4" s="295">
        <f>SUMIFS(Travaux_2026[AC 2032],Travaux_2026[DES_COMPL_NATR_COMPB],"=Fonctionnement")+SUMIFS(Travaux_2026[TR 2032],Travaux_2026[DES_COMPL_NATR_COMPB],"=Fonctionnement")</f>
        <v>0</v>
      </c>
      <c r="AY4" s="295"/>
      <c r="AZ4" s="295">
        <f>SUMIFS(Travaux_2026[AC 2033],Travaux_2026[DES_COMPL_NATR_COMPB],"=Fonctionnement")+SUMIFS(Travaux_2026[TR 2033],Travaux_2026[DES_COMPL_NATR_COMPB],"=Fonctionnement")</f>
        <v>0</v>
      </c>
      <c r="BA4" s="295"/>
      <c r="BB4" s="295">
        <f>SUMIFS(Travaux_2026[AC 2034],Travaux_2026[DES_COMPL_NATR_COMPB],"=Fonctionnement")+SUMIFS(Travaux_2026[TR 2034],Travaux_2026[DES_COMPL_NATR_COMPB],"=Fonctionnement")</f>
        <v>0</v>
      </c>
      <c r="BC4" s="295"/>
      <c r="BD4" s="295">
        <f>SUMIFS(Travaux_2026[AC 2035],Travaux_2026[DES_COMPL_NATR_COMPB],"=Fonctionnement")+SUMIFS(Travaux_2026[TR 2035],Travaux_2026[DES_COMPL_NATR_COMPB],"=Fonctionnement")</f>
        <v>0</v>
      </c>
      <c r="BE4" s="295"/>
      <c r="BF4" s="78"/>
      <c r="BG4" s="16">
        <f t="shared" ref="BG4:BG12" si="0">SUM(V4,AE4)</f>
        <v>0</v>
      </c>
      <c r="BH4" s="16">
        <f t="shared" ref="BH4:BH11" si="1">SUM(V4,AE4,AN4:BC4)</f>
        <v>0</v>
      </c>
    </row>
    <row r="5" spans="1:62" x14ac:dyDescent="0.3">
      <c r="J5" s="27" t="s">
        <v>12</v>
      </c>
      <c r="K5" s="28" t="s">
        <v>13</v>
      </c>
      <c r="Q5" s="104" t="s">
        <v>15</v>
      </c>
      <c r="R5" s="279">
        <f>SUMIFS(Travaux_2026[AC ANT],Travaux_2026[État Composante AC],"=PR")</f>
        <v>801</v>
      </c>
      <c r="S5" s="260"/>
      <c r="T5" s="260">
        <f>SUMIFS(Travaux_2026[AC 2024],Travaux_2026[État Composante AC],"=PR")</f>
        <v>869</v>
      </c>
      <c r="U5" s="260"/>
      <c r="V5" s="260">
        <f>SUMIFS(Travaux_2026[AC 2025],Travaux_2026[État Composante AC],"=PR")</f>
        <v>1267</v>
      </c>
      <c r="W5" s="280"/>
      <c r="X5" s="78"/>
      <c r="Y5" s="279">
        <f>SUMIFS(Travaux_2026[AC 2025 Initiale],Travaux_2026[État Composante AC],"=PR")</f>
        <v>1133</v>
      </c>
      <c r="Z5" s="280"/>
      <c r="AA5" s="78"/>
      <c r="AB5" s="279">
        <f>SUMIFS(Travaux_2026[Écart AC 2025],Travaux_2026[État Composante AC],"=PR")</f>
        <v>134</v>
      </c>
      <c r="AC5" s="260"/>
      <c r="AD5" s="280"/>
      <c r="AE5" s="279">
        <f>SUMIFS(Travaux_2026[AC 2026],Travaux_2026[État Composante AC],"=PR")</f>
        <v>4055</v>
      </c>
      <c r="AF5" s="260"/>
      <c r="AG5" s="78"/>
      <c r="AH5" s="260">
        <f>SUMIFS(Travaux_2026[AC 2026 Initiale],Travaux_2026[État Composante AC],"=PR")</f>
        <v>4089</v>
      </c>
      <c r="AI5" s="280"/>
      <c r="AJ5" s="78"/>
      <c r="AK5" s="279">
        <f>SUMIFS(Travaux_2026[Écart AC 2026],Travaux_2026[État Composante AC],"=PR")</f>
        <v>-34</v>
      </c>
      <c r="AL5" s="260"/>
      <c r="AM5" s="280"/>
      <c r="AN5" s="279">
        <f>SUMIFS(Travaux_2026[AC 2027],Travaux_2026[État Composante AC],"=PR")</f>
        <v>322</v>
      </c>
      <c r="AO5" s="260"/>
      <c r="AP5" s="260">
        <f>SUMIFS(Travaux_2026[AC 2028],Travaux_2026[État Composante AC],"=PR")</f>
        <v>159</v>
      </c>
      <c r="AQ5" s="260"/>
      <c r="AR5" s="260">
        <f>SUMIFS(Travaux_2026[AC 2029],Travaux_2026[État Composante AC],"=PR")</f>
        <v>212</v>
      </c>
      <c r="AS5" s="260"/>
      <c r="AT5" s="260">
        <f>SUMIFS(Travaux_2026[AC 2030],Travaux_2026[État Composante AC],"=PR")</f>
        <v>261</v>
      </c>
      <c r="AU5" s="260"/>
      <c r="AV5" s="260">
        <f>SUMIFS(Travaux_2026[AC 2031],Travaux_2026[État Composante AC],"=PR")</f>
        <v>0</v>
      </c>
      <c r="AW5" s="260"/>
      <c r="AX5" s="260">
        <f>SUMIFS(Travaux_2026[AC 2032],Travaux_2026[État Composante AC],"=PR")</f>
        <v>0</v>
      </c>
      <c r="AY5" s="260"/>
      <c r="AZ5" s="260">
        <f>SUMIFS(Travaux_2026[AC 2033],Travaux_2026[État Composante AC],"=PR")</f>
        <v>0</v>
      </c>
      <c r="BA5" s="260"/>
      <c r="BB5" s="260">
        <f>SUMIFS(Travaux_2026[AC 2034],Travaux_2026[État Composante AC],"=PR")</f>
        <v>0</v>
      </c>
      <c r="BC5" s="260"/>
      <c r="BD5" s="260">
        <f>SUMIFS(Travaux_2026[AC 2035],Travaux_2026[État Composante AC],"=PR")</f>
        <v>0</v>
      </c>
      <c r="BE5" s="260"/>
      <c r="BF5" s="78"/>
      <c r="BG5" s="16">
        <f t="shared" si="0"/>
        <v>5322</v>
      </c>
      <c r="BH5" s="16">
        <f t="shared" si="1"/>
        <v>6276</v>
      </c>
    </row>
    <row r="6" spans="1:62" ht="15" thickBot="1" x14ac:dyDescent="0.35">
      <c r="J6" s="29" t="s">
        <v>16</v>
      </c>
      <c r="K6" s="28" t="s">
        <v>17</v>
      </c>
      <c r="Q6" s="83" t="s">
        <v>19</v>
      </c>
      <c r="R6" s="279">
        <f>SUMIFS(Travaux_2026[TR ANT],Travaux_2026[État Composante TR],"=PR")</f>
        <v>41</v>
      </c>
      <c r="S6" s="260"/>
      <c r="T6" s="260">
        <f>SUMIFS(Travaux_2026[TR 2024],Travaux_2026[État Composante TR],"=PR")</f>
        <v>0</v>
      </c>
      <c r="U6" s="260"/>
      <c r="V6" s="260">
        <f>SUMIFS(Travaux_2026[TR 2025],Travaux_2026[État Composante TR],"=PR")</f>
        <v>0</v>
      </c>
      <c r="W6" s="280"/>
      <c r="X6" s="78"/>
      <c r="Y6" s="279">
        <f>SUMIFS(Travaux_2026[TR 2025 Initiale],Travaux_2026[État Composante TR],"=PR")</f>
        <v>0</v>
      </c>
      <c r="Z6" s="280"/>
      <c r="AA6" s="78"/>
      <c r="AB6" s="279">
        <f>SUMIFS(Travaux_2026[Écart TR 2025],Travaux_2026[État Composante TR],"=PR")</f>
        <v>0</v>
      </c>
      <c r="AC6" s="260"/>
      <c r="AD6" s="280"/>
      <c r="AE6" s="279">
        <f>SUMIFS(Travaux_2026[TR 2026],Travaux_2026[État Composante TR],"=PR")</f>
        <v>66913</v>
      </c>
      <c r="AF6" s="260"/>
      <c r="AG6" s="78"/>
      <c r="AH6" s="260">
        <f>SUMIFS(Travaux_2026[TR 2026 Initiale],Travaux_2026[État Composante TR],"=PR")</f>
        <v>66512</v>
      </c>
      <c r="AI6" s="280"/>
      <c r="AJ6" s="78"/>
      <c r="AK6" s="279">
        <f>SUMIFS(Travaux_2026[Écart TR 2026],Travaux_2026[État Composante TR],"=PR")</f>
        <v>401</v>
      </c>
      <c r="AL6" s="260"/>
      <c r="AM6" s="280"/>
      <c r="AN6" s="279">
        <f>SUMIFS(Travaux_2026[TR 2027],Travaux_2026[État Composante TR],"=PR")</f>
        <v>5749</v>
      </c>
      <c r="AO6" s="260"/>
      <c r="AP6" s="331">
        <f>SUMIFS(Travaux_2026[TR 2028],Travaux_2026[État Composante TR],"=PR")</f>
        <v>4929</v>
      </c>
      <c r="AQ6" s="331"/>
      <c r="AR6" s="331">
        <f>SUMIFS(Travaux_2026[TR 2029],Travaux_2026[État Composante TR],"=PR")</f>
        <v>6707.0000000000018</v>
      </c>
      <c r="AS6" s="331"/>
      <c r="AT6" s="331">
        <f>SUMIFS(Travaux_2026[TR 2030],Travaux_2026[État Composante TR],"=PR")</f>
        <v>6846.0000000000018</v>
      </c>
      <c r="AU6" s="331"/>
      <c r="AV6" s="331">
        <f>SUMIFS(Travaux_2026[TR 2031],Travaux_2026[État Composante TR],"=PR")</f>
        <v>0</v>
      </c>
      <c r="AW6" s="331"/>
      <c r="AX6" s="331">
        <f>SUMIFS(Travaux_2026[TR 2032],Travaux_2026[État Composante TR],"=PR")</f>
        <v>0</v>
      </c>
      <c r="AY6" s="331"/>
      <c r="AZ6" s="331">
        <f>SUMIFS(Travaux_2026[TR 2033],Travaux_2026[État Composante TR],"=PR")</f>
        <v>0</v>
      </c>
      <c r="BA6" s="331"/>
      <c r="BB6" s="331">
        <f>SUMIFS(Travaux_2026[TR 2034],Travaux_2026[État Composante TR],"=PR")</f>
        <v>0</v>
      </c>
      <c r="BC6" s="331"/>
      <c r="BD6" s="331">
        <f>SUMIFS(Travaux_2026[TR 2035],Travaux_2026[État Composante TR],"=PR")</f>
        <v>0</v>
      </c>
      <c r="BE6" s="331"/>
      <c r="BF6" s="78"/>
      <c r="BG6" s="16">
        <f t="shared" si="0"/>
        <v>66913</v>
      </c>
      <c r="BH6" s="16">
        <f t="shared" si="1"/>
        <v>91144</v>
      </c>
    </row>
    <row r="7" spans="1:62" ht="15" thickTop="1" x14ac:dyDescent="0.3">
      <c r="J7" s="30" t="s">
        <v>20</v>
      </c>
      <c r="K7" s="31" t="s">
        <v>21</v>
      </c>
      <c r="P7" s="127"/>
      <c r="Q7" s="116" t="s">
        <v>23</v>
      </c>
      <c r="R7" s="288">
        <f>R5+R6</f>
        <v>842</v>
      </c>
      <c r="S7" s="262"/>
      <c r="T7" s="262">
        <f>T5+T6</f>
        <v>869</v>
      </c>
      <c r="U7" s="262"/>
      <c r="V7" s="262">
        <f>V5+V6</f>
        <v>1267</v>
      </c>
      <c r="W7" s="289"/>
      <c r="X7" s="20"/>
      <c r="Y7" s="288">
        <f>Y5+Y6</f>
        <v>1133</v>
      </c>
      <c r="Z7" s="289"/>
      <c r="AA7" s="20"/>
      <c r="AB7" s="290">
        <f>AB5+AB6</f>
        <v>134</v>
      </c>
      <c r="AC7" s="292"/>
      <c r="AD7" s="291"/>
      <c r="AE7" s="290">
        <f>AE5+AE6</f>
        <v>70968</v>
      </c>
      <c r="AF7" s="291"/>
      <c r="AG7" s="20"/>
      <c r="AH7" s="288">
        <f>AH5+AH6</f>
        <v>70601</v>
      </c>
      <c r="AI7" s="289"/>
      <c r="AJ7" s="20"/>
      <c r="AK7" s="290">
        <f>AK5+AK6</f>
        <v>367</v>
      </c>
      <c r="AL7" s="292"/>
      <c r="AM7" s="291"/>
      <c r="AN7" s="288">
        <f>AN5+AN6</f>
        <v>6071</v>
      </c>
      <c r="AO7" s="262"/>
      <c r="AP7" s="325">
        <f>AP5+AP6</f>
        <v>5088</v>
      </c>
      <c r="AQ7" s="325"/>
      <c r="AR7" s="325">
        <f>AR5+AR6</f>
        <v>6919.0000000000018</v>
      </c>
      <c r="AS7" s="325"/>
      <c r="AT7" s="325">
        <f>AT5+AT6</f>
        <v>7107.0000000000018</v>
      </c>
      <c r="AU7" s="325"/>
      <c r="AV7" s="325">
        <f>AV5+AV6</f>
        <v>0</v>
      </c>
      <c r="AW7" s="325"/>
      <c r="AX7" s="325">
        <f>AX5+AX6</f>
        <v>0</v>
      </c>
      <c r="AY7" s="325"/>
      <c r="AZ7" s="325">
        <f>AZ5+AZ6</f>
        <v>0</v>
      </c>
      <c r="BA7" s="325"/>
      <c r="BB7" s="325">
        <f>BB5+BB6</f>
        <v>0</v>
      </c>
      <c r="BC7" s="325"/>
      <c r="BD7" s="325">
        <f>BD5+BD6</f>
        <v>0</v>
      </c>
      <c r="BE7" s="325"/>
      <c r="BF7" s="20"/>
      <c r="BG7" s="20">
        <f t="shared" si="0"/>
        <v>72235</v>
      </c>
      <c r="BH7" s="20">
        <f t="shared" si="1"/>
        <v>97420</v>
      </c>
    </row>
    <row r="8" spans="1:62" x14ac:dyDescent="0.3">
      <c r="J8" s="329" t="s">
        <v>563</v>
      </c>
      <c r="K8" s="330"/>
      <c r="Q8" s="83" t="s">
        <v>25</v>
      </c>
      <c r="R8" s="279">
        <f>SUMIFS(Travaux_2026[AC ANT],Travaux_2026[État Composante AC],"&lt;&gt;PR")</f>
        <v>0</v>
      </c>
      <c r="S8" s="260"/>
      <c r="T8" s="260">
        <f>SUMIFS(Travaux_2026[AC 2024],Travaux_2026[État Composante AC],"&lt;&gt;PR")</f>
        <v>0</v>
      </c>
      <c r="U8" s="260"/>
      <c r="V8" s="260">
        <f>SUMIFS(Travaux_2026[AC 2025],Travaux_2026[État Composante AC],"&lt;&gt;PR")</f>
        <v>0</v>
      </c>
      <c r="W8" s="280"/>
      <c r="X8" s="78"/>
      <c r="Y8" s="279">
        <f>SUMIFS(Travaux_2026[AC 2025 Initiale],Travaux_2026[État Composante AC],"&lt;&gt;PR")</f>
        <v>0</v>
      </c>
      <c r="Z8" s="280"/>
      <c r="AA8" s="78"/>
      <c r="AB8" s="326">
        <f>SUMIFS(Travaux_2026[Écart AC 2025],Travaux_2026[État Composante AC],"&lt;&gt;PR")</f>
        <v>0</v>
      </c>
      <c r="AC8" s="327"/>
      <c r="AD8" s="328"/>
      <c r="AE8" s="326">
        <f>SUMIFS(Travaux_2026[AC 2026],Travaux_2026[État Composante AC],"&lt;&gt;PR")</f>
        <v>0</v>
      </c>
      <c r="AF8" s="327"/>
      <c r="AG8" s="78"/>
      <c r="AH8" s="260">
        <f>SUMIFS(Travaux_2026[AC 2026 Initiale],Travaux_2026[État Composante AC],"&lt;&gt;PR")</f>
        <v>0</v>
      </c>
      <c r="AI8" s="280"/>
      <c r="AJ8" s="78"/>
      <c r="AK8" s="326">
        <f>SUMIFS(Travaux_2026[Écart AC 2026],Travaux_2026[État Composante AC],"&lt;&gt;PR")</f>
        <v>0</v>
      </c>
      <c r="AL8" s="327"/>
      <c r="AM8" s="328"/>
      <c r="AN8" s="279">
        <f>SUMIFS(Travaux_2026[AC 2027],Travaux_2026[État Composante AC],"&lt;&gt;PR")</f>
        <v>0</v>
      </c>
      <c r="AO8" s="260"/>
      <c r="AP8" s="260">
        <f>SUMIFS(Travaux_2026[AC 2028],Travaux_2026[État Composante AC],"&lt;&gt;PR")</f>
        <v>0</v>
      </c>
      <c r="AQ8" s="260"/>
      <c r="AR8" s="260">
        <f>SUMIFS(Travaux_2026[AC 2029],Travaux_2026[État Composante AC],"&lt;&gt;PR")</f>
        <v>0</v>
      </c>
      <c r="AS8" s="260"/>
      <c r="AT8" s="260">
        <f>SUMIFS(Travaux_2026[AC 2030],Travaux_2026[État Composante AC],"&lt;&gt;PR")</f>
        <v>0</v>
      </c>
      <c r="AU8" s="260"/>
      <c r="AV8" s="260">
        <f>SUMIFS(Travaux_2026[AC 2031],Travaux_2026[État Composante AC],"&lt;&gt;PR")</f>
        <v>0</v>
      </c>
      <c r="AW8" s="260"/>
      <c r="AX8" s="260">
        <f>SUMIFS(Travaux_2026[AC 2032],Travaux_2026[État Composante AC],"&lt;&gt;PR")</f>
        <v>0</v>
      </c>
      <c r="AY8" s="260"/>
      <c r="AZ8" s="260">
        <f>SUMIFS(Travaux_2026[AC 2033],Travaux_2026[État Composante AC],"&lt;&gt;PR")</f>
        <v>0</v>
      </c>
      <c r="BA8" s="260"/>
      <c r="BB8" s="260">
        <f>SUMIFS(Travaux_2026[AC 2034],Travaux_2026[État Composante AC],"&lt;&gt;PR")</f>
        <v>0</v>
      </c>
      <c r="BC8" s="260"/>
      <c r="BD8" s="260">
        <f>SUMIFS(Travaux_2026[AC 2035],Travaux_2026[État Composante AC],"&lt;&gt;PR")</f>
        <v>0</v>
      </c>
      <c r="BE8" s="260"/>
      <c r="BF8" s="78"/>
      <c r="BG8" s="16">
        <f t="shared" si="0"/>
        <v>0</v>
      </c>
      <c r="BH8" s="16">
        <f t="shared" si="1"/>
        <v>0</v>
      </c>
    </row>
    <row r="9" spans="1:62" x14ac:dyDescent="0.3">
      <c r="J9" s="191"/>
      <c r="K9" s="28" t="s">
        <v>564</v>
      </c>
      <c r="Q9" s="83" t="s">
        <v>27</v>
      </c>
      <c r="R9" s="279">
        <f>SUMIFS(Travaux_2026[TR ANT],Travaux_2026[État Composante TR],"&lt;&gt;PR")</f>
        <v>0</v>
      </c>
      <c r="S9" s="260"/>
      <c r="T9" s="260">
        <f>SUMIFS(Travaux_2026[TR 2024],Travaux_2026[État Composante TR],"&lt;&gt;PR")</f>
        <v>0</v>
      </c>
      <c r="U9" s="260"/>
      <c r="V9" s="260">
        <f>SUMIFS(Travaux_2026[TR 2025],Travaux_2026[État Composante TR],"&lt;&gt;PR")</f>
        <v>0</v>
      </c>
      <c r="W9" s="280"/>
      <c r="X9" s="78"/>
      <c r="Y9" s="279">
        <f>SUMIFS(Travaux_2026[TR 2025 Initiale],Travaux_2026[État Composante TR],"&lt;&gt;PR")</f>
        <v>0</v>
      </c>
      <c r="Z9" s="280"/>
      <c r="AA9" s="78"/>
      <c r="AB9" s="279">
        <f>SUMIFS(Travaux_2026[Écart TR 2025],Travaux_2026[État Composante TR],"&lt;&gt;PR")</f>
        <v>0</v>
      </c>
      <c r="AC9" s="260"/>
      <c r="AD9" s="280"/>
      <c r="AE9" s="279">
        <f>SUMIFS(Travaux_2026[TR 2026],Travaux_2026[État Composante TR],"&lt;&gt;PR")</f>
        <v>1377</v>
      </c>
      <c r="AF9" s="260"/>
      <c r="AG9" s="78"/>
      <c r="AH9" s="260">
        <f>SUMIFS(Travaux_2026[TR 2026 Initiale],Travaux_2026[État Composante TR],"&lt;&gt;PR")</f>
        <v>0</v>
      </c>
      <c r="AI9" s="280"/>
      <c r="AJ9" s="78"/>
      <c r="AK9" s="279">
        <f>SUMIFS(Travaux_2026[Écart TR 2026],Travaux_2026[État Composante TR],"&lt;&gt;PR")</f>
        <v>1377</v>
      </c>
      <c r="AL9" s="260"/>
      <c r="AM9" s="280"/>
      <c r="AN9" s="279">
        <f>SUMIFS(Travaux_2026[TR 2027],Travaux_2026[État Composante TR],"&lt;&gt;PR")</f>
        <v>0</v>
      </c>
      <c r="AO9" s="260"/>
      <c r="AP9" s="260">
        <f>SUMIFS(Travaux_2026[TR 2028],Travaux_2026[État Composante TR],"&lt;&gt;PR")</f>
        <v>0</v>
      </c>
      <c r="AQ9" s="260"/>
      <c r="AR9" s="260">
        <f>SUMIFS(Travaux_2026[TR 2029],Travaux_2026[État Composante TR],"&lt;&gt;PR")</f>
        <v>0</v>
      </c>
      <c r="AS9" s="260"/>
      <c r="AT9" s="260">
        <f>SUMIFS(Travaux_2026[TR 2030],Travaux_2026[État Composante TR],"&lt;&gt;PR")</f>
        <v>0</v>
      </c>
      <c r="AU9" s="260"/>
      <c r="AV9" s="260">
        <f>SUMIFS(Travaux_2026[TR 2031],Travaux_2026[État Composante TR],"&lt;&gt;PR")</f>
        <v>0</v>
      </c>
      <c r="AW9" s="260"/>
      <c r="AX9" s="260">
        <f>SUMIFS(Travaux_2026[TR 2032],Travaux_2026[État Composante TR],"&lt;&gt;PR")</f>
        <v>0</v>
      </c>
      <c r="AY9" s="260"/>
      <c r="AZ9" s="260">
        <f>SUMIFS(Travaux_2026[TR 2033],Travaux_2026[État Composante TR],"&lt;&gt;PR")</f>
        <v>0</v>
      </c>
      <c r="BA9" s="260"/>
      <c r="BB9" s="260">
        <f>SUMIFS(Travaux_2026[TR 2034],Travaux_2026[État Composante TR],"&lt;&gt;PR")</f>
        <v>0</v>
      </c>
      <c r="BC9" s="260"/>
      <c r="BD9" s="260">
        <f>SUMIFS(Travaux_2026[TR 2035],Travaux_2026[État Composante TR],"&lt;&gt;PR")</f>
        <v>0</v>
      </c>
      <c r="BE9" s="260"/>
      <c r="BF9" s="78"/>
      <c r="BG9" s="16">
        <f t="shared" si="0"/>
        <v>1377</v>
      </c>
      <c r="BH9" s="16">
        <f t="shared" si="1"/>
        <v>1377</v>
      </c>
    </row>
    <row r="10" spans="1:62" x14ac:dyDescent="0.3">
      <c r="J10" s="192"/>
      <c r="K10" s="28" t="s">
        <v>565</v>
      </c>
      <c r="P10" s="127"/>
      <c r="Q10" s="117" t="s">
        <v>29</v>
      </c>
      <c r="R10" s="288">
        <f>R8+R9</f>
        <v>0</v>
      </c>
      <c r="S10" s="262"/>
      <c r="T10" s="262">
        <f>T8+T9</f>
        <v>0</v>
      </c>
      <c r="U10" s="262"/>
      <c r="V10" s="262">
        <f>V8+V9</f>
        <v>0</v>
      </c>
      <c r="W10" s="289"/>
      <c r="X10" s="20"/>
      <c r="Y10" s="288">
        <f>Y8+Y9</f>
        <v>0</v>
      </c>
      <c r="Z10" s="289"/>
      <c r="AA10" s="20"/>
      <c r="AB10" s="288">
        <f>AB9+AB8</f>
        <v>0</v>
      </c>
      <c r="AC10" s="262"/>
      <c r="AD10" s="289"/>
      <c r="AE10" s="288">
        <f>AE8+AE9</f>
        <v>1377</v>
      </c>
      <c r="AF10" s="262"/>
      <c r="AG10" s="20"/>
      <c r="AH10" s="262">
        <f>AH8+AH9</f>
        <v>0</v>
      </c>
      <c r="AI10" s="289"/>
      <c r="AJ10" s="20"/>
      <c r="AK10" s="288">
        <f>AK9+AK8</f>
        <v>1377</v>
      </c>
      <c r="AL10" s="262"/>
      <c r="AM10" s="289"/>
      <c r="AN10" s="288">
        <f>AN8+AN9</f>
        <v>0</v>
      </c>
      <c r="AO10" s="262"/>
      <c r="AP10" s="262">
        <f>AP8+AP9</f>
        <v>0</v>
      </c>
      <c r="AQ10" s="262"/>
      <c r="AR10" s="262">
        <f>AR8+AR9</f>
        <v>0</v>
      </c>
      <c r="AS10" s="262"/>
      <c r="AT10" s="262">
        <f>AT8+AT9</f>
        <v>0</v>
      </c>
      <c r="AU10" s="262"/>
      <c r="AV10" s="262">
        <f>AV8+AV9</f>
        <v>0</v>
      </c>
      <c r="AW10" s="262"/>
      <c r="AX10" s="262">
        <f>AX8+AX9</f>
        <v>0</v>
      </c>
      <c r="AY10" s="262"/>
      <c r="AZ10" s="262">
        <f>AZ8+AZ9</f>
        <v>0</v>
      </c>
      <c r="BA10" s="262"/>
      <c r="BB10" s="262">
        <f>BB8+BB9</f>
        <v>0</v>
      </c>
      <c r="BC10" s="262"/>
      <c r="BD10" s="262">
        <f>BD8+BD9</f>
        <v>0</v>
      </c>
      <c r="BE10" s="262"/>
      <c r="BF10" s="20"/>
      <c r="BG10" s="20">
        <f t="shared" si="0"/>
        <v>1377</v>
      </c>
      <c r="BH10" s="20">
        <f t="shared" si="1"/>
        <v>1377</v>
      </c>
    </row>
    <row r="11" spans="1:62" s="133" customFormat="1" x14ac:dyDescent="0.3">
      <c r="J11" s="176"/>
      <c r="K11" s="193" t="s">
        <v>566</v>
      </c>
      <c r="P11" s="134"/>
      <c r="Q11" s="135" t="s">
        <v>272</v>
      </c>
      <c r="R11" s="286">
        <f>R10+R7</f>
        <v>842</v>
      </c>
      <c r="S11" s="284"/>
      <c r="T11" s="285">
        <f>T10+T7</f>
        <v>869</v>
      </c>
      <c r="U11" s="284"/>
      <c r="V11" s="285">
        <f>V10+V7</f>
        <v>1267</v>
      </c>
      <c r="W11" s="284"/>
      <c r="X11" s="105"/>
      <c r="Y11" s="285">
        <f>Y10+Y7</f>
        <v>1133</v>
      </c>
      <c r="Z11" s="287"/>
      <c r="AA11" s="105"/>
      <c r="AB11" s="286">
        <f>AB10+AB7</f>
        <v>134</v>
      </c>
      <c r="AC11" s="283"/>
      <c r="AD11" s="287"/>
      <c r="AE11" s="286">
        <f>AE10+AE7</f>
        <v>72345</v>
      </c>
      <c r="AF11" s="284"/>
      <c r="AG11" s="105"/>
      <c r="AH11" s="285">
        <f>AH10+AH7</f>
        <v>70601</v>
      </c>
      <c r="AI11" s="287"/>
      <c r="AJ11" s="105"/>
      <c r="AK11" s="286">
        <f>AK10+AK7</f>
        <v>1744</v>
      </c>
      <c r="AL11" s="283"/>
      <c r="AM11" s="287"/>
      <c r="AN11" s="286">
        <f>AN10+AN7</f>
        <v>6071</v>
      </c>
      <c r="AO11" s="284"/>
      <c r="AP11" s="285">
        <f>AP10+AP7</f>
        <v>5088</v>
      </c>
      <c r="AQ11" s="284"/>
      <c r="AR11" s="285">
        <f>AR10+AR7</f>
        <v>6919.0000000000018</v>
      </c>
      <c r="AS11" s="284"/>
      <c r="AT11" s="285">
        <f>AT10+AT7</f>
        <v>7107.0000000000018</v>
      </c>
      <c r="AU11" s="284"/>
      <c r="AV11" s="285">
        <f>AV10+AV7</f>
        <v>0</v>
      </c>
      <c r="AW11" s="284"/>
      <c r="AX11" s="285">
        <f>AX10+AX7</f>
        <v>0</v>
      </c>
      <c r="AY11" s="284"/>
      <c r="AZ11" s="285">
        <f>AZ10+AZ7</f>
        <v>0</v>
      </c>
      <c r="BA11" s="284"/>
      <c r="BB11" s="285">
        <f>BB10+BB7</f>
        <v>0</v>
      </c>
      <c r="BC11" s="284"/>
      <c r="BD11" s="285">
        <f>BD10+BD7</f>
        <v>0</v>
      </c>
      <c r="BE11" s="284"/>
      <c r="BF11" s="105"/>
      <c r="BG11" s="105">
        <f t="shared" si="0"/>
        <v>73612</v>
      </c>
      <c r="BH11" s="105">
        <f t="shared" si="1"/>
        <v>98797</v>
      </c>
    </row>
    <row r="12" spans="1:62" ht="15" customHeight="1" x14ac:dyDescent="0.3">
      <c r="J12" s="194"/>
      <c r="K12" s="28" t="s">
        <v>567</v>
      </c>
      <c r="Q12" s="83" t="s">
        <v>32</v>
      </c>
      <c r="R12" s="279"/>
      <c r="S12" s="260"/>
      <c r="T12" s="260"/>
      <c r="U12" s="260"/>
      <c r="V12" s="260"/>
      <c r="W12" s="280"/>
      <c r="X12" s="78"/>
      <c r="Y12" s="279"/>
      <c r="Z12" s="280"/>
      <c r="AA12" s="78"/>
      <c r="AB12" s="322"/>
      <c r="AC12" s="323"/>
      <c r="AD12" s="324"/>
      <c r="AE12" s="279"/>
      <c r="AF12" s="260"/>
      <c r="AG12" s="78"/>
      <c r="AH12" s="260"/>
      <c r="AI12" s="280"/>
      <c r="AJ12" s="78"/>
      <c r="AK12" s="322"/>
      <c r="AL12" s="323"/>
      <c r="AM12" s="324"/>
      <c r="AN12" s="279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>
        <v>0</v>
      </c>
      <c r="AY12" s="260"/>
      <c r="AZ12" s="260">
        <v>0</v>
      </c>
      <c r="BA12" s="260"/>
      <c r="BB12" s="260">
        <v>0</v>
      </c>
      <c r="BC12" s="260"/>
      <c r="BD12" s="260">
        <v>0</v>
      </c>
      <c r="BE12" s="260"/>
      <c r="BF12" s="78"/>
      <c r="BG12" s="78">
        <f t="shared" si="0"/>
        <v>0</v>
      </c>
      <c r="BH12" s="78">
        <f>SUM(AN12:BC12,V12,AE12)</f>
        <v>0</v>
      </c>
    </row>
    <row r="13" spans="1:62" ht="16.2" thickBot="1" x14ac:dyDescent="0.35">
      <c r="J13" s="195"/>
      <c r="K13" s="31" t="s">
        <v>568</v>
      </c>
      <c r="P13" s="126"/>
      <c r="Q13" s="118" t="s">
        <v>33</v>
      </c>
      <c r="R13" s="120"/>
      <c r="S13" s="64"/>
      <c r="T13" s="319">
        <f>T12+T11</f>
        <v>869</v>
      </c>
      <c r="U13" s="321"/>
      <c r="V13" s="258">
        <f>V12+V11</f>
        <v>1267</v>
      </c>
      <c r="W13" s="259"/>
      <c r="X13" s="167"/>
      <c r="Y13" s="258">
        <f>Y12+Y11</f>
        <v>1133</v>
      </c>
      <c r="Z13" s="259"/>
      <c r="AA13" s="167"/>
      <c r="AB13" s="258">
        <f>AB12+AB11</f>
        <v>134</v>
      </c>
      <c r="AC13" s="261"/>
      <c r="AD13" s="261"/>
      <c r="AE13" s="261">
        <f>AE12+AE11</f>
        <v>72345</v>
      </c>
      <c r="AF13" s="259"/>
      <c r="AG13" s="167"/>
      <c r="AH13" s="258">
        <f>AH12+AH11</f>
        <v>70601</v>
      </c>
      <c r="AI13" s="259"/>
      <c r="AJ13" s="167"/>
      <c r="AK13" s="319">
        <f>AK12+AK11</f>
        <v>1744</v>
      </c>
      <c r="AL13" s="320"/>
      <c r="AM13" s="320"/>
      <c r="AN13" s="261">
        <f>AN12+AN11</f>
        <v>6071</v>
      </c>
      <c r="AO13" s="259"/>
      <c r="AP13" s="258">
        <f>AP12+AP11</f>
        <v>5088</v>
      </c>
      <c r="AQ13" s="259"/>
      <c r="AR13" s="258">
        <f>AR12+AR11</f>
        <v>6919.0000000000018</v>
      </c>
      <c r="AS13" s="259"/>
      <c r="AT13" s="258">
        <f>AT12+AT11</f>
        <v>7107.0000000000018</v>
      </c>
      <c r="AU13" s="259"/>
      <c r="AV13" s="258">
        <f>AV12+AV11</f>
        <v>0</v>
      </c>
      <c r="AW13" s="259"/>
      <c r="AX13" s="258">
        <f>AX12+AX11</f>
        <v>0</v>
      </c>
      <c r="AY13" s="259"/>
      <c r="AZ13" s="258">
        <f>AZ12+AZ11</f>
        <v>0</v>
      </c>
      <c r="BA13" s="259"/>
      <c r="BB13" s="258">
        <f>BB12+BB11</f>
        <v>0</v>
      </c>
      <c r="BC13" s="259"/>
      <c r="BD13" s="258">
        <f>BD12+BD11</f>
        <v>0</v>
      </c>
      <c r="BE13" s="259"/>
      <c r="BF13" s="167"/>
      <c r="BG13" s="21">
        <f>BG12+BG11</f>
        <v>73612</v>
      </c>
      <c r="BH13" s="21">
        <f>BH12+BH11</f>
        <v>98797</v>
      </c>
    </row>
    <row r="14" spans="1:62" s="11" customFormat="1" ht="64.95" customHeight="1" x14ac:dyDescent="0.3">
      <c r="A14" t="s">
        <v>661</v>
      </c>
      <c r="B14" s="11" t="s">
        <v>273</v>
      </c>
      <c r="C14" s="11" t="s">
        <v>274</v>
      </c>
      <c r="D14" s="11" t="s">
        <v>37</v>
      </c>
      <c r="E14" s="11" t="s">
        <v>38</v>
      </c>
      <c r="F14" s="11" t="s">
        <v>39</v>
      </c>
      <c r="G14" s="11" t="s">
        <v>40</v>
      </c>
      <c r="H14" s="11" t="s">
        <v>41</v>
      </c>
      <c r="I14" s="11" t="s">
        <v>42</v>
      </c>
      <c r="J14" s="11" t="s">
        <v>44</v>
      </c>
      <c r="K14" s="11" t="s">
        <v>45</v>
      </c>
      <c r="L14" s="11" t="s">
        <v>46</v>
      </c>
      <c r="M14" s="11" t="s">
        <v>47</v>
      </c>
      <c r="N14" s="11" t="s">
        <v>48</v>
      </c>
      <c r="O14" s="11" t="s">
        <v>49</v>
      </c>
      <c r="P14" s="11" t="s">
        <v>50</v>
      </c>
      <c r="Q14" s="11" t="s">
        <v>51</v>
      </c>
      <c r="R14" s="11" t="s">
        <v>52</v>
      </c>
      <c r="S14" s="9" t="s">
        <v>76</v>
      </c>
      <c r="T14" s="9" t="s">
        <v>77</v>
      </c>
      <c r="U14" s="9" t="s">
        <v>78</v>
      </c>
      <c r="V14" s="9" t="s">
        <v>79</v>
      </c>
      <c r="W14" s="11" t="s">
        <v>80</v>
      </c>
      <c r="X14" s="11" t="s">
        <v>579</v>
      </c>
      <c r="Y14" s="11" t="s">
        <v>81</v>
      </c>
      <c r="Z14" s="11" t="s">
        <v>549</v>
      </c>
      <c r="AA14" s="11" t="s">
        <v>577</v>
      </c>
      <c r="AB14" s="99" t="s">
        <v>277</v>
      </c>
      <c r="AC14" s="99" t="s">
        <v>278</v>
      </c>
      <c r="AD14" s="99" t="s">
        <v>279</v>
      </c>
      <c r="AE14" s="11" t="s">
        <v>550</v>
      </c>
      <c r="AF14" s="11" t="s">
        <v>82</v>
      </c>
      <c r="AG14" s="11" t="s">
        <v>578</v>
      </c>
      <c r="AH14" s="11" t="s">
        <v>83</v>
      </c>
      <c r="AI14" s="11" t="s">
        <v>551</v>
      </c>
      <c r="AJ14" s="11" t="s">
        <v>580</v>
      </c>
      <c r="AK14" s="93" t="s">
        <v>283</v>
      </c>
      <c r="AL14" s="93" t="s">
        <v>284</v>
      </c>
      <c r="AM14" s="93" t="s">
        <v>285</v>
      </c>
      <c r="AN14" s="11" t="s">
        <v>552</v>
      </c>
      <c r="AO14" s="11" t="s">
        <v>84</v>
      </c>
      <c r="AP14" s="11" t="s">
        <v>85</v>
      </c>
      <c r="AQ14" s="11" t="s">
        <v>86</v>
      </c>
      <c r="AR14" s="11" t="s">
        <v>87</v>
      </c>
      <c r="AS14" s="11" t="s">
        <v>88</v>
      </c>
      <c r="AT14" s="11" t="s">
        <v>89</v>
      </c>
      <c r="AU14" s="11" t="s">
        <v>90</v>
      </c>
      <c r="AV14" s="11" t="s">
        <v>91</v>
      </c>
      <c r="AW14" s="11" t="s">
        <v>92</v>
      </c>
      <c r="AX14" s="11" t="s">
        <v>93</v>
      </c>
      <c r="AY14" s="11" t="s">
        <v>94</v>
      </c>
      <c r="AZ14" s="11" t="s">
        <v>95</v>
      </c>
      <c r="BA14" s="11" t="s">
        <v>96</v>
      </c>
      <c r="BB14" s="11" t="s">
        <v>97</v>
      </c>
      <c r="BC14" s="11" t="s">
        <v>98</v>
      </c>
      <c r="BD14" s="11" t="s">
        <v>99</v>
      </c>
      <c r="BE14" s="11" t="s">
        <v>593</v>
      </c>
      <c r="BF14" s="11" t="s">
        <v>594</v>
      </c>
      <c r="BG14" s="11" t="s">
        <v>100</v>
      </c>
    </row>
    <row r="15" spans="1:62" x14ac:dyDescent="0.3">
      <c r="A15" t="s">
        <v>663</v>
      </c>
      <c r="B15" t="s">
        <v>286</v>
      </c>
      <c r="D15" t="s">
        <v>101</v>
      </c>
      <c r="E15" t="s">
        <v>102</v>
      </c>
      <c r="F15" t="s">
        <v>136</v>
      </c>
      <c r="G15" t="s">
        <v>113</v>
      </c>
      <c r="H15" t="s">
        <v>16</v>
      </c>
      <c r="I15" t="s">
        <v>16</v>
      </c>
      <c r="J15" t="s">
        <v>131</v>
      </c>
      <c r="K15" t="s">
        <v>137</v>
      </c>
      <c r="L15" t="s">
        <v>138</v>
      </c>
      <c r="M15" t="s">
        <v>139</v>
      </c>
      <c r="N15" t="s">
        <v>109</v>
      </c>
      <c r="O15" t="s">
        <v>123</v>
      </c>
      <c r="P15" s="1">
        <v>45062</v>
      </c>
      <c r="Q15" s="1">
        <v>45754</v>
      </c>
      <c r="R15" s="1">
        <v>45976</v>
      </c>
      <c r="S15">
        <v>337</v>
      </c>
      <c r="T15">
        <v>41</v>
      </c>
      <c r="U15">
        <v>327</v>
      </c>
      <c r="W15">
        <v>363</v>
      </c>
      <c r="X15">
        <f>Travaux_2026[[#This Row],[AC 2025]]+Travaux_2026[[#This Row],[TR 2025]]</f>
        <v>363</v>
      </c>
      <c r="Z15">
        <v>355</v>
      </c>
      <c r="AA15">
        <f>Travaux_2026[[#This Row],[AC 2025 Initiale]]+Travaux_2026[[#This Row],[TR 2025 Initiale]]</f>
        <v>355</v>
      </c>
      <c r="AB15">
        <f>Travaux_2026[[#This Row],[AC 2025]]-Travaux_2026[[#This Row],[AC 2025 Initiale]]</f>
        <v>8</v>
      </c>
      <c r="AC15">
        <f>Travaux_2026[[#This Row],[TR 2025]]-Travaux_2026[[#This Row],[TR 2025 Initiale]]</f>
        <v>0</v>
      </c>
      <c r="AD15">
        <f>Travaux_2026[[#This Row],[Écart AC 2025]]+Travaux_2026[[#This Row],[Écart TR 2025]]</f>
        <v>8</v>
      </c>
      <c r="AF15">
        <v>1006</v>
      </c>
      <c r="AG15">
        <f>Travaux_2026[[#This Row],[AC 2026]]+Travaux_2026[[#This Row],[TR 2026]]</f>
        <v>6876</v>
      </c>
      <c r="AH15">
        <v>5870</v>
      </c>
      <c r="AI15">
        <v>1006</v>
      </c>
      <c r="AJ15">
        <f>Travaux_2026[[#This Row],[AC 2026 Initiale]]+Travaux_2026[[#This Row],[TR 2026 Initiale]]</f>
        <v>6876</v>
      </c>
      <c r="AK15">
        <f>Travaux_2026[[#This Row],[AC 2026]]-Travaux_2026[[#This Row],[AC 2026 Initiale]]</f>
        <v>0</v>
      </c>
      <c r="AL15">
        <f>Travaux_2026[[#This Row],[TR 2026]]-Travaux_2026[[#This Row],[TR 2026 Initiale]]</f>
        <v>0</v>
      </c>
      <c r="AM15">
        <f>Travaux_2026[[#This Row],[Écart AC 2026]]+Travaux_2026[[#This Row],[Écart TR 2026]]</f>
        <v>0</v>
      </c>
      <c r="AN15">
        <v>5870</v>
      </c>
      <c r="AX15"/>
      <c r="BG15" s="14">
        <f>SUM(Travaux_2026[[#This Row],[AC ANT]:[TR 2025]],Travaux_2026[[#This Row],[AC 2026]:[TR 2026]],Travaux_2026[[#This Row],[AC 2027]:[TR 2034]])</f>
        <v>15183</v>
      </c>
    </row>
    <row r="16" spans="1:62" x14ac:dyDescent="0.3">
      <c r="A16" t="s">
        <v>662</v>
      </c>
      <c r="B16" t="s">
        <v>286</v>
      </c>
      <c r="D16" t="s">
        <v>118</v>
      </c>
      <c r="E16" t="s">
        <v>102</v>
      </c>
      <c r="F16" t="s">
        <v>188</v>
      </c>
      <c r="G16" t="s">
        <v>113</v>
      </c>
      <c r="H16" t="s">
        <v>16</v>
      </c>
      <c r="I16" t="s">
        <v>130</v>
      </c>
      <c r="J16" t="s">
        <v>131</v>
      </c>
      <c r="K16" t="s">
        <v>189</v>
      </c>
      <c r="L16" t="s">
        <v>190</v>
      </c>
      <c r="M16" t="s">
        <v>191</v>
      </c>
      <c r="N16" t="s">
        <v>109</v>
      </c>
      <c r="O16" t="s">
        <v>123</v>
      </c>
      <c r="P16" s="1">
        <v>45684</v>
      </c>
      <c r="Q16" s="1"/>
      <c r="R16" s="1">
        <v>46006</v>
      </c>
      <c r="W16">
        <v>80</v>
      </c>
      <c r="X16">
        <f>Travaux_2026[[#This Row],[AC 2025]]+Travaux_2026[[#This Row],[TR 2025]]</f>
        <v>80</v>
      </c>
      <c r="Z16">
        <v>80</v>
      </c>
      <c r="AA16">
        <f>Travaux_2026[[#This Row],[AC 2025 Initiale]]+Travaux_2026[[#This Row],[TR 2025 Initiale]]</f>
        <v>80</v>
      </c>
      <c r="AB16">
        <f>Travaux_2026[[#This Row],[AC 2025]]-Travaux_2026[[#This Row],[AC 2025 Initiale]]</f>
        <v>0</v>
      </c>
      <c r="AC16">
        <f>Travaux_2026[[#This Row],[TR 2025]]-Travaux_2026[[#This Row],[TR 2025 Initiale]]</f>
        <v>0</v>
      </c>
      <c r="AD16">
        <f>Travaux_2026[[#This Row],[Écart AC 2025]]+Travaux_2026[[#This Row],[Écart TR 2025]]</f>
        <v>0</v>
      </c>
      <c r="AF16">
        <v>87</v>
      </c>
      <c r="AG16">
        <f>Travaux_2026[[#This Row],[AC 2026]]+Travaux_2026[[#This Row],[TR 2026]]</f>
        <v>986</v>
      </c>
      <c r="AH16">
        <v>899</v>
      </c>
      <c r="AI16">
        <v>87</v>
      </c>
      <c r="AJ16">
        <f>Travaux_2026[[#This Row],[AC 2026 Initiale]]+Travaux_2026[[#This Row],[TR 2026 Initiale]]</f>
        <v>87</v>
      </c>
      <c r="AK16">
        <f>Travaux_2026[[#This Row],[AC 2026]]-Travaux_2026[[#This Row],[AC 2026 Initiale]]</f>
        <v>0</v>
      </c>
      <c r="AL16">
        <f>Travaux_2026[[#This Row],[TR 2026]]-Travaux_2026[[#This Row],[TR 2026 Initiale]]</f>
        <v>899</v>
      </c>
      <c r="AM16">
        <f>Travaux_2026[[#This Row],[Écart AC 2026]]+Travaux_2026[[#This Row],[Écart TR 2026]]</f>
        <v>899</v>
      </c>
      <c r="AO16">
        <v>227</v>
      </c>
      <c r="AX16"/>
      <c r="BG16" s="14">
        <f>SUM(Travaux_2026[[#This Row],[AC ANT]:[TR 2025]],Travaux_2026[[#This Row],[AC 2026]:[TR 2026]],Travaux_2026[[#This Row],[AC 2027]:[TR 2034]])</f>
        <v>2359</v>
      </c>
    </row>
    <row r="17" spans="1:59" x14ac:dyDescent="0.3">
      <c r="A17" t="s">
        <v>664</v>
      </c>
      <c r="B17" t="s">
        <v>286</v>
      </c>
      <c r="D17" t="s">
        <v>101</v>
      </c>
      <c r="E17" t="s">
        <v>102</v>
      </c>
      <c r="F17" t="s">
        <v>103</v>
      </c>
      <c r="G17" t="s">
        <v>129</v>
      </c>
      <c r="H17" t="s">
        <v>16</v>
      </c>
      <c r="I17" t="s">
        <v>16</v>
      </c>
      <c r="J17" t="s">
        <v>131</v>
      </c>
      <c r="K17" t="s">
        <v>132</v>
      </c>
      <c r="L17" t="s">
        <v>288</v>
      </c>
      <c r="M17" t="s">
        <v>134</v>
      </c>
      <c r="N17" t="s">
        <v>109</v>
      </c>
      <c r="O17" t="s">
        <v>123</v>
      </c>
      <c r="P17" s="1">
        <v>45218</v>
      </c>
      <c r="Q17" s="1">
        <v>45722</v>
      </c>
      <c r="R17" s="1">
        <v>45976</v>
      </c>
      <c r="U17">
        <v>12</v>
      </c>
      <c r="W17">
        <v>10</v>
      </c>
      <c r="X17">
        <f>Travaux_2026[[#This Row],[AC 2025]]+Travaux_2026[[#This Row],[TR 2025]]</f>
        <v>10</v>
      </c>
      <c r="Z17">
        <v>10</v>
      </c>
      <c r="AA17">
        <f>Travaux_2026[[#This Row],[AC 2025 Initiale]]+Travaux_2026[[#This Row],[TR 2025 Initiale]]</f>
        <v>10</v>
      </c>
      <c r="AB17">
        <f>Travaux_2026[[#This Row],[AC 2025]]-Travaux_2026[[#This Row],[AC 2025 Initiale]]</f>
        <v>0</v>
      </c>
      <c r="AC17">
        <f>Travaux_2026[[#This Row],[TR 2025]]-Travaux_2026[[#This Row],[TR 2025 Initiale]]</f>
        <v>0</v>
      </c>
      <c r="AD17">
        <f>Travaux_2026[[#This Row],[Écart AC 2025]]+Travaux_2026[[#This Row],[Écart TR 2025]]</f>
        <v>0</v>
      </c>
      <c r="AF17">
        <v>350</v>
      </c>
      <c r="AG17">
        <f>Travaux_2026[[#This Row],[AC 2026]]+Travaux_2026[[#This Row],[TR 2026]]</f>
        <v>5019</v>
      </c>
      <c r="AH17">
        <v>4669</v>
      </c>
      <c r="AI17">
        <v>350</v>
      </c>
      <c r="AJ17">
        <f>Travaux_2026[[#This Row],[AC 2026 Initiale]]+Travaux_2026[[#This Row],[TR 2026 Initiale]]</f>
        <v>5019</v>
      </c>
      <c r="AK17">
        <f>Travaux_2026[[#This Row],[AC 2026]]-Travaux_2026[[#This Row],[AC 2026 Initiale]]</f>
        <v>0</v>
      </c>
      <c r="AL17">
        <f>Travaux_2026[[#This Row],[TR 2026]]-Travaux_2026[[#This Row],[TR 2026 Initiale]]</f>
        <v>0</v>
      </c>
      <c r="AM17">
        <f>Travaux_2026[[#This Row],[Écart AC 2026]]+Travaux_2026[[#This Row],[Écart TR 2026]]</f>
        <v>0</v>
      </c>
      <c r="AN17">
        <v>4669</v>
      </c>
      <c r="AX17"/>
      <c r="BG17" s="14">
        <f>SUM(Travaux_2026[[#This Row],[AC ANT]:[TR 2025]],Travaux_2026[[#This Row],[AC 2026]:[TR 2026]],Travaux_2026[[#This Row],[AC 2027]:[TR 2034]])</f>
        <v>10070</v>
      </c>
    </row>
    <row r="18" spans="1:59" x14ac:dyDescent="0.3">
      <c r="A18" t="s">
        <v>664</v>
      </c>
      <c r="B18" t="s">
        <v>286</v>
      </c>
      <c r="D18" t="s">
        <v>101</v>
      </c>
      <c r="E18" t="s">
        <v>102</v>
      </c>
      <c r="F18" t="s">
        <v>128</v>
      </c>
      <c r="G18" t="s">
        <v>140</v>
      </c>
      <c r="H18" t="s">
        <v>16</v>
      </c>
      <c r="I18" t="s">
        <v>16</v>
      </c>
      <c r="J18" t="s">
        <v>105</v>
      </c>
      <c r="K18" t="s">
        <v>141</v>
      </c>
      <c r="L18" t="s">
        <v>142</v>
      </c>
      <c r="M18" t="s">
        <v>143</v>
      </c>
      <c r="N18" t="s">
        <v>109</v>
      </c>
      <c r="O18" t="s">
        <v>123</v>
      </c>
      <c r="P18" s="1">
        <v>42900</v>
      </c>
      <c r="Q18" s="1">
        <v>45323</v>
      </c>
      <c r="R18" s="1">
        <v>45889</v>
      </c>
      <c r="S18">
        <v>61</v>
      </c>
      <c r="X18">
        <f>Travaux_2026[[#This Row],[AC 2025]]+Travaux_2026[[#This Row],[TR 2025]]</f>
        <v>0</v>
      </c>
      <c r="AA18">
        <f>Travaux_2026[[#This Row],[AC 2025 Initiale]]+Travaux_2026[[#This Row],[TR 2025 Initiale]]</f>
        <v>0</v>
      </c>
      <c r="AB18">
        <f>Travaux_2026[[#This Row],[AC 2025]]-Travaux_2026[[#This Row],[AC 2025 Initiale]]</f>
        <v>0</v>
      </c>
      <c r="AC18">
        <f>Travaux_2026[[#This Row],[TR 2025]]-Travaux_2026[[#This Row],[TR 2025 Initiale]]</f>
        <v>0</v>
      </c>
      <c r="AD18">
        <f>Travaux_2026[[#This Row],[Écart AC 2025]]+Travaux_2026[[#This Row],[Écart TR 2025]]</f>
        <v>0</v>
      </c>
      <c r="AF18">
        <v>400</v>
      </c>
      <c r="AG18">
        <f>Travaux_2026[[#This Row],[AC 2026]]+Travaux_2026[[#This Row],[TR 2026]]</f>
        <v>5799</v>
      </c>
      <c r="AH18">
        <v>5399</v>
      </c>
      <c r="AI18">
        <v>370</v>
      </c>
      <c r="AJ18">
        <f>Travaux_2026[[#This Row],[AC 2026 Initiale]]+Travaux_2026[[#This Row],[TR 2026 Initiale]]</f>
        <v>5318</v>
      </c>
      <c r="AK18">
        <f>Travaux_2026[[#This Row],[AC 2026]]-Travaux_2026[[#This Row],[AC 2026 Initiale]]</f>
        <v>30</v>
      </c>
      <c r="AL18">
        <f>Travaux_2026[[#This Row],[TR 2026]]-Travaux_2026[[#This Row],[TR 2026 Initiale]]</f>
        <v>451</v>
      </c>
      <c r="AM18">
        <f>Travaux_2026[[#This Row],[Écart AC 2026]]+Travaux_2026[[#This Row],[Écart TR 2026]]</f>
        <v>481</v>
      </c>
      <c r="AN18">
        <v>4948</v>
      </c>
      <c r="AX18"/>
      <c r="BG18" s="14">
        <f>SUM(Travaux_2026[[#This Row],[AC ANT]:[TR 2025]],Travaux_2026[[#This Row],[AC 2026]:[TR 2026]],Travaux_2026[[#This Row],[AC 2027]:[TR 2034]])</f>
        <v>11659</v>
      </c>
    </row>
    <row r="19" spans="1:59" x14ac:dyDescent="0.3">
      <c r="A19" t="s">
        <v>664</v>
      </c>
      <c r="B19" t="s">
        <v>286</v>
      </c>
      <c r="D19" t="s">
        <v>101</v>
      </c>
      <c r="E19" t="s">
        <v>102</v>
      </c>
      <c r="F19" t="s">
        <v>103</v>
      </c>
      <c r="G19" t="s">
        <v>104</v>
      </c>
      <c r="H19" t="s">
        <v>16</v>
      </c>
      <c r="I19" t="s">
        <v>16</v>
      </c>
      <c r="J19" t="s">
        <v>105</v>
      </c>
      <c r="K19" t="s">
        <v>106</v>
      </c>
      <c r="L19" t="s">
        <v>107</v>
      </c>
      <c r="M19" t="s">
        <v>108</v>
      </c>
      <c r="N19" s="2" t="s">
        <v>109</v>
      </c>
      <c r="O19" t="s">
        <v>123</v>
      </c>
      <c r="P19" s="1">
        <v>45014</v>
      </c>
      <c r="Q19" s="1">
        <v>45799</v>
      </c>
      <c r="R19" s="1">
        <v>46006</v>
      </c>
      <c r="S19">
        <v>69</v>
      </c>
      <c r="U19">
        <v>213</v>
      </c>
      <c r="W19">
        <v>272</v>
      </c>
      <c r="X19">
        <f>Travaux_2026[[#This Row],[AC 2025]]+Travaux_2026[[#This Row],[TR 2025]]</f>
        <v>272</v>
      </c>
      <c r="Z19">
        <v>180</v>
      </c>
      <c r="AA19">
        <f>Travaux_2026[[#This Row],[AC 2025 Initiale]]+Travaux_2026[[#This Row],[TR 2025 Initiale]]</f>
        <v>180</v>
      </c>
      <c r="AB19">
        <f>Travaux_2026[[#This Row],[AC 2025]]-Travaux_2026[[#This Row],[AC 2025 Initiale]]</f>
        <v>92</v>
      </c>
      <c r="AC19">
        <f>Travaux_2026[[#This Row],[TR 2025]]-Travaux_2026[[#This Row],[TR 2025 Initiale]]</f>
        <v>0</v>
      </c>
      <c r="AD19">
        <f>Travaux_2026[[#This Row],[Écart AC 2025]]+Travaux_2026[[#This Row],[Écart TR 2025]]</f>
        <v>92</v>
      </c>
      <c r="AF19">
        <v>636</v>
      </c>
      <c r="AG19">
        <f>Travaux_2026[[#This Row],[AC 2026]]+Travaux_2026[[#This Row],[TR 2026]]</f>
        <v>17143</v>
      </c>
      <c r="AH19">
        <v>16507</v>
      </c>
      <c r="AI19">
        <v>881</v>
      </c>
      <c r="AJ19">
        <f>Travaux_2026[[#This Row],[AC 2026 Initiale]]+Travaux_2026[[#This Row],[TR 2026 Initiale]]</f>
        <v>17438</v>
      </c>
      <c r="AK19">
        <f>Travaux_2026[[#This Row],[AC 2026]]-Travaux_2026[[#This Row],[AC 2026 Initiale]]</f>
        <v>-245</v>
      </c>
      <c r="AL19">
        <f>Travaux_2026[[#This Row],[TR 2026]]-Travaux_2026[[#This Row],[TR 2026 Initiale]]</f>
        <v>-50</v>
      </c>
      <c r="AM19">
        <f>Travaux_2026[[#This Row],[Écart AC 2026]]+Travaux_2026[[#This Row],[Écart TR 2026]]</f>
        <v>-295</v>
      </c>
      <c r="AN19">
        <v>16557</v>
      </c>
      <c r="AX19"/>
      <c r="BG19" s="14">
        <f>SUM(Travaux_2026[[#This Row],[AC ANT]:[TR 2025]],Travaux_2026[[#This Row],[AC 2026]:[TR 2026]],Travaux_2026[[#This Row],[AC 2027]:[TR 2034]])</f>
        <v>35112</v>
      </c>
    </row>
    <row r="20" spans="1:59" x14ac:dyDescent="0.3">
      <c r="A20" t="s">
        <v>295</v>
      </c>
      <c r="B20" t="s">
        <v>286</v>
      </c>
      <c r="D20" t="s">
        <v>126</v>
      </c>
      <c r="E20" t="s">
        <v>127</v>
      </c>
      <c r="F20" t="s">
        <v>177</v>
      </c>
      <c r="G20" t="s">
        <v>206</v>
      </c>
      <c r="H20" t="s">
        <v>16</v>
      </c>
      <c r="I20" t="s">
        <v>16</v>
      </c>
      <c r="J20" t="s">
        <v>223</v>
      </c>
      <c r="K20" t="s">
        <v>224</v>
      </c>
      <c r="L20" t="s">
        <v>520</v>
      </c>
      <c r="M20" t="s">
        <v>180</v>
      </c>
      <c r="N20" t="s">
        <v>109</v>
      </c>
      <c r="O20" t="s">
        <v>123</v>
      </c>
      <c r="P20" s="1">
        <v>44623</v>
      </c>
      <c r="Q20" s="1">
        <v>45698</v>
      </c>
      <c r="R20" s="1">
        <v>46341</v>
      </c>
      <c r="S20">
        <v>180.00000000000003</v>
      </c>
      <c r="U20">
        <v>53</v>
      </c>
      <c r="W20">
        <v>150</v>
      </c>
      <c r="X20">
        <f>Travaux_2026[[#This Row],[AC 2025]]+Travaux_2026[[#This Row],[TR 2025]]</f>
        <v>150</v>
      </c>
      <c r="Z20">
        <v>150</v>
      </c>
      <c r="AA20">
        <f>Travaux_2026[[#This Row],[AC 2025 Initiale]]+Travaux_2026[[#This Row],[TR 2025 Initiale]]</f>
        <v>150</v>
      </c>
      <c r="AB20">
        <f>Travaux_2026[[#This Row],[AC 2025]]-Travaux_2026[[#This Row],[AC 2025 Initiale]]</f>
        <v>0</v>
      </c>
      <c r="AC20">
        <f>Travaux_2026[[#This Row],[TR 2025]]-Travaux_2026[[#This Row],[TR 2025 Initiale]]</f>
        <v>0</v>
      </c>
      <c r="AD20">
        <f>Travaux_2026[[#This Row],[Écart AC 2025]]+Travaux_2026[[#This Row],[Écart TR 2025]]</f>
        <v>0</v>
      </c>
      <c r="AF20">
        <v>133</v>
      </c>
      <c r="AG20">
        <f>Travaux_2026[[#This Row],[AC 2026]]+Travaux_2026[[#This Row],[TR 2026]]</f>
        <v>487.99999999999994</v>
      </c>
      <c r="AH20">
        <v>354.99999999999994</v>
      </c>
      <c r="AI20">
        <v>133</v>
      </c>
      <c r="AJ20">
        <f>Travaux_2026[[#This Row],[AC 2026 Initiale]]+Travaux_2026[[#This Row],[TR 2026 Initiale]]</f>
        <v>488</v>
      </c>
      <c r="AK20">
        <f>Travaux_2026[[#This Row],[AC 2026]]-Travaux_2026[[#This Row],[AC 2026 Initiale]]</f>
        <v>0</v>
      </c>
      <c r="AL20">
        <f>Travaux_2026[[#This Row],[TR 2026]]-Travaux_2026[[#This Row],[TR 2026 Initiale]]</f>
        <v>0</v>
      </c>
      <c r="AM20">
        <f>Travaux_2026[[#This Row],[Écart AC 2026]]+Travaux_2026[[#This Row],[Écart TR 2026]]</f>
        <v>0</v>
      </c>
      <c r="AN20">
        <v>355</v>
      </c>
      <c r="AO20">
        <v>53.000000000000007</v>
      </c>
      <c r="AP20">
        <v>1610</v>
      </c>
      <c r="AQ20">
        <v>159</v>
      </c>
      <c r="AR20">
        <v>4929</v>
      </c>
      <c r="AS20">
        <v>212</v>
      </c>
      <c r="AT20">
        <v>6707.0000000000018</v>
      </c>
      <c r="AU20">
        <v>261</v>
      </c>
      <c r="AV20">
        <v>6846.0000000000018</v>
      </c>
      <c r="AX20"/>
      <c r="BG20" s="14">
        <f>SUM(Travaux_2026[[#This Row],[AC ANT]:[TR 2025]],Travaux_2026[[#This Row],[AC 2026]:[TR 2026]],Travaux_2026[[#This Row],[AC 2027]:[TR 2034]])</f>
        <v>22286.000000000004</v>
      </c>
    </row>
    <row r="21" spans="1:59" x14ac:dyDescent="0.3">
      <c r="A21" t="s">
        <v>295</v>
      </c>
      <c r="B21" t="s">
        <v>286</v>
      </c>
      <c r="D21" t="s">
        <v>126</v>
      </c>
      <c r="E21" t="s">
        <v>127</v>
      </c>
      <c r="F21" t="s">
        <v>103</v>
      </c>
      <c r="G21" t="s">
        <v>144</v>
      </c>
      <c r="H21" t="s">
        <v>16</v>
      </c>
      <c r="I21" t="s">
        <v>16</v>
      </c>
      <c r="J21" t="s">
        <v>131</v>
      </c>
      <c r="K21" t="s">
        <v>145</v>
      </c>
      <c r="L21" t="s">
        <v>146</v>
      </c>
      <c r="M21" t="s">
        <v>147</v>
      </c>
      <c r="N21" t="s">
        <v>109</v>
      </c>
      <c r="O21" t="s">
        <v>110</v>
      </c>
      <c r="P21" s="1">
        <v>44609</v>
      </c>
      <c r="Q21" s="1">
        <v>46310</v>
      </c>
      <c r="R21" s="1">
        <v>46583</v>
      </c>
      <c r="S21">
        <v>117</v>
      </c>
      <c r="U21">
        <v>84</v>
      </c>
      <c r="W21">
        <v>105</v>
      </c>
      <c r="X21">
        <f>Travaux_2026[[#This Row],[AC 2025]]+Travaux_2026[[#This Row],[TR 2025]]</f>
        <v>105</v>
      </c>
      <c r="Z21">
        <v>105</v>
      </c>
      <c r="AA21">
        <f>Travaux_2026[[#This Row],[AC 2025 Initiale]]+Travaux_2026[[#This Row],[TR 2025 Initiale]]</f>
        <v>105</v>
      </c>
      <c r="AB21">
        <f>Travaux_2026[[#This Row],[AC 2025]]-Travaux_2026[[#This Row],[AC 2025 Initiale]]</f>
        <v>0</v>
      </c>
      <c r="AC21">
        <f>Travaux_2026[[#This Row],[TR 2025]]-Travaux_2026[[#This Row],[TR 2025 Initiale]]</f>
        <v>0</v>
      </c>
      <c r="AD21">
        <f>Travaux_2026[[#This Row],[Écart AC 2025]]+Travaux_2026[[#This Row],[Écart TR 2025]]</f>
        <v>0</v>
      </c>
      <c r="AF21">
        <v>417</v>
      </c>
      <c r="AG21">
        <f>Travaux_2026[[#This Row],[AC 2026]]+Travaux_2026[[#This Row],[TR 2026]]</f>
        <v>10101</v>
      </c>
      <c r="AH21">
        <v>9684</v>
      </c>
      <c r="AI21">
        <v>342</v>
      </c>
      <c r="AJ21">
        <f>Travaux_2026[[#This Row],[AC 2026 Initiale]]+Travaux_2026[[#This Row],[TR 2026 Initiale]]</f>
        <v>10026</v>
      </c>
      <c r="AK21">
        <f>Travaux_2026[[#This Row],[AC 2026]]-Travaux_2026[[#This Row],[AC 2026 Initiale]]</f>
        <v>75</v>
      </c>
      <c r="AL21">
        <f>Travaux_2026[[#This Row],[TR 2026]]-Travaux_2026[[#This Row],[TR 2026 Initiale]]</f>
        <v>0</v>
      </c>
      <c r="AM21">
        <f>Travaux_2026[[#This Row],[Écart AC 2026]]+Travaux_2026[[#This Row],[Écart TR 2026]]</f>
        <v>75</v>
      </c>
      <c r="AN21">
        <v>9684</v>
      </c>
      <c r="AX21"/>
      <c r="BG21" s="14">
        <f>SUM(Travaux_2026[[#This Row],[AC ANT]:[TR 2025]],Travaux_2026[[#This Row],[AC 2026]:[TR 2026]],Travaux_2026[[#This Row],[AC 2027]:[TR 2034]])</f>
        <v>20613</v>
      </c>
    </row>
    <row r="22" spans="1:59" x14ac:dyDescent="0.3">
      <c r="A22" t="s">
        <v>664</v>
      </c>
      <c r="B22" t="s">
        <v>286</v>
      </c>
      <c r="D22" t="s">
        <v>101</v>
      </c>
      <c r="E22" t="s">
        <v>102</v>
      </c>
      <c r="F22" t="s">
        <v>128</v>
      </c>
      <c r="G22" t="s">
        <v>149</v>
      </c>
      <c r="H22" t="s">
        <v>16</v>
      </c>
      <c r="I22" t="s">
        <v>16</v>
      </c>
      <c r="J22" t="s">
        <v>131</v>
      </c>
      <c r="K22" t="s">
        <v>150</v>
      </c>
      <c r="L22" t="s">
        <v>151</v>
      </c>
      <c r="M22" t="s">
        <v>152</v>
      </c>
      <c r="N22" t="s">
        <v>109</v>
      </c>
      <c r="O22" t="s">
        <v>123</v>
      </c>
      <c r="P22" s="1">
        <v>45079</v>
      </c>
      <c r="Q22" s="1">
        <v>45685</v>
      </c>
      <c r="R22" s="1">
        <v>46142</v>
      </c>
      <c r="S22">
        <v>12</v>
      </c>
      <c r="U22">
        <v>163</v>
      </c>
      <c r="W22">
        <v>100</v>
      </c>
      <c r="X22">
        <f>Travaux_2026[[#This Row],[AC 2025]]+Travaux_2026[[#This Row],[TR 2025]]</f>
        <v>100</v>
      </c>
      <c r="Z22">
        <v>100</v>
      </c>
      <c r="AA22">
        <f>Travaux_2026[[#This Row],[AC 2025 Initiale]]+Travaux_2026[[#This Row],[TR 2025 Initiale]]</f>
        <v>100</v>
      </c>
      <c r="AB22">
        <f>Travaux_2026[[#This Row],[AC 2025]]-Travaux_2026[[#This Row],[AC 2025 Initiale]]</f>
        <v>0</v>
      </c>
      <c r="AC22">
        <f>Travaux_2026[[#This Row],[TR 2025]]-Travaux_2026[[#This Row],[TR 2025 Initiale]]</f>
        <v>0</v>
      </c>
      <c r="AD22">
        <f>Travaux_2026[[#This Row],[Écart AC 2025]]+Travaux_2026[[#This Row],[Écart TR 2025]]</f>
        <v>0</v>
      </c>
      <c r="AF22">
        <v>300</v>
      </c>
      <c r="AG22">
        <f>Travaux_2026[[#This Row],[AC 2026]]+Travaux_2026[[#This Row],[TR 2026]]</f>
        <v>4521</v>
      </c>
      <c r="AH22">
        <v>4221</v>
      </c>
      <c r="AI22">
        <v>300</v>
      </c>
      <c r="AJ22">
        <f>Travaux_2026[[#This Row],[AC 2026 Initiale]]+Travaux_2026[[#This Row],[TR 2026 Initiale]]</f>
        <v>4521</v>
      </c>
      <c r="AK22">
        <f>Travaux_2026[[#This Row],[AC 2026]]-Travaux_2026[[#This Row],[AC 2026 Initiale]]</f>
        <v>0</v>
      </c>
      <c r="AL22">
        <f>Travaux_2026[[#This Row],[TR 2026]]-Travaux_2026[[#This Row],[TR 2026 Initiale]]</f>
        <v>0</v>
      </c>
      <c r="AM22">
        <f>Travaux_2026[[#This Row],[Écart AC 2026]]+Travaux_2026[[#This Row],[Écart TR 2026]]</f>
        <v>0</v>
      </c>
      <c r="AN22">
        <v>4221</v>
      </c>
      <c r="AO22">
        <v>42</v>
      </c>
      <c r="AP22">
        <v>4139</v>
      </c>
      <c r="AX22"/>
      <c r="BG22" s="14">
        <f>SUM(Travaux_2026[[#This Row],[AC ANT]:[TR 2025]],Travaux_2026[[#This Row],[AC 2026]:[TR 2026]],Travaux_2026[[#This Row],[AC 2027]:[TR 2034]])</f>
        <v>13598</v>
      </c>
    </row>
    <row r="23" spans="1:59" x14ac:dyDescent="0.3">
      <c r="A23" t="s">
        <v>664</v>
      </c>
      <c r="B23" t="s">
        <v>286</v>
      </c>
      <c r="D23" t="s">
        <v>101</v>
      </c>
      <c r="E23" t="s">
        <v>102</v>
      </c>
      <c r="F23" t="s">
        <v>103</v>
      </c>
      <c r="G23" t="s">
        <v>113</v>
      </c>
      <c r="H23" t="s">
        <v>16</v>
      </c>
      <c r="I23" t="s">
        <v>16</v>
      </c>
      <c r="J23" t="s">
        <v>105</v>
      </c>
      <c r="K23" t="s">
        <v>114</v>
      </c>
      <c r="L23" t="s">
        <v>115</v>
      </c>
      <c r="M23" t="s">
        <v>116</v>
      </c>
      <c r="N23" t="s">
        <v>109</v>
      </c>
      <c r="O23" t="s">
        <v>297</v>
      </c>
      <c r="P23" s="1">
        <v>45105</v>
      </c>
      <c r="Q23" s="1">
        <v>45789</v>
      </c>
      <c r="R23" s="1">
        <v>45932</v>
      </c>
      <c r="S23">
        <v>25</v>
      </c>
      <c r="U23">
        <v>17</v>
      </c>
      <c r="W23">
        <v>48</v>
      </c>
      <c r="X23">
        <f>Travaux_2026[[#This Row],[AC 2025]]+Travaux_2026[[#This Row],[TR 2025]]</f>
        <v>48</v>
      </c>
      <c r="Z23">
        <v>48</v>
      </c>
      <c r="AA23">
        <f>Travaux_2026[[#This Row],[AC 2025 Initiale]]+Travaux_2026[[#This Row],[TR 2025 Initiale]]</f>
        <v>48</v>
      </c>
      <c r="AB23">
        <f>Travaux_2026[[#This Row],[AC 2025]]-Travaux_2026[[#This Row],[AC 2025 Initiale]]</f>
        <v>0</v>
      </c>
      <c r="AC23">
        <f>Travaux_2026[[#This Row],[TR 2025]]-Travaux_2026[[#This Row],[TR 2025 Initiale]]</f>
        <v>0</v>
      </c>
      <c r="AD23">
        <f>Travaux_2026[[#This Row],[Écart AC 2025]]+Travaux_2026[[#This Row],[Écart TR 2025]]</f>
        <v>0</v>
      </c>
      <c r="AF23">
        <v>520</v>
      </c>
      <c r="AG23">
        <f>Travaux_2026[[#This Row],[AC 2026]]+Travaux_2026[[#This Row],[TR 2026]]</f>
        <v>19645</v>
      </c>
      <c r="AH23">
        <v>19125</v>
      </c>
      <c r="AI23">
        <v>520</v>
      </c>
      <c r="AJ23">
        <f>Travaux_2026[[#This Row],[AC 2026 Initiale]]+Travaux_2026[[#This Row],[TR 2026 Initiale]]</f>
        <v>19645</v>
      </c>
      <c r="AK23">
        <f>Travaux_2026[[#This Row],[AC 2026]]-Travaux_2026[[#This Row],[AC 2026 Initiale]]</f>
        <v>0</v>
      </c>
      <c r="AL23">
        <f>Travaux_2026[[#This Row],[TR 2026]]-Travaux_2026[[#This Row],[TR 2026 Initiale]]</f>
        <v>0</v>
      </c>
      <c r="AM23">
        <f>Travaux_2026[[#This Row],[Écart AC 2026]]+Travaux_2026[[#This Row],[Écart TR 2026]]</f>
        <v>0</v>
      </c>
      <c r="AN23">
        <v>19125</v>
      </c>
      <c r="AX23"/>
      <c r="BG23" s="14">
        <f>SUM(Travaux_2026[[#This Row],[AC ANT]:[TR 2025]],Travaux_2026[[#This Row],[AC 2026]:[TR 2026]],Travaux_2026[[#This Row],[AC 2027]:[TR 2034]])</f>
        <v>39428</v>
      </c>
    </row>
    <row r="24" spans="1:59" x14ac:dyDescent="0.3">
      <c r="A24" t="s">
        <v>663</v>
      </c>
      <c r="B24" t="s">
        <v>286</v>
      </c>
      <c r="D24" t="s">
        <v>101</v>
      </c>
      <c r="E24" t="s">
        <v>102</v>
      </c>
      <c r="F24" t="s">
        <v>119</v>
      </c>
      <c r="G24" t="s">
        <v>129</v>
      </c>
      <c r="H24" t="s">
        <v>16</v>
      </c>
      <c r="I24" t="s">
        <v>16</v>
      </c>
      <c r="J24" t="s">
        <v>131</v>
      </c>
      <c r="K24" t="s">
        <v>153</v>
      </c>
      <c r="L24" t="s">
        <v>154</v>
      </c>
      <c r="M24" t="s">
        <v>134</v>
      </c>
      <c r="N24" t="s">
        <v>109</v>
      </c>
      <c r="O24" t="s">
        <v>123</v>
      </c>
      <c r="P24" s="1">
        <v>45601</v>
      </c>
      <c r="Q24" s="1">
        <v>45731</v>
      </c>
      <c r="R24" s="1">
        <v>45976</v>
      </c>
      <c r="W24">
        <v>20</v>
      </c>
      <c r="X24">
        <f>Travaux_2026[[#This Row],[AC 2025]]+Travaux_2026[[#This Row],[TR 2025]]</f>
        <v>20</v>
      </c>
      <c r="Z24">
        <v>20</v>
      </c>
      <c r="AA24">
        <f>Travaux_2026[[#This Row],[AC 2025 Initiale]]+Travaux_2026[[#This Row],[TR 2025 Initiale]]</f>
        <v>20</v>
      </c>
      <c r="AB24">
        <f>Travaux_2026[[#This Row],[AC 2025]]-Travaux_2026[[#This Row],[AC 2025 Initiale]]</f>
        <v>0</v>
      </c>
      <c r="AC24">
        <f>Travaux_2026[[#This Row],[TR 2025]]-Travaux_2026[[#This Row],[TR 2025 Initiale]]</f>
        <v>0</v>
      </c>
      <c r="AD24">
        <f>Travaux_2026[[#This Row],[Écart AC 2025]]+Travaux_2026[[#This Row],[Écart TR 2025]]</f>
        <v>0</v>
      </c>
      <c r="AF24">
        <v>55</v>
      </c>
      <c r="AG24">
        <f>Travaux_2026[[#This Row],[AC 2026]]+Travaux_2026[[#This Row],[TR 2026]]</f>
        <v>598</v>
      </c>
      <c r="AH24">
        <v>543</v>
      </c>
      <c r="AI24">
        <v>55</v>
      </c>
      <c r="AJ24">
        <f>Travaux_2026[[#This Row],[AC 2026 Initiale]]+Travaux_2026[[#This Row],[TR 2026 Initiale]]</f>
        <v>598</v>
      </c>
      <c r="AK24">
        <f>Travaux_2026[[#This Row],[AC 2026]]-Travaux_2026[[#This Row],[AC 2026 Initiale]]</f>
        <v>0</v>
      </c>
      <c r="AL24">
        <f>Travaux_2026[[#This Row],[TR 2026]]-Travaux_2026[[#This Row],[TR 2026 Initiale]]</f>
        <v>0</v>
      </c>
      <c r="AM24">
        <f>Travaux_2026[[#This Row],[Écart AC 2026]]+Travaux_2026[[#This Row],[Écart TR 2026]]</f>
        <v>0</v>
      </c>
      <c r="AN24">
        <v>543</v>
      </c>
      <c r="AX24"/>
      <c r="BG24" s="14">
        <f>SUM(Travaux_2026[[#This Row],[AC ANT]:[TR 2025]],Travaux_2026[[#This Row],[AC 2026]:[TR 2026]],Travaux_2026[[#This Row],[AC 2027]:[TR 2034]])</f>
        <v>1236</v>
      </c>
    </row>
    <row r="25" spans="1:59" x14ac:dyDescent="0.3">
      <c r="A25" t="s">
        <v>662</v>
      </c>
      <c r="B25" t="s">
        <v>286</v>
      </c>
      <c r="D25" t="s">
        <v>118</v>
      </c>
      <c r="E25" t="s">
        <v>102</v>
      </c>
      <c r="F25" t="s">
        <v>136</v>
      </c>
      <c r="G25" t="s">
        <v>252</v>
      </c>
      <c r="H25" t="s">
        <v>16</v>
      </c>
      <c r="I25" t="s">
        <v>16</v>
      </c>
      <c r="J25" t="s">
        <v>131</v>
      </c>
      <c r="K25" t="s">
        <v>255</v>
      </c>
      <c r="L25" t="s">
        <v>529</v>
      </c>
      <c r="M25" t="s">
        <v>209</v>
      </c>
      <c r="N25" t="s">
        <v>109</v>
      </c>
      <c r="O25" t="s">
        <v>291</v>
      </c>
      <c r="P25" s="1"/>
      <c r="Q25" s="1"/>
      <c r="R25" s="1">
        <v>46006</v>
      </c>
      <c r="W25">
        <v>60</v>
      </c>
      <c r="X25">
        <f>Travaux_2026[[#This Row],[AC 2025]]+Travaux_2026[[#This Row],[TR 2025]]</f>
        <v>60</v>
      </c>
      <c r="Z25">
        <v>60</v>
      </c>
      <c r="AA25">
        <f>Travaux_2026[[#This Row],[AC 2025 Initiale]]+Travaux_2026[[#This Row],[TR 2025 Initiale]]</f>
        <v>60</v>
      </c>
      <c r="AB25">
        <f>Travaux_2026[[#This Row],[AC 2025]]-Travaux_2026[[#This Row],[AC 2025 Initiale]]</f>
        <v>0</v>
      </c>
      <c r="AC25">
        <f>Travaux_2026[[#This Row],[TR 2025]]-Travaux_2026[[#This Row],[TR 2025 Initiale]]</f>
        <v>0</v>
      </c>
      <c r="AD25">
        <f>Travaux_2026[[#This Row],[Écart AC 2025]]+Travaux_2026[[#This Row],[Écart TR 2025]]</f>
        <v>0</v>
      </c>
      <c r="AF25">
        <v>20</v>
      </c>
      <c r="AG25">
        <f>Travaux_2026[[#This Row],[AC 2026]]+Travaux_2026[[#This Row],[TR 2026]]</f>
        <v>560</v>
      </c>
      <c r="AH25">
        <v>540</v>
      </c>
      <c r="AI25">
        <v>20</v>
      </c>
      <c r="AJ25">
        <f>Travaux_2026[[#This Row],[AC 2026 Initiale]]+Travaux_2026[[#This Row],[TR 2026 Initiale]]</f>
        <v>560</v>
      </c>
      <c r="AK25">
        <f>Travaux_2026[[#This Row],[AC 2026]]-Travaux_2026[[#This Row],[AC 2026 Initiale]]</f>
        <v>0</v>
      </c>
      <c r="AL25">
        <f>Travaux_2026[[#This Row],[TR 2026]]-Travaux_2026[[#This Row],[TR 2026 Initiale]]</f>
        <v>0</v>
      </c>
      <c r="AM25">
        <f>Travaux_2026[[#This Row],[Écart AC 2026]]+Travaux_2026[[#This Row],[Écart TR 2026]]</f>
        <v>0</v>
      </c>
      <c r="AN25">
        <v>540</v>
      </c>
      <c r="AX25"/>
      <c r="BG25" s="14">
        <f>SUM(Travaux_2026[[#This Row],[AC ANT]:[TR 2025]],Travaux_2026[[#This Row],[AC 2026]:[TR 2026]],Travaux_2026[[#This Row],[AC 2027]:[TR 2034]])</f>
        <v>1240</v>
      </c>
    </row>
    <row r="26" spans="1:59" x14ac:dyDescent="0.3">
      <c r="A26" t="s">
        <v>662</v>
      </c>
      <c r="B26" t="s">
        <v>286</v>
      </c>
      <c r="D26" t="s">
        <v>118</v>
      </c>
      <c r="E26" t="s">
        <v>102</v>
      </c>
      <c r="F26" t="s">
        <v>136</v>
      </c>
      <c r="G26" t="s">
        <v>104</v>
      </c>
      <c r="H26" t="s">
        <v>16</v>
      </c>
      <c r="I26" t="s">
        <v>20</v>
      </c>
      <c r="J26" t="s">
        <v>105</v>
      </c>
      <c r="K26" t="s">
        <v>516</v>
      </c>
      <c r="L26" t="s">
        <v>517</v>
      </c>
      <c r="M26" t="s">
        <v>302</v>
      </c>
      <c r="N26" t="s">
        <v>109</v>
      </c>
      <c r="O26" t="s">
        <v>110</v>
      </c>
      <c r="P26" s="1">
        <v>45904</v>
      </c>
      <c r="Q26" s="1"/>
      <c r="R26" s="1">
        <v>46096</v>
      </c>
      <c r="W26">
        <v>59</v>
      </c>
      <c r="X26">
        <f>Travaux_2026[[#This Row],[AC 2025]]+Travaux_2026[[#This Row],[TR 2025]]</f>
        <v>59</v>
      </c>
      <c r="Z26">
        <v>25</v>
      </c>
      <c r="AA26">
        <f>Travaux_2026[[#This Row],[AC 2025 Initiale]]+Travaux_2026[[#This Row],[TR 2025 Initiale]]</f>
        <v>25</v>
      </c>
      <c r="AB26">
        <f>Travaux_2026[[#This Row],[AC 2025]]-Travaux_2026[[#This Row],[AC 2025 Initiale]]</f>
        <v>34</v>
      </c>
      <c r="AC26">
        <f>Travaux_2026[[#This Row],[TR 2025]]-Travaux_2026[[#This Row],[TR 2025 Initiale]]</f>
        <v>0</v>
      </c>
      <c r="AD26">
        <f>Travaux_2026[[#This Row],[Écart AC 2025]]+Travaux_2026[[#This Row],[Écart TR 2025]]</f>
        <v>34</v>
      </c>
      <c r="AF26">
        <v>131</v>
      </c>
      <c r="AG26">
        <f>Travaux_2026[[#This Row],[AC 2026]]+Travaux_2026[[#This Row],[TR 2026]]</f>
        <v>609</v>
      </c>
      <c r="AH26">
        <v>478</v>
      </c>
      <c r="AI26">
        <v>25</v>
      </c>
      <c r="AJ26">
        <f>Travaux_2026[[#This Row],[AC 2026 Initiale]]+Travaux_2026[[#This Row],[TR 2026 Initiale]]</f>
        <v>25</v>
      </c>
      <c r="AK26">
        <f>Travaux_2026[[#This Row],[AC 2026]]-Travaux_2026[[#This Row],[AC 2026 Initiale]]</f>
        <v>106</v>
      </c>
      <c r="AL26">
        <f>Travaux_2026[[#This Row],[TR 2026]]-Travaux_2026[[#This Row],[TR 2026 Initiale]]</f>
        <v>478</v>
      </c>
      <c r="AM26">
        <f>Travaux_2026[[#This Row],[Écart AC 2026]]+Travaux_2026[[#This Row],[Écart TR 2026]]</f>
        <v>584</v>
      </c>
      <c r="AX26"/>
      <c r="BG26" s="14">
        <f>SUM(Travaux_2026[[#This Row],[AC ANT]:[TR 2025]],Travaux_2026[[#This Row],[AC 2026]:[TR 2026]],Travaux_2026[[#This Row],[AC 2027]:[TR 2034]])</f>
        <v>1336</v>
      </c>
    </row>
    <row r="27" spans="1:59" x14ac:dyDescent="0.3">
      <c r="K27">
        <f>SUBTOTAL(103,Travaux_2026[Numéro projet])</f>
        <v>12</v>
      </c>
      <c r="S27" s="14">
        <f>SUBTOTAL(109,Travaux_2026[AC ANT])</f>
        <v>801</v>
      </c>
      <c r="T27" s="14">
        <f>SUBTOTAL(109,Travaux_2026[TR ANT])</f>
        <v>41</v>
      </c>
      <c r="U27" s="14">
        <f>SUBTOTAL(109,Travaux_2026[AC 2024])</f>
        <v>869</v>
      </c>
      <c r="V27" s="14">
        <f>SUBTOTAL(109,Travaux_2026[TR 2024])</f>
        <v>0</v>
      </c>
      <c r="W27" s="14">
        <f>SUBTOTAL(109,Travaux_2026[AC 2025])</f>
        <v>1267</v>
      </c>
      <c r="X27" s="14">
        <f>SUBTOTAL(109,Travaux_2026[Actuel 2025])</f>
        <v>1267</v>
      </c>
      <c r="Y27" s="14">
        <f>SUBTOTAL(109,Travaux_2026[TR 2025])</f>
        <v>0</v>
      </c>
      <c r="Z27" s="14">
        <f>SUBTOTAL(109,Travaux_2026[AC 2025 Initiale])</f>
        <v>1133</v>
      </c>
      <c r="AA27" s="14">
        <f>SUBTOTAL(109,Travaux_2026[Initiale 2025])</f>
        <v>1133</v>
      </c>
      <c r="AB27" s="14">
        <f>SUBTOTAL(109,Travaux_2026[Écart AC 2025])</f>
        <v>134</v>
      </c>
      <c r="AC27" s="14">
        <f>SUBTOTAL(109,Travaux_2026[Écart TR 2025])</f>
        <v>0</v>
      </c>
      <c r="AD27" s="14">
        <f>SUBTOTAL(109,Travaux_2026[Écart 2025 Total])</f>
        <v>134</v>
      </c>
      <c r="AE27" s="14">
        <f>SUBTOTAL(109,Travaux_2026[TR 2025 Initiale])</f>
        <v>0</v>
      </c>
      <c r="AF27" s="14">
        <f>SUBTOTAL(109,Travaux_2026[AC 2026])</f>
        <v>4055</v>
      </c>
      <c r="AG27" s="14">
        <f>SUBTOTAL(109,Travaux_2026[Actuel 2026])</f>
        <v>72345</v>
      </c>
      <c r="AH27" s="14">
        <f>SUBTOTAL(109,Travaux_2026[TR 2026])</f>
        <v>68290</v>
      </c>
      <c r="AI27" s="14">
        <f>SUBTOTAL(109,Travaux_2026[AC 2026 Initiale])</f>
        <v>4089</v>
      </c>
      <c r="AJ27" s="14">
        <f>SUBTOTAL(109,Travaux_2026[Initiale 2026])</f>
        <v>70601</v>
      </c>
      <c r="AK27" s="14">
        <f>SUBTOTAL(109,Travaux_2026[Écart AC 2026])</f>
        <v>-34</v>
      </c>
      <c r="AL27" s="14">
        <f>SUBTOTAL(109,Travaux_2026[Écart TR 2026])</f>
        <v>1778</v>
      </c>
      <c r="AM27" s="14">
        <f>SUBTOTAL(109,Travaux_2026[Écart 2026 Total])</f>
        <v>1744</v>
      </c>
      <c r="AN27" s="14">
        <f>SUBTOTAL(109,Travaux_2026[TR 2026 Initiale])</f>
        <v>66512</v>
      </c>
      <c r="AO27" s="14">
        <f>SUBTOTAL(109,Travaux_2026[AC 2027])</f>
        <v>322</v>
      </c>
      <c r="AP27" s="14">
        <f>SUBTOTAL(109,Travaux_2026[TR 2027])</f>
        <v>5749</v>
      </c>
      <c r="AQ27" s="14">
        <f>SUBTOTAL(109,Travaux_2026[AC 2028])</f>
        <v>159</v>
      </c>
      <c r="AR27" s="14">
        <f>SUBTOTAL(109,Travaux_2026[TR 2028])</f>
        <v>4929</v>
      </c>
      <c r="AS27" s="14">
        <f>SUBTOTAL(109,Travaux_2026[AC 2029])</f>
        <v>212</v>
      </c>
      <c r="AT27" s="14">
        <f>SUBTOTAL(109,Travaux_2026[TR 2029])</f>
        <v>6707.0000000000018</v>
      </c>
      <c r="AU27" s="14">
        <f>SUBTOTAL(109,Travaux_2026[AC 2030])</f>
        <v>261</v>
      </c>
      <c r="AV27" s="14">
        <f>SUBTOTAL(109,Travaux_2026[TR 2030])</f>
        <v>6846.0000000000018</v>
      </c>
      <c r="AW27" s="14">
        <f>SUBTOTAL(109,Travaux_2026[AC 2031])</f>
        <v>0</v>
      </c>
      <c r="AX27" s="14">
        <f>SUBTOTAL(109,Travaux_2026[TR 2031])</f>
        <v>0</v>
      </c>
      <c r="AY27" s="14">
        <f>SUBTOTAL(109,Travaux_2026[AC 2032])</f>
        <v>0</v>
      </c>
      <c r="AZ27" s="14">
        <f>SUBTOTAL(109,Travaux_2026[TR 2032])</f>
        <v>0</v>
      </c>
      <c r="BA27" s="14">
        <f>SUBTOTAL(109,Travaux_2026[AC 2033])</f>
        <v>0</v>
      </c>
      <c r="BB27" s="14">
        <f>SUBTOTAL(109,Travaux_2026[TR 2033])</f>
        <v>0</v>
      </c>
      <c r="BC27" s="14">
        <f>SUBTOTAL(109,Travaux_2026[AC 2034])</f>
        <v>0</v>
      </c>
      <c r="BD27" s="14">
        <f>SUBTOTAL(109,Travaux_2026[TR 2034])</f>
        <v>0</v>
      </c>
      <c r="BG27" s="14">
        <f>SUBTOTAL(109,Travaux_2026[Total Projet])</f>
        <v>174120</v>
      </c>
    </row>
    <row r="29" spans="1:59" x14ac:dyDescent="0.3">
      <c r="AZ29" s="57"/>
      <c r="BA29" s="57"/>
      <c r="BB29" s="57"/>
      <c r="BC29" s="57"/>
      <c r="BD29" s="57"/>
      <c r="BE29" s="57"/>
      <c r="BF29" s="57"/>
      <c r="BG29" s="57"/>
    </row>
    <row r="63" spans="60:60" x14ac:dyDescent="0.3">
      <c r="BH63" s="57"/>
    </row>
    <row r="67" spans="60:60" x14ac:dyDescent="0.3">
      <c r="BH67" s="57"/>
    </row>
    <row r="143" spans="65:66" x14ac:dyDescent="0.3">
      <c r="BM143" s="57"/>
      <c r="BN143" s="57"/>
    </row>
  </sheetData>
  <mergeCells count="189">
    <mergeCell ref="AV13:AW13"/>
    <mergeCell ref="AX13:AY13"/>
    <mergeCell ref="AZ13:BA13"/>
    <mergeCell ref="BB13:BC13"/>
    <mergeCell ref="AH13:AI13"/>
    <mergeCell ref="AK13:AM13"/>
    <mergeCell ref="AN13:AO13"/>
    <mergeCell ref="AP13:AQ13"/>
    <mergeCell ref="AR13:AS13"/>
    <mergeCell ref="AT13:AU13"/>
    <mergeCell ref="T13:U13"/>
    <mergeCell ref="V13:W13"/>
    <mergeCell ref="Y13:Z13"/>
    <mergeCell ref="AB13:AD13"/>
    <mergeCell ref="AE13:AF13"/>
    <mergeCell ref="AE12:AF12"/>
    <mergeCell ref="AH12:AI12"/>
    <mergeCell ref="AK12:AM12"/>
    <mergeCell ref="AN12:AO12"/>
    <mergeCell ref="AV11:AW11"/>
    <mergeCell ref="AX11:AY11"/>
    <mergeCell ref="AZ11:BA11"/>
    <mergeCell ref="BB11:BC11"/>
    <mergeCell ref="R12:S12"/>
    <mergeCell ref="T12:U12"/>
    <mergeCell ref="V12:W12"/>
    <mergeCell ref="Y12:Z12"/>
    <mergeCell ref="AB12:AD12"/>
    <mergeCell ref="AE11:AF11"/>
    <mergeCell ref="AH11:AI11"/>
    <mergeCell ref="AK11:AM11"/>
    <mergeCell ref="AN11:AO11"/>
    <mergeCell ref="AP11:AQ11"/>
    <mergeCell ref="AR11:AS11"/>
    <mergeCell ref="AT12:AU12"/>
    <mergeCell ref="AV12:AW12"/>
    <mergeCell ref="AX12:AY12"/>
    <mergeCell ref="AZ12:BA12"/>
    <mergeCell ref="BB12:BC12"/>
    <mergeCell ref="AP12:AQ12"/>
    <mergeCell ref="AR12:AS12"/>
    <mergeCell ref="R11:S11"/>
    <mergeCell ref="T11:U11"/>
    <mergeCell ref="V11:W11"/>
    <mergeCell ref="Y11:Z11"/>
    <mergeCell ref="AB11:AD11"/>
    <mergeCell ref="AE10:AF10"/>
    <mergeCell ref="AH10:AI10"/>
    <mergeCell ref="AK10:AM10"/>
    <mergeCell ref="AN10:AO10"/>
    <mergeCell ref="AT9:AU9"/>
    <mergeCell ref="V9:W9"/>
    <mergeCell ref="Y9:Z9"/>
    <mergeCell ref="AB9:AD9"/>
    <mergeCell ref="AT11:AU11"/>
    <mergeCell ref="AV9:AW9"/>
    <mergeCell ref="AX9:AY9"/>
    <mergeCell ref="AZ9:BA9"/>
    <mergeCell ref="BB9:BC9"/>
    <mergeCell ref="R10:S10"/>
    <mergeCell ref="T10:U10"/>
    <mergeCell ref="V10:W10"/>
    <mergeCell ref="Y10:Z10"/>
    <mergeCell ref="AB10:AD10"/>
    <mergeCell ref="AE9:AF9"/>
    <mergeCell ref="AH9:AI9"/>
    <mergeCell ref="AK9:AM9"/>
    <mergeCell ref="AN9:AO9"/>
    <mergeCell ref="AP9:AQ9"/>
    <mergeCell ref="AR9:AS9"/>
    <mergeCell ref="AT10:AU10"/>
    <mergeCell ref="AV10:AW10"/>
    <mergeCell ref="AX10:AY10"/>
    <mergeCell ref="AZ10:BA10"/>
    <mergeCell ref="BB10:BC10"/>
    <mergeCell ref="AP10:AQ10"/>
    <mergeCell ref="AR10:AS10"/>
    <mergeCell ref="R9:S9"/>
    <mergeCell ref="T9:U9"/>
    <mergeCell ref="J8:K8"/>
    <mergeCell ref="R8:S8"/>
    <mergeCell ref="T8:U8"/>
    <mergeCell ref="V8:W8"/>
    <mergeCell ref="Y8:Z8"/>
    <mergeCell ref="AB8:AD8"/>
    <mergeCell ref="AH7:AI7"/>
    <mergeCell ref="AK7:AM7"/>
    <mergeCell ref="AN7:AO7"/>
    <mergeCell ref="BB8:BC8"/>
    <mergeCell ref="AP8:AQ8"/>
    <mergeCell ref="AR8:AS8"/>
    <mergeCell ref="R7:S7"/>
    <mergeCell ref="T7:U7"/>
    <mergeCell ref="V7:W7"/>
    <mergeCell ref="Y7:Z7"/>
    <mergeCell ref="AB7:AD7"/>
    <mergeCell ref="AE7:AF7"/>
    <mergeCell ref="AE8:AF8"/>
    <mergeCell ref="AH8:AI8"/>
    <mergeCell ref="AK8:AM8"/>
    <mergeCell ref="AN8:AO8"/>
    <mergeCell ref="AV7:AW7"/>
    <mergeCell ref="AX7:AY7"/>
    <mergeCell ref="AZ7:BA7"/>
    <mergeCell ref="BB7:BC7"/>
    <mergeCell ref="AP7:AQ7"/>
    <mergeCell ref="AR7:AS7"/>
    <mergeCell ref="AT7:AU7"/>
    <mergeCell ref="AT8:AU8"/>
    <mergeCell ref="AV8:AW8"/>
    <mergeCell ref="AX8:AY8"/>
    <mergeCell ref="AZ8:BA8"/>
    <mergeCell ref="AH6:AI6"/>
    <mergeCell ref="AK6:AM6"/>
    <mergeCell ref="AN6:AO6"/>
    <mergeCell ref="AZ5:BA5"/>
    <mergeCell ref="BB5:BC5"/>
    <mergeCell ref="R6:S6"/>
    <mergeCell ref="T6:U6"/>
    <mergeCell ref="V6:W6"/>
    <mergeCell ref="Y6:Z6"/>
    <mergeCell ref="AB6:AD6"/>
    <mergeCell ref="AE6:AF6"/>
    <mergeCell ref="AH5:AI5"/>
    <mergeCell ref="AK5:AM5"/>
    <mergeCell ref="AN5:AO5"/>
    <mergeCell ref="AP5:AQ5"/>
    <mergeCell ref="AR5:AS5"/>
    <mergeCell ref="AT5:AU5"/>
    <mergeCell ref="AV6:AW6"/>
    <mergeCell ref="AX6:AY6"/>
    <mergeCell ref="AZ6:BA6"/>
    <mergeCell ref="BB6:BC6"/>
    <mergeCell ref="AP6:AQ6"/>
    <mergeCell ref="AR6:AS6"/>
    <mergeCell ref="AT6:AU6"/>
    <mergeCell ref="AV4:AW4"/>
    <mergeCell ref="AX4:AY4"/>
    <mergeCell ref="AZ4:BA4"/>
    <mergeCell ref="BB4:BC4"/>
    <mergeCell ref="R5:S5"/>
    <mergeCell ref="T5:U5"/>
    <mergeCell ref="V5:W5"/>
    <mergeCell ref="Y5:Z5"/>
    <mergeCell ref="AB5:AD5"/>
    <mergeCell ref="AE5:AF5"/>
    <mergeCell ref="AH4:AI4"/>
    <mergeCell ref="AK4:AM4"/>
    <mergeCell ref="AN4:AO4"/>
    <mergeCell ref="AP4:AQ4"/>
    <mergeCell ref="AR4:AS4"/>
    <mergeCell ref="AT4:AU4"/>
    <mergeCell ref="R4:S4"/>
    <mergeCell ref="T4:U4"/>
    <mergeCell ref="V4:W4"/>
    <mergeCell ref="Y4:Z4"/>
    <mergeCell ref="AB4:AD4"/>
    <mergeCell ref="AE4:AF4"/>
    <mergeCell ref="AV5:AW5"/>
    <mergeCell ref="AX5:AY5"/>
    <mergeCell ref="AX3:AY3"/>
    <mergeCell ref="AZ3:BA3"/>
    <mergeCell ref="BB3:BC3"/>
    <mergeCell ref="AB3:AD3"/>
    <mergeCell ref="AE3:AF3"/>
    <mergeCell ref="AH3:AI3"/>
    <mergeCell ref="AK3:AM3"/>
    <mergeCell ref="AN3:AO3"/>
    <mergeCell ref="AP3:AQ3"/>
    <mergeCell ref="P2:Q2"/>
    <mergeCell ref="P3:Q3"/>
    <mergeCell ref="R3:S3"/>
    <mergeCell ref="T3:U3"/>
    <mergeCell ref="V3:W3"/>
    <mergeCell ref="Y3:Z3"/>
    <mergeCell ref="AR3:AS3"/>
    <mergeCell ref="AT3:AU3"/>
    <mergeCell ref="AV3:AW3"/>
    <mergeCell ref="BD12:BE12"/>
    <mergeCell ref="BD13:BE13"/>
    <mergeCell ref="BD3:BE3"/>
    <mergeCell ref="BD4:BE4"/>
    <mergeCell ref="BD5:BE5"/>
    <mergeCell ref="BD6:BE6"/>
    <mergeCell ref="BD7:BE7"/>
    <mergeCell ref="BD8:BE8"/>
    <mergeCell ref="BD9:BE9"/>
    <mergeCell ref="BD10:BE10"/>
    <mergeCell ref="BD11:BE11"/>
  </mergeCells>
  <phoneticPr fontId="1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C39F-A65C-4E56-8E16-127783103482}">
  <dimension ref="A1:BS159"/>
  <sheetViews>
    <sheetView topLeftCell="L5" zoomScale="90" zoomScaleNormal="90" workbookViewId="0">
      <selection activeCell="R36" sqref="R36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1.44140625" customWidth="1" outlineLevel="1"/>
    <col min="3" max="3" width="8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1.33203125" customWidth="1" outlineLevel="1"/>
    <col min="8" max="8" width="12.44140625" customWidth="1" outlineLevel="1"/>
    <col min="9" max="9" width="17" customWidth="1"/>
    <col min="10" max="10" width="14.33203125" customWidth="1"/>
    <col min="11" max="11" width="100.44140625" customWidth="1"/>
    <col min="12" max="12" width="31.33203125" bestFit="1" customWidth="1" collapsed="1"/>
    <col min="13" max="13" width="10.33203125" customWidth="1"/>
    <col min="14" max="15" width="10.6640625" customWidth="1"/>
    <col min="16" max="16" width="21.6640625" customWidth="1"/>
    <col min="17" max="17" width="14.88671875" customWidth="1"/>
    <col min="18" max="18" width="12.5546875" customWidth="1"/>
    <col min="19" max="19" width="12.33203125" customWidth="1"/>
    <col min="20" max="20" width="13.5546875" customWidth="1"/>
    <col min="21" max="21" width="13.88671875" customWidth="1"/>
    <col min="22" max="22" width="14.6640625" customWidth="1"/>
    <col min="23" max="25" width="12.33203125" hidden="1" customWidth="1" outlineLevel="1"/>
    <col min="26" max="26" width="11.44140625" hidden="1" customWidth="1" outlineLevel="1"/>
    <col min="27" max="27" width="10.6640625" hidden="1" customWidth="1" outlineLevel="1"/>
    <col min="28" max="28" width="11.88671875" hidden="1" customWidth="1" outlineLevel="1"/>
    <col min="29" max="29" width="11.44140625" hidden="1" customWidth="1" outlineLevel="1"/>
    <col min="30" max="30" width="12" hidden="1" customWidth="1" outlineLevel="1"/>
    <col min="31" max="31" width="12.88671875" hidden="1" customWidth="1" outlineLevel="1"/>
    <col min="32" max="32" width="10.5546875" hidden="1" customWidth="1" outlineLevel="1"/>
    <col min="33" max="33" width="9.6640625" hidden="1" customWidth="1" outlineLevel="1"/>
    <col min="34" max="34" width="14" hidden="1" customWidth="1" outlineLevel="1"/>
    <col min="35" max="35" width="14.109375" hidden="1" customWidth="1" outlineLevel="1"/>
    <col min="36" max="36" width="20" customWidth="1" collapsed="1"/>
    <col min="37" max="37" width="9.33203125" customWidth="1" outlineLevel="1"/>
    <col min="38" max="38" width="10.44140625" customWidth="1" outlineLevel="1"/>
    <col min="39" max="39" width="9.88671875" customWidth="1" outlineLevel="1"/>
    <col min="40" max="40" width="9.88671875" style="25" customWidth="1" outlineLevel="1"/>
    <col min="41" max="42" width="9.88671875" customWidth="1" outlineLevel="1"/>
    <col min="43" max="43" width="11.109375" customWidth="1"/>
    <col min="44" max="44" width="12.33203125" customWidth="1"/>
    <col min="45" max="45" width="11" customWidth="1"/>
    <col min="46" max="49" width="9.88671875" customWidth="1"/>
    <col min="50" max="50" width="9.88671875" style="8" customWidth="1"/>
    <col min="51" max="62" width="9.88671875" customWidth="1"/>
    <col min="63" max="63" width="13.44140625" customWidth="1"/>
    <col min="64" max="64" width="13.5546875" customWidth="1"/>
    <col min="65" max="65" width="18" customWidth="1"/>
    <col min="66" max="66" width="17" customWidth="1"/>
    <col min="67" max="67" width="16.6640625" bestFit="1" customWidth="1"/>
    <col min="68" max="77" width="11.33203125" customWidth="1"/>
    <col min="78" max="78" width="12.5546875" customWidth="1"/>
    <col min="79" max="79" width="13.44140625" customWidth="1"/>
    <col min="80" max="80" width="13.109375" customWidth="1"/>
    <col min="81" max="81" width="14" customWidth="1"/>
    <col min="82" max="87" width="17.33203125" customWidth="1"/>
    <col min="88" max="88" width="18.109375" customWidth="1"/>
    <col min="89" max="89" width="17.5546875" customWidth="1"/>
  </cols>
  <sheetData>
    <row r="1" spans="1:71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7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85"/>
      <c r="BP1" s="85"/>
      <c r="BQ1" s="85"/>
      <c r="BR1" s="85"/>
      <c r="BS1" s="85"/>
    </row>
    <row r="2" spans="1:71" x14ac:dyDescent="0.3">
      <c r="AG2" s="25"/>
      <c r="AH2" s="25"/>
      <c r="AI2" s="25"/>
      <c r="AJ2" s="25"/>
      <c r="AK2" s="25"/>
      <c r="AL2" s="25"/>
      <c r="AM2" s="25"/>
      <c r="AO2" s="8"/>
      <c r="AX2"/>
    </row>
    <row r="3" spans="1:71" ht="26.4" customHeight="1" x14ac:dyDescent="0.3">
      <c r="I3" s="306" t="s">
        <v>2</v>
      </c>
      <c r="J3" s="307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H3" s="4" t="s">
        <v>3</v>
      </c>
      <c r="AI3" s="80" t="s">
        <v>4</v>
      </c>
      <c r="AJ3" s="128" t="s">
        <v>5</v>
      </c>
      <c r="AK3" s="265" t="s">
        <v>6</v>
      </c>
      <c r="AL3" s="264"/>
      <c r="AM3" s="263">
        <v>2024</v>
      </c>
      <c r="AN3" s="264"/>
      <c r="AO3" s="263">
        <v>2025</v>
      </c>
      <c r="AP3" s="264"/>
      <c r="AQ3" s="263">
        <v>2026</v>
      </c>
      <c r="AR3" s="264"/>
      <c r="AS3" s="263">
        <v>2027</v>
      </c>
      <c r="AT3" s="264"/>
      <c r="AU3" s="263">
        <v>2028</v>
      </c>
      <c r="AV3" s="264"/>
      <c r="AW3" s="263">
        <v>2029</v>
      </c>
      <c r="AX3" s="264"/>
      <c r="AY3" s="263">
        <v>2030</v>
      </c>
      <c r="AZ3" s="264"/>
      <c r="BA3" s="263">
        <v>2031</v>
      </c>
      <c r="BB3" s="264"/>
      <c r="BC3" s="263">
        <v>2032</v>
      </c>
      <c r="BD3" s="264"/>
      <c r="BE3" s="263">
        <v>2033</v>
      </c>
      <c r="BF3" s="264"/>
      <c r="BG3" s="263">
        <v>2034</v>
      </c>
      <c r="BH3" s="264"/>
      <c r="BI3" s="263">
        <v>2035</v>
      </c>
      <c r="BJ3" s="264"/>
      <c r="BK3" s="26" t="s">
        <v>560</v>
      </c>
      <c r="BL3" s="26" t="s">
        <v>595</v>
      </c>
    </row>
    <row r="4" spans="1:71" x14ac:dyDescent="0.3">
      <c r="I4" s="27" t="s">
        <v>9</v>
      </c>
      <c r="J4" s="28" t="s">
        <v>10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H4" s="66"/>
      <c r="AI4" s="138"/>
      <c r="AJ4" s="104" t="s">
        <v>11</v>
      </c>
      <c r="AK4" s="260"/>
      <c r="AL4" s="260"/>
      <c r="AM4" s="260">
        <f>SUMIFS(Portefeuille_MNT_PPS_Access26[AC 2024],Portefeuille_MNT_PPS_Access26[DES_COMPL_NATR_COMPB],"=Fonctionnement")+SUMIFS(Portefeuille_MNT_PPS_Access26[TR 2024],Portefeuille_MNT_PPS_Access26[DES_COMPL_NATR_COMPB],"=Fonctionnement")</f>
        <v>339</v>
      </c>
      <c r="AN4" s="260"/>
      <c r="AO4" s="260">
        <f>SUMIFS(Portefeuille_MNT_PPS_Access26[AC 2025],Portefeuille_MNT_PPS_Access26[DES_COMPL_NATR_COMPB],"=Fonctionnement")+SUMIFS(Portefeuille_MNT_PPS_Access26[TR 2025],Portefeuille_MNT_PPS_Access26[DES_COMPL_NATR_COMPB],"=Fonctionnement")</f>
        <v>300</v>
      </c>
      <c r="AP4" s="260"/>
      <c r="AQ4" s="260">
        <f>SUMIFS(Portefeuille_MNT_PPS_Access26[AC 2026],Portefeuille_MNT_PPS_Access26[DES_COMPL_NATR_COMPB],"=Fonctionnement")+SUMIFS(Portefeuille_MNT_PPS_Access26[TR 2026],Portefeuille_MNT_PPS_Access26[DES_COMPL_NATR_COMPB],"=Fonctionnement")</f>
        <v>300</v>
      </c>
      <c r="AR4" s="260"/>
      <c r="AS4" s="260">
        <f>SUMIFS(Portefeuille_MNT_PPS_Access26[AC 2027],Portefeuille_MNT_PPS_Access26[DES_COMPL_NATR_COMPB],"=Fonctionnement")+SUMIFS(Portefeuille_MNT_PPS_Access26[TR 2027],Portefeuille_MNT_PPS_Access26[DES_COMPL_NATR_COMPB],"=Fonctionnement")</f>
        <v>510</v>
      </c>
      <c r="AT4" s="260"/>
      <c r="AU4" s="260">
        <f>SUMIFS(Portefeuille_MNT_PPS_Access26[AC 2028],Portefeuille_MNT_PPS_Access26[DES_COMPL_NATR_COMPB],"=Fonctionnement")+SUMIFS(Portefeuille_MNT_PPS_Access26[TR 2028],Portefeuille_MNT_PPS_Access26[DES_COMPL_NATR_COMPB],"=Fonctionnement")</f>
        <v>0</v>
      </c>
      <c r="AV4" s="260"/>
      <c r="AW4" s="260">
        <f>SUMIFS(Portefeuille_MNT_PPS_Access26[AC 2029],Portefeuille_MNT_PPS_Access26[DES_COMPL_NATR_COMPB],"=Fonctionnement")+SUMIFS(Portefeuille_MNT_PPS_Access26[TR 2029],Portefeuille_MNT_PPS_Access26[DES_COMPL_NATR_COMPB],"=Fonctionnement")</f>
        <v>0</v>
      </c>
      <c r="AX4" s="260"/>
      <c r="AY4" s="260">
        <f>SUMIFS(Portefeuille_MNT_PPS_Access26[AC 2030],Portefeuille_MNT_PPS_Access26[DES_COMPL_NATR_COMPB],"=Fonctionnement")+SUMIFS(Portefeuille_MNT_PPS_Access26[TR 2030],Portefeuille_MNT_PPS_Access26[DES_COMPL_NATR_COMPB],"=Fonctionnement")</f>
        <v>0</v>
      </c>
      <c r="AZ4" s="260"/>
      <c r="BA4" s="260">
        <f>SUMIFS(Portefeuille_MNT_PPS_Access26[AC 2031],Portefeuille_MNT_PPS_Access26[DES_COMPL_NATR_COMPB],"=Fonctionnement")+SUMIFS(Portefeuille_MNT_PPS_Access26[TR 2031],Portefeuille_MNT_PPS_Access26[DES_COMPL_NATR_COMPB],"=Fonctionnement")</f>
        <v>0</v>
      </c>
      <c r="BB4" s="260"/>
      <c r="BC4" s="260">
        <f>SUMIFS(Portefeuille_MNT_PPS_Access26[AC 2032],Portefeuille_MNT_PPS_Access26[DES_COMPL_NATR_COMPB],"=Fonctionnement")+SUMIFS(Portefeuille_MNT_PPS_Access26[TR 2032],Portefeuille_MNT_PPS_Access26[DES_COMPL_NATR_COMPB],"=Fonctionnement")</f>
        <v>0</v>
      </c>
      <c r="BD4" s="260"/>
      <c r="BE4" s="260">
        <f>SUMIFS(Portefeuille_MNT_PPS_Access26[AC 2033],Portefeuille_MNT_PPS_Access26[DES_COMPL_NATR_COMPB],"=Fonctionnement")+SUMIFS(Portefeuille_MNT_PPS_Access26[TR 2033],Portefeuille_MNT_PPS_Access26[DES_COMPL_NATR_COMPB],"=Fonctionnement")</f>
        <v>0</v>
      </c>
      <c r="BF4" s="260"/>
      <c r="BG4" s="260">
        <f>SUMIFS(Portefeuille_MNT_PPS_Access26[AC 2034],Portefeuille_MNT_PPS_Access26[DES_COMPL_NATR_COMPB],"=Fonctionnement")+SUMIFS(Portefeuille_MNT_PPS_Access26[TR 2034],Portefeuille_MNT_PPS_Access26[DES_COMPL_NATR_COMPB],"=Fonctionnement")</f>
        <v>0</v>
      </c>
      <c r="BH4" s="260"/>
      <c r="BI4" s="260">
        <f>SUMIFS(Portefeuille_MNT_PPS_Access26[AC 2035],Portefeuille_MNT_PPS_Access26[DES_COMPL_NATR_COMPB],"=Fonctionnement")+SUMIFS(Portefeuille_MNT_PPS_Access26[TR 2035],Portefeuille_MNT_PPS_Access26[DES_COMPL_NATR_COMPB],"=Fonctionnement")</f>
        <v>0</v>
      </c>
      <c r="BJ4" s="260"/>
      <c r="BK4" s="16">
        <f>SUM(AQ4:AZ4)</f>
        <v>810</v>
      </c>
      <c r="BL4" s="16">
        <f>SUM(AQ4:BJ4)</f>
        <v>810</v>
      </c>
    </row>
    <row r="5" spans="1:71" x14ac:dyDescent="0.3">
      <c r="I5" s="27" t="s">
        <v>12</v>
      </c>
      <c r="J5" s="28" t="s">
        <v>13</v>
      </c>
      <c r="AH5" s="67"/>
      <c r="AI5" s="139" t="s">
        <v>299</v>
      </c>
      <c r="AJ5" s="104" t="s">
        <v>15</v>
      </c>
      <c r="AK5" s="260">
        <f>SUMIFS(Portefeuille_MNT_PPS_Access26[AC ANT],Portefeuille_MNT_PPS_Access26[État Composante AC],"=PR")</f>
        <v>24010</v>
      </c>
      <c r="AL5" s="260"/>
      <c r="AM5" s="260">
        <f>SUMIFS(Portefeuille_MNT_PPS_Access26[AC 2024],Portefeuille_MNT_PPS_Access26[État Composante AC],"=PR")</f>
        <v>4500</v>
      </c>
      <c r="AN5" s="260"/>
      <c r="AO5" s="260">
        <f>SUMIFS(Portefeuille_MNT_PPS_Access26[AC 2025],Portefeuille_MNT_PPS_Access26[État Composante AC],"=PR")</f>
        <v>11828</v>
      </c>
      <c r="AP5" s="260"/>
      <c r="AQ5" s="260">
        <f>SUMIFS(Portefeuille_MNT_PPS_Access26[AC 2026],Portefeuille_MNT_PPS_Access26[État Composante AC],"=PR")</f>
        <v>10925</v>
      </c>
      <c r="AR5" s="260"/>
      <c r="AS5" s="260">
        <f>SUMIFS(Portefeuille_MNT_PPS_Access26[AC 2027],Portefeuille_MNT_PPS_Access26[État Composante AC],"=PR")</f>
        <v>10204</v>
      </c>
      <c r="AT5" s="260"/>
      <c r="AU5" s="260">
        <f>SUMIFS(Portefeuille_MNT_PPS_Access26[AC 2028],Portefeuille_MNT_PPS_Access26[État Composante AC],"=PR")</f>
        <v>6197</v>
      </c>
      <c r="AV5" s="260"/>
      <c r="AW5" s="260">
        <f>SUMIFS(Portefeuille_MNT_PPS_Access26[AC 2029],Portefeuille_MNT_PPS_Access26[État Composante AC],"=PR")</f>
        <v>3062</v>
      </c>
      <c r="AX5" s="260"/>
      <c r="AY5" s="260">
        <f>SUMIFS(Portefeuille_MNT_PPS_Access26[AC 2030],Portefeuille_MNT_PPS_Access26[État Composante AC],"=PR")</f>
        <v>2395</v>
      </c>
      <c r="AZ5" s="260"/>
      <c r="BA5" s="260">
        <f>SUMIFS(Portefeuille_MNT_PPS_Access26[AC 2031],Portefeuille_MNT_PPS_Access26[État Composante AC],"=PR")</f>
        <v>1918</v>
      </c>
      <c r="BB5" s="260"/>
      <c r="BC5" s="260">
        <f>SUMIFS(Portefeuille_MNT_PPS_Access26[AC 2032],Portefeuille_MNT_PPS_Access26[État Composante AC],"=PR")</f>
        <v>0</v>
      </c>
      <c r="BD5" s="260"/>
      <c r="BE5" s="260">
        <f>SUMIFS(Portefeuille_MNT_PPS_Access26[AC 2033],Portefeuille_MNT_PPS_Access26[État Composante AC],"=PR")</f>
        <v>0</v>
      </c>
      <c r="BF5" s="260"/>
      <c r="BG5" s="260">
        <f>SUMIFS(Portefeuille_MNT_PPS_Access26[AC 2034],Portefeuille_MNT_PPS_Access26[État Composante AC],"=PR")</f>
        <v>0</v>
      </c>
      <c r="BH5" s="260"/>
      <c r="BI5" s="260">
        <f>SUMIFS(Portefeuille_MNT_PPS_Access26[AC 2035],Portefeuille_MNT_PPS_Access26[État Composante TR],"=PR")</f>
        <v>0</v>
      </c>
      <c r="BJ5" s="260"/>
      <c r="BK5" s="16">
        <f>SUM(AQ5:AZ5)</f>
        <v>32783</v>
      </c>
      <c r="BL5" s="16">
        <f t="shared" ref="BL5:BL6" si="0">SUM(AQ5:BJ5)</f>
        <v>34701</v>
      </c>
    </row>
    <row r="6" spans="1:71" x14ac:dyDescent="0.3">
      <c r="I6" s="29" t="s">
        <v>16</v>
      </c>
      <c r="J6" s="28" t="s">
        <v>17</v>
      </c>
      <c r="AH6" s="35" t="s">
        <v>18</v>
      </c>
      <c r="AI6" s="140">
        <v>1</v>
      </c>
      <c r="AJ6" s="83" t="s">
        <v>19</v>
      </c>
      <c r="AK6" s="260">
        <f>SUMIFS(Portefeuille_MNT_PPS_Access26[TR ANT],Portefeuille_MNT_PPS_Access26[État Composante TR],"=PR")</f>
        <v>133660</v>
      </c>
      <c r="AL6" s="260"/>
      <c r="AM6" s="260">
        <f>SUMIFS(Portefeuille_MNT_PPS_Access26[TR 2024],Portefeuille_MNT_PPS_Access26[État Composante TR],"=PR")</f>
        <v>70599</v>
      </c>
      <c r="AN6" s="260"/>
      <c r="AO6" s="260">
        <f>SUMIFS(Portefeuille_MNT_PPS_Access26[TR 2025],Portefeuille_MNT_PPS_Access26[État Composante TR],"=PR")</f>
        <v>55614</v>
      </c>
      <c r="AP6" s="260"/>
      <c r="AQ6" s="260">
        <f>SUMIFS(Portefeuille_MNT_PPS_Access26[TR 2026],Portefeuille_MNT_PPS_Access26[État Composante TR],"=PR")</f>
        <v>66913</v>
      </c>
      <c r="AR6" s="260"/>
      <c r="AS6" s="260">
        <f>SUMIFS(Portefeuille_MNT_PPS_Access26[TR 2027],Portefeuille_MNT_PPS_Access26[État Composante TR],"=PR")</f>
        <v>5749</v>
      </c>
      <c r="AT6" s="260"/>
      <c r="AU6" s="260">
        <f>SUMIFS(Portefeuille_MNT_PPS_Access26[TR 2028],Portefeuille_MNT_PPS_Access26[État Composante TR],"=PR")</f>
        <v>4929</v>
      </c>
      <c r="AV6" s="260"/>
      <c r="AW6" s="260">
        <f>SUMIFS(Portefeuille_MNT_PPS_Access26[TR 2029],Portefeuille_MNT_PPS_Access26[État Composante TR],"=PR")</f>
        <v>6707.0000000000009</v>
      </c>
      <c r="AX6" s="260"/>
      <c r="AY6" s="260">
        <f>SUMIFS(Portefeuille_MNT_PPS_Access26[TR 2030],Portefeuille_MNT_PPS_Access26[État Composante TR],"=PR")</f>
        <v>6846.0000000000018</v>
      </c>
      <c r="AZ6" s="260"/>
      <c r="BA6" s="260">
        <f>SUMIFS(Portefeuille_MNT_PPS_Access26[TR 2031],Portefeuille_MNT_PPS_Access26[État Composante TR],"=PR")</f>
        <v>0</v>
      </c>
      <c r="BB6" s="260"/>
      <c r="BC6" s="260">
        <f>SUMIFS(Portefeuille_MNT_PPS_Access26[TR 2032],Portefeuille_MNT_PPS_Access26[État Composante TR],"=PR")</f>
        <v>0</v>
      </c>
      <c r="BD6" s="260"/>
      <c r="BE6" s="260">
        <f>SUMIFS(Portefeuille_MNT_PPS_Access26[TR 2033],Portefeuille_MNT_PPS_Access26[État Composante TR],"=PR")</f>
        <v>0</v>
      </c>
      <c r="BF6" s="260"/>
      <c r="BG6" s="260">
        <f>SUMIFS(Portefeuille_MNT_PPS_Access26[TR 2034],Portefeuille_MNT_PPS_Access26[État Composante TR],"=PR")</f>
        <v>0</v>
      </c>
      <c r="BH6" s="260"/>
      <c r="BI6" s="260">
        <f>SUMIFS(Portefeuille_MNT_PPS_Access26[TR 2035],Portefeuille_MNT_PPS_Access26[Région],"=PR")</f>
        <v>0</v>
      </c>
      <c r="BJ6" s="260"/>
      <c r="BK6" s="16">
        <f>SUM(AQ6:AZ6)</f>
        <v>91144</v>
      </c>
      <c r="BL6" s="16">
        <f t="shared" si="0"/>
        <v>91144</v>
      </c>
    </row>
    <row r="7" spans="1:71" x14ac:dyDescent="0.3">
      <c r="I7" s="30" t="s">
        <v>20</v>
      </c>
      <c r="J7" s="31" t="s">
        <v>21</v>
      </c>
      <c r="AH7" s="35" t="s">
        <v>22</v>
      </c>
      <c r="AI7" s="140">
        <v>0.25</v>
      </c>
      <c r="AJ7" s="116" t="s">
        <v>23</v>
      </c>
      <c r="AK7" s="262">
        <f>AK5+AK6</f>
        <v>157670</v>
      </c>
      <c r="AL7" s="262"/>
      <c r="AM7" s="262">
        <f>AM5+AM6</f>
        <v>75099</v>
      </c>
      <c r="AN7" s="262"/>
      <c r="AO7" s="262">
        <f>AO5+AO6</f>
        <v>67442</v>
      </c>
      <c r="AP7" s="262"/>
      <c r="AQ7" s="262">
        <f>AQ5+AQ6</f>
        <v>77838</v>
      </c>
      <c r="AR7" s="262"/>
      <c r="AS7" s="262">
        <f>AS5+AS6</f>
        <v>15953</v>
      </c>
      <c r="AT7" s="262"/>
      <c r="AU7" s="262">
        <f>AU5+AU6</f>
        <v>11126</v>
      </c>
      <c r="AV7" s="262"/>
      <c r="AW7" s="262">
        <f>AW5+AW6</f>
        <v>9769</v>
      </c>
      <c r="AX7" s="262"/>
      <c r="AY7" s="262">
        <f>AY5+AY6</f>
        <v>9241.0000000000018</v>
      </c>
      <c r="AZ7" s="262"/>
      <c r="BA7" s="262">
        <f>BA5+BA6</f>
        <v>1918</v>
      </c>
      <c r="BB7" s="262"/>
      <c r="BC7" s="262">
        <f>BC5+BC6</f>
        <v>0</v>
      </c>
      <c r="BD7" s="262"/>
      <c r="BE7" s="262">
        <f>BE5+BE6</f>
        <v>0</v>
      </c>
      <c r="BF7" s="262"/>
      <c r="BG7" s="262">
        <f>BG5+BG6</f>
        <v>0</v>
      </c>
      <c r="BH7" s="262"/>
      <c r="BI7" s="262">
        <f>BI5+BI6</f>
        <v>0</v>
      </c>
      <c r="BJ7" s="262"/>
      <c r="BK7" s="20">
        <f>BK6+BK5+BK4</f>
        <v>124737</v>
      </c>
      <c r="BL7" s="20">
        <f>BL6+BL5+BL4</f>
        <v>126655</v>
      </c>
    </row>
    <row r="8" spans="1:71" x14ac:dyDescent="0.3">
      <c r="I8" s="131"/>
      <c r="J8" s="28" t="s">
        <v>270</v>
      </c>
      <c r="AH8" s="35" t="s">
        <v>24</v>
      </c>
      <c r="AI8" s="140">
        <v>0.25</v>
      </c>
      <c r="AJ8" s="83" t="s">
        <v>25</v>
      </c>
      <c r="AK8" s="260">
        <f>SUMIFS(Portefeuille_MNT_PPS_Access26[AC ANT],Portefeuille_MNT_PPS_Access26[État Composante AC],"&lt;&gt;PR")</f>
        <v>0</v>
      </c>
      <c r="AL8" s="260"/>
      <c r="AM8" s="260">
        <f>SUMIFS(Portefeuille_MNT_PPS_Access26[AC 2024],Portefeuille_MNT_PPS_Access26[État Composante AC],"&lt;&gt;PR")</f>
        <v>0</v>
      </c>
      <c r="AN8" s="260"/>
      <c r="AO8" s="260">
        <f>SUMIFS(Portefeuille_MNT_PPS_Access26[AC 2025],Portefeuille_MNT_PPS_Access26[État Composante AC],"&lt;&gt;PR")</f>
        <v>0</v>
      </c>
      <c r="AP8" s="260"/>
      <c r="AQ8" s="260">
        <f>SUMIFS(Portefeuille_MNT_PPS_Access26[AC 2026],Portefeuille_MNT_PPS_Access26[État Composante AC],"&lt;&gt;PR")</f>
        <v>731</v>
      </c>
      <c r="AR8" s="260"/>
      <c r="AS8" s="260">
        <f>SUMIFS(Portefeuille_MNT_PPS_Access26[AC 2027],Portefeuille_MNT_PPS_Access26[État Composante AC],"&lt;&gt;PR")</f>
        <v>2655</v>
      </c>
      <c r="AT8" s="260"/>
      <c r="AU8" s="260">
        <f>SUMIFS(Portefeuille_MNT_PPS_Access26[AC 2028],Portefeuille_MNT_PPS_Access26[État Composante AC],"&lt;&gt;PR")</f>
        <v>5175</v>
      </c>
      <c r="AV8" s="260"/>
      <c r="AW8" s="260">
        <f>SUMIFS(Portefeuille_MNT_PPS_Access26[AC 2029],Portefeuille_MNT_PPS_Access26[État Composante AC],"&lt;&gt;PR")</f>
        <v>7940</v>
      </c>
      <c r="AX8" s="260"/>
      <c r="AY8" s="260">
        <f>SUMIFS(Portefeuille_MNT_PPS_Access26[AC 2030],Portefeuille_MNT_PPS_Access26[État Composante AC],"&lt;&gt;PR")</f>
        <v>5825</v>
      </c>
      <c r="AZ8" s="260"/>
      <c r="BA8" s="260">
        <f>SUMIFS(Portefeuille_MNT_PPS_Access26[AC 2031],Portefeuille_MNT_PPS_Access26[État Composante AC],"&lt;&gt;PR")</f>
        <v>6250</v>
      </c>
      <c r="BB8" s="260"/>
      <c r="BC8" s="260">
        <f>SUMIFS(Portefeuille_MNT_PPS_Access26[AC 2032],Portefeuille_MNT_PPS_Access26[État Composante AC],"&lt;&gt;PR")</f>
        <v>7250</v>
      </c>
      <c r="BD8" s="260"/>
      <c r="BE8" s="260">
        <f>SUMIFS(Portefeuille_MNT_PPS_Access26[AC 2033],Portefeuille_MNT_PPS_Access26[État Composante AC],"&lt;&gt;PR")</f>
        <v>7225</v>
      </c>
      <c r="BF8" s="260"/>
      <c r="BG8" s="260">
        <f>SUMIFS(Portefeuille_MNT_PPS_Access26[AC 2034],Portefeuille_MNT_PPS_Access26[État Composante AC],"&lt;&gt;PR")</f>
        <v>5125</v>
      </c>
      <c r="BH8" s="260"/>
      <c r="BI8" s="260">
        <f>SUMIFS(Portefeuille_MNT_PPS_Access26[AC 2035],Portefeuille_MNT_PPS_Access26[État Composante TR],"&lt;&gt;PR")</f>
        <v>3350</v>
      </c>
      <c r="BJ8" s="260"/>
      <c r="BK8" s="16">
        <f>SUM(AQ8:AZ8)</f>
        <v>22326</v>
      </c>
      <c r="BL8" s="16">
        <f>SUM(AQ8:BJ8)</f>
        <v>51526</v>
      </c>
    </row>
    <row r="9" spans="1:71" x14ac:dyDescent="0.3">
      <c r="I9" s="176"/>
      <c r="J9" s="28" t="s">
        <v>271</v>
      </c>
      <c r="AH9" s="35" t="s">
        <v>26</v>
      </c>
      <c r="AI9" s="140">
        <v>0.25</v>
      </c>
      <c r="AJ9" s="83" t="s">
        <v>27</v>
      </c>
      <c r="AK9" s="260">
        <f>SUMIFS(Portefeuille_MNT_PPS_Access26[TR ANT],Portefeuille_MNT_PPS_Access26[État Composante TR],"&lt;&gt;PR")</f>
        <v>19531</v>
      </c>
      <c r="AL9" s="260"/>
      <c r="AM9" s="260">
        <f>SUMIFS(Portefeuille_MNT_PPS_Access26[TR 2024],Portefeuille_MNT_PPS_Access26[État Composante TR],"&lt;&gt;PR")</f>
        <v>0</v>
      </c>
      <c r="AN9" s="260"/>
      <c r="AO9" s="260">
        <f>SUMIFS(Portefeuille_MNT_PPS_Access26[TR 2025],Portefeuille_MNT_PPS_Access26[État Composante TR],"&lt;&gt;PR")</f>
        <v>100</v>
      </c>
      <c r="AP9" s="260"/>
      <c r="AQ9" s="260">
        <f>SUMIFS(Portefeuille_MNT_PPS_Access26[TR 2026],Portefeuille_MNT_PPS_Access26[État Composante TR],"&lt;&gt;PR")</f>
        <v>2171</v>
      </c>
      <c r="AR9" s="260"/>
      <c r="AS9" s="260">
        <f>SUMIFS(Portefeuille_MNT_PPS_Access26[TR 2027],Portefeuille_MNT_PPS_Access26[État Composante TR],"&lt;&gt;PR")</f>
        <v>52441</v>
      </c>
      <c r="AT9" s="260"/>
      <c r="AU9" s="260">
        <f>SUMIFS(Portefeuille_MNT_PPS_Access26[TR 2028],Portefeuille_MNT_PPS_Access26[État Composante TR],"&lt;&gt;PR")</f>
        <v>79600</v>
      </c>
      <c r="AV9" s="260"/>
      <c r="AW9" s="260">
        <f>SUMIFS(Portefeuille_MNT_PPS_Access26[TR 2029],Portefeuille_MNT_PPS_Access26[État Composante TR],"&lt;&gt;PR")</f>
        <v>111544</v>
      </c>
      <c r="AX9" s="260"/>
      <c r="AY9" s="260">
        <f>SUMIFS(Portefeuille_MNT_PPS_Access26[TR 2030],Portefeuille_MNT_PPS_Access26[État Composante TR],"&lt;&gt;PR")</f>
        <v>91862</v>
      </c>
      <c r="AZ9" s="260"/>
      <c r="BA9" s="260">
        <f>SUMIFS(Portefeuille_MNT_PPS_Access26[TR 2031],Portefeuille_MNT_PPS_Access26[État Composante TR],"&lt;&gt;PR")</f>
        <v>95819</v>
      </c>
      <c r="BB9" s="260"/>
      <c r="BC9" s="260">
        <f>SUMIFS(Portefeuille_MNT_PPS_Access26[TR 2032],Portefeuille_MNT_PPS_Access26[État Composante TR],"&lt;&gt;PR")</f>
        <v>61200</v>
      </c>
      <c r="BD9" s="260"/>
      <c r="BE9" s="260">
        <f>SUMIFS(Portefeuille_MNT_PPS_Access26[TR 2033],Portefeuille_MNT_PPS_Access26[État Composante TR],"&lt;&gt;PR")</f>
        <v>82000</v>
      </c>
      <c r="BF9" s="260"/>
      <c r="BG9" s="260">
        <f>SUMIFS(Portefeuille_MNT_PPS_Access26[TR 2034],Portefeuille_MNT_PPS_Access26[État Composante TR],"&lt;&gt;PR")</f>
        <v>102000</v>
      </c>
      <c r="BH9" s="260"/>
      <c r="BI9" s="260">
        <f>SUMIFS(Portefeuille_MNT_PPS_Access26[TR 2035],Portefeuille_MNT_PPS_Access26[Région],"&lt;&gt;PR")</f>
        <v>112000</v>
      </c>
      <c r="BJ9" s="260"/>
      <c r="BK9" s="16">
        <f>SUM(AQ9:AZ9)</f>
        <v>337618</v>
      </c>
      <c r="BL9" s="16">
        <f>SUM(AQ9:BJ9)</f>
        <v>790637</v>
      </c>
    </row>
    <row r="10" spans="1:71" x14ac:dyDescent="0.3">
      <c r="I10" s="175"/>
      <c r="J10" s="31" t="s">
        <v>521</v>
      </c>
      <c r="AH10" s="35" t="s">
        <v>28</v>
      </c>
      <c r="AI10" s="140">
        <v>0.25</v>
      </c>
      <c r="AJ10" s="117" t="s">
        <v>29</v>
      </c>
      <c r="AK10" s="262">
        <f>AK8+AK9</f>
        <v>19531</v>
      </c>
      <c r="AL10" s="262"/>
      <c r="AM10" s="262">
        <f>AM8+AM9</f>
        <v>0</v>
      </c>
      <c r="AN10" s="262"/>
      <c r="AO10" s="262">
        <f>AO8+AO9</f>
        <v>100</v>
      </c>
      <c r="AP10" s="262"/>
      <c r="AQ10" s="262">
        <f>AQ8+AQ9</f>
        <v>2902</v>
      </c>
      <c r="AR10" s="262"/>
      <c r="AS10" s="262">
        <f>AS8+AS9</f>
        <v>55096</v>
      </c>
      <c r="AT10" s="262"/>
      <c r="AU10" s="262">
        <f>AU8+AU9</f>
        <v>84775</v>
      </c>
      <c r="AV10" s="262"/>
      <c r="AW10" s="262">
        <f>AW8+AW9</f>
        <v>119484</v>
      </c>
      <c r="AX10" s="262"/>
      <c r="AY10" s="262">
        <f>AY8+AY9</f>
        <v>97687</v>
      </c>
      <c r="AZ10" s="262"/>
      <c r="BA10" s="262">
        <f>BA8+BA9</f>
        <v>102069</v>
      </c>
      <c r="BB10" s="262"/>
      <c r="BC10" s="262">
        <f>BC8+BC9</f>
        <v>68450</v>
      </c>
      <c r="BD10" s="262"/>
      <c r="BE10" s="262">
        <f>BE8+BE9</f>
        <v>89225</v>
      </c>
      <c r="BF10" s="262"/>
      <c r="BG10" s="262">
        <f>BG8+BG9</f>
        <v>107125</v>
      </c>
      <c r="BH10" s="262"/>
      <c r="BI10" s="262">
        <f>BI8+BI9</f>
        <v>115350</v>
      </c>
      <c r="BJ10" s="262"/>
      <c r="BK10" s="20">
        <f>BK9+BK8</f>
        <v>359944</v>
      </c>
      <c r="BL10" s="20">
        <f>BL9+BL8</f>
        <v>842163</v>
      </c>
    </row>
    <row r="11" spans="1:71" ht="15.6" x14ac:dyDescent="0.3">
      <c r="AH11" s="24" t="s">
        <v>30</v>
      </c>
      <c r="AI11" s="212">
        <f>SUM(AI7:AI10)</f>
        <v>1</v>
      </c>
      <c r="AJ11" s="143" t="s">
        <v>31</v>
      </c>
      <c r="AK11" s="261">
        <f>AK10+AK7</f>
        <v>177201</v>
      </c>
      <c r="AL11" s="259"/>
      <c r="AM11" s="258">
        <f>AM10+AM7</f>
        <v>75099</v>
      </c>
      <c r="AN11" s="259"/>
      <c r="AO11" s="258">
        <f>AO10+AO7</f>
        <v>67542</v>
      </c>
      <c r="AP11" s="259"/>
      <c r="AQ11" s="258">
        <f>AQ10+AQ7</f>
        <v>80740</v>
      </c>
      <c r="AR11" s="259"/>
      <c r="AS11" s="258">
        <f>AS10+AS7</f>
        <v>71049</v>
      </c>
      <c r="AT11" s="259"/>
      <c r="AU11" s="258">
        <f>AU10+AU7</f>
        <v>95901</v>
      </c>
      <c r="AV11" s="259"/>
      <c r="AW11" s="258">
        <f>AW10+AW7</f>
        <v>129253</v>
      </c>
      <c r="AX11" s="259"/>
      <c r="AY11" s="258">
        <f>AY10+AY7</f>
        <v>106928</v>
      </c>
      <c r="AZ11" s="259"/>
      <c r="BA11" s="258">
        <f t="shared" ref="BA11" si="1">BA10+BA7</f>
        <v>103987</v>
      </c>
      <c r="BB11" s="259"/>
      <c r="BC11" s="258">
        <f t="shared" ref="BC11" si="2">BC10+BC7</f>
        <v>68450</v>
      </c>
      <c r="BD11" s="259"/>
      <c r="BE11" s="258">
        <f t="shared" ref="BE11" si="3">BE10+BE7</f>
        <v>89225</v>
      </c>
      <c r="BF11" s="259"/>
      <c r="BG11" s="258">
        <f t="shared" ref="BG11" si="4">BG10+BG7</f>
        <v>107125</v>
      </c>
      <c r="BH11" s="259"/>
      <c r="BI11" s="258">
        <f>BI10+BI7</f>
        <v>115350</v>
      </c>
      <c r="BJ11" s="259"/>
      <c r="BK11" s="21">
        <f>BK7+BK10</f>
        <v>484681</v>
      </c>
      <c r="BL11" s="21">
        <f>BL7+BL10</f>
        <v>968818</v>
      </c>
    </row>
    <row r="12" spans="1:71" ht="15.6" x14ac:dyDescent="0.3">
      <c r="AE12" s="24"/>
      <c r="AG12" s="7"/>
      <c r="AI12" s="209"/>
      <c r="AJ12" s="83" t="s">
        <v>591</v>
      </c>
      <c r="AK12" s="260"/>
      <c r="AL12" s="260"/>
      <c r="AM12" s="260"/>
      <c r="AN12" s="280"/>
      <c r="AO12" s="260">
        <v>28</v>
      </c>
      <c r="AP12" s="260"/>
      <c r="AQ12" s="260">
        <v>-9673</v>
      </c>
      <c r="AR12" s="260"/>
      <c r="AS12" s="260">
        <v>9000</v>
      </c>
      <c r="AT12" s="260"/>
      <c r="AU12" s="260">
        <v>968</v>
      </c>
      <c r="AV12" s="260"/>
      <c r="AW12" s="260">
        <v>70</v>
      </c>
      <c r="AX12" s="260"/>
      <c r="AY12" s="260"/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260">
        <v>0</v>
      </c>
      <c r="BJ12" s="260"/>
      <c r="BK12" s="76">
        <v>0</v>
      </c>
      <c r="BL12" s="76">
        <v>0</v>
      </c>
    </row>
    <row r="13" spans="1:71" ht="15.6" x14ac:dyDescent="0.3">
      <c r="AE13" s="24"/>
      <c r="AI13" s="142"/>
      <c r="AJ13" s="159" t="s">
        <v>592</v>
      </c>
      <c r="AK13" s="258">
        <f>AK12+AK11</f>
        <v>177201</v>
      </c>
      <c r="AL13" s="259"/>
      <c r="AM13" s="258">
        <v>75021</v>
      </c>
      <c r="AN13" s="259"/>
      <c r="AO13" s="258">
        <f>AO12+AO11</f>
        <v>67570</v>
      </c>
      <c r="AP13" s="259"/>
      <c r="AQ13" s="258">
        <f>AQ12+AQ11</f>
        <v>71067</v>
      </c>
      <c r="AR13" s="259"/>
      <c r="AS13" s="258">
        <f>AS12+AS11</f>
        <v>80049</v>
      </c>
      <c r="AT13" s="259"/>
      <c r="AU13" s="258">
        <f>AU12+AU11</f>
        <v>96869</v>
      </c>
      <c r="AV13" s="259"/>
      <c r="AW13" s="258">
        <f>AW12+AW11</f>
        <v>129323</v>
      </c>
      <c r="AX13" s="259"/>
      <c r="AY13" s="258">
        <f>AY12+AY11</f>
        <v>106928</v>
      </c>
      <c r="AZ13" s="259"/>
      <c r="BA13" s="258">
        <f>BA12+BA11</f>
        <v>103987</v>
      </c>
      <c r="BB13" s="259"/>
      <c r="BC13" s="258">
        <f>BC12+BC11</f>
        <v>68450</v>
      </c>
      <c r="BD13" s="259"/>
      <c r="BE13" s="258">
        <f>BE12+BE11</f>
        <v>89225</v>
      </c>
      <c r="BF13" s="259"/>
      <c r="BG13" s="258">
        <f>BG12+BG11</f>
        <v>107125</v>
      </c>
      <c r="BH13" s="259"/>
      <c r="BI13" s="258">
        <f>BI12+BI11</f>
        <v>115350</v>
      </c>
      <c r="BJ13" s="259"/>
      <c r="BK13" s="21">
        <f>BK12+BK11</f>
        <v>484681</v>
      </c>
      <c r="BL13" s="21">
        <f>BL12+BL11</f>
        <v>968818</v>
      </c>
    </row>
    <row r="14" spans="1:71" ht="15.6" x14ac:dyDescent="0.3">
      <c r="AI14" s="210"/>
      <c r="AJ14" s="144" t="s">
        <v>539</v>
      </c>
      <c r="AK14" s="256"/>
      <c r="AL14" s="257"/>
      <c r="AM14" s="256">
        <v>64600</v>
      </c>
      <c r="AN14" s="257"/>
      <c r="AO14" s="256">
        <v>75500</v>
      </c>
      <c r="AP14" s="257"/>
      <c r="AQ14" s="256">
        <v>75500</v>
      </c>
      <c r="AR14" s="257"/>
      <c r="AS14" s="256">
        <v>80500</v>
      </c>
      <c r="AT14" s="257"/>
      <c r="AU14" s="256">
        <v>80500</v>
      </c>
      <c r="AV14" s="257"/>
      <c r="AW14" s="256">
        <v>80500</v>
      </c>
      <c r="AX14" s="257"/>
      <c r="AY14" s="256">
        <v>80500</v>
      </c>
      <c r="AZ14" s="257"/>
      <c r="BA14" s="256">
        <v>80500</v>
      </c>
      <c r="BB14" s="257"/>
      <c r="BC14" s="256">
        <v>80500</v>
      </c>
      <c r="BD14" s="257"/>
      <c r="BE14" s="256">
        <v>80500</v>
      </c>
      <c r="BF14" s="257"/>
      <c r="BG14" s="256">
        <v>80500</v>
      </c>
      <c r="BH14" s="257"/>
      <c r="BI14" s="256">
        <v>80500</v>
      </c>
      <c r="BJ14" s="257"/>
      <c r="BK14" s="17">
        <f>SUM(AO14:AX14)</f>
        <v>392500</v>
      </c>
      <c r="BL14" s="17">
        <f>SUM(AP14:AY14)</f>
        <v>397500</v>
      </c>
    </row>
    <row r="15" spans="1:71" ht="15.6" x14ac:dyDescent="0.3">
      <c r="AI15" s="210"/>
      <c r="AJ15" s="84" t="s">
        <v>555</v>
      </c>
      <c r="AK15" s="252">
        <f>AK14-AK13</f>
        <v>-177201</v>
      </c>
      <c r="AL15" s="253"/>
      <c r="AM15" s="252">
        <f>AM14-AM13</f>
        <v>-10421</v>
      </c>
      <c r="AN15" s="253"/>
      <c r="AO15" s="252">
        <f>AO14-AO13</f>
        <v>7930</v>
      </c>
      <c r="AP15" s="253"/>
      <c r="AQ15" s="252">
        <f>AQ14-AQ13</f>
        <v>4433</v>
      </c>
      <c r="AR15" s="253"/>
      <c r="AS15" s="252">
        <f t="shared" ref="AS15" si="5">AS14-AS13</f>
        <v>451</v>
      </c>
      <c r="AT15" s="253"/>
      <c r="AU15" s="252">
        <f t="shared" ref="AU15" si="6">AU14-AU13</f>
        <v>-16369</v>
      </c>
      <c r="AV15" s="253"/>
      <c r="AW15" s="252">
        <f t="shared" ref="AW15" si="7">AW14-AW13</f>
        <v>-48823</v>
      </c>
      <c r="AX15" s="253"/>
      <c r="AY15" s="252">
        <f t="shared" ref="AY15" si="8">AY14-AY13</f>
        <v>-26428</v>
      </c>
      <c r="AZ15" s="253"/>
      <c r="BA15" s="252">
        <f t="shared" ref="BA15" si="9">BA14-BA13</f>
        <v>-23487</v>
      </c>
      <c r="BB15" s="253"/>
      <c r="BC15" s="252">
        <f t="shared" ref="BC15" si="10">BC14-BC13</f>
        <v>12050</v>
      </c>
      <c r="BD15" s="253"/>
      <c r="BE15" s="252">
        <f>BE14-BE13</f>
        <v>-8725</v>
      </c>
      <c r="BF15" s="253"/>
      <c r="BG15" s="252">
        <f>BG14-BG13</f>
        <v>-26625</v>
      </c>
      <c r="BH15" s="253"/>
      <c r="BI15" s="252">
        <f>BI14-BI13</f>
        <v>-34850</v>
      </c>
      <c r="BJ15" s="253"/>
      <c r="BK15" s="23">
        <f>BK14-BK13</f>
        <v>-92181</v>
      </c>
      <c r="BL15" s="23">
        <f>BL14-BL13</f>
        <v>-571318</v>
      </c>
    </row>
    <row r="16" spans="1:71" ht="15.6" x14ac:dyDescent="0.3">
      <c r="AI16" s="211"/>
      <c r="AJ16" s="145" t="s">
        <v>556</v>
      </c>
      <c r="AK16" s="254" t="e">
        <f>(AK13-AK14)/AK14</f>
        <v>#DIV/0!</v>
      </c>
      <c r="AL16" s="255"/>
      <c r="AM16" s="254">
        <f t="shared" ref="AM16" si="11">(AM13-AM14)/AM14</f>
        <v>0.16131578947368422</v>
      </c>
      <c r="AN16" s="255"/>
      <c r="AO16" s="254">
        <f>(AO14-AO13)/AO14</f>
        <v>0.10503311258278146</v>
      </c>
      <c r="AP16" s="255"/>
      <c r="AQ16" s="254">
        <f>(AQ14-AQ13)/AQ14</f>
        <v>5.8715231788079469E-2</v>
      </c>
      <c r="AR16" s="255"/>
      <c r="AS16" s="254">
        <f t="shared" ref="AS16" si="12">(AS14-AS13)/AS14</f>
        <v>5.6024844720496897E-3</v>
      </c>
      <c r="AT16" s="255"/>
      <c r="AU16" s="254">
        <f t="shared" ref="AU16" si="13">(AU14-AU13)/AU14</f>
        <v>-0.20334161490683231</v>
      </c>
      <c r="AV16" s="255"/>
      <c r="AW16" s="254">
        <f t="shared" ref="AW16" si="14">(AW14-AW13)/AW14</f>
        <v>-0.60649689440993793</v>
      </c>
      <c r="AX16" s="255"/>
      <c r="AY16" s="254">
        <f t="shared" ref="AY16" si="15">(AY14-AY13)/AY14</f>
        <v>-0.32829813664596275</v>
      </c>
      <c r="AZ16" s="255"/>
      <c r="BA16" s="254">
        <f t="shared" ref="BA16" si="16">(BA14-BA13)/BA14</f>
        <v>-0.29176397515527952</v>
      </c>
      <c r="BB16" s="255"/>
      <c r="BC16" s="254">
        <f t="shared" ref="BC16" si="17">(BC14-BC13)/BC14</f>
        <v>0.14968944099378881</v>
      </c>
      <c r="BD16" s="255"/>
      <c r="BE16" s="254">
        <f>(BE14-BE13)/BE14</f>
        <v>-0.10838509316770187</v>
      </c>
      <c r="BF16" s="255"/>
      <c r="BG16" s="254">
        <f>(BG14-BG13)/BG14</f>
        <v>-0.33074534161490682</v>
      </c>
      <c r="BH16" s="255"/>
      <c r="BI16" s="254">
        <f>(BI14-BI13)/BI14</f>
        <v>-0.4329192546583851</v>
      </c>
      <c r="BJ16" s="255"/>
      <c r="BK16" s="22">
        <f>(BK14-BK13)/BK14</f>
        <v>-0.23485605095541401</v>
      </c>
      <c r="BL16" s="22">
        <f>(BL14-BL13)/BL14</f>
        <v>-1.4372779874213837</v>
      </c>
    </row>
    <row r="17" spans="1:63" ht="13.95" customHeight="1" thickBot="1" x14ac:dyDescent="0.35">
      <c r="AM17" s="8"/>
      <c r="AN17"/>
      <c r="AX17"/>
    </row>
    <row r="18" spans="1:63" s="11" customFormat="1" ht="75.599999999999994" customHeight="1" x14ac:dyDescent="0.3">
      <c r="A18" s="11" t="s">
        <v>273</v>
      </c>
      <c r="B18" s="11" t="s">
        <v>274</v>
      </c>
      <c r="C18" s="11" t="s">
        <v>37</v>
      </c>
      <c r="D18" s="11" t="s">
        <v>38</v>
      </c>
      <c r="E18" s="11" t="s">
        <v>39</v>
      </c>
      <c r="F18" s="11" t="s">
        <v>40</v>
      </c>
      <c r="G18" s="11" t="s">
        <v>41</v>
      </c>
      <c r="H18" s="11" t="s">
        <v>42</v>
      </c>
      <c r="I18" s="11" t="s">
        <v>44</v>
      </c>
      <c r="J18" s="11" t="s">
        <v>45</v>
      </c>
      <c r="K18" s="11" t="s">
        <v>46</v>
      </c>
      <c r="L18" s="11" t="s">
        <v>47</v>
      </c>
      <c r="M18" s="11" t="s">
        <v>48</v>
      </c>
      <c r="N18" s="11" t="s">
        <v>655</v>
      </c>
      <c r="O18" s="11" t="s">
        <v>656</v>
      </c>
      <c r="P18" s="11" t="s">
        <v>49</v>
      </c>
      <c r="Q18" s="11" t="s">
        <v>50</v>
      </c>
      <c r="R18" s="11" t="s">
        <v>51</v>
      </c>
      <c r="S18" s="11" t="s">
        <v>52</v>
      </c>
      <c r="T18" s="11" t="s">
        <v>548</v>
      </c>
      <c r="U18" s="11" t="s">
        <v>538</v>
      </c>
      <c r="V18" s="11" t="s">
        <v>537</v>
      </c>
      <c r="W18" s="11" t="s">
        <v>535</v>
      </c>
      <c r="X18" s="11" t="s">
        <v>534</v>
      </c>
      <c r="Y18" s="11" t="s">
        <v>536</v>
      </c>
      <c r="Z18" s="9" t="s">
        <v>53</v>
      </c>
      <c r="AA18" s="9" t="s">
        <v>54</v>
      </c>
      <c r="AB18" s="9" t="s">
        <v>72</v>
      </c>
      <c r="AC18" s="9" t="s">
        <v>26</v>
      </c>
      <c r="AD18" s="9" t="s">
        <v>73</v>
      </c>
      <c r="AE18" s="9" t="s">
        <v>74</v>
      </c>
      <c r="AF18" s="9" t="s">
        <v>55</v>
      </c>
      <c r="AG18" s="9" t="s">
        <v>56</v>
      </c>
      <c r="AH18" s="9" t="s">
        <v>69</v>
      </c>
      <c r="AI18" s="9" t="s">
        <v>71</v>
      </c>
      <c r="AJ18" s="10" t="s">
        <v>75</v>
      </c>
      <c r="AK18" s="9" t="s">
        <v>76</v>
      </c>
      <c r="AL18" s="9" t="s">
        <v>77</v>
      </c>
      <c r="AM18" s="9" t="s">
        <v>78</v>
      </c>
      <c r="AN18" s="9" t="s">
        <v>79</v>
      </c>
      <c r="AO18" s="9" t="s">
        <v>80</v>
      </c>
      <c r="AP18" s="9" t="s">
        <v>81</v>
      </c>
      <c r="AQ18" s="9" t="s">
        <v>82</v>
      </c>
      <c r="AR18" s="9" t="s">
        <v>83</v>
      </c>
      <c r="AS18" s="9" t="s">
        <v>84</v>
      </c>
      <c r="AT18" s="9" t="s">
        <v>85</v>
      </c>
      <c r="AU18" s="9" t="s">
        <v>86</v>
      </c>
      <c r="AV18" s="9" t="s">
        <v>87</v>
      </c>
      <c r="AW18" s="9" t="s">
        <v>88</v>
      </c>
      <c r="AX18" s="9" t="s">
        <v>89</v>
      </c>
      <c r="AY18" s="9" t="s">
        <v>90</v>
      </c>
      <c r="AZ18" s="9" t="s">
        <v>91</v>
      </c>
      <c r="BA18" s="9" t="s">
        <v>92</v>
      </c>
      <c r="BB18" s="9" t="s">
        <v>93</v>
      </c>
      <c r="BC18" s="9" t="s">
        <v>94</v>
      </c>
      <c r="BD18" s="9" t="s">
        <v>95</v>
      </c>
      <c r="BE18" s="9" t="s">
        <v>96</v>
      </c>
      <c r="BF18" s="9" t="s">
        <v>97</v>
      </c>
      <c r="BG18" s="9" t="s">
        <v>98</v>
      </c>
      <c r="BH18" s="9" t="s">
        <v>99</v>
      </c>
      <c r="BI18" s="9" t="s">
        <v>593</v>
      </c>
      <c r="BJ18" s="9" t="s">
        <v>594</v>
      </c>
      <c r="BK18" s="9" t="s">
        <v>100</v>
      </c>
    </row>
    <row r="19" spans="1:63" x14ac:dyDescent="0.3">
      <c r="A19" t="s">
        <v>286</v>
      </c>
      <c r="C19" t="s">
        <v>101</v>
      </c>
      <c r="D19" t="s">
        <v>102</v>
      </c>
      <c r="E19" t="s">
        <v>103</v>
      </c>
      <c r="F19" t="s">
        <v>113</v>
      </c>
      <c r="G19" t="s">
        <v>16</v>
      </c>
      <c r="H19" t="s">
        <v>16</v>
      </c>
      <c r="I19" t="s">
        <v>105</v>
      </c>
      <c r="J19">
        <v>154180736</v>
      </c>
      <c r="K19" t="s">
        <v>115</v>
      </c>
      <c r="L19" t="s">
        <v>116</v>
      </c>
      <c r="M19">
        <f>_xlfn.XLOOKUP(Portefeuille_MNT_PPS_Access26[[#This Row],[Numéro projet]], Portefeuille_MNT_PPS_Access20[Numéro projet], Portefeuille_MNT_PPS_Access20[Année DÉBUT Travaux prévu], "")</f>
        <v>2026</v>
      </c>
      <c r="N19">
        <v>2026</v>
      </c>
      <c r="O19">
        <f>Portefeuille_MNT_PPS_Access26[[#This Row],[Année DÉBUT Travaux proposée]]-Portefeuille_MNT_PPS_Access26[[#This Row],[Année DÉBUT Travaux prévu]]</f>
        <v>0</v>
      </c>
      <c r="P19" t="s">
        <v>123</v>
      </c>
      <c r="Q19" s="1">
        <v>45105</v>
      </c>
      <c r="R19" s="1">
        <v>45789</v>
      </c>
      <c r="S19" s="1">
        <v>45945</v>
      </c>
      <c r="T1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1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23</v>
      </c>
      <c r="X1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19">
        <f>Portefeuille_MNT_PPS_Access26[[#This Row],[Délais PC1 et PC3]]+Portefeuille_MNT_PPS_Access26[[#This Row],[Délais PC3 et PC5]]</f>
        <v>28</v>
      </c>
      <c r="Z19">
        <v>1</v>
      </c>
      <c r="AA19">
        <v>1</v>
      </c>
      <c r="AB1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19" s="12">
        <f>_xlfn.XLOOKUP(Portefeuille_MNT_PPS_Access26[[#This Row],[Numéro projet]],Tableau5[Numéro projet],Tableau5[IND_Site_Prioritaire])</f>
        <v>3</v>
      </c>
      <c r="AD19" s="2">
        <f>_xlfn.XLOOKUP(Portefeuille_MNT_PPS_Access26[[#This Row],[Numéro projet]],Tableau5[Numéro projet],Tableau5[Critère Etat Infrastructure])</f>
        <v>4</v>
      </c>
      <c r="AE1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65</v>
      </c>
      <c r="AF19">
        <v>1</v>
      </c>
      <c r="AG19">
        <v>5</v>
      </c>
      <c r="AH19" t="s">
        <v>125</v>
      </c>
      <c r="AI19" s="2"/>
      <c r="AJ19" s="2"/>
      <c r="AK19">
        <v>25</v>
      </c>
      <c r="AM19">
        <v>17</v>
      </c>
      <c r="AN19"/>
      <c r="AO19">
        <v>48</v>
      </c>
      <c r="AQ19">
        <v>520</v>
      </c>
      <c r="AR19">
        <v>19125</v>
      </c>
      <c r="AX19"/>
      <c r="BK19" s="14">
        <f>SUM(Portefeuille_MNT_PPS_Access26[[#This Row],[AC ANT]:[TR 2035]])</f>
        <v>19735</v>
      </c>
    </row>
    <row r="20" spans="1:63" x14ac:dyDescent="0.3">
      <c r="A20" t="s">
        <v>286</v>
      </c>
      <c r="C20" t="s">
        <v>101</v>
      </c>
      <c r="D20" t="s">
        <v>102</v>
      </c>
      <c r="E20" t="s">
        <v>103</v>
      </c>
      <c r="F20" t="s">
        <v>104</v>
      </c>
      <c r="G20" t="s">
        <v>16</v>
      </c>
      <c r="H20" t="s">
        <v>16</v>
      </c>
      <c r="I20" t="s">
        <v>105</v>
      </c>
      <c r="J20">
        <v>154190692</v>
      </c>
      <c r="K20" t="s">
        <v>107</v>
      </c>
      <c r="L20" t="s">
        <v>108</v>
      </c>
      <c r="M20">
        <f>_xlfn.XLOOKUP(Portefeuille_MNT_PPS_Access26[[#This Row],[Numéro projet]], Portefeuille_MNT_PPS_Access20[Numéro projet], Portefeuille_MNT_PPS_Access20[Année DÉBUT Travaux prévu], "")</f>
        <v>2026</v>
      </c>
      <c r="N20">
        <v>2026</v>
      </c>
      <c r="O20">
        <f>Portefeuille_MNT_PPS_Access26[[#This Row],[Année DÉBUT Travaux proposée]]-Portefeuille_MNT_PPS_Access26[[#This Row],[Année DÉBUT Travaux prévu]]</f>
        <v>0</v>
      </c>
      <c r="P20" t="s">
        <v>123</v>
      </c>
      <c r="Q20" s="1">
        <v>45014</v>
      </c>
      <c r="R20" s="1">
        <v>45799</v>
      </c>
      <c r="S20" s="1">
        <v>45991</v>
      </c>
      <c r="T2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2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2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26</v>
      </c>
      <c r="X2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6</v>
      </c>
      <c r="Y20">
        <f>Portefeuille_MNT_PPS_Access26[[#This Row],[Délais PC1 et PC3]]+Portefeuille_MNT_PPS_Access26[[#This Row],[Délais PC3 et PC5]]</f>
        <v>32</v>
      </c>
      <c r="Z20">
        <v>1</v>
      </c>
      <c r="AA20">
        <v>1</v>
      </c>
      <c r="AB2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0" s="12">
        <f>_xlfn.XLOOKUP(Portefeuille_MNT_PPS_Access26[[#This Row],[Numéro projet]],Tableau5[Numéro projet],Tableau5[IND_Site_Prioritaire])</f>
        <v>4</v>
      </c>
      <c r="AD20" s="2">
        <f>_xlfn.XLOOKUP(Portefeuille_MNT_PPS_Access26[[#This Row],[Numéro projet]],Tableau5[Numéro projet],Tableau5[Critère Etat Infrastructure])</f>
        <v>2</v>
      </c>
      <c r="AE2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20">
        <v>1</v>
      </c>
      <c r="AG20">
        <v>5</v>
      </c>
      <c r="AH20" t="s">
        <v>125</v>
      </c>
      <c r="AI20" s="2"/>
      <c r="AJ20" s="2"/>
      <c r="AK20">
        <v>69</v>
      </c>
      <c r="AM20">
        <v>213</v>
      </c>
      <c r="AN20"/>
      <c r="AO20">
        <v>272</v>
      </c>
      <c r="AQ20">
        <v>636</v>
      </c>
      <c r="AR20">
        <v>16507</v>
      </c>
      <c r="AX20"/>
      <c r="BK20" s="14">
        <f>SUM(Portefeuille_MNT_PPS_Access26[[#This Row],[AC ANT]:[TR 2035]])</f>
        <v>17697</v>
      </c>
    </row>
    <row r="21" spans="1:63" x14ac:dyDescent="0.3">
      <c r="A21" t="s">
        <v>286</v>
      </c>
      <c r="C21" t="s">
        <v>126</v>
      </c>
      <c r="D21" t="s">
        <v>127</v>
      </c>
      <c r="E21" t="s">
        <v>103</v>
      </c>
      <c r="F21" t="s">
        <v>144</v>
      </c>
      <c r="G21" t="s">
        <v>16</v>
      </c>
      <c r="H21" t="s">
        <v>16</v>
      </c>
      <c r="I21" t="s">
        <v>131</v>
      </c>
      <c r="J21">
        <v>154190674</v>
      </c>
      <c r="K21" t="s">
        <v>146</v>
      </c>
      <c r="L21" t="s">
        <v>147</v>
      </c>
      <c r="M21">
        <f>_xlfn.XLOOKUP(Portefeuille_MNT_PPS_Access26[[#This Row],[Numéro projet]], Portefeuille_MNT_PPS_Access20[Numéro projet], Portefeuille_MNT_PPS_Access20[Année DÉBUT Travaux prévu], "")</f>
        <v>2026</v>
      </c>
      <c r="N21">
        <v>2026</v>
      </c>
      <c r="O21">
        <f>Portefeuille_MNT_PPS_Access26[[#This Row],[Année DÉBUT Travaux proposée]]-Portefeuille_MNT_PPS_Access26[[#This Row],[Année DÉBUT Travaux prévu]]</f>
        <v>0</v>
      </c>
      <c r="P21" t="s">
        <v>110</v>
      </c>
      <c r="Q21" s="1">
        <v>44609</v>
      </c>
      <c r="R21" s="1">
        <v>45966</v>
      </c>
      <c r="S21" s="1">
        <v>46045</v>
      </c>
      <c r="T2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2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2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2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45</v>
      </c>
      <c r="X2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2</v>
      </c>
      <c r="Y21">
        <f>Portefeuille_MNT_PPS_Access26[[#This Row],[Délais PC1 et PC3]]+Portefeuille_MNT_PPS_Access26[[#This Row],[Délais PC3 et PC5]]</f>
        <v>47</v>
      </c>
      <c r="Z21">
        <v>1</v>
      </c>
      <c r="AA21">
        <v>1</v>
      </c>
      <c r="AB2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21" s="12">
        <f>_xlfn.XLOOKUP(Portefeuille_MNT_PPS_Access26[[#This Row],[Numéro projet]],Tableau5[Numéro projet],Tableau5[IND_Site_Prioritaire])</f>
        <v>3</v>
      </c>
      <c r="AD21" s="2">
        <f>_xlfn.XLOOKUP(Portefeuille_MNT_PPS_Access26[[#This Row],[Numéro projet]],Tableau5[Numéro projet],Tableau5[Critère Etat Infrastructure])</f>
        <v>5</v>
      </c>
      <c r="AE2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21">
        <v>1</v>
      </c>
      <c r="AG21">
        <v>5</v>
      </c>
      <c r="AH21" t="s">
        <v>112</v>
      </c>
      <c r="AI21" s="2"/>
      <c r="AJ21" s="2"/>
      <c r="AK21">
        <v>117</v>
      </c>
      <c r="AM21">
        <v>84</v>
      </c>
      <c r="AN21"/>
      <c r="AO21">
        <v>105</v>
      </c>
      <c r="AQ21">
        <v>417</v>
      </c>
      <c r="AR21">
        <v>9684</v>
      </c>
      <c r="AX21"/>
      <c r="BK21" s="14">
        <f>SUM(Portefeuille_MNT_PPS_Access26[[#This Row],[AC ANT]:[TR 2035]])</f>
        <v>10407</v>
      </c>
    </row>
    <row r="22" spans="1:63" x14ac:dyDescent="0.3">
      <c r="A22" t="s">
        <v>286</v>
      </c>
      <c r="C22" t="s">
        <v>118</v>
      </c>
      <c r="D22" t="s">
        <v>102</v>
      </c>
      <c r="E22" t="s">
        <v>136</v>
      </c>
      <c r="F22" t="s">
        <v>252</v>
      </c>
      <c r="G22" t="s">
        <v>20</v>
      </c>
      <c r="H22" t="s">
        <v>16</v>
      </c>
      <c r="I22" t="s">
        <v>131</v>
      </c>
      <c r="J22">
        <v>154250180</v>
      </c>
      <c r="K22" t="s">
        <v>638</v>
      </c>
      <c r="L22" t="s">
        <v>139</v>
      </c>
      <c r="M22">
        <f>_xlfn.XLOOKUP(Portefeuille_MNT_PPS_Access26[[#This Row],[Numéro projet]], Portefeuille_MNT_PPS_Access20[Numéro projet], Portefeuille_MNT_PPS_Access20[Année DÉBUT Travaux prévu], "")</f>
        <v>2025</v>
      </c>
      <c r="N22">
        <v>2025</v>
      </c>
      <c r="O22">
        <f>Portefeuille_MNT_PPS_Access26[[#This Row],[Année DÉBUT Travaux proposée]]-Portefeuille_MNT_PPS_Access26[[#This Row],[Année DÉBUT Travaux prévu]]</f>
        <v>0</v>
      </c>
      <c r="P22" t="s">
        <v>291</v>
      </c>
      <c r="Q22" s="1"/>
      <c r="R22" s="1"/>
      <c r="S22" s="1"/>
      <c r="T2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2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2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2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2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22">
        <f>Portefeuille_MNT_PPS_Access26[[#This Row],[Délais PC1 et PC3]]+Portefeuille_MNT_PPS_Access26[[#This Row],[Délais PC3 et PC5]]</f>
        <v>0</v>
      </c>
      <c r="Z22">
        <v>1</v>
      </c>
      <c r="AB2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22" s="12" t="e">
        <f>_xlfn.XLOOKUP(Portefeuille_MNT_PPS_Access26[[#This Row],[Numéro projet]],Tableau5[Numéro projet],Tableau5[IND_Site_Prioritaire])</f>
        <v>#N/A</v>
      </c>
      <c r="AD22" s="2" t="e">
        <f>_xlfn.XLOOKUP(Portefeuille_MNT_PPS_Access26[[#This Row],[Numéro projet]],Tableau5[Numéro projet],Tableau5[Critère Etat Infrastructure])</f>
        <v>#N/A</v>
      </c>
      <c r="AE22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22" t="s">
        <v>311</v>
      </c>
      <c r="AI22" s="2"/>
      <c r="AJ22" s="2"/>
      <c r="AN22"/>
      <c r="AP22">
        <v>35</v>
      </c>
      <c r="AX22"/>
      <c r="BK22" s="14">
        <f>SUM(Portefeuille_MNT_PPS_Access26[[#This Row],[AC ANT]:[TR 2035]])</f>
        <v>35</v>
      </c>
    </row>
    <row r="23" spans="1:63" x14ac:dyDescent="0.3">
      <c r="A23" t="s">
        <v>286</v>
      </c>
      <c r="C23" t="s">
        <v>101</v>
      </c>
      <c r="D23" t="s">
        <v>102</v>
      </c>
      <c r="E23" t="s">
        <v>128</v>
      </c>
      <c r="F23" t="s">
        <v>140</v>
      </c>
      <c r="G23" t="s">
        <v>16</v>
      </c>
      <c r="H23" t="s">
        <v>16</v>
      </c>
      <c r="I23" t="s">
        <v>105</v>
      </c>
      <c r="J23" s="2">
        <v>154160008</v>
      </c>
      <c r="K23" t="s">
        <v>142</v>
      </c>
      <c r="L23" t="s">
        <v>143</v>
      </c>
      <c r="M23">
        <f>_xlfn.XLOOKUP(Portefeuille_MNT_PPS_Access26[[#This Row],[Numéro projet]], Portefeuille_MNT_PPS_Access20[Numéro projet], Portefeuille_MNT_PPS_Access20[Année DÉBUT Travaux prévu], "")</f>
        <v>2026</v>
      </c>
      <c r="N23">
        <v>2026</v>
      </c>
      <c r="O23">
        <f>Portefeuille_MNT_PPS_Access26[[#This Row],[Année DÉBUT Travaux proposée]]-Portefeuille_MNT_PPS_Access26[[#This Row],[Année DÉBUT Travaux prévu]]</f>
        <v>0</v>
      </c>
      <c r="P23" t="s">
        <v>123</v>
      </c>
      <c r="Q23" s="1">
        <v>42900</v>
      </c>
      <c r="R23" s="1">
        <v>45323</v>
      </c>
      <c r="S23" s="1">
        <v>45889</v>
      </c>
      <c r="T2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2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2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80</v>
      </c>
      <c r="X2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18</v>
      </c>
      <c r="Y23">
        <f>Portefeuille_MNT_PPS_Access26[[#This Row],[Délais PC1 et PC3]]+Portefeuille_MNT_PPS_Access26[[#This Row],[Délais PC3 et PC5]]</f>
        <v>98</v>
      </c>
      <c r="Z23">
        <v>1</v>
      </c>
      <c r="AA23">
        <v>1</v>
      </c>
      <c r="AB23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3" s="12">
        <f>_xlfn.XLOOKUP(Portefeuille_MNT_PPS_Access26[[#This Row],[Numéro projet]],Tableau5[Numéro projet],Tableau5[IND_Site_Prioritaire])</f>
        <v>4.333333333333333</v>
      </c>
      <c r="AD23" s="2">
        <f>_xlfn.XLOOKUP(Portefeuille_MNT_PPS_Access26[[#This Row],[Numéro projet]],Tableau5[Numéro projet],Tableau5[Critère Etat Infrastructure])</f>
        <v>0</v>
      </c>
      <c r="AE2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51.666666666666671</v>
      </c>
      <c r="AF23">
        <v>5</v>
      </c>
      <c r="AG23">
        <v>5</v>
      </c>
      <c r="AH23" t="s">
        <v>125</v>
      </c>
      <c r="AI23" s="2"/>
      <c r="AJ23" s="2"/>
      <c r="AK23">
        <v>61</v>
      </c>
      <c r="AN23"/>
      <c r="AQ23">
        <v>400</v>
      </c>
      <c r="AR23">
        <v>5399</v>
      </c>
      <c r="AX23"/>
      <c r="BK23" s="14">
        <f>SUM(Portefeuille_MNT_PPS_Access26[[#This Row],[AC ANT]:[TR 2035]])</f>
        <v>5860</v>
      </c>
    </row>
    <row r="24" spans="1:63" x14ac:dyDescent="0.3">
      <c r="A24" t="s">
        <v>286</v>
      </c>
      <c r="C24" t="s">
        <v>101</v>
      </c>
      <c r="D24" t="s">
        <v>102</v>
      </c>
      <c r="E24" t="s">
        <v>103</v>
      </c>
      <c r="F24" t="s">
        <v>129</v>
      </c>
      <c r="G24" t="s">
        <v>16</v>
      </c>
      <c r="H24" t="s">
        <v>16</v>
      </c>
      <c r="I24" t="s">
        <v>131</v>
      </c>
      <c r="J24">
        <v>154151060</v>
      </c>
      <c r="K24" t="s">
        <v>288</v>
      </c>
      <c r="L24" t="s">
        <v>134</v>
      </c>
      <c r="M24">
        <f>_xlfn.XLOOKUP(Portefeuille_MNT_PPS_Access26[[#This Row],[Numéro projet]], Portefeuille_MNT_PPS_Access20[Numéro projet], Portefeuille_MNT_PPS_Access20[Année DÉBUT Travaux prévu], "")</f>
        <v>2026</v>
      </c>
      <c r="N24">
        <v>2026</v>
      </c>
      <c r="O24">
        <f>Portefeuille_MNT_PPS_Access26[[#This Row],[Année DÉBUT Travaux proposée]]-Portefeuille_MNT_PPS_Access26[[#This Row],[Année DÉBUT Travaux prévu]]</f>
        <v>0</v>
      </c>
      <c r="P24" t="s">
        <v>123</v>
      </c>
      <c r="Q24" s="1">
        <v>45218</v>
      </c>
      <c r="R24" s="1">
        <v>45722</v>
      </c>
      <c r="S24" s="1">
        <v>45945</v>
      </c>
      <c r="T2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2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2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17</v>
      </c>
      <c r="X2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7</v>
      </c>
      <c r="Y24">
        <f>Portefeuille_MNT_PPS_Access26[[#This Row],[Délais PC1 et PC3]]+Portefeuille_MNT_PPS_Access26[[#This Row],[Délais PC3 et PC5]]</f>
        <v>24</v>
      </c>
      <c r="Z24">
        <v>1</v>
      </c>
      <c r="AA24">
        <v>1</v>
      </c>
      <c r="AB2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4" s="12">
        <f>_xlfn.XLOOKUP(Portefeuille_MNT_PPS_Access26[[#This Row],[Numéro projet]],Tableau5[Numéro projet],Tableau5[IND_Site_Prioritaire])</f>
        <v>1.3333333333333333</v>
      </c>
      <c r="AD24" s="2">
        <f>_xlfn.XLOOKUP(Portefeuille_MNT_PPS_Access26[[#This Row],[Numéro projet]],Tableau5[Numéro projet],Tableau5[Critère Etat Infrastructure])</f>
        <v>5</v>
      </c>
      <c r="AE2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F24">
        <v>1</v>
      </c>
      <c r="AG24">
        <v>5</v>
      </c>
      <c r="AH24" t="s">
        <v>125</v>
      </c>
      <c r="AI24" s="2"/>
      <c r="AJ24" s="2"/>
      <c r="AM24">
        <v>12</v>
      </c>
      <c r="AN24"/>
      <c r="AO24">
        <v>10</v>
      </c>
      <c r="AQ24">
        <v>350</v>
      </c>
      <c r="AR24">
        <v>4669</v>
      </c>
      <c r="AX24"/>
      <c r="BK24" s="14">
        <f>SUM(Portefeuille_MNT_PPS_Access26[[#This Row],[AC ANT]:[TR 2035]])</f>
        <v>5041</v>
      </c>
    </row>
    <row r="25" spans="1:63" x14ac:dyDescent="0.3">
      <c r="A25" t="s">
        <v>286</v>
      </c>
      <c r="C25" t="s">
        <v>101</v>
      </c>
      <c r="D25" t="s">
        <v>102</v>
      </c>
      <c r="E25" t="s">
        <v>128</v>
      </c>
      <c r="F25" t="s">
        <v>149</v>
      </c>
      <c r="G25" t="s">
        <v>16</v>
      </c>
      <c r="H25" t="s">
        <v>16</v>
      </c>
      <c r="I25" t="s">
        <v>131</v>
      </c>
      <c r="J25">
        <v>154200665</v>
      </c>
      <c r="K25" t="s">
        <v>151</v>
      </c>
      <c r="L25" t="s">
        <v>152</v>
      </c>
      <c r="M25">
        <f>_xlfn.XLOOKUP(Portefeuille_MNT_PPS_Access26[[#This Row],[Numéro projet]], Portefeuille_MNT_PPS_Access20[Numéro projet], Portefeuille_MNT_PPS_Access20[Année DÉBUT Travaux prévu], "")</f>
        <v>2026</v>
      </c>
      <c r="N25">
        <v>2026</v>
      </c>
      <c r="O25">
        <f>Portefeuille_MNT_PPS_Access26[[#This Row],[Année DÉBUT Travaux proposée]]-Portefeuille_MNT_PPS_Access26[[#This Row],[Année DÉBUT Travaux prévu]]</f>
        <v>0</v>
      </c>
      <c r="P25" t="s">
        <v>123</v>
      </c>
      <c r="Q25" s="1">
        <v>45079</v>
      </c>
      <c r="R25" s="1">
        <v>45685</v>
      </c>
      <c r="S25" s="1">
        <v>46142</v>
      </c>
      <c r="T2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2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2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1.Très à risque</v>
      </c>
      <c r="W2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19</v>
      </c>
      <c r="X2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</v>
      </c>
      <c r="Y25">
        <f>Portefeuille_MNT_PPS_Access26[[#This Row],[Délais PC1 et PC3]]+Portefeuille_MNT_PPS_Access26[[#This Row],[Délais PC3 et PC5]]</f>
        <v>34</v>
      </c>
      <c r="Z25">
        <v>1</v>
      </c>
      <c r="AA25">
        <v>1</v>
      </c>
      <c r="AB2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5" s="12">
        <f>_xlfn.XLOOKUP(Portefeuille_MNT_PPS_Access26[[#This Row],[Numéro projet]],Tableau5[Numéro projet],Tableau5[IND_Site_Prioritaire])</f>
        <v>3.6666666666666665</v>
      </c>
      <c r="AD25" s="2">
        <f>_xlfn.XLOOKUP(Portefeuille_MNT_PPS_Access26[[#This Row],[Numéro projet]],Tableau5[Numéro projet],Tableau5[Critère Etat Infrastructure])</f>
        <v>4</v>
      </c>
      <c r="AE2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68.333333333333329</v>
      </c>
      <c r="AF25">
        <v>1</v>
      </c>
      <c r="AG25">
        <v>5</v>
      </c>
      <c r="AH25" t="s">
        <v>125</v>
      </c>
      <c r="AI25" s="2"/>
      <c r="AJ25" s="2"/>
      <c r="AK25">
        <v>12</v>
      </c>
      <c r="AM25">
        <v>163</v>
      </c>
      <c r="AN25"/>
      <c r="AO25">
        <v>100</v>
      </c>
      <c r="AQ25">
        <v>300</v>
      </c>
      <c r="AR25">
        <v>4221</v>
      </c>
      <c r="AS25">
        <v>42</v>
      </c>
      <c r="AT25">
        <v>4139</v>
      </c>
      <c r="AX25"/>
      <c r="BK25" s="14">
        <f>SUM(Portefeuille_MNT_PPS_Access26[[#This Row],[AC ANT]:[TR 2035]])</f>
        <v>8977</v>
      </c>
    </row>
    <row r="26" spans="1:63" x14ac:dyDescent="0.3">
      <c r="A26" t="s">
        <v>286</v>
      </c>
      <c r="C26" t="s">
        <v>118</v>
      </c>
      <c r="D26" t="s">
        <v>102</v>
      </c>
      <c r="E26" t="s">
        <v>188</v>
      </c>
      <c r="F26" t="s">
        <v>113</v>
      </c>
      <c r="G26" t="s">
        <v>16</v>
      </c>
      <c r="H26" t="s">
        <v>130</v>
      </c>
      <c r="I26" t="s">
        <v>131</v>
      </c>
      <c r="J26">
        <v>154151031</v>
      </c>
      <c r="K26" t="s">
        <v>190</v>
      </c>
      <c r="L26" t="s">
        <v>191</v>
      </c>
      <c r="M26" s="103">
        <f>_xlfn.XLOOKUP(Portefeuille_MNT_PPS_Access26[[#This Row],[Numéro projet]], Portefeuille_MNT_PPS_Access20[Numéro projet], Portefeuille_MNT_PPS_Access20[Année DÉBUT Travaux prévu], "")</f>
        <v>2027</v>
      </c>
      <c r="N26" s="103">
        <v>2026</v>
      </c>
      <c r="O26" s="103">
        <f>Portefeuille_MNT_PPS_Access26[[#This Row],[Année DÉBUT Travaux proposée]]-Portefeuille_MNT_PPS_Access26[[#This Row],[Année DÉBUT Travaux prévu]]</f>
        <v>-1</v>
      </c>
      <c r="P26" t="s">
        <v>123</v>
      </c>
      <c r="Q26" s="1">
        <v>45684</v>
      </c>
      <c r="R26" s="1"/>
      <c r="S26" s="1">
        <v>45945</v>
      </c>
      <c r="T2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2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2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-1500</v>
      </c>
      <c r="X2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1509</v>
      </c>
      <c r="Y26">
        <f>Portefeuille_MNT_PPS_Access26[[#This Row],[Délais PC1 et PC3]]+Portefeuille_MNT_PPS_Access26[[#This Row],[Délais PC3 et PC5]]</f>
        <v>9</v>
      </c>
      <c r="Z26">
        <v>1</v>
      </c>
      <c r="AA26">
        <v>1</v>
      </c>
      <c r="AB2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6" s="12">
        <f>_xlfn.XLOOKUP(Portefeuille_MNT_PPS_Access26[[#This Row],[Numéro projet]],Tableau5[Numéro projet],Tableau5[IND_Site_Prioritaire])</f>
        <v>1.6666666666666667</v>
      </c>
      <c r="AD26" s="2">
        <f>_xlfn.XLOOKUP(Portefeuille_MNT_PPS_Access26[[#This Row],[Numéro projet]],Tableau5[Numéro projet],Tableau5[Critère Etat Infrastructure])</f>
        <v>0</v>
      </c>
      <c r="AE2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38.333333333333336</v>
      </c>
      <c r="AG26">
        <v>1</v>
      </c>
      <c r="AH26" t="s">
        <v>125</v>
      </c>
      <c r="AI26" s="2"/>
      <c r="AJ26" s="2"/>
      <c r="AN26"/>
      <c r="AO26">
        <v>80</v>
      </c>
      <c r="AQ26">
        <v>87</v>
      </c>
      <c r="AR26">
        <v>899</v>
      </c>
      <c r="AS26">
        <v>227</v>
      </c>
      <c r="AX26"/>
      <c r="BK26" s="14">
        <f>SUM(Portefeuille_MNT_PPS_Access26[[#This Row],[AC ANT]:[TR 2035]])</f>
        <v>1293</v>
      </c>
    </row>
    <row r="27" spans="1:63" x14ac:dyDescent="0.3">
      <c r="A27" t="s">
        <v>286</v>
      </c>
      <c r="C27" t="s">
        <v>101</v>
      </c>
      <c r="D27" t="s">
        <v>102</v>
      </c>
      <c r="E27" t="s">
        <v>119</v>
      </c>
      <c r="F27" t="s">
        <v>129</v>
      </c>
      <c r="G27" t="s">
        <v>16</v>
      </c>
      <c r="H27" t="s">
        <v>16</v>
      </c>
      <c r="I27" t="s">
        <v>131</v>
      </c>
      <c r="J27">
        <v>154200653</v>
      </c>
      <c r="K27" t="s">
        <v>154</v>
      </c>
      <c r="L27" t="s">
        <v>134</v>
      </c>
      <c r="M27">
        <f>_xlfn.XLOOKUP(Portefeuille_MNT_PPS_Access26[[#This Row],[Numéro projet]], Portefeuille_MNT_PPS_Access20[Numéro projet], Portefeuille_MNT_PPS_Access20[Année DÉBUT Travaux prévu], "")</f>
        <v>2026</v>
      </c>
      <c r="N27">
        <v>2026</v>
      </c>
      <c r="O27">
        <f>Portefeuille_MNT_PPS_Access26[[#This Row],[Année DÉBUT Travaux proposée]]-Portefeuille_MNT_PPS_Access26[[#This Row],[Année DÉBUT Travaux prévu]]</f>
        <v>0</v>
      </c>
      <c r="P27" t="s">
        <v>123</v>
      </c>
      <c r="Q27" s="1">
        <v>45601</v>
      </c>
      <c r="R27" s="1">
        <v>45731</v>
      </c>
      <c r="S27" s="1">
        <v>45976</v>
      </c>
      <c r="T2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2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2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4</v>
      </c>
      <c r="X2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8</v>
      </c>
      <c r="Y27">
        <f>Portefeuille_MNT_PPS_Access26[[#This Row],[Délais PC1 et PC3]]+Portefeuille_MNT_PPS_Access26[[#This Row],[Délais PC3 et PC5]]</f>
        <v>12</v>
      </c>
      <c r="Z27">
        <v>1</v>
      </c>
      <c r="AA27">
        <v>1</v>
      </c>
      <c r="AB2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27" s="12">
        <f>_xlfn.XLOOKUP(Portefeuille_MNT_PPS_Access26[[#This Row],[Numéro projet]],Tableau5[Numéro projet],Tableau5[IND_Site_Prioritaire])</f>
        <v>1.3333333333333333</v>
      </c>
      <c r="AD27" s="2">
        <f>_xlfn.XLOOKUP(Portefeuille_MNT_PPS_Access26[[#This Row],[Numéro projet]],Tableau5[Numéro projet],Tableau5[Critère Etat Infrastructure])</f>
        <v>0</v>
      </c>
      <c r="AE2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36.666666666666664</v>
      </c>
      <c r="AF27">
        <v>1</v>
      </c>
      <c r="AG27">
        <v>5</v>
      </c>
      <c r="AH27" t="s">
        <v>125</v>
      </c>
      <c r="AI27" s="2"/>
      <c r="AJ27" s="2"/>
      <c r="AN27"/>
      <c r="AO27">
        <v>20</v>
      </c>
      <c r="AQ27">
        <v>55</v>
      </c>
      <c r="AR27">
        <v>543</v>
      </c>
      <c r="AX27"/>
      <c r="BK27" s="14">
        <f>SUM(Portefeuille_MNT_PPS_Access26[[#This Row],[AC ANT]:[TR 2035]])</f>
        <v>618</v>
      </c>
    </row>
    <row r="28" spans="1:63" x14ac:dyDescent="0.3">
      <c r="A28" t="s">
        <v>286</v>
      </c>
      <c r="C28" t="s">
        <v>101</v>
      </c>
      <c r="D28" t="s">
        <v>102</v>
      </c>
      <c r="E28" t="s">
        <v>119</v>
      </c>
      <c r="F28" t="s">
        <v>129</v>
      </c>
      <c r="G28" t="s">
        <v>20</v>
      </c>
      <c r="H28" t="s">
        <v>20</v>
      </c>
      <c r="I28" t="s">
        <v>131</v>
      </c>
      <c r="J28">
        <v>154230793</v>
      </c>
      <c r="K28" t="s">
        <v>441</v>
      </c>
      <c r="L28" t="s">
        <v>152</v>
      </c>
      <c r="M28">
        <f>_xlfn.XLOOKUP(Portefeuille_MNT_PPS_Access26[[#This Row],[Numéro projet]], Portefeuille_MNT_PPS_Access20[Numéro projet], Portefeuille_MNT_PPS_Access20[Année DÉBUT Travaux prévu], "")</f>
        <v>2026</v>
      </c>
      <c r="N28">
        <v>2026</v>
      </c>
      <c r="O28">
        <f>Portefeuille_MNT_PPS_Access26[[#This Row],[Année DÉBUT Travaux proposée]]-Portefeuille_MNT_PPS_Access26[[#This Row],[Année DÉBUT Travaux prévu]]</f>
        <v>0</v>
      </c>
      <c r="P28" t="s">
        <v>155</v>
      </c>
      <c r="Q28" s="1">
        <v>45992</v>
      </c>
      <c r="R28" s="1"/>
      <c r="S28" s="1">
        <v>45992</v>
      </c>
      <c r="T2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2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2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-1511</v>
      </c>
      <c r="X2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1511</v>
      </c>
      <c r="Y28">
        <f>Portefeuille_MNT_PPS_Access26[[#This Row],[Délais PC1 et PC3]]+Portefeuille_MNT_PPS_Access26[[#This Row],[Délais PC3 et PC5]]</f>
        <v>0</v>
      </c>
      <c r="Z28">
        <v>1</v>
      </c>
      <c r="AA28">
        <v>1</v>
      </c>
      <c r="AB2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28" s="12">
        <f>_xlfn.XLOOKUP(Portefeuille_MNT_PPS_Access26[[#This Row],[Numéro projet]],Tableau5[Numéro projet],Tableau5[IND_Site_Prioritaire])</f>
        <v>3.6666666666666665</v>
      </c>
      <c r="AD28" s="2">
        <f>_xlfn.XLOOKUP(Portefeuille_MNT_PPS_Access26[[#This Row],[Numéro projet]],Tableau5[Numéro projet],Tableau5[Critère Etat Infrastructure])</f>
        <v>0</v>
      </c>
      <c r="AE2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28.333333333333332</v>
      </c>
      <c r="AG28">
        <v>1</v>
      </c>
      <c r="AH28" t="s">
        <v>156</v>
      </c>
      <c r="AI28" s="2"/>
      <c r="AJ28" s="2"/>
      <c r="AN28"/>
      <c r="AQ28">
        <v>55</v>
      </c>
      <c r="AR28">
        <v>543</v>
      </c>
      <c r="AX28"/>
      <c r="BK28" s="14">
        <f>SUM(Portefeuille_MNT_PPS_Access26[[#This Row],[AC ANT]:[TR 2035]])</f>
        <v>598</v>
      </c>
    </row>
    <row r="29" spans="1:63" x14ac:dyDescent="0.3">
      <c r="A29" t="s">
        <v>286</v>
      </c>
      <c r="C29" t="s">
        <v>118</v>
      </c>
      <c r="D29" t="s">
        <v>102</v>
      </c>
      <c r="E29" t="s">
        <v>136</v>
      </c>
      <c r="F29" t="s">
        <v>252</v>
      </c>
      <c r="G29" t="s">
        <v>16</v>
      </c>
      <c r="H29" t="s">
        <v>16</v>
      </c>
      <c r="I29" t="s">
        <v>131</v>
      </c>
      <c r="J29">
        <v>154240497</v>
      </c>
      <c r="K29" t="s">
        <v>529</v>
      </c>
      <c r="L29" t="s">
        <v>209</v>
      </c>
      <c r="M29">
        <f>_xlfn.XLOOKUP(Portefeuille_MNT_PPS_Access26[[#This Row],[Numéro projet]], Portefeuille_MNT_PPS_Access20[Numéro projet], Portefeuille_MNT_PPS_Access20[Année DÉBUT Travaux prévu], "")</f>
        <v>2026</v>
      </c>
      <c r="N29">
        <v>2026</v>
      </c>
      <c r="O29">
        <f>Portefeuille_MNT_PPS_Access26[[#This Row],[Année DÉBUT Travaux proposée]]-Portefeuille_MNT_PPS_Access26[[#This Row],[Année DÉBUT Travaux prévu]]</f>
        <v>0</v>
      </c>
      <c r="P29" t="s">
        <v>291</v>
      </c>
      <c r="Q29" s="1"/>
      <c r="R29" s="1"/>
      <c r="S29" s="1">
        <v>46006</v>
      </c>
      <c r="T2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2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2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2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2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1511</v>
      </c>
      <c r="Y29">
        <f>Portefeuille_MNT_PPS_Access26[[#This Row],[Délais PC1 et PC3]]+Portefeuille_MNT_PPS_Access26[[#This Row],[Délais PC3 et PC5]]</f>
        <v>1511</v>
      </c>
      <c r="Z29">
        <v>1</v>
      </c>
      <c r="AA29">
        <v>1</v>
      </c>
      <c r="AB2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29" s="12">
        <f>_xlfn.XLOOKUP(Portefeuille_MNT_PPS_Access26[[#This Row],[Numéro projet]],Tableau5[Numéro projet],Tableau5[IND_Site_Prioritaire])</f>
        <v>3</v>
      </c>
      <c r="AD29" s="2">
        <f>_xlfn.XLOOKUP(Portefeuille_MNT_PPS_Access26[[#This Row],[Numéro projet]],Tableau5[Numéro projet],Tableau5[Critère Etat Infrastructure])</f>
        <v>5</v>
      </c>
      <c r="AE2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H29" t="s">
        <v>311</v>
      </c>
      <c r="AI29" s="2"/>
      <c r="AJ29" s="2"/>
      <c r="AN29"/>
      <c r="AO29">
        <v>60</v>
      </c>
      <c r="AQ29">
        <v>20</v>
      </c>
      <c r="AR29">
        <v>540</v>
      </c>
      <c r="AX29"/>
      <c r="BK29" s="14">
        <f>SUM(Portefeuille_MNT_PPS_Access26[[#This Row],[AC ANT]:[TR 2035]])</f>
        <v>620</v>
      </c>
    </row>
    <row r="30" spans="1:63" x14ac:dyDescent="0.3">
      <c r="A30" t="s">
        <v>286</v>
      </c>
      <c r="C30" t="s">
        <v>126</v>
      </c>
      <c r="D30" t="s">
        <v>127</v>
      </c>
      <c r="E30" t="s">
        <v>177</v>
      </c>
      <c r="F30" t="s">
        <v>206</v>
      </c>
      <c r="G30" t="s">
        <v>16</v>
      </c>
      <c r="H30" t="s">
        <v>16</v>
      </c>
      <c r="I30" t="s">
        <v>223</v>
      </c>
      <c r="J30" s="2">
        <v>154190529</v>
      </c>
      <c r="K30" t="s">
        <v>520</v>
      </c>
      <c r="L30" t="s">
        <v>180</v>
      </c>
      <c r="M30">
        <f>_xlfn.XLOOKUP(Portefeuille_MNT_PPS_Access26[[#This Row],[Numéro projet]], Portefeuille_MNT_PPS_Access20[Numéro projet], Portefeuille_MNT_PPS_Access20[Année DÉBUT Travaux prévu], "")</f>
        <v>2026</v>
      </c>
      <c r="N30">
        <v>2026</v>
      </c>
      <c r="O30">
        <f>Portefeuille_MNT_PPS_Access26[[#This Row],[Année DÉBUT Travaux proposée]]-Portefeuille_MNT_PPS_Access26[[#This Row],[Année DÉBUT Travaux prévu]]</f>
        <v>0</v>
      </c>
      <c r="P30" t="s">
        <v>123</v>
      </c>
      <c r="Q30" s="1">
        <v>44623</v>
      </c>
      <c r="R30" s="1">
        <v>45698</v>
      </c>
      <c r="S30" s="1">
        <v>46218</v>
      </c>
      <c r="T3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3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3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1.Très à risque</v>
      </c>
      <c r="W3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35</v>
      </c>
      <c r="X3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17</v>
      </c>
      <c r="Y30">
        <f>Portefeuille_MNT_PPS_Access26[[#This Row],[Délais PC1 et PC3]]+Portefeuille_MNT_PPS_Access26[[#This Row],[Délais PC3 et PC5]]</f>
        <v>52</v>
      </c>
      <c r="Z30">
        <v>1</v>
      </c>
      <c r="AA30">
        <v>1</v>
      </c>
      <c r="AB3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30" s="12">
        <f>_xlfn.XLOOKUP(Portefeuille_MNT_PPS_Access26[[#This Row],[Numéro projet]],Tableau5[Numéro projet],Tableau5[IND_Site_Prioritaire])</f>
        <v>3.25</v>
      </c>
      <c r="AD30" s="2">
        <f>_xlfn.XLOOKUP(Portefeuille_MNT_PPS_Access26[[#This Row],[Numéro projet]],Tableau5[Numéro projet],Tableau5[Critère Etat Infrastructure])</f>
        <v>0</v>
      </c>
      <c r="AE3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46.25</v>
      </c>
      <c r="AF30">
        <v>1</v>
      </c>
      <c r="AG30">
        <v>5</v>
      </c>
      <c r="AH30" t="s">
        <v>125</v>
      </c>
      <c r="AI30" s="2"/>
      <c r="AJ30" s="2"/>
      <c r="AK30">
        <v>180.00000000000003</v>
      </c>
      <c r="AM30">
        <v>53.000000000000014</v>
      </c>
      <c r="AN30"/>
      <c r="AO30">
        <v>150</v>
      </c>
      <c r="AQ30">
        <v>133</v>
      </c>
      <c r="AR30">
        <v>354.99999999999994</v>
      </c>
      <c r="AS30">
        <v>53.000000000000007</v>
      </c>
      <c r="AT30">
        <v>1610</v>
      </c>
      <c r="AU30">
        <v>158.99999999999997</v>
      </c>
      <c r="AV30">
        <v>4929</v>
      </c>
      <c r="AW30">
        <v>212.00000000000006</v>
      </c>
      <c r="AX30">
        <v>6707.0000000000009</v>
      </c>
      <c r="AY30">
        <v>261</v>
      </c>
      <c r="AZ30">
        <v>6846.0000000000018</v>
      </c>
      <c r="BK30" s="14">
        <f>SUM(Portefeuille_MNT_PPS_Access26[[#This Row],[AC ANT]:[TR 2035]])</f>
        <v>21648</v>
      </c>
    </row>
    <row r="31" spans="1:63" x14ac:dyDescent="0.3">
      <c r="A31" t="s">
        <v>11</v>
      </c>
      <c r="C31" t="s">
        <v>118</v>
      </c>
      <c r="D31" t="s">
        <v>102</v>
      </c>
      <c r="E31" t="s">
        <v>103</v>
      </c>
      <c r="F31" t="s">
        <v>252</v>
      </c>
      <c r="G31" t="s">
        <v>20</v>
      </c>
      <c r="H31" t="s">
        <v>20</v>
      </c>
      <c r="I31" t="s">
        <v>131</v>
      </c>
      <c r="J31">
        <v>154250176</v>
      </c>
      <c r="K31" t="s">
        <v>598</v>
      </c>
      <c r="L31" t="s">
        <v>214</v>
      </c>
      <c r="M31">
        <f>_xlfn.XLOOKUP(Portefeuille_MNT_PPS_Access26[[#This Row],[Numéro projet]], Portefeuille_MNT_PPS_Access20[Numéro projet], Portefeuille_MNT_PPS_Access20[Année DÉBUT Travaux prévu], "")</f>
        <v>2026</v>
      </c>
      <c r="N31">
        <v>2026</v>
      </c>
      <c r="O31">
        <f>Portefeuille_MNT_PPS_Access26[[#This Row],[Année DÉBUT Travaux proposée]]-Portefeuille_MNT_PPS_Access26[[#This Row],[Année DÉBUT Travaux prévu]]</f>
        <v>0</v>
      </c>
      <c r="P31" t="s">
        <v>291</v>
      </c>
      <c r="Q31" s="1"/>
      <c r="R31" s="1"/>
      <c r="S31" s="1"/>
      <c r="T3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3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3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3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3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31">
        <f>Portefeuille_MNT_PPS_Access26[[#This Row],[Délais PC1 et PC3]]+Portefeuille_MNT_PPS_Access26[[#This Row],[Délais PC3 et PC5]]</f>
        <v>0</v>
      </c>
      <c r="Z31">
        <v>1</v>
      </c>
      <c r="AB3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31" s="12" t="e">
        <f>_xlfn.XLOOKUP(Portefeuille_MNT_PPS_Access26[[#This Row],[Numéro projet]],Tableau5[Numéro projet],Tableau5[IND_Site_Prioritaire])</f>
        <v>#N/A</v>
      </c>
      <c r="AD31" s="2" t="e">
        <f>_xlfn.XLOOKUP(Portefeuille_MNT_PPS_Access26[[#This Row],[Numéro projet]],Tableau5[Numéro projet],Tableau5[Critère Etat Infrastructure])</f>
        <v>#N/A</v>
      </c>
      <c r="AE31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31" t="s">
        <v>311</v>
      </c>
      <c r="AI31" s="2"/>
      <c r="AJ31" s="2"/>
      <c r="AN31"/>
      <c r="AR31">
        <v>300</v>
      </c>
      <c r="AX31"/>
      <c r="BK31" s="14">
        <f>SUM(Portefeuille_MNT_PPS_Access26[[#This Row],[AC ANT]:[TR 2035]])</f>
        <v>300</v>
      </c>
    </row>
    <row r="32" spans="1:63" x14ac:dyDescent="0.3">
      <c r="A32" t="s">
        <v>286</v>
      </c>
      <c r="C32" t="s">
        <v>126</v>
      </c>
      <c r="D32" t="s">
        <v>127</v>
      </c>
      <c r="E32" t="s">
        <v>136</v>
      </c>
      <c r="F32" t="s">
        <v>104</v>
      </c>
      <c r="G32" t="s">
        <v>16</v>
      </c>
      <c r="H32" t="s">
        <v>16</v>
      </c>
      <c r="I32" t="s">
        <v>105</v>
      </c>
      <c r="J32">
        <v>154061991</v>
      </c>
      <c r="K32" t="s">
        <v>301</v>
      </c>
      <c r="L32" t="s">
        <v>302</v>
      </c>
      <c r="M32">
        <f>_xlfn.XLOOKUP(Portefeuille_MNT_PPS_Access26[[#This Row],[Numéro projet]], Portefeuille_MNT_PPS_Access20[Numéro projet], Portefeuille_MNT_PPS_Access20[Année DÉBUT Travaux prévu], "")</f>
        <v>0</v>
      </c>
      <c r="O32">
        <f>Portefeuille_MNT_PPS_Access26[[#This Row],[Année DÉBUT Travaux proposée]]-Portefeuille_MNT_PPS_Access26[[#This Row],[Année DÉBUT Travaux prévu]]</f>
        <v>0</v>
      </c>
      <c r="P32" t="s">
        <v>164</v>
      </c>
      <c r="Q32" s="1">
        <v>41907</v>
      </c>
      <c r="R32" s="1">
        <v>41968</v>
      </c>
      <c r="S32" s="1">
        <v>42045</v>
      </c>
      <c r="T32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32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32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3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2</v>
      </c>
      <c r="X3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</v>
      </c>
      <c r="Y32">
        <f>Portefeuille_MNT_PPS_Access26[[#This Row],[Délais PC1 et PC3]]+Portefeuille_MNT_PPS_Access26[[#This Row],[Délais PC3 et PC5]]</f>
        <v>5</v>
      </c>
      <c r="Z32">
        <v>1</v>
      </c>
      <c r="AA32">
        <v>5</v>
      </c>
      <c r="AB3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32" s="12">
        <f>_xlfn.XLOOKUP(Portefeuille_MNT_PPS_Access26[[#This Row],[Numéro projet]],Tableau5[Numéro projet],Tableau5[IND_Site_Prioritaire])</f>
        <v>4</v>
      </c>
      <c r="AD32" s="2">
        <f>_xlfn.XLOOKUP(Portefeuille_MNT_PPS_Access26[[#This Row],[Numéro projet]],Tableau5[Numéro projet],Tableau5[Critère Etat Infrastructure])</f>
        <v>0</v>
      </c>
      <c r="AE3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32">
        <v>5</v>
      </c>
      <c r="AG32">
        <v>5</v>
      </c>
      <c r="AH32" t="s">
        <v>165</v>
      </c>
      <c r="AI32" s="2"/>
      <c r="AJ32" s="2"/>
      <c r="AK32">
        <v>2582</v>
      </c>
      <c r="AL32">
        <v>17091</v>
      </c>
      <c r="AM32">
        <v>25</v>
      </c>
      <c r="AN32">
        <v>98</v>
      </c>
      <c r="AO32">
        <v>10</v>
      </c>
      <c r="AX32"/>
      <c r="BK32" s="14">
        <f>SUM(Portefeuille_MNT_PPS_Access26[[#This Row],[AC ANT]:[TR 2035]])</f>
        <v>19806</v>
      </c>
    </row>
    <row r="33" spans="1:63" x14ac:dyDescent="0.3">
      <c r="A33" t="s">
        <v>286</v>
      </c>
      <c r="C33" t="s">
        <v>118</v>
      </c>
      <c r="D33" t="s">
        <v>102</v>
      </c>
      <c r="E33" t="s">
        <v>136</v>
      </c>
      <c r="F33" t="s">
        <v>113</v>
      </c>
      <c r="G33" t="s">
        <v>20</v>
      </c>
      <c r="H33" t="s">
        <v>20</v>
      </c>
      <c r="I33" t="s">
        <v>131</v>
      </c>
      <c r="J33">
        <v>154250021</v>
      </c>
      <c r="K33" t="s">
        <v>544</v>
      </c>
      <c r="L33" t="s">
        <v>187</v>
      </c>
      <c r="M33">
        <f>_xlfn.XLOOKUP(Portefeuille_MNT_PPS_Access26[[#This Row],[Numéro projet]], Portefeuille_MNT_PPS_Access20[Numéro projet], Portefeuille_MNT_PPS_Access20[Année DÉBUT Travaux prévu], "")</f>
        <v>2026</v>
      </c>
      <c r="N33" s="2">
        <v>2026</v>
      </c>
      <c r="O33" s="2">
        <f>Portefeuille_MNT_PPS_Access26[[#This Row],[Année DÉBUT Travaux proposée]]-Portefeuille_MNT_PPS_Access26[[#This Row],[Année DÉBUT Travaux prévu]]</f>
        <v>0</v>
      </c>
      <c r="P33" t="s">
        <v>123</v>
      </c>
      <c r="Q33" s="1">
        <v>45762</v>
      </c>
      <c r="R33" s="1">
        <v>45945</v>
      </c>
      <c r="S33" s="1">
        <v>45945</v>
      </c>
      <c r="T3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3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3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3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6</v>
      </c>
      <c r="X3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33">
        <f>Portefeuille_MNT_PPS_Access26[[#This Row],[Délais PC1 et PC3]]+Portefeuille_MNT_PPS_Access26[[#This Row],[Délais PC3 et PC5]]</f>
        <v>6</v>
      </c>
      <c r="Z33">
        <v>1</v>
      </c>
      <c r="AA33">
        <v>1</v>
      </c>
      <c r="AB3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33" s="12" t="e">
        <f>_xlfn.XLOOKUP(Portefeuille_MNT_PPS_Access26[[#This Row],[Numéro projet]],Tableau5[Numéro projet],Tableau5[IND_Site_Prioritaire])</f>
        <v>#N/A</v>
      </c>
      <c r="AD33" s="2" t="e">
        <f>_xlfn.XLOOKUP(Portefeuille_MNT_PPS_Access26[[#This Row],[Numéro projet]],Tableau5[Numéro projet],Tableau5[Critère Etat Infrastructure])</f>
        <v>#N/A</v>
      </c>
      <c r="AE33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F33">
        <v>1</v>
      </c>
      <c r="AG33">
        <v>1</v>
      </c>
      <c r="AH33" t="s">
        <v>125</v>
      </c>
      <c r="AI33" s="2"/>
      <c r="AJ33" s="2"/>
      <c r="AN33"/>
      <c r="AQ33">
        <v>1</v>
      </c>
      <c r="AR33">
        <v>164</v>
      </c>
      <c r="AX33"/>
      <c r="BK33" s="14">
        <f>SUM(Portefeuille_MNT_PPS_Access26[[#This Row],[AC ANT]:[TR 2035]])</f>
        <v>165</v>
      </c>
    </row>
    <row r="34" spans="1:63" x14ac:dyDescent="0.3">
      <c r="A34" t="s">
        <v>286</v>
      </c>
      <c r="C34" t="s">
        <v>126</v>
      </c>
      <c r="D34" t="s">
        <v>127</v>
      </c>
      <c r="E34" t="s">
        <v>136</v>
      </c>
      <c r="G34" t="s">
        <v>20</v>
      </c>
      <c r="H34" t="s">
        <v>20</v>
      </c>
      <c r="I34" t="s">
        <v>131</v>
      </c>
      <c r="J34">
        <v>154250374</v>
      </c>
      <c r="K34" t="s">
        <v>646</v>
      </c>
      <c r="L34" t="s">
        <v>139</v>
      </c>
      <c r="M34" t="str">
        <f>_xlfn.XLOOKUP(Portefeuille_MNT_PPS_Access26[[#This Row],[Numéro projet]], Portefeuille_MNT_PPS_Access20[Numéro projet], Portefeuille_MNT_PPS_Access20[Année DÉBUT Travaux prévu], "")</f>
        <v/>
      </c>
      <c r="N34">
        <v>2025</v>
      </c>
      <c r="O34" t="s">
        <v>295</v>
      </c>
      <c r="Q34" s="1"/>
      <c r="R34" s="1"/>
      <c r="S34" s="1"/>
      <c r="T3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3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3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3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3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34">
        <f>Portefeuille_MNT_PPS_Access26[[#This Row],[Délais PC1 et PC3]]+Portefeuille_MNT_PPS_Access26[[#This Row],[Délais PC3 et PC5]]</f>
        <v>0</v>
      </c>
      <c r="Z34">
        <v>1</v>
      </c>
      <c r="AB34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34" s="12" t="e">
        <f>_xlfn.XLOOKUP(Portefeuille_MNT_PPS_Access26[[#This Row],[Numéro projet]],Tableau5[Numéro projet],Tableau5[IND_Site_Prioritaire])</f>
        <v>#N/A</v>
      </c>
      <c r="AD34" s="2" t="e">
        <f>_xlfn.XLOOKUP(Portefeuille_MNT_PPS_Access26[[#This Row],[Numéro projet]],Tableau5[Numéro projet],Tableau5[Critère Etat Infrastructure])</f>
        <v>#N/A</v>
      </c>
      <c r="AE34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I34" s="2"/>
      <c r="AJ34" s="2"/>
      <c r="AN34"/>
      <c r="AP34">
        <v>100</v>
      </c>
      <c r="AX34"/>
      <c r="BK34" s="14">
        <f>SUM(Portefeuille_MNT_PPS_Access26[[#This Row],[AC ANT]:[TR 2035]])</f>
        <v>100</v>
      </c>
    </row>
    <row r="35" spans="1:63" x14ac:dyDescent="0.3">
      <c r="A35" t="s">
        <v>286</v>
      </c>
      <c r="C35" t="s">
        <v>101</v>
      </c>
      <c r="D35" t="s">
        <v>102</v>
      </c>
      <c r="E35" t="s">
        <v>103</v>
      </c>
      <c r="F35" t="s">
        <v>113</v>
      </c>
      <c r="G35" t="s">
        <v>16</v>
      </c>
      <c r="H35" t="s">
        <v>16</v>
      </c>
      <c r="I35" t="s">
        <v>105</v>
      </c>
      <c r="J35">
        <v>154180843</v>
      </c>
      <c r="K35" t="s">
        <v>363</v>
      </c>
      <c r="L35" t="s">
        <v>122</v>
      </c>
      <c r="M35">
        <f>_xlfn.XLOOKUP(Portefeuille_MNT_PPS_Access26[[#This Row],[Numéro projet]], Portefeuille_MNT_PPS_Access20[Numéro projet], Portefeuille_MNT_PPS_Access20[Année DÉBUT Travaux prévu], "")</f>
        <v>0</v>
      </c>
      <c r="O35">
        <f>Portefeuille_MNT_PPS_Access26[[#This Row],[Année DÉBUT Travaux proposée]]-Portefeuille_MNT_PPS_Access26[[#This Row],[Année DÉBUT Travaux prévu]]</f>
        <v>0</v>
      </c>
      <c r="P35" t="s">
        <v>164</v>
      </c>
      <c r="Q35" s="1">
        <v>44316</v>
      </c>
      <c r="R35" s="1">
        <v>44636</v>
      </c>
      <c r="S35" s="1">
        <v>45084</v>
      </c>
      <c r="T35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35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35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3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3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</v>
      </c>
      <c r="Y35">
        <f>Portefeuille_MNT_PPS_Access26[[#This Row],[Délais PC1 et PC3]]+Portefeuille_MNT_PPS_Access26[[#This Row],[Délais PC3 et PC5]]</f>
        <v>26</v>
      </c>
      <c r="Z35">
        <v>5</v>
      </c>
      <c r="AA35">
        <v>5</v>
      </c>
      <c r="AB3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35" s="12">
        <f>_xlfn.XLOOKUP(Portefeuille_MNT_PPS_Access26[[#This Row],[Numéro projet]],Tableau5[Numéro projet],Tableau5[IND_Site_Prioritaire])</f>
        <v>4</v>
      </c>
      <c r="AD35" s="2">
        <f>_xlfn.XLOOKUP(Portefeuille_MNT_PPS_Access26[[#This Row],[Numéro projet]],Tableau5[Numéro projet],Tableau5[Critère Etat Infrastructure])</f>
        <v>4</v>
      </c>
      <c r="AE3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35">
        <v>5</v>
      </c>
      <c r="AG35">
        <v>5</v>
      </c>
      <c r="AH35" t="s">
        <v>165</v>
      </c>
      <c r="AI35" s="2">
        <v>5</v>
      </c>
      <c r="AJ35" s="2"/>
      <c r="AK35">
        <v>123</v>
      </c>
      <c r="AM35">
        <v>81</v>
      </c>
      <c r="AN35">
        <v>10747</v>
      </c>
      <c r="AO35">
        <v>178</v>
      </c>
      <c r="AX35"/>
      <c r="BK35" s="14">
        <f>SUM(Portefeuille_MNT_PPS_Access26[[#This Row],[AC ANT]:[TR 2035]])</f>
        <v>11129</v>
      </c>
    </row>
    <row r="36" spans="1:63" x14ac:dyDescent="0.3">
      <c r="A36" t="s">
        <v>286</v>
      </c>
      <c r="C36" t="s">
        <v>101</v>
      </c>
      <c r="D36" t="s">
        <v>102</v>
      </c>
      <c r="E36" t="s">
        <v>103</v>
      </c>
      <c r="F36" t="s">
        <v>104</v>
      </c>
      <c r="G36" t="s">
        <v>16</v>
      </c>
      <c r="H36" t="s">
        <v>16</v>
      </c>
      <c r="I36" t="s">
        <v>105</v>
      </c>
      <c r="J36">
        <v>154101261</v>
      </c>
      <c r="K36" t="s">
        <v>216</v>
      </c>
      <c r="L36" t="s">
        <v>217</v>
      </c>
      <c r="M36">
        <f>_xlfn.XLOOKUP(Portefeuille_MNT_PPS_Access26[[#This Row],[Numéro projet]], Portefeuille_MNT_PPS_Access20[Numéro projet], Portefeuille_MNT_PPS_Access20[Année DÉBUT Travaux prévu], "")</f>
        <v>2025</v>
      </c>
      <c r="N36">
        <v>2025</v>
      </c>
      <c r="O36">
        <f>Portefeuille_MNT_PPS_Access26[[#This Row],[Année DÉBUT Travaux proposée]]-Portefeuille_MNT_PPS_Access26[[#This Row],[Année DÉBUT Travaux prévu]]</f>
        <v>0</v>
      </c>
      <c r="P36" t="s">
        <v>164</v>
      </c>
      <c r="Q36" s="1">
        <v>44838</v>
      </c>
      <c r="R36" s="1">
        <v>45441</v>
      </c>
      <c r="S36" s="1">
        <v>45623</v>
      </c>
      <c r="T3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3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3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3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19</v>
      </c>
      <c r="X3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6</v>
      </c>
      <c r="Y36">
        <f>Portefeuille_MNT_PPS_Access26[[#This Row],[Délais PC1 et PC3]]+Portefeuille_MNT_PPS_Access26[[#This Row],[Délais PC3 et PC5]]</f>
        <v>25</v>
      </c>
      <c r="Z36">
        <v>1</v>
      </c>
      <c r="AA36">
        <v>5</v>
      </c>
      <c r="AB36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36" s="12">
        <f>_xlfn.XLOOKUP(Portefeuille_MNT_PPS_Access26[[#This Row],[Numéro projet]],Tableau5[Numéro projet],Tableau5[IND_Site_Prioritaire])</f>
        <v>2.3333333333333335</v>
      </c>
      <c r="AD36" s="2">
        <f>_xlfn.XLOOKUP(Portefeuille_MNT_PPS_Access26[[#This Row],[Numéro projet]],Tableau5[Numéro projet],Tableau5[Critère Etat Infrastructure])</f>
        <v>4</v>
      </c>
      <c r="AE3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F36">
        <v>5</v>
      </c>
      <c r="AG36">
        <v>5</v>
      </c>
      <c r="AH36" t="s">
        <v>165</v>
      </c>
      <c r="AI36" s="2"/>
      <c r="AJ36" s="2"/>
      <c r="AK36">
        <v>218</v>
      </c>
      <c r="AL36">
        <v>3</v>
      </c>
      <c r="AM36">
        <v>96</v>
      </c>
      <c r="AN36"/>
      <c r="AO36">
        <v>643</v>
      </c>
      <c r="AP36">
        <v>12563</v>
      </c>
      <c r="AX36"/>
      <c r="BK36" s="14">
        <f>SUM(Portefeuille_MNT_PPS_Access26[[#This Row],[AC ANT]:[TR 2035]])</f>
        <v>13523</v>
      </c>
    </row>
    <row r="37" spans="1:63" x14ac:dyDescent="0.3">
      <c r="A37" t="s">
        <v>286</v>
      </c>
      <c r="C37" t="s">
        <v>101</v>
      </c>
      <c r="D37" t="s">
        <v>102</v>
      </c>
      <c r="E37" t="s">
        <v>103</v>
      </c>
      <c r="G37" t="s">
        <v>16</v>
      </c>
      <c r="H37" t="s">
        <v>16</v>
      </c>
      <c r="I37" t="s">
        <v>105</v>
      </c>
      <c r="J37">
        <v>154150340</v>
      </c>
      <c r="K37" t="s">
        <v>310</v>
      </c>
      <c r="L37" t="s">
        <v>108</v>
      </c>
      <c r="M37">
        <f>_xlfn.XLOOKUP(Portefeuille_MNT_PPS_Access26[[#This Row],[Numéro projet]], Portefeuille_MNT_PPS_Access20[Numéro projet], Portefeuille_MNT_PPS_Access20[Année DÉBUT Travaux prévu], "")</f>
        <v>2025</v>
      </c>
      <c r="N37">
        <v>2025</v>
      </c>
      <c r="O37">
        <f>Portefeuille_MNT_PPS_Access26[[#This Row],[Année DÉBUT Travaux proposée]]-Portefeuille_MNT_PPS_Access26[[#This Row],[Année DÉBUT Travaux prévu]]</f>
        <v>0</v>
      </c>
      <c r="P37" t="s">
        <v>291</v>
      </c>
      <c r="Q37" s="1"/>
      <c r="R37" s="1"/>
      <c r="S37" s="1"/>
      <c r="T3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3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3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3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3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37">
        <f>Portefeuille_MNT_PPS_Access26[[#This Row],[Délais PC1 et PC3]]+Portefeuille_MNT_PPS_Access26[[#This Row],[Délais PC3 et PC5]]</f>
        <v>0</v>
      </c>
      <c r="Z37">
        <v>1</v>
      </c>
      <c r="AB3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37" s="12">
        <f>_xlfn.XLOOKUP(Portefeuille_MNT_PPS_Access26[[#This Row],[Numéro projet]],Tableau5[Numéro projet],Tableau5[IND_Site_Prioritaire])</f>
        <v>4</v>
      </c>
      <c r="AD37" s="2">
        <f>_xlfn.XLOOKUP(Portefeuille_MNT_PPS_Access26[[#This Row],[Numéro projet]],Tableau5[Numéro projet],Tableau5[Critère Etat Infrastructure])</f>
        <v>0</v>
      </c>
      <c r="AE3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25</v>
      </c>
      <c r="AH37" t="s">
        <v>311</v>
      </c>
      <c r="AI37" s="2"/>
      <c r="AJ37" s="2"/>
      <c r="AK37">
        <v>467</v>
      </c>
      <c r="AL37">
        <v>5053</v>
      </c>
      <c r="AN37"/>
      <c r="AO37">
        <v>27</v>
      </c>
      <c r="AP37">
        <v>135</v>
      </c>
      <c r="AX37"/>
      <c r="BK37" s="14">
        <f>SUM(Portefeuille_MNT_PPS_Access26[[#This Row],[AC ANT]:[TR 2035]])</f>
        <v>5682</v>
      </c>
    </row>
    <row r="38" spans="1:63" x14ac:dyDescent="0.3">
      <c r="A38" t="s">
        <v>286</v>
      </c>
      <c r="C38" t="s">
        <v>126</v>
      </c>
      <c r="D38" t="s">
        <v>127</v>
      </c>
      <c r="E38" t="s">
        <v>136</v>
      </c>
      <c r="F38" t="s">
        <v>104</v>
      </c>
      <c r="G38" t="s">
        <v>16</v>
      </c>
      <c r="H38" t="s">
        <v>16</v>
      </c>
      <c r="I38" t="s">
        <v>131</v>
      </c>
      <c r="J38">
        <v>154091454</v>
      </c>
      <c r="K38" t="s">
        <v>304</v>
      </c>
      <c r="L38" t="s">
        <v>194</v>
      </c>
      <c r="M38">
        <f>_xlfn.XLOOKUP(Portefeuille_MNT_PPS_Access26[[#This Row],[Numéro projet]], Portefeuille_MNT_PPS_Access20[Numéro projet], Portefeuille_MNT_PPS_Access20[Année DÉBUT Travaux prévu], "")</f>
        <v>0</v>
      </c>
      <c r="O38">
        <f>Portefeuille_MNT_PPS_Access26[[#This Row],[Année DÉBUT Travaux proposée]]-Portefeuille_MNT_PPS_Access26[[#This Row],[Année DÉBUT Travaux prévu]]</f>
        <v>0</v>
      </c>
      <c r="P38" t="s">
        <v>164</v>
      </c>
      <c r="Q38" s="1">
        <v>43270</v>
      </c>
      <c r="R38" s="1">
        <v>44222</v>
      </c>
      <c r="S38" s="1">
        <v>44356</v>
      </c>
      <c r="T38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38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38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3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31</v>
      </c>
      <c r="X3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38">
        <f>Portefeuille_MNT_PPS_Access26[[#This Row],[Délais PC1 et PC3]]+Portefeuille_MNT_PPS_Access26[[#This Row],[Délais PC3 et PC5]]</f>
        <v>36</v>
      </c>
      <c r="Z38">
        <v>1</v>
      </c>
      <c r="AA38">
        <v>5</v>
      </c>
      <c r="AB3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38" s="12">
        <f>_xlfn.XLOOKUP(Portefeuille_MNT_PPS_Access26[[#This Row],[Numéro projet]],Tableau5[Numéro projet],Tableau5[IND_Site_Prioritaire])</f>
        <v>3.3333333333333335</v>
      </c>
      <c r="AD38" s="2">
        <f>_xlfn.XLOOKUP(Portefeuille_MNT_PPS_Access26[[#This Row],[Numéro projet]],Tableau5[Numéro projet],Tableau5[Critère Etat Infrastructure])</f>
        <v>0</v>
      </c>
      <c r="AE3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38">
        <v>5</v>
      </c>
      <c r="AG38">
        <v>5</v>
      </c>
      <c r="AH38" t="s">
        <v>165</v>
      </c>
      <c r="AI38" s="2">
        <v>5</v>
      </c>
      <c r="AJ38" s="2"/>
      <c r="AK38">
        <v>569</v>
      </c>
      <c r="AL38">
        <v>2223</v>
      </c>
      <c r="AM38">
        <v>18</v>
      </c>
      <c r="AN38">
        <v>92</v>
      </c>
      <c r="AX38"/>
      <c r="BK38" s="14">
        <f>SUM(Portefeuille_MNT_PPS_Access26[[#This Row],[AC ANT]:[TR 2035]])</f>
        <v>2902</v>
      </c>
    </row>
    <row r="39" spans="1:63" x14ac:dyDescent="0.3">
      <c r="A39" t="s">
        <v>286</v>
      </c>
      <c r="C39" t="s">
        <v>101</v>
      </c>
      <c r="D39" t="s">
        <v>102</v>
      </c>
      <c r="E39" t="s">
        <v>103</v>
      </c>
      <c r="F39" t="s">
        <v>113</v>
      </c>
      <c r="G39" t="s">
        <v>16</v>
      </c>
      <c r="H39" t="s">
        <v>16</v>
      </c>
      <c r="I39" t="s">
        <v>105</v>
      </c>
      <c r="J39">
        <v>154160152</v>
      </c>
      <c r="K39" t="s">
        <v>313</v>
      </c>
      <c r="L39" t="s">
        <v>168</v>
      </c>
      <c r="M39">
        <f>_xlfn.XLOOKUP(Portefeuille_MNT_PPS_Access26[[#This Row],[Numéro projet]], Portefeuille_MNT_PPS_Access20[Numéro projet], Portefeuille_MNT_PPS_Access20[Année DÉBUT Travaux prévu], "")</f>
        <v>2025</v>
      </c>
      <c r="N39">
        <v>2025</v>
      </c>
      <c r="O39">
        <f>Portefeuille_MNT_PPS_Access26[[#This Row],[Année DÉBUT Travaux proposée]]-Portefeuille_MNT_PPS_Access26[[#This Row],[Année DÉBUT Travaux prévu]]</f>
        <v>0</v>
      </c>
      <c r="P39" t="s">
        <v>164</v>
      </c>
      <c r="Q39" s="1">
        <v>44055</v>
      </c>
      <c r="R39" s="1">
        <v>44315</v>
      </c>
      <c r="S39" s="1">
        <v>44589</v>
      </c>
      <c r="T3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3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3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3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8</v>
      </c>
      <c r="X3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39">
        <f>Portefeuille_MNT_PPS_Access26[[#This Row],[Délais PC1 et PC3]]+Portefeuille_MNT_PPS_Access26[[#This Row],[Délais PC3 et PC5]]</f>
        <v>17</v>
      </c>
      <c r="Z39">
        <v>5</v>
      </c>
      <c r="AA39">
        <v>5</v>
      </c>
      <c r="AB39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39" s="12">
        <f>_xlfn.XLOOKUP(Portefeuille_MNT_PPS_Access26[[#This Row],[Numéro projet]],Tableau5[Numéro projet],Tableau5[IND_Site_Prioritaire])</f>
        <v>3.3333333333333335</v>
      </c>
      <c r="AD39" s="2">
        <f>_xlfn.XLOOKUP(Portefeuille_MNT_PPS_Access26[[#This Row],[Numéro projet]],Tableau5[Numéro projet],Tableau5[Critère Etat Infrastructure])</f>
        <v>2</v>
      </c>
      <c r="AE3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39">
        <v>5</v>
      </c>
      <c r="AG39">
        <v>5</v>
      </c>
      <c r="AH39" t="s">
        <v>165</v>
      </c>
      <c r="AI39" s="2">
        <v>5</v>
      </c>
      <c r="AJ39" s="2"/>
      <c r="AK39">
        <v>448</v>
      </c>
      <c r="AL39">
        <v>5849</v>
      </c>
      <c r="AM39">
        <v>290</v>
      </c>
      <c r="AN39">
        <v>3895</v>
      </c>
      <c r="AO39">
        <v>93</v>
      </c>
      <c r="AP39">
        <v>390</v>
      </c>
      <c r="AX39"/>
      <c r="BK39" s="14">
        <f>SUM(Portefeuille_MNT_PPS_Access26[[#This Row],[AC ANT]:[TR 2035]])</f>
        <v>10965</v>
      </c>
    </row>
    <row r="40" spans="1:63" x14ac:dyDescent="0.3">
      <c r="A40" t="s">
        <v>286</v>
      </c>
      <c r="C40" t="s">
        <v>118</v>
      </c>
      <c r="D40" t="s">
        <v>102</v>
      </c>
      <c r="E40" t="s">
        <v>103</v>
      </c>
      <c r="F40" t="s">
        <v>113</v>
      </c>
      <c r="G40" t="s">
        <v>20</v>
      </c>
      <c r="H40" t="s">
        <v>20</v>
      </c>
      <c r="I40" t="s">
        <v>131</v>
      </c>
      <c r="J40">
        <v>154180766</v>
      </c>
      <c r="K40" t="s">
        <v>378</v>
      </c>
      <c r="L40" t="s">
        <v>191</v>
      </c>
      <c r="M40" s="103">
        <f>_xlfn.XLOOKUP(Portefeuille_MNT_PPS_Access26[[#This Row],[Numéro projet]], Portefeuille_MNT_PPS_Access20[Numéro projet], Portefeuille_MNT_PPS_Access20[Année DÉBUT Travaux prévu], "")</f>
        <v>2028</v>
      </c>
      <c r="N40" s="103">
        <v>2029</v>
      </c>
      <c r="O40" s="103">
        <f>Portefeuille_MNT_PPS_Access26[[#This Row],[Année DÉBUT Travaux proposée]]-Portefeuille_MNT_PPS_Access26[[#This Row],[Année DÉBUT Travaux prévu]]</f>
        <v>1</v>
      </c>
      <c r="P40" t="s">
        <v>155</v>
      </c>
      <c r="Q40" s="1">
        <v>46006</v>
      </c>
      <c r="R40" s="1">
        <v>46341</v>
      </c>
      <c r="S40" s="1">
        <v>46675</v>
      </c>
      <c r="T4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4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4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4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4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11</v>
      </c>
      <c r="Y40">
        <f>Portefeuille_MNT_PPS_Access26[[#This Row],[Délais PC1 et PC3]]+Portefeuille_MNT_PPS_Access26[[#This Row],[Délais PC3 et PC5]]</f>
        <v>22</v>
      </c>
      <c r="Z40">
        <v>1</v>
      </c>
      <c r="AA40">
        <v>1</v>
      </c>
      <c r="AB4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40" s="12">
        <f>_xlfn.XLOOKUP(Portefeuille_MNT_PPS_Access26[[#This Row],[Numéro projet]],Tableau5[Numéro projet],Tableau5[IND_Site_Prioritaire])</f>
        <v>1.6666666666666667</v>
      </c>
      <c r="AD40" s="2">
        <f>_xlfn.XLOOKUP(Portefeuille_MNT_PPS_Access26[[#This Row],[Numéro projet]],Tableau5[Numéro projet],Tableau5[Critère Etat Infrastructure])</f>
        <v>5</v>
      </c>
      <c r="AE4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43.333333333333329</v>
      </c>
      <c r="AF40">
        <v>1</v>
      </c>
      <c r="AG40">
        <v>1</v>
      </c>
      <c r="AH40" t="s">
        <v>156</v>
      </c>
      <c r="AI40" s="2"/>
      <c r="AJ40" s="2"/>
      <c r="AN40"/>
      <c r="AS40">
        <v>100</v>
      </c>
      <c r="AU40">
        <v>200</v>
      </c>
      <c r="AW40">
        <v>495</v>
      </c>
      <c r="AX40">
        <v>8000</v>
      </c>
      <c r="BK40" s="14">
        <f>SUM(Portefeuille_MNT_PPS_Access26[[#This Row],[AC ANT]:[TR 2035]])</f>
        <v>8795</v>
      </c>
    </row>
    <row r="41" spans="1:63" x14ac:dyDescent="0.3">
      <c r="A41" t="s">
        <v>286</v>
      </c>
      <c r="C41" t="s">
        <v>101</v>
      </c>
      <c r="D41" t="s">
        <v>102</v>
      </c>
      <c r="E41" t="s">
        <v>177</v>
      </c>
      <c r="F41" t="s">
        <v>104</v>
      </c>
      <c r="G41" t="s">
        <v>16</v>
      </c>
      <c r="H41" t="s">
        <v>325</v>
      </c>
      <c r="I41" t="s">
        <v>131</v>
      </c>
      <c r="J41">
        <v>154111623</v>
      </c>
      <c r="K41" t="s">
        <v>604</v>
      </c>
      <c r="L41" t="s">
        <v>214</v>
      </c>
      <c r="M41">
        <f>_xlfn.XLOOKUP(Portefeuille_MNT_PPS_Access26[[#This Row],[Numéro projet]], Portefeuille_MNT_PPS_Access20[Numéro projet], Portefeuille_MNT_PPS_Access20[Année DÉBUT Travaux prévu], "")</f>
        <v>0</v>
      </c>
      <c r="O41">
        <f>Portefeuille_MNT_PPS_Access26[[#This Row],[Année DÉBUT Travaux proposée]]-Portefeuille_MNT_PPS_Access26[[#This Row],[Année DÉBUT Travaux prévu]]</f>
        <v>0</v>
      </c>
      <c r="P41" t="s">
        <v>291</v>
      </c>
      <c r="Q41" s="1"/>
      <c r="R41" s="1"/>
      <c r="S41" s="1"/>
      <c r="T4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4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4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4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4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41">
        <f>Portefeuille_MNT_PPS_Access26[[#This Row],[Délais PC1 et PC3]]+Portefeuille_MNT_PPS_Access26[[#This Row],[Délais PC3 et PC5]]</f>
        <v>0</v>
      </c>
      <c r="Z41">
        <v>1</v>
      </c>
      <c r="AB4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41" s="12" t="e">
        <f>_xlfn.XLOOKUP(Portefeuille_MNT_PPS_Access26[[#This Row],[Numéro projet]],Tableau5[Numéro projet],Tableau5[IND_Site_Prioritaire])</f>
        <v>#N/A</v>
      </c>
      <c r="AD41" s="2" t="e">
        <f>_xlfn.XLOOKUP(Portefeuille_MNT_PPS_Access26[[#This Row],[Numéro projet]],Tableau5[Numéro projet],Tableau5[Critère Etat Infrastructure])</f>
        <v>#N/A</v>
      </c>
      <c r="AE41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41" t="s">
        <v>311</v>
      </c>
      <c r="AI41" s="2"/>
      <c r="AJ41" s="2"/>
      <c r="AK41">
        <v>96</v>
      </c>
      <c r="AL41">
        <v>399</v>
      </c>
      <c r="AM41">
        <v>5</v>
      </c>
      <c r="AN41"/>
      <c r="AX41"/>
      <c r="BK41" s="14">
        <f>SUM(Portefeuille_MNT_PPS_Access26[[#This Row],[AC ANT]:[TR 2035]])</f>
        <v>500</v>
      </c>
    </row>
    <row r="42" spans="1:63" x14ac:dyDescent="0.3">
      <c r="A42" t="s">
        <v>286</v>
      </c>
      <c r="C42" t="s">
        <v>126</v>
      </c>
      <c r="D42" t="s">
        <v>127</v>
      </c>
      <c r="E42" t="s">
        <v>136</v>
      </c>
      <c r="F42" t="s">
        <v>104</v>
      </c>
      <c r="G42" t="s">
        <v>16</v>
      </c>
      <c r="H42" t="s">
        <v>16</v>
      </c>
      <c r="I42" t="s">
        <v>131</v>
      </c>
      <c r="J42">
        <v>154130267</v>
      </c>
      <c r="K42" t="s">
        <v>308</v>
      </c>
      <c r="L42" t="s">
        <v>159</v>
      </c>
      <c r="M42">
        <f>_xlfn.XLOOKUP(Portefeuille_MNT_PPS_Access26[[#This Row],[Numéro projet]], Portefeuille_MNT_PPS_Access20[Numéro projet], Portefeuille_MNT_PPS_Access20[Année DÉBUT Travaux prévu], "")</f>
        <v>0</v>
      </c>
      <c r="O42">
        <f>Portefeuille_MNT_PPS_Access26[[#This Row],[Année DÉBUT Travaux proposée]]-Portefeuille_MNT_PPS_Access26[[#This Row],[Année DÉBUT Travaux prévu]]</f>
        <v>0</v>
      </c>
      <c r="P42" t="s">
        <v>164</v>
      </c>
      <c r="Q42" s="1"/>
      <c r="R42" s="1">
        <v>42992</v>
      </c>
      <c r="S42" s="1">
        <v>43783</v>
      </c>
      <c r="T4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42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42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4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1412</v>
      </c>
      <c r="X4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26</v>
      </c>
      <c r="Y42">
        <f>Portefeuille_MNT_PPS_Access26[[#This Row],[Délais PC1 et PC3]]+Portefeuille_MNT_PPS_Access26[[#This Row],[Délais PC3 et PC5]]</f>
        <v>1438</v>
      </c>
      <c r="Z42">
        <v>1</v>
      </c>
      <c r="AA42">
        <v>5</v>
      </c>
      <c r="AB4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42" s="12">
        <f>_xlfn.XLOOKUP(Portefeuille_MNT_PPS_Access26[[#This Row],[Numéro projet]],Tableau5[Numéro projet],Tableau5[IND_Site_Prioritaire])</f>
        <v>4.333333333333333</v>
      </c>
      <c r="AD42" s="2">
        <f>_xlfn.XLOOKUP(Portefeuille_MNT_PPS_Access26[[#This Row],[Numéro projet]],Tableau5[Numéro projet],Tableau5[Critère Etat Infrastructure])</f>
        <v>0</v>
      </c>
      <c r="AE4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F42">
        <v>5</v>
      </c>
      <c r="AH42" t="s">
        <v>165</v>
      </c>
      <c r="AI42" s="2"/>
      <c r="AJ42" s="2"/>
      <c r="AK42">
        <v>2779</v>
      </c>
      <c r="AL42">
        <v>15336</v>
      </c>
      <c r="AM42">
        <v>16</v>
      </c>
      <c r="AN42"/>
      <c r="AX42"/>
      <c r="BK42" s="14">
        <f>SUM(Portefeuille_MNT_PPS_Access26[[#This Row],[AC ANT]:[TR 2035]])</f>
        <v>18131</v>
      </c>
    </row>
    <row r="43" spans="1:63" x14ac:dyDescent="0.3">
      <c r="A43" t="s">
        <v>286</v>
      </c>
      <c r="C43" t="s">
        <v>101</v>
      </c>
      <c r="D43" t="s">
        <v>102</v>
      </c>
      <c r="E43" t="s">
        <v>103</v>
      </c>
      <c r="F43" t="s">
        <v>206</v>
      </c>
      <c r="G43" t="s">
        <v>16</v>
      </c>
      <c r="H43" t="s">
        <v>16</v>
      </c>
      <c r="I43" t="s">
        <v>105</v>
      </c>
      <c r="J43">
        <v>154160743</v>
      </c>
      <c r="K43" t="s">
        <v>315</v>
      </c>
      <c r="L43" t="s">
        <v>316</v>
      </c>
      <c r="M43">
        <f>_xlfn.XLOOKUP(Portefeuille_MNT_PPS_Access26[[#This Row],[Numéro projet]], Portefeuille_MNT_PPS_Access20[Numéro projet], Portefeuille_MNT_PPS_Access20[Année DÉBUT Travaux prévu], "")</f>
        <v>2025</v>
      </c>
      <c r="N43">
        <v>2025</v>
      </c>
      <c r="O43">
        <f>Portefeuille_MNT_PPS_Access26[[#This Row],[Année DÉBUT Travaux proposée]]-Portefeuille_MNT_PPS_Access26[[#This Row],[Année DÉBUT Travaux prévu]]</f>
        <v>0</v>
      </c>
      <c r="P43" t="s">
        <v>164</v>
      </c>
      <c r="Q43" s="1">
        <v>43882</v>
      </c>
      <c r="R43" s="1">
        <v>44033</v>
      </c>
      <c r="S43" s="1">
        <v>45225</v>
      </c>
      <c r="T4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4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4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4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5</v>
      </c>
      <c r="X4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39</v>
      </c>
      <c r="Y43">
        <f>Portefeuille_MNT_PPS_Access26[[#This Row],[Délais PC1 et PC3]]+Portefeuille_MNT_PPS_Access26[[#This Row],[Délais PC3 et PC5]]</f>
        <v>44</v>
      </c>
      <c r="Z43">
        <v>5</v>
      </c>
      <c r="AA43">
        <v>5</v>
      </c>
      <c r="AB43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43" s="12">
        <f>_xlfn.XLOOKUP(Portefeuille_MNT_PPS_Access26[[#This Row],[Numéro projet]],Tableau5[Numéro projet],Tableau5[IND_Site_Prioritaire])</f>
        <v>3</v>
      </c>
      <c r="AD43" s="2">
        <f>_xlfn.XLOOKUP(Portefeuille_MNT_PPS_Access26[[#This Row],[Numéro projet]],Tableau5[Numéro projet],Tableau5[Critère Etat Infrastructure])</f>
        <v>4</v>
      </c>
      <c r="AE4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43">
        <v>5</v>
      </c>
      <c r="AG43">
        <v>5</v>
      </c>
      <c r="AH43" t="s">
        <v>165</v>
      </c>
      <c r="AI43" s="2">
        <v>5</v>
      </c>
      <c r="AJ43" s="2"/>
      <c r="AK43">
        <v>257</v>
      </c>
      <c r="AL43">
        <v>2407</v>
      </c>
      <c r="AM43">
        <v>439</v>
      </c>
      <c r="AN43">
        <v>7751</v>
      </c>
      <c r="AO43">
        <v>79</v>
      </c>
      <c r="AP43">
        <v>385</v>
      </c>
      <c r="AX43"/>
      <c r="BK43" s="14">
        <f>SUM(Portefeuille_MNT_PPS_Access26[[#This Row],[AC ANT]:[TR 2035]])</f>
        <v>11318</v>
      </c>
    </row>
    <row r="44" spans="1:63" x14ac:dyDescent="0.3">
      <c r="A44" t="s">
        <v>286</v>
      </c>
      <c r="C44" t="s">
        <v>101</v>
      </c>
      <c r="D44" t="s">
        <v>102</v>
      </c>
      <c r="E44" t="s">
        <v>103</v>
      </c>
      <c r="F44" t="s">
        <v>140</v>
      </c>
      <c r="G44" t="s">
        <v>16</v>
      </c>
      <c r="H44" t="s">
        <v>16</v>
      </c>
      <c r="I44" t="s">
        <v>105</v>
      </c>
      <c r="J44">
        <v>154171517</v>
      </c>
      <c r="K44" t="s">
        <v>175</v>
      </c>
      <c r="L44" t="s">
        <v>143</v>
      </c>
      <c r="M44">
        <f>_xlfn.XLOOKUP(Portefeuille_MNT_PPS_Access26[[#This Row],[Numéro projet]], Portefeuille_MNT_PPS_Access20[Numéro projet], Portefeuille_MNT_PPS_Access20[Année DÉBUT Travaux prévu], "")</f>
        <v>2025</v>
      </c>
      <c r="N44">
        <v>2025</v>
      </c>
      <c r="O44">
        <f>Portefeuille_MNT_PPS_Access26[[#This Row],[Année DÉBUT Travaux proposée]]-Portefeuille_MNT_PPS_Access26[[#This Row],[Année DÉBUT Travaux prévu]]</f>
        <v>0</v>
      </c>
      <c r="P44" t="s">
        <v>164</v>
      </c>
      <c r="Q44" s="1">
        <v>44014</v>
      </c>
      <c r="R44" s="1">
        <v>44294</v>
      </c>
      <c r="S44" s="1">
        <v>45239</v>
      </c>
      <c r="T4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4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4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4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9</v>
      </c>
      <c r="X4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31</v>
      </c>
      <c r="Y44">
        <f>Portefeuille_MNT_PPS_Access26[[#This Row],[Délais PC1 et PC3]]+Portefeuille_MNT_PPS_Access26[[#This Row],[Délais PC3 et PC5]]</f>
        <v>40</v>
      </c>
      <c r="Z44">
        <v>1</v>
      </c>
      <c r="AA44">
        <v>5</v>
      </c>
      <c r="AB44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44" s="12">
        <f>_xlfn.XLOOKUP(Portefeuille_MNT_PPS_Access26[[#This Row],[Numéro projet]],Tableau5[Numéro projet],Tableau5[IND_Site_Prioritaire])</f>
        <v>4.333333333333333</v>
      </c>
      <c r="AD44" s="2">
        <f>_xlfn.XLOOKUP(Portefeuille_MNT_PPS_Access26[[#This Row],[Numéro projet]],Tableau5[Numéro projet],Tableau5[Critère Etat Infrastructure])</f>
        <v>4</v>
      </c>
      <c r="AE4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44">
        <v>5</v>
      </c>
      <c r="AG44">
        <v>5</v>
      </c>
      <c r="AH44" t="s">
        <v>165</v>
      </c>
      <c r="AI44" s="2">
        <v>5</v>
      </c>
      <c r="AJ44" s="2"/>
      <c r="AK44">
        <v>389</v>
      </c>
      <c r="AL44">
        <v>4986</v>
      </c>
      <c r="AM44">
        <v>450</v>
      </c>
      <c r="AN44">
        <v>25618</v>
      </c>
      <c r="AO44">
        <v>678</v>
      </c>
      <c r="AP44">
        <v>14983</v>
      </c>
      <c r="AX44"/>
      <c r="BK44" s="14">
        <f>SUM(Portefeuille_MNT_PPS_Access26[[#This Row],[AC ANT]:[TR 2035]])</f>
        <v>47104</v>
      </c>
    </row>
    <row r="45" spans="1:63" x14ac:dyDescent="0.3">
      <c r="A45" t="s">
        <v>286</v>
      </c>
      <c r="C45" t="s">
        <v>101</v>
      </c>
      <c r="D45" t="s">
        <v>102</v>
      </c>
      <c r="E45" t="s">
        <v>200</v>
      </c>
      <c r="F45" t="s">
        <v>104</v>
      </c>
      <c r="G45" t="s">
        <v>16</v>
      </c>
      <c r="H45" t="s">
        <v>16</v>
      </c>
      <c r="I45" t="s">
        <v>105</v>
      </c>
      <c r="J45">
        <v>154180001</v>
      </c>
      <c r="K45" t="s">
        <v>331</v>
      </c>
      <c r="L45" t="s">
        <v>180</v>
      </c>
      <c r="M45">
        <f>_xlfn.XLOOKUP(Portefeuille_MNT_PPS_Access26[[#This Row],[Numéro projet]], Portefeuille_MNT_PPS_Access20[Numéro projet], Portefeuille_MNT_PPS_Access20[Année DÉBUT Travaux prévu], "")</f>
        <v>2025</v>
      </c>
      <c r="N45">
        <v>2025</v>
      </c>
      <c r="O45">
        <f>Portefeuille_MNT_PPS_Access26[[#This Row],[Année DÉBUT Travaux proposée]]-Portefeuille_MNT_PPS_Access26[[#This Row],[Année DÉBUT Travaux prévu]]</f>
        <v>0</v>
      </c>
      <c r="P45" t="s">
        <v>164</v>
      </c>
      <c r="Q45" s="1">
        <v>43360</v>
      </c>
      <c r="R45" s="1">
        <v>43671</v>
      </c>
      <c r="S45" s="1">
        <v>44217</v>
      </c>
      <c r="T4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4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4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4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10</v>
      </c>
      <c r="X4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18</v>
      </c>
      <c r="Y45">
        <f>Portefeuille_MNT_PPS_Access26[[#This Row],[Délais PC1 et PC3]]+Portefeuille_MNT_PPS_Access26[[#This Row],[Délais PC3 et PC5]]</f>
        <v>28</v>
      </c>
      <c r="Z45">
        <v>1</v>
      </c>
      <c r="AA45">
        <v>5</v>
      </c>
      <c r="AB45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45" s="12">
        <f>_xlfn.XLOOKUP(Portefeuille_MNT_PPS_Access26[[#This Row],[Numéro projet]],Tableau5[Numéro projet],Tableau5[IND_Site_Prioritaire])</f>
        <v>2.8333333333333335</v>
      </c>
      <c r="AD45" s="2">
        <f>_xlfn.XLOOKUP(Portefeuille_MNT_PPS_Access26[[#This Row],[Numéro projet]],Tableau5[Numéro projet],Tableau5[Critère Etat Infrastructure])</f>
        <v>0</v>
      </c>
      <c r="AE4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45">
        <v>5</v>
      </c>
      <c r="AG45">
        <v>5</v>
      </c>
      <c r="AH45" t="s">
        <v>165</v>
      </c>
      <c r="AI45" s="2">
        <v>5</v>
      </c>
      <c r="AJ45" s="2"/>
      <c r="AK45">
        <v>432</v>
      </c>
      <c r="AL45">
        <v>3057</v>
      </c>
      <c r="AM45">
        <v>136</v>
      </c>
      <c r="AN45"/>
      <c r="AO45">
        <v>137</v>
      </c>
      <c r="AP45">
        <v>73</v>
      </c>
      <c r="AX45"/>
      <c r="BK45" s="14">
        <f>SUM(Portefeuille_MNT_PPS_Access26[[#This Row],[AC ANT]:[TR 2035]])</f>
        <v>3835</v>
      </c>
    </row>
    <row r="46" spans="1:63" x14ac:dyDescent="0.3">
      <c r="A46" t="s">
        <v>286</v>
      </c>
      <c r="C46" t="s">
        <v>118</v>
      </c>
      <c r="D46" t="s">
        <v>102</v>
      </c>
      <c r="E46" t="s">
        <v>103</v>
      </c>
      <c r="G46" t="s">
        <v>16</v>
      </c>
      <c r="H46" t="s">
        <v>325</v>
      </c>
      <c r="I46" t="s">
        <v>131</v>
      </c>
      <c r="J46">
        <v>154160752</v>
      </c>
      <c r="K46" t="s">
        <v>318</v>
      </c>
      <c r="L46" t="s">
        <v>187</v>
      </c>
      <c r="M46">
        <f>_xlfn.XLOOKUP(Portefeuille_MNT_PPS_Access26[[#This Row],[Numéro projet]], Portefeuille_MNT_PPS_Access20[Numéro projet], Portefeuille_MNT_PPS_Access20[Année DÉBUT Travaux prévu], "")</f>
        <v>0</v>
      </c>
      <c r="O46">
        <f>Portefeuille_MNT_PPS_Access26[[#This Row],[Année DÉBUT Travaux proposée]]-Portefeuille_MNT_PPS_Access26[[#This Row],[Année DÉBUT Travaux prévu]]</f>
        <v>0</v>
      </c>
      <c r="P46" t="s">
        <v>291</v>
      </c>
      <c r="Q46" s="1"/>
      <c r="R46" s="1"/>
      <c r="S46" s="1"/>
      <c r="T4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4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4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4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4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46">
        <f>Portefeuille_MNT_PPS_Access26[[#This Row],[Délais PC1 et PC3]]+Portefeuille_MNT_PPS_Access26[[#This Row],[Délais PC3 et PC5]]</f>
        <v>0</v>
      </c>
      <c r="Z46">
        <v>1</v>
      </c>
      <c r="AB4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46" s="12">
        <f>_xlfn.XLOOKUP(Portefeuille_MNT_PPS_Access26[[#This Row],[Numéro projet]],Tableau5[Numéro projet],Tableau5[IND_Site_Prioritaire])</f>
        <v>3</v>
      </c>
      <c r="AD46" s="2">
        <f>_xlfn.XLOOKUP(Portefeuille_MNT_PPS_Access26[[#This Row],[Numéro projet]],Tableau5[Numéro projet],Tableau5[Critère Etat Infrastructure])</f>
        <v>0</v>
      </c>
      <c r="AE4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20</v>
      </c>
      <c r="AH46" t="s">
        <v>311</v>
      </c>
      <c r="AI46" s="2"/>
      <c r="AJ46" s="2"/>
      <c r="AK46">
        <v>676</v>
      </c>
      <c r="AL46">
        <v>7943</v>
      </c>
      <c r="AM46">
        <v>17</v>
      </c>
      <c r="AN46"/>
      <c r="AX46"/>
      <c r="BK46" s="14">
        <f>SUM(Portefeuille_MNT_PPS_Access26[[#This Row],[AC ANT]:[TR 2035]])</f>
        <v>8636</v>
      </c>
    </row>
    <row r="47" spans="1:63" x14ac:dyDescent="0.3">
      <c r="A47" t="s">
        <v>286</v>
      </c>
      <c r="C47" t="s">
        <v>118</v>
      </c>
      <c r="D47" t="s">
        <v>102</v>
      </c>
      <c r="E47" t="s">
        <v>103</v>
      </c>
      <c r="F47" t="s">
        <v>104</v>
      </c>
      <c r="G47" t="s">
        <v>16</v>
      </c>
      <c r="H47" t="s">
        <v>16</v>
      </c>
      <c r="I47" t="s">
        <v>131</v>
      </c>
      <c r="J47">
        <v>154171269</v>
      </c>
      <c r="K47" t="s">
        <v>320</v>
      </c>
      <c r="L47" t="s">
        <v>159</v>
      </c>
      <c r="M47">
        <f>_xlfn.XLOOKUP(Portefeuille_MNT_PPS_Access26[[#This Row],[Numéro projet]], Portefeuille_MNT_PPS_Access20[Numéro projet], Portefeuille_MNT_PPS_Access20[Année DÉBUT Travaux prévu], "")</f>
        <v>0</v>
      </c>
      <c r="O47">
        <f>Portefeuille_MNT_PPS_Access26[[#This Row],[Année DÉBUT Travaux proposée]]-Portefeuille_MNT_PPS_Access26[[#This Row],[Année DÉBUT Travaux prévu]]</f>
        <v>0</v>
      </c>
      <c r="P47" t="s">
        <v>164</v>
      </c>
      <c r="Q47" s="1">
        <v>44063</v>
      </c>
      <c r="R47" s="1">
        <v>44488</v>
      </c>
      <c r="S47" s="1">
        <v>44602</v>
      </c>
      <c r="T47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47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47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4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</v>
      </c>
      <c r="X4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4</v>
      </c>
      <c r="Y47">
        <f>Portefeuille_MNT_PPS_Access26[[#This Row],[Délais PC1 et PC3]]+Portefeuille_MNT_PPS_Access26[[#This Row],[Délais PC3 et PC5]]</f>
        <v>18</v>
      </c>
      <c r="Z47">
        <v>1</v>
      </c>
      <c r="AA47">
        <v>5</v>
      </c>
      <c r="AB4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47" s="12">
        <f>_xlfn.XLOOKUP(Portefeuille_MNT_PPS_Access26[[#This Row],[Numéro projet]],Tableau5[Numéro projet],Tableau5[IND_Site_Prioritaire])</f>
        <v>4.333333333333333</v>
      </c>
      <c r="AD47" s="2">
        <f>_xlfn.XLOOKUP(Portefeuille_MNT_PPS_Access26[[#This Row],[Numéro projet]],Tableau5[Numéro projet],Tableau5[Critère Etat Infrastructure])</f>
        <v>0</v>
      </c>
      <c r="AE4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F47">
        <v>5</v>
      </c>
      <c r="AG47">
        <v>5</v>
      </c>
      <c r="AH47" t="s">
        <v>165</v>
      </c>
      <c r="AI47" s="2"/>
      <c r="AJ47" s="2"/>
      <c r="AK47">
        <v>334</v>
      </c>
      <c r="AL47">
        <v>5521</v>
      </c>
      <c r="AM47">
        <v>24</v>
      </c>
      <c r="AN47"/>
      <c r="AO47">
        <v>28</v>
      </c>
      <c r="AX47"/>
      <c r="BK47" s="14">
        <f>SUM(Portefeuille_MNT_PPS_Access26[[#This Row],[AC ANT]:[TR 2035]])</f>
        <v>5907</v>
      </c>
    </row>
    <row r="48" spans="1:63" x14ac:dyDescent="0.3">
      <c r="A48" t="s">
        <v>286</v>
      </c>
      <c r="C48" t="s">
        <v>118</v>
      </c>
      <c r="D48" t="s">
        <v>102</v>
      </c>
      <c r="E48" t="s">
        <v>103</v>
      </c>
      <c r="G48" t="s">
        <v>16</v>
      </c>
      <c r="H48" t="s">
        <v>325</v>
      </c>
      <c r="I48" t="s">
        <v>131</v>
      </c>
      <c r="J48">
        <v>154171270</v>
      </c>
      <c r="K48" t="s">
        <v>525</v>
      </c>
      <c r="L48" t="s">
        <v>147</v>
      </c>
      <c r="M48">
        <f>_xlfn.XLOOKUP(Portefeuille_MNT_PPS_Access26[[#This Row],[Numéro projet]], Portefeuille_MNT_PPS_Access20[Numéro projet], Portefeuille_MNT_PPS_Access20[Année DÉBUT Travaux prévu], "")</f>
        <v>0</v>
      </c>
      <c r="O48">
        <f>Portefeuille_MNT_PPS_Access26[[#This Row],[Année DÉBUT Travaux proposée]]-Portefeuille_MNT_PPS_Access26[[#This Row],[Année DÉBUT Travaux prévu]]</f>
        <v>0</v>
      </c>
      <c r="P48" t="s">
        <v>291</v>
      </c>
      <c r="Q48" s="1"/>
      <c r="R48" s="1"/>
      <c r="S48" s="1"/>
      <c r="T4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4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4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4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4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48">
        <f>Portefeuille_MNT_PPS_Access26[[#This Row],[Délais PC1 et PC3]]+Portefeuille_MNT_PPS_Access26[[#This Row],[Délais PC3 et PC5]]</f>
        <v>0</v>
      </c>
      <c r="Z48">
        <v>1</v>
      </c>
      <c r="AB4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48" s="12">
        <f>_xlfn.XLOOKUP(Portefeuille_MNT_PPS_Access26[[#This Row],[Numéro projet]],Tableau5[Numéro projet],Tableau5[IND_Site_Prioritaire])</f>
        <v>3</v>
      </c>
      <c r="AD48" s="2">
        <f>_xlfn.XLOOKUP(Portefeuille_MNT_PPS_Access26[[#This Row],[Numéro projet]],Tableau5[Numéro projet],Tableau5[Critère Etat Infrastructure])</f>
        <v>0</v>
      </c>
      <c r="AE4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20</v>
      </c>
      <c r="AH48" t="s">
        <v>311</v>
      </c>
      <c r="AI48" s="2"/>
      <c r="AJ48" s="2"/>
      <c r="AK48">
        <v>468</v>
      </c>
      <c r="AL48">
        <v>4580</v>
      </c>
      <c r="AN48"/>
      <c r="AO48">
        <v>3</v>
      </c>
      <c r="AX48"/>
      <c r="BK48" s="14">
        <f>SUM(Portefeuille_MNT_PPS_Access26[[#This Row],[AC ANT]:[TR 2035]])</f>
        <v>5051</v>
      </c>
    </row>
    <row r="49" spans="1:63" x14ac:dyDescent="0.3">
      <c r="A49" t="s">
        <v>286</v>
      </c>
      <c r="C49" t="s">
        <v>126</v>
      </c>
      <c r="D49" t="s">
        <v>127</v>
      </c>
      <c r="E49" t="s">
        <v>128</v>
      </c>
      <c r="F49" t="s">
        <v>129</v>
      </c>
      <c r="G49" t="s">
        <v>16</v>
      </c>
      <c r="H49" t="s">
        <v>16</v>
      </c>
      <c r="I49" t="s">
        <v>131</v>
      </c>
      <c r="J49">
        <v>154171295</v>
      </c>
      <c r="K49" t="s">
        <v>324</v>
      </c>
      <c r="L49" t="s">
        <v>214</v>
      </c>
      <c r="M49">
        <f>_xlfn.XLOOKUP(Portefeuille_MNT_PPS_Access26[[#This Row],[Numéro projet]], Portefeuille_MNT_PPS_Access20[Numéro projet], Portefeuille_MNT_PPS_Access20[Année DÉBUT Travaux prévu], "")</f>
        <v>0</v>
      </c>
      <c r="O49">
        <f>Portefeuille_MNT_PPS_Access26[[#This Row],[Année DÉBUT Travaux proposée]]-Portefeuille_MNT_PPS_Access26[[#This Row],[Année DÉBUT Travaux prévu]]</f>
        <v>0</v>
      </c>
      <c r="P49" t="s">
        <v>164</v>
      </c>
      <c r="Q49" s="1">
        <v>44644</v>
      </c>
      <c r="R49" s="1">
        <v>44995</v>
      </c>
      <c r="S49" s="1">
        <v>45061</v>
      </c>
      <c r="T49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49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49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4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4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2</v>
      </c>
      <c r="Y49">
        <f>Portefeuille_MNT_PPS_Access26[[#This Row],[Délais PC1 et PC3]]+Portefeuille_MNT_PPS_Access26[[#This Row],[Délais PC3 et PC5]]</f>
        <v>14</v>
      </c>
      <c r="Z49">
        <v>5</v>
      </c>
      <c r="AA49">
        <v>5</v>
      </c>
      <c r="AB4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49" s="12">
        <f>_xlfn.XLOOKUP(Portefeuille_MNT_PPS_Access26[[#This Row],[Numéro projet]],Tableau5[Numéro projet],Tableau5[IND_Site_Prioritaire])</f>
        <v>3</v>
      </c>
      <c r="AD49" s="2">
        <f>_xlfn.XLOOKUP(Portefeuille_MNT_PPS_Access26[[#This Row],[Numéro projet]],Tableau5[Numéro projet],Tableau5[Critère Etat Infrastructure])</f>
        <v>3</v>
      </c>
      <c r="AE4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49">
        <v>5</v>
      </c>
      <c r="AG49">
        <v>5</v>
      </c>
      <c r="AH49" t="s">
        <v>165</v>
      </c>
      <c r="AI49" s="2">
        <v>5</v>
      </c>
      <c r="AJ49" s="2"/>
      <c r="AK49">
        <v>80</v>
      </c>
      <c r="AL49">
        <v>347</v>
      </c>
      <c r="AM49">
        <v>46</v>
      </c>
      <c r="AN49">
        <v>141</v>
      </c>
      <c r="AX49"/>
      <c r="BK49" s="14">
        <f>SUM(Portefeuille_MNT_PPS_Access26[[#This Row],[AC ANT]:[TR 2035]])</f>
        <v>614</v>
      </c>
    </row>
    <row r="50" spans="1:63" x14ac:dyDescent="0.3">
      <c r="A50" t="s">
        <v>286</v>
      </c>
      <c r="C50" t="s">
        <v>101</v>
      </c>
      <c r="D50" t="s">
        <v>102</v>
      </c>
      <c r="E50" t="s">
        <v>103</v>
      </c>
      <c r="G50" t="s">
        <v>16</v>
      </c>
      <c r="H50" t="s">
        <v>325</v>
      </c>
      <c r="I50" t="s">
        <v>131</v>
      </c>
      <c r="J50">
        <v>154171402</v>
      </c>
      <c r="K50" t="s">
        <v>327</v>
      </c>
      <c r="L50" t="s">
        <v>183</v>
      </c>
      <c r="M50">
        <f>_xlfn.XLOOKUP(Portefeuille_MNT_PPS_Access26[[#This Row],[Numéro projet]], Portefeuille_MNT_PPS_Access20[Numéro projet], Portefeuille_MNT_PPS_Access20[Année DÉBUT Travaux prévu], "")</f>
        <v>0</v>
      </c>
      <c r="O50">
        <f>Portefeuille_MNT_PPS_Access26[[#This Row],[Année DÉBUT Travaux proposée]]-Portefeuille_MNT_PPS_Access26[[#This Row],[Année DÉBUT Travaux prévu]]</f>
        <v>0</v>
      </c>
      <c r="P50" t="s">
        <v>291</v>
      </c>
      <c r="Q50" s="1"/>
      <c r="R50" s="1"/>
      <c r="S50" s="1"/>
      <c r="T5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5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5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50">
        <f>Portefeuille_MNT_PPS_Access26[[#This Row],[Délais PC1 et PC3]]+Portefeuille_MNT_PPS_Access26[[#This Row],[Délais PC3 et PC5]]</f>
        <v>0</v>
      </c>
      <c r="Z50">
        <v>1</v>
      </c>
      <c r="AB5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50" s="12">
        <f>_xlfn.XLOOKUP(Portefeuille_MNT_PPS_Access26[[#This Row],[Numéro projet]],Tableau5[Numéro projet],Tableau5[IND_Site_Prioritaire])</f>
        <v>2.3333333333333335</v>
      </c>
      <c r="AD50" s="2">
        <f>_xlfn.XLOOKUP(Portefeuille_MNT_PPS_Access26[[#This Row],[Numéro projet]],Tableau5[Numéro projet],Tableau5[Critère Etat Infrastructure])</f>
        <v>0</v>
      </c>
      <c r="AE5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16.666666666666668</v>
      </c>
      <c r="AH50" t="s">
        <v>311</v>
      </c>
      <c r="AI50" s="2"/>
      <c r="AJ50" s="2"/>
      <c r="AK50">
        <v>595</v>
      </c>
      <c r="AL50">
        <v>3578</v>
      </c>
      <c r="AN50"/>
      <c r="AO50">
        <v>1</v>
      </c>
      <c r="AX50"/>
      <c r="BK50" s="14">
        <f>SUM(Portefeuille_MNT_PPS_Access26[[#This Row],[AC ANT]:[TR 2035]])</f>
        <v>4174</v>
      </c>
    </row>
    <row r="51" spans="1:63" x14ac:dyDescent="0.3">
      <c r="A51" t="s">
        <v>286</v>
      </c>
      <c r="C51" t="s">
        <v>101</v>
      </c>
      <c r="D51" t="s">
        <v>102</v>
      </c>
      <c r="E51" t="s">
        <v>200</v>
      </c>
      <c r="G51" t="s">
        <v>16</v>
      </c>
      <c r="H51" t="s">
        <v>325</v>
      </c>
      <c r="I51" t="s">
        <v>131</v>
      </c>
      <c r="J51">
        <v>154171405</v>
      </c>
      <c r="K51" t="s">
        <v>329</v>
      </c>
      <c r="L51" t="s">
        <v>152</v>
      </c>
      <c r="M51">
        <f>_xlfn.XLOOKUP(Portefeuille_MNT_PPS_Access26[[#This Row],[Numéro projet]], Portefeuille_MNT_PPS_Access20[Numéro projet], Portefeuille_MNT_PPS_Access20[Année DÉBUT Travaux prévu], "")</f>
        <v>0</v>
      </c>
      <c r="O51">
        <f>Portefeuille_MNT_PPS_Access26[[#This Row],[Année DÉBUT Travaux proposée]]-Portefeuille_MNT_PPS_Access26[[#This Row],[Année DÉBUT Travaux prévu]]</f>
        <v>0</v>
      </c>
      <c r="P51" t="s">
        <v>291</v>
      </c>
      <c r="Q51" s="1"/>
      <c r="R51" s="1"/>
      <c r="S51" s="1"/>
      <c r="T5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5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5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51">
        <f>Portefeuille_MNT_PPS_Access26[[#This Row],[Délais PC1 et PC3]]+Portefeuille_MNT_PPS_Access26[[#This Row],[Délais PC3 et PC5]]</f>
        <v>0</v>
      </c>
      <c r="Z51">
        <v>1</v>
      </c>
      <c r="AB5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51" s="12">
        <f>_xlfn.XLOOKUP(Portefeuille_MNT_PPS_Access26[[#This Row],[Numéro projet]],Tableau5[Numéro projet],Tableau5[IND_Site_Prioritaire])</f>
        <v>3.6666666666666665</v>
      </c>
      <c r="AD51" s="2">
        <f>_xlfn.XLOOKUP(Portefeuille_MNT_PPS_Access26[[#This Row],[Numéro projet]],Tableau5[Numéro projet],Tableau5[Critère Etat Infrastructure])</f>
        <v>0</v>
      </c>
      <c r="AE5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23.333333333333332</v>
      </c>
      <c r="AH51" t="s">
        <v>311</v>
      </c>
      <c r="AI51" s="2"/>
      <c r="AJ51" s="2"/>
      <c r="AK51">
        <v>186</v>
      </c>
      <c r="AL51">
        <v>3019</v>
      </c>
      <c r="AN51"/>
      <c r="AO51">
        <v>9</v>
      </c>
      <c r="AX51"/>
      <c r="BK51" s="14">
        <f>SUM(Portefeuille_MNT_PPS_Access26[[#This Row],[AC ANT]:[TR 2035]])</f>
        <v>3214</v>
      </c>
    </row>
    <row r="52" spans="1:63" x14ac:dyDescent="0.3">
      <c r="A52" t="s">
        <v>286</v>
      </c>
      <c r="C52" t="s">
        <v>126</v>
      </c>
      <c r="D52" t="s">
        <v>127</v>
      </c>
      <c r="E52" t="s">
        <v>136</v>
      </c>
      <c r="F52" t="s">
        <v>104</v>
      </c>
      <c r="G52" t="s">
        <v>16</v>
      </c>
      <c r="H52" t="s">
        <v>16</v>
      </c>
      <c r="I52" t="s">
        <v>105</v>
      </c>
      <c r="J52">
        <v>154061996</v>
      </c>
      <c r="K52" t="s">
        <v>163</v>
      </c>
      <c r="L52" t="s">
        <v>122</v>
      </c>
      <c r="M52">
        <f>_xlfn.XLOOKUP(Portefeuille_MNT_PPS_Access26[[#This Row],[Numéro projet]], Portefeuille_MNT_PPS_Access20[Numéro projet], Portefeuille_MNT_PPS_Access20[Année DÉBUT Travaux prévu], "")</f>
        <v>2025</v>
      </c>
      <c r="N52">
        <v>2025</v>
      </c>
      <c r="O52">
        <f>Portefeuille_MNT_PPS_Access26[[#This Row],[Année DÉBUT Travaux proposée]]-Portefeuille_MNT_PPS_Access26[[#This Row],[Année DÉBUT Travaux prévu]]</f>
        <v>0</v>
      </c>
      <c r="P52" t="s">
        <v>164</v>
      </c>
      <c r="Q52" s="1"/>
      <c r="R52" s="1"/>
      <c r="S52" s="1"/>
      <c r="T5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5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5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52">
        <f>Portefeuille_MNT_PPS_Access26[[#This Row],[Délais PC1 et PC3]]+Portefeuille_MNT_PPS_Access26[[#This Row],[Délais PC3 et PC5]]</f>
        <v>0</v>
      </c>
      <c r="Z52">
        <v>1</v>
      </c>
      <c r="AB5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52" s="12">
        <f>_xlfn.XLOOKUP(Portefeuille_MNT_PPS_Access26[[#This Row],[Numéro projet]],Tableau5[Numéro projet],Tableau5[IND_Site_Prioritaire])</f>
        <v>4</v>
      </c>
      <c r="AD52" s="2">
        <f>_xlfn.XLOOKUP(Portefeuille_MNT_PPS_Access26[[#This Row],[Numéro projet]],Tableau5[Numéro projet],Tableau5[Critère Etat Infrastructure])</f>
        <v>0</v>
      </c>
      <c r="AE5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52" t="s">
        <v>165</v>
      </c>
      <c r="AI52" s="2">
        <v>5</v>
      </c>
      <c r="AJ52" s="2"/>
      <c r="AK52">
        <v>5398</v>
      </c>
      <c r="AL52">
        <v>28152</v>
      </c>
      <c r="AM52">
        <v>46</v>
      </c>
      <c r="AN52">
        <v>891</v>
      </c>
      <c r="AO52">
        <v>399</v>
      </c>
      <c r="AP52">
        <v>67</v>
      </c>
      <c r="AQ52">
        <v>93</v>
      </c>
      <c r="AX52"/>
      <c r="BK52" s="14">
        <f>SUM(Portefeuille_MNT_PPS_Access26[[#This Row],[AC ANT]:[TR 2035]])</f>
        <v>35046</v>
      </c>
    </row>
    <row r="53" spans="1:63" x14ac:dyDescent="0.3">
      <c r="A53" t="s">
        <v>286</v>
      </c>
      <c r="C53" t="s">
        <v>101</v>
      </c>
      <c r="D53" t="s">
        <v>102</v>
      </c>
      <c r="E53" t="s">
        <v>200</v>
      </c>
      <c r="F53" t="s">
        <v>149</v>
      </c>
      <c r="G53" t="s">
        <v>16</v>
      </c>
      <c r="H53" t="s">
        <v>16</v>
      </c>
      <c r="I53" t="s">
        <v>105</v>
      </c>
      <c r="J53">
        <v>154180629</v>
      </c>
      <c r="K53" t="s">
        <v>335</v>
      </c>
      <c r="L53" t="s">
        <v>205</v>
      </c>
      <c r="M53">
        <f>_xlfn.XLOOKUP(Portefeuille_MNT_PPS_Access26[[#This Row],[Numéro projet]], Portefeuille_MNT_PPS_Access20[Numéro projet], Portefeuille_MNT_PPS_Access20[Année DÉBUT Travaux prévu], "")</f>
        <v>2025</v>
      </c>
      <c r="N53">
        <v>2025</v>
      </c>
      <c r="O53">
        <f>Portefeuille_MNT_PPS_Access26[[#This Row],[Année DÉBUT Travaux proposée]]-Portefeuille_MNT_PPS_Access26[[#This Row],[Année DÉBUT Travaux prévu]]</f>
        <v>0</v>
      </c>
      <c r="P53" t="s">
        <v>164</v>
      </c>
      <c r="Q53" s="1">
        <v>44228</v>
      </c>
      <c r="R53" s="1">
        <v>44579</v>
      </c>
      <c r="S53" s="1">
        <v>44865</v>
      </c>
      <c r="T5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5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5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5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5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53">
        <f>Portefeuille_MNT_PPS_Access26[[#This Row],[Délais PC1 et PC3]]+Portefeuille_MNT_PPS_Access26[[#This Row],[Délais PC3 et PC5]]</f>
        <v>20</v>
      </c>
      <c r="Z53">
        <v>5</v>
      </c>
      <c r="AA53">
        <v>5</v>
      </c>
      <c r="AB53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53" s="12">
        <f>_xlfn.XLOOKUP(Portefeuille_MNT_PPS_Access26[[#This Row],[Numéro projet]],Tableau5[Numéro projet],Tableau5[IND_Site_Prioritaire])</f>
        <v>3.3333333333333335</v>
      </c>
      <c r="AD53" s="2">
        <f>_xlfn.XLOOKUP(Portefeuille_MNT_PPS_Access26[[#This Row],[Numéro projet]],Tableau5[Numéro projet],Tableau5[Critère Etat Infrastructure])</f>
        <v>0</v>
      </c>
      <c r="AE5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53">
        <v>5</v>
      </c>
      <c r="AG53">
        <v>5</v>
      </c>
      <c r="AH53" t="s">
        <v>165</v>
      </c>
      <c r="AI53" s="2">
        <v>5</v>
      </c>
      <c r="AJ53" s="2"/>
      <c r="AK53">
        <v>262</v>
      </c>
      <c r="AL53">
        <v>16</v>
      </c>
      <c r="AM53">
        <v>265</v>
      </c>
      <c r="AN53">
        <v>6205</v>
      </c>
      <c r="AO53">
        <v>183</v>
      </c>
      <c r="AP53">
        <v>282</v>
      </c>
      <c r="AX53"/>
      <c r="BK53" s="14">
        <f>SUM(Portefeuille_MNT_PPS_Access26[[#This Row],[AC ANT]:[TR 2035]])</f>
        <v>7213</v>
      </c>
    </row>
    <row r="54" spans="1:63" x14ac:dyDescent="0.3">
      <c r="A54" t="s">
        <v>286</v>
      </c>
      <c r="C54" t="s">
        <v>101</v>
      </c>
      <c r="D54" t="s">
        <v>102</v>
      </c>
      <c r="E54" t="s">
        <v>200</v>
      </c>
      <c r="F54" t="s">
        <v>104</v>
      </c>
      <c r="G54" t="s">
        <v>16</v>
      </c>
      <c r="H54" t="s">
        <v>20</v>
      </c>
      <c r="I54" t="s">
        <v>105</v>
      </c>
      <c r="J54">
        <v>154180023</v>
      </c>
      <c r="K54" t="s">
        <v>202</v>
      </c>
      <c r="L54" t="s">
        <v>108</v>
      </c>
      <c r="M54">
        <f>_xlfn.XLOOKUP(Portefeuille_MNT_PPS_Access26[[#This Row],[Numéro projet]], Portefeuille_MNT_PPS_Access20[Numéro projet], Portefeuille_MNT_PPS_Access20[Année DÉBUT Travaux prévu], "")</f>
        <v>0</v>
      </c>
      <c r="O54">
        <f>Portefeuille_MNT_PPS_Access26[[#This Row],[Année DÉBUT Travaux proposée]]-Portefeuille_MNT_PPS_Access26[[#This Row],[Année DÉBUT Travaux prévu]]</f>
        <v>0</v>
      </c>
      <c r="P54" t="s">
        <v>155</v>
      </c>
      <c r="Q54" s="1"/>
      <c r="R54" s="1"/>
      <c r="S54" s="1"/>
      <c r="T5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5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5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54">
        <f>Portefeuille_MNT_PPS_Access26[[#This Row],[Délais PC1 et PC3]]+Portefeuille_MNT_PPS_Access26[[#This Row],[Délais PC3 et PC5]]</f>
        <v>0</v>
      </c>
      <c r="Z54">
        <v>1</v>
      </c>
      <c r="AB5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54" s="12">
        <f>_xlfn.XLOOKUP(Portefeuille_MNT_PPS_Access26[[#This Row],[Numéro projet]],Tableau5[Numéro projet],Tableau5[IND_Site_Prioritaire])</f>
        <v>4</v>
      </c>
      <c r="AD54" s="2">
        <f>_xlfn.XLOOKUP(Portefeuille_MNT_PPS_Access26[[#This Row],[Numéro projet]],Tableau5[Numéro projet],Tableau5[Critère Etat Infrastructure])</f>
        <v>0</v>
      </c>
      <c r="AE5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30</v>
      </c>
      <c r="AH54" t="s">
        <v>156</v>
      </c>
      <c r="AI54" s="2"/>
      <c r="AJ54" s="2"/>
      <c r="AK54">
        <v>277</v>
      </c>
      <c r="AL54">
        <v>4</v>
      </c>
      <c r="AN54"/>
      <c r="AQ54">
        <v>127</v>
      </c>
      <c r="AS54">
        <v>125</v>
      </c>
      <c r="AU54">
        <v>471</v>
      </c>
      <c r="AX54"/>
      <c r="BK54" s="14">
        <f>SUM(Portefeuille_MNT_PPS_Access26[[#This Row],[AC ANT]:[TR 2035]])</f>
        <v>1004</v>
      </c>
    </row>
    <row r="55" spans="1:63" x14ac:dyDescent="0.3">
      <c r="A55" t="s">
        <v>286</v>
      </c>
      <c r="C55" t="s">
        <v>101</v>
      </c>
      <c r="D55" t="s">
        <v>102</v>
      </c>
      <c r="E55" t="s">
        <v>177</v>
      </c>
      <c r="F55" t="s">
        <v>129</v>
      </c>
      <c r="G55" t="s">
        <v>16</v>
      </c>
      <c r="H55" t="s">
        <v>16</v>
      </c>
      <c r="I55" t="s">
        <v>131</v>
      </c>
      <c r="J55">
        <v>154180922</v>
      </c>
      <c r="K55" t="s">
        <v>179</v>
      </c>
      <c r="L55" t="s">
        <v>180</v>
      </c>
      <c r="M55">
        <f>_xlfn.XLOOKUP(Portefeuille_MNT_PPS_Access26[[#This Row],[Numéro projet]], Portefeuille_MNT_PPS_Access20[Numéro projet], Portefeuille_MNT_PPS_Access20[Année DÉBUT Travaux prévu], "")</f>
        <v>2025</v>
      </c>
      <c r="N55">
        <v>2025</v>
      </c>
      <c r="O55">
        <f>Portefeuille_MNT_PPS_Access26[[#This Row],[Année DÉBUT Travaux proposée]]-Portefeuille_MNT_PPS_Access26[[#This Row],[Année DÉBUT Travaux prévu]]</f>
        <v>0</v>
      </c>
      <c r="P55" t="s">
        <v>164</v>
      </c>
      <c r="Q55" s="1"/>
      <c r="R55" s="1"/>
      <c r="S55" s="1">
        <v>45195</v>
      </c>
      <c r="T5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5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5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1484</v>
      </c>
      <c r="Y55">
        <f>Portefeuille_MNT_PPS_Access26[[#This Row],[Délais PC1 et PC3]]+Portefeuille_MNT_PPS_Access26[[#This Row],[Délais PC3 et PC5]]</f>
        <v>1484</v>
      </c>
      <c r="Z55">
        <v>1</v>
      </c>
      <c r="AA55">
        <v>5</v>
      </c>
      <c r="AB55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55" s="12">
        <f>_xlfn.XLOOKUP(Portefeuille_MNT_PPS_Access26[[#This Row],[Numéro projet]],Tableau5[Numéro projet],Tableau5[IND_Site_Prioritaire])</f>
        <v>2.666666666666667</v>
      </c>
      <c r="AD55" s="2">
        <f>_xlfn.XLOOKUP(Portefeuille_MNT_PPS_Access26[[#This Row],[Numéro projet]],Tableau5[Numéro projet],Tableau5[Critère Etat Infrastructure])</f>
        <v>0</v>
      </c>
      <c r="AE5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55" t="s">
        <v>165</v>
      </c>
      <c r="AI55" s="2">
        <v>5</v>
      </c>
      <c r="AJ55" s="2"/>
      <c r="AK55">
        <v>75</v>
      </c>
      <c r="AL55">
        <v>101.00000000000001</v>
      </c>
      <c r="AM55">
        <v>25</v>
      </c>
      <c r="AN55">
        <v>1137</v>
      </c>
      <c r="AO55">
        <v>73</v>
      </c>
      <c r="AP55">
        <v>596</v>
      </c>
      <c r="AX55"/>
      <c r="BK55" s="14">
        <f>SUM(Portefeuille_MNT_PPS_Access26[[#This Row],[AC ANT]:[TR 2035]])</f>
        <v>2007</v>
      </c>
    </row>
    <row r="56" spans="1:63" x14ac:dyDescent="0.3">
      <c r="A56" t="s">
        <v>286</v>
      </c>
      <c r="C56" t="s">
        <v>101</v>
      </c>
      <c r="D56" t="s">
        <v>102</v>
      </c>
      <c r="E56" t="s">
        <v>200</v>
      </c>
      <c r="F56" t="s">
        <v>113</v>
      </c>
      <c r="G56" t="s">
        <v>16</v>
      </c>
      <c r="H56" t="s">
        <v>16</v>
      </c>
      <c r="I56" t="s">
        <v>131</v>
      </c>
      <c r="J56">
        <v>154190163</v>
      </c>
      <c r="K56" t="s">
        <v>337</v>
      </c>
      <c r="L56" t="s">
        <v>180</v>
      </c>
      <c r="M56">
        <f>_xlfn.XLOOKUP(Portefeuille_MNT_PPS_Access26[[#This Row],[Numéro projet]], Portefeuille_MNT_PPS_Access20[Numéro projet], Portefeuille_MNT_PPS_Access20[Année DÉBUT Travaux prévu], "")</f>
        <v>2025</v>
      </c>
      <c r="N56">
        <v>2025</v>
      </c>
      <c r="O56">
        <f>Portefeuille_MNT_PPS_Access26[[#This Row],[Année DÉBUT Travaux proposée]]-Portefeuille_MNT_PPS_Access26[[#This Row],[Année DÉBUT Travaux prévu]]</f>
        <v>0</v>
      </c>
      <c r="P56" t="s">
        <v>164</v>
      </c>
      <c r="Q56" s="1"/>
      <c r="R56" s="1">
        <v>44518</v>
      </c>
      <c r="S56" s="1">
        <v>44657</v>
      </c>
      <c r="T5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5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5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5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1462</v>
      </c>
      <c r="X5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56">
        <f>Portefeuille_MNT_PPS_Access26[[#This Row],[Délais PC1 et PC3]]+Portefeuille_MNT_PPS_Access26[[#This Row],[Délais PC3 et PC5]]</f>
        <v>1467</v>
      </c>
      <c r="Z56">
        <v>5</v>
      </c>
      <c r="AA56">
        <v>5</v>
      </c>
      <c r="AB56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56" s="12">
        <f>_xlfn.XLOOKUP(Portefeuille_MNT_PPS_Access26[[#This Row],[Numéro projet]],Tableau5[Numéro projet],Tableau5[IND_Site_Prioritaire])</f>
        <v>2.6666666666666665</v>
      </c>
      <c r="AD56" s="2">
        <f>_xlfn.XLOOKUP(Portefeuille_MNT_PPS_Access26[[#This Row],[Numéro projet]],Tableau5[Numéro projet],Tableau5[Critère Etat Infrastructure])</f>
        <v>5</v>
      </c>
      <c r="AE5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56">
        <v>5</v>
      </c>
      <c r="AH56" t="s">
        <v>165</v>
      </c>
      <c r="AI56" s="2">
        <v>5</v>
      </c>
      <c r="AJ56" s="2"/>
      <c r="AK56">
        <v>594</v>
      </c>
      <c r="AL56">
        <v>3359</v>
      </c>
      <c r="AM56">
        <v>264</v>
      </c>
      <c r="AN56">
        <v>2717</v>
      </c>
      <c r="AO56">
        <v>63</v>
      </c>
      <c r="AP56">
        <v>462</v>
      </c>
      <c r="AX56"/>
      <c r="BK56" s="14">
        <f>SUM(Portefeuille_MNT_PPS_Access26[[#This Row],[AC ANT]:[TR 2035]])</f>
        <v>7459</v>
      </c>
    </row>
    <row r="57" spans="1:63" x14ac:dyDescent="0.3">
      <c r="A57" t="s">
        <v>286</v>
      </c>
      <c r="C57" t="s">
        <v>118</v>
      </c>
      <c r="D57" t="s">
        <v>102</v>
      </c>
      <c r="E57" t="s">
        <v>136</v>
      </c>
      <c r="F57" t="s">
        <v>129</v>
      </c>
      <c r="G57" t="s">
        <v>16</v>
      </c>
      <c r="H57" t="s">
        <v>16</v>
      </c>
      <c r="I57" t="s">
        <v>131</v>
      </c>
      <c r="J57">
        <v>154101520</v>
      </c>
      <c r="K57" t="s">
        <v>219</v>
      </c>
      <c r="L57" t="s">
        <v>152</v>
      </c>
      <c r="M57">
        <f>_xlfn.XLOOKUP(Portefeuille_MNT_PPS_Access26[[#This Row],[Numéro projet]], Portefeuille_MNT_PPS_Access20[Numéro projet], Portefeuille_MNT_PPS_Access20[Année DÉBUT Travaux prévu], "")</f>
        <v>2025</v>
      </c>
      <c r="N57">
        <v>2025</v>
      </c>
      <c r="O57">
        <f>Portefeuille_MNT_PPS_Access26[[#This Row],[Année DÉBUT Travaux proposée]]-Portefeuille_MNT_PPS_Access26[[#This Row],[Année DÉBUT Travaux prévu]]</f>
        <v>0</v>
      </c>
      <c r="P57" t="s">
        <v>164</v>
      </c>
      <c r="Q57" s="1">
        <v>45370</v>
      </c>
      <c r="R57" s="1"/>
      <c r="S57" s="1">
        <v>45706</v>
      </c>
      <c r="T5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5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5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5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-1490</v>
      </c>
      <c r="X5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1501</v>
      </c>
      <c r="Y57">
        <f>Portefeuille_MNT_PPS_Access26[[#This Row],[Délais PC1 et PC3]]+Portefeuille_MNT_PPS_Access26[[#This Row],[Délais PC3 et PC5]]</f>
        <v>11</v>
      </c>
      <c r="Z57">
        <v>1</v>
      </c>
      <c r="AA57">
        <v>1</v>
      </c>
      <c r="AB5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57" s="12">
        <f>_xlfn.XLOOKUP(Portefeuille_MNT_PPS_Access26[[#This Row],[Numéro projet]],Tableau5[Numéro projet],Tableau5[IND_Site_Prioritaire])</f>
        <v>3.6666666666666665</v>
      </c>
      <c r="AD57" s="2">
        <f>_xlfn.XLOOKUP(Portefeuille_MNT_PPS_Access26[[#This Row],[Numéro projet]],Tableau5[Numéro projet],Tableau5[Critère Etat Infrastructure])</f>
        <v>5</v>
      </c>
      <c r="AE5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83.333333333333343</v>
      </c>
      <c r="AG57">
        <v>5</v>
      </c>
      <c r="AH57" t="s">
        <v>165</v>
      </c>
      <c r="AI57" s="2"/>
      <c r="AJ57" s="2"/>
      <c r="AK57">
        <v>6</v>
      </c>
      <c r="AM57">
        <v>45</v>
      </c>
      <c r="AN57"/>
      <c r="AO57">
        <v>38</v>
      </c>
      <c r="AP57">
        <v>605</v>
      </c>
      <c r="AX57"/>
      <c r="BK57" s="14">
        <f>SUM(Portefeuille_MNT_PPS_Access26[[#This Row],[AC ANT]:[TR 2035]])</f>
        <v>694</v>
      </c>
    </row>
    <row r="58" spans="1:63" x14ac:dyDescent="0.3">
      <c r="A58" t="s">
        <v>286</v>
      </c>
      <c r="C58" t="s">
        <v>101</v>
      </c>
      <c r="D58" t="s">
        <v>102</v>
      </c>
      <c r="E58" t="s">
        <v>119</v>
      </c>
      <c r="F58" t="s">
        <v>113</v>
      </c>
      <c r="G58" t="s">
        <v>16</v>
      </c>
      <c r="H58" t="s">
        <v>16</v>
      </c>
      <c r="I58" t="s">
        <v>105</v>
      </c>
      <c r="J58">
        <v>154180091</v>
      </c>
      <c r="K58" t="s">
        <v>333</v>
      </c>
      <c r="L58" t="s">
        <v>122</v>
      </c>
      <c r="M58">
        <f>_xlfn.XLOOKUP(Portefeuille_MNT_PPS_Access26[[#This Row],[Numéro projet]], Portefeuille_MNT_PPS_Access20[Numéro projet], Portefeuille_MNT_PPS_Access20[Année DÉBUT Travaux prévu], "")</f>
        <v>2025</v>
      </c>
      <c r="N58">
        <v>2025</v>
      </c>
      <c r="O58">
        <f>Portefeuille_MNT_PPS_Access26[[#This Row],[Année DÉBUT Travaux proposée]]-Portefeuille_MNT_PPS_Access26[[#This Row],[Année DÉBUT Travaux prévu]]</f>
        <v>0</v>
      </c>
      <c r="P58" t="s">
        <v>164</v>
      </c>
      <c r="Q58" s="1">
        <v>44162</v>
      </c>
      <c r="R58" s="1">
        <v>44489</v>
      </c>
      <c r="S58" s="1">
        <v>44608</v>
      </c>
      <c r="T5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5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5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5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5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4</v>
      </c>
      <c r="Y58">
        <f>Portefeuille_MNT_PPS_Access26[[#This Row],[Délais PC1 et PC3]]+Portefeuille_MNT_PPS_Access26[[#This Row],[Délais PC3 et PC5]]</f>
        <v>15</v>
      </c>
      <c r="Z58">
        <v>5</v>
      </c>
      <c r="AA58">
        <v>5</v>
      </c>
      <c r="AB58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58" s="12">
        <f>_xlfn.XLOOKUP(Portefeuille_MNT_PPS_Access26[[#This Row],[Numéro projet]],Tableau5[Numéro projet],Tableau5[IND_Site_Prioritaire])</f>
        <v>4</v>
      </c>
      <c r="AD58" s="2">
        <f>_xlfn.XLOOKUP(Portefeuille_MNT_PPS_Access26[[#This Row],[Numéro projet]],Tableau5[Numéro projet],Tableau5[Critère Etat Infrastructure])</f>
        <v>5</v>
      </c>
      <c r="AE5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58">
        <v>5</v>
      </c>
      <c r="AG58">
        <v>5</v>
      </c>
      <c r="AH58" t="s">
        <v>165</v>
      </c>
      <c r="AI58" s="2">
        <v>5</v>
      </c>
      <c r="AJ58" s="2"/>
      <c r="AK58">
        <v>183</v>
      </c>
      <c r="AL58">
        <v>33</v>
      </c>
      <c r="AM58">
        <v>297</v>
      </c>
      <c r="AN58">
        <v>6350</v>
      </c>
      <c r="AO58">
        <v>162</v>
      </c>
      <c r="AP58">
        <v>50</v>
      </c>
      <c r="AX58"/>
      <c r="BK58" s="14">
        <f>SUM(Portefeuille_MNT_PPS_Access26[[#This Row],[AC ANT]:[TR 2035]])</f>
        <v>7075</v>
      </c>
    </row>
    <row r="59" spans="1:63" x14ac:dyDescent="0.3">
      <c r="A59" t="s">
        <v>286</v>
      </c>
      <c r="C59" t="s">
        <v>101</v>
      </c>
      <c r="D59" t="s">
        <v>102</v>
      </c>
      <c r="E59" t="s">
        <v>200</v>
      </c>
      <c r="F59" t="s">
        <v>104</v>
      </c>
      <c r="G59" t="s">
        <v>16</v>
      </c>
      <c r="H59" t="s">
        <v>16</v>
      </c>
      <c r="I59" t="s">
        <v>105</v>
      </c>
      <c r="J59">
        <v>154190251</v>
      </c>
      <c r="K59" t="s">
        <v>339</v>
      </c>
      <c r="L59" t="s">
        <v>180</v>
      </c>
      <c r="M59">
        <f>_xlfn.XLOOKUP(Portefeuille_MNT_PPS_Access26[[#This Row],[Numéro projet]], Portefeuille_MNT_PPS_Access20[Numéro projet], Portefeuille_MNT_PPS_Access20[Année DÉBUT Travaux prévu], "")</f>
        <v>0</v>
      </c>
      <c r="O59">
        <f>Portefeuille_MNT_PPS_Access26[[#This Row],[Année DÉBUT Travaux proposée]]-Portefeuille_MNT_PPS_Access26[[#This Row],[Année DÉBUT Travaux prévu]]</f>
        <v>0</v>
      </c>
      <c r="P59" t="s">
        <v>164</v>
      </c>
      <c r="Q59" s="1">
        <v>43360</v>
      </c>
      <c r="R59" s="1">
        <v>43671</v>
      </c>
      <c r="S59" s="1">
        <v>44217</v>
      </c>
      <c r="T59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59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59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5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10</v>
      </c>
      <c r="X5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18</v>
      </c>
      <c r="Y59">
        <f>Portefeuille_MNT_PPS_Access26[[#This Row],[Délais PC1 et PC3]]+Portefeuille_MNT_PPS_Access26[[#This Row],[Délais PC3 et PC5]]</f>
        <v>28</v>
      </c>
      <c r="Z59">
        <v>1</v>
      </c>
      <c r="AA59">
        <v>5</v>
      </c>
      <c r="AB5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59" s="12">
        <f>_xlfn.XLOOKUP(Portefeuille_MNT_PPS_Access26[[#This Row],[Numéro projet]],Tableau5[Numéro projet],Tableau5[IND_Site_Prioritaire])</f>
        <v>2.833333333333333</v>
      </c>
      <c r="AD59" s="2">
        <f>_xlfn.XLOOKUP(Portefeuille_MNT_PPS_Access26[[#This Row],[Numéro projet]],Tableau5[Numéro projet],Tableau5[Critère Etat Infrastructure])</f>
        <v>0</v>
      </c>
      <c r="AE5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59">
        <v>5</v>
      </c>
      <c r="AG59">
        <v>5</v>
      </c>
      <c r="AH59" t="s">
        <v>165</v>
      </c>
      <c r="AI59" s="2">
        <v>5</v>
      </c>
      <c r="AJ59" s="2"/>
      <c r="AK59">
        <v>128</v>
      </c>
      <c r="AL59">
        <v>2061</v>
      </c>
      <c r="AM59">
        <v>142</v>
      </c>
      <c r="AN59"/>
      <c r="AO59">
        <v>65</v>
      </c>
      <c r="AX59"/>
      <c r="BK59" s="14">
        <f>SUM(Portefeuille_MNT_PPS_Access26[[#This Row],[AC ANT]:[TR 2035]])</f>
        <v>2396</v>
      </c>
    </row>
    <row r="60" spans="1:63" x14ac:dyDescent="0.3">
      <c r="A60" t="s">
        <v>286</v>
      </c>
      <c r="C60" t="s">
        <v>118</v>
      </c>
      <c r="D60" t="s">
        <v>102</v>
      </c>
      <c r="E60" t="s">
        <v>103</v>
      </c>
      <c r="F60" t="s">
        <v>149</v>
      </c>
      <c r="G60" t="s">
        <v>16</v>
      </c>
      <c r="H60" t="s">
        <v>16</v>
      </c>
      <c r="I60" t="s">
        <v>131</v>
      </c>
      <c r="J60">
        <v>154190478</v>
      </c>
      <c r="K60" t="s">
        <v>193</v>
      </c>
      <c r="L60" t="s">
        <v>194</v>
      </c>
      <c r="M60">
        <f>_xlfn.XLOOKUP(Portefeuille_MNT_PPS_Access26[[#This Row],[Numéro projet]], Portefeuille_MNT_PPS_Access20[Numéro projet], Portefeuille_MNT_PPS_Access20[Année DÉBUT Travaux prévu], "")</f>
        <v>2025</v>
      </c>
      <c r="N60">
        <v>2025</v>
      </c>
      <c r="O60">
        <f>Portefeuille_MNT_PPS_Access26[[#This Row],[Année DÉBUT Travaux proposée]]-Portefeuille_MNT_PPS_Access26[[#This Row],[Année DÉBUT Travaux prévu]]</f>
        <v>0</v>
      </c>
      <c r="P60" t="s">
        <v>164</v>
      </c>
      <c r="Q60" s="1">
        <v>44547</v>
      </c>
      <c r="R60" s="1">
        <v>45091</v>
      </c>
      <c r="S60" s="1">
        <v>45375</v>
      </c>
      <c r="T6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6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6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6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18</v>
      </c>
      <c r="X6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60">
        <f>Portefeuille_MNT_PPS_Access26[[#This Row],[Délais PC1 et PC3]]+Portefeuille_MNT_PPS_Access26[[#This Row],[Délais PC3 et PC5]]</f>
        <v>27</v>
      </c>
      <c r="Z60">
        <v>1</v>
      </c>
      <c r="AA60">
        <v>5</v>
      </c>
      <c r="AB60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60" s="12">
        <f>_xlfn.XLOOKUP(Portefeuille_MNT_PPS_Access26[[#This Row],[Numéro projet]],Tableau5[Numéro projet],Tableau5[IND_Site_Prioritaire])</f>
        <v>3.3333333333333335</v>
      </c>
      <c r="AD60" s="2">
        <f>_xlfn.XLOOKUP(Portefeuille_MNT_PPS_Access26[[#This Row],[Numéro projet]],Tableau5[Numéro projet],Tableau5[Critère Etat Infrastructure])</f>
        <v>5</v>
      </c>
      <c r="AE6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60">
        <v>5</v>
      </c>
      <c r="AG60">
        <v>5</v>
      </c>
      <c r="AH60" t="s">
        <v>165</v>
      </c>
      <c r="AI60" s="2">
        <v>5</v>
      </c>
      <c r="AJ60" s="2"/>
      <c r="AK60">
        <v>7</v>
      </c>
      <c r="AM60">
        <v>45</v>
      </c>
      <c r="AN60">
        <v>1057</v>
      </c>
      <c r="AO60">
        <v>221</v>
      </c>
      <c r="AP60">
        <v>4691</v>
      </c>
      <c r="AX60"/>
      <c r="BK60" s="14">
        <f>SUM(Portefeuille_MNT_PPS_Access26[[#This Row],[AC ANT]:[TR 2035]])</f>
        <v>6021</v>
      </c>
    </row>
    <row r="61" spans="1:63" x14ac:dyDescent="0.3">
      <c r="A61" t="s">
        <v>286</v>
      </c>
      <c r="C61" t="s">
        <v>118</v>
      </c>
      <c r="D61" t="s">
        <v>102</v>
      </c>
      <c r="E61" t="s">
        <v>103</v>
      </c>
      <c r="F61" t="s">
        <v>340</v>
      </c>
      <c r="G61" t="s">
        <v>16</v>
      </c>
      <c r="H61" t="s">
        <v>16</v>
      </c>
      <c r="I61" t="s">
        <v>131</v>
      </c>
      <c r="J61">
        <v>154190477</v>
      </c>
      <c r="K61" t="s">
        <v>342</v>
      </c>
      <c r="L61" t="s">
        <v>147</v>
      </c>
      <c r="M61">
        <f>_xlfn.XLOOKUP(Portefeuille_MNT_PPS_Access26[[#This Row],[Numéro projet]], Portefeuille_MNT_PPS_Access20[Numéro projet], Portefeuille_MNT_PPS_Access20[Année DÉBUT Travaux prévu], "")</f>
        <v>0</v>
      </c>
      <c r="O61">
        <f>Portefeuille_MNT_PPS_Access26[[#This Row],[Année DÉBUT Travaux proposée]]-Portefeuille_MNT_PPS_Access26[[#This Row],[Année DÉBUT Travaux prévu]]</f>
        <v>0</v>
      </c>
      <c r="P61" t="s">
        <v>164</v>
      </c>
      <c r="Q61" s="1">
        <v>44245</v>
      </c>
      <c r="R61" s="1">
        <v>44469</v>
      </c>
      <c r="S61" s="1">
        <v>44538</v>
      </c>
      <c r="T61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61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61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6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7</v>
      </c>
      <c r="X6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</v>
      </c>
      <c r="Y61">
        <f>Portefeuille_MNT_PPS_Access26[[#This Row],[Délais PC1 et PC3]]+Portefeuille_MNT_PPS_Access26[[#This Row],[Délais PC3 et PC5]]</f>
        <v>10</v>
      </c>
      <c r="Z61">
        <v>1</v>
      </c>
      <c r="AA61">
        <v>5</v>
      </c>
      <c r="AB6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61" s="12">
        <f>_xlfn.XLOOKUP(Portefeuille_MNT_PPS_Access26[[#This Row],[Numéro projet]],Tableau5[Numéro projet],Tableau5[IND_Site_Prioritaire])</f>
        <v>3</v>
      </c>
      <c r="AD61" s="2">
        <f>_xlfn.XLOOKUP(Portefeuille_MNT_PPS_Access26[[#This Row],[Numéro projet]],Tableau5[Numéro projet],Tableau5[Critère Etat Infrastructure])</f>
        <v>0</v>
      </c>
      <c r="AE6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55.000000000000007</v>
      </c>
      <c r="AF61">
        <v>5</v>
      </c>
      <c r="AG61">
        <v>5</v>
      </c>
      <c r="AH61" t="s">
        <v>165</v>
      </c>
      <c r="AI61" s="2"/>
      <c r="AJ61" s="2"/>
      <c r="AK61">
        <v>603</v>
      </c>
      <c r="AL61">
        <v>10120</v>
      </c>
      <c r="AM61">
        <v>13</v>
      </c>
      <c r="AN61">
        <v>169</v>
      </c>
      <c r="AO61">
        <v>60</v>
      </c>
      <c r="AX61"/>
      <c r="BK61" s="14">
        <f>SUM(Portefeuille_MNT_PPS_Access26[[#This Row],[AC ANT]:[TR 2035]])</f>
        <v>10965</v>
      </c>
    </row>
    <row r="62" spans="1:63" x14ac:dyDescent="0.3">
      <c r="A62" t="s">
        <v>286</v>
      </c>
      <c r="C62" t="s">
        <v>101</v>
      </c>
      <c r="D62" t="s">
        <v>102</v>
      </c>
      <c r="E62" t="s">
        <v>103</v>
      </c>
      <c r="F62" t="s">
        <v>149</v>
      </c>
      <c r="G62" t="s">
        <v>16</v>
      </c>
      <c r="H62" t="s">
        <v>16</v>
      </c>
      <c r="I62" t="s">
        <v>105</v>
      </c>
      <c r="J62">
        <v>154190480</v>
      </c>
      <c r="K62" t="s">
        <v>229</v>
      </c>
      <c r="L62" t="s">
        <v>230</v>
      </c>
      <c r="M62">
        <f>_xlfn.XLOOKUP(Portefeuille_MNT_PPS_Access26[[#This Row],[Numéro projet]], Portefeuille_MNT_PPS_Access20[Numéro projet], Portefeuille_MNT_PPS_Access20[Année DÉBUT Travaux prévu], "")</f>
        <v>2025</v>
      </c>
      <c r="N62">
        <v>2025</v>
      </c>
      <c r="O62">
        <f>Portefeuille_MNT_PPS_Access26[[#This Row],[Année DÉBUT Travaux proposée]]-Portefeuille_MNT_PPS_Access26[[#This Row],[Année DÉBUT Travaux prévu]]</f>
        <v>0</v>
      </c>
      <c r="P62" t="s">
        <v>164</v>
      </c>
      <c r="Q62" s="1">
        <v>45022</v>
      </c>
      <c r="R62" s="1">
        <v>45463</v>
      </c>
      <c r="S62" s="1">
        <v>45590</v>
      </c>
      <c r="T6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6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6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6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</v>
      </c>
      <c r="X6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4</v>
      </c>
      <c r="Y62">
        <f>Portefeuille_MNT_PPS_Access26[[#This Row],[Délais PC1 et PC3]]+Portefeuille_MNT_PPS_Access26[[#This Row],[Délais PC3 et PC5]]</f>
        <v>18</v>
      </c>
      <c r="Z62">
        <v>1</v>
      </c>
      <c r="AA62">
        <v>5</v>
      </c>
      <c r="AB62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62" s="12">
        <f>_xlfn.XLOOKUP(Portefeuille_MNT_PPS_Access26[[#This Row],[Numéro projet]],Tableau5[Numéro projet],Tableau5[IND_Site_Prioritaire])</f>
        <v>3</v>
      </c>
      <c r="AD62" s="2">
        <f>_xlfn.XLOOKUP(Portefeuille_MNT_PPS_Access26[[#This Row],[Numéro projet]],Tableau5[Numéro projet],Tableau5[Critère Etat Infrastructure])</f>
        <v>4</v>
      </c>
      <c r="AE6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65</v>
      </c>
      <c r="AF62">
        <v>5</v>
      </c>
      <c r="AG62">
        <v>5</v>
      </c>
      <c r="AH62" t="s">
        <v>165</v>
      </c>
      <c r="AI62" s="2"/>
      <c r="AJ62" s="2"/>
      <c r="AK62">
        <v>61</v>
      </c>
      <c r="AN62"/>
      <c r="AO62">
        <v>601</v>
      </c>
      <c r="AP62">
        <v>11581</v>
      </c>
      <c r="AX62"/>
      <c r="BK62" s="14">
        <f>SUM(Portefeuille_MNT_PPS_Access26[[#This Row],[AC ANT]:[TR 2035]])</f>
        <v>12243</v>
      </c>
    </row>
    <row r="63" spans="1:63" x14ac:dyDescent="0.3">
      <c r="A63" t="s">
        <v>286</v>
      </c>
      <c r="C63" t="s">
        <v>101</v>
      </c>
      <c r="D63" t="s">
        <v>102</v>
      </c>
      <c r="E63" t="s">
        <v>136</v>
      </c>
      <c r="F63" t="s">
        <v>113</v>
      </c>
      <c r="G63" t="s">
        <v>16</v>
      </c>
      <c r="H63" t="s">
        <v>16</v>
      </c>
      <c r="I63" t="s">
        <v>131</v>
      </c>
      <c r="J63">
        <v>154081840</v>
      </c>
      <c r="K63" t="s">
        <v>138</v>
      </c>
      <c r="L63" t="s">
        <v>139</v>
      </c>
      <c r="M63">
        <f>_xlfn.XLOOKUP(Portefeuille_MNT_PPS_Access26[[#This Row],[Numéro projet]], Portefeuille_MNT_PPS_Access20[Numéro projet], Portefeuille_MNT_PPS_Access20[Année DÉBUT Travaux prévu], "")</f>
        <v>2026</v>
      </c>
      <c r="N63" s="8">
        <v>2026</v>
      </c>
      <c r="O63" s="2">
        <f>Portefeuille_MNT_PPS_Access26[[#This Row],[Année DÉBUT Travaux proposée]]-Portefeuille_MNT_PPS_Access26[[#This Row],[Année DÉBUT Travaux prévu]]</f>
        <v>0</v>
      </c>
      <c r="P63" t="s">
        <v>123</v>
      </c>
      <c r="Q63" s="1">
        <v>45062</v>
      </c>
      <c r="R63" s="1">
        <v>45754</v>
      </c>
      <c r="S63" s="1">
        <v>45945</v>
      </c>
      <c r="T6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6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6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6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23</v>
      </c>
      <c r="X6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6</v>
      </c>
      <c r="Y63">
        <f>Portefeuille_MNT_PPS_Access26[[#This Row],[Délais PC1 et PC3]]+Portefeuille_MNT_PPS_Access26[[#This Row],[Délais PC3 et PC5]]</f>
        <v>29</v>
      </c>
      <c r="Z63">
        <v>1</v>
      </c>
      <c r="AA63">
        <v>1</v>
      </c>
      <c r="AB6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63" s="12">
        <f>_xlfn.XLOOKUP(Portefeuille_MNT_PPS_Access26[[#This Row],[Numéro projet]],Tableau5[Numéro projet],Tableau5[IND_Site_Prioritaire])</f>
        <v>2.3333333333333335</v>
      </c>
      <c r="AD63" s="2">
        <f>_xlfn.XLOOKUP(Portefeuille_MNT_PPS_Access26[[#This Row],[Numéro projet]],Tableau5[Numéro projet],Tableau5[Critère Etat Infrastructure])</f>
        <v>5</v>
      </c>
      <c r="AE6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66.666666666666671</v>
      </c>
      <c r="AF63">
        <v>1</v>
      </c>
      <c r="AG63">
        <v>5</v>
      </c>
      <c r="AH63" t="s">
        <v>125</v>
      </c>
      <c r="AI63" s="2"/>
      <c r="AJ63" s="2"/>
      <c r="AK63">
        <v>337</v>
      </c>
      <c r="AL63">
        <v>41</v>
      </c>
      <c r="AM63">
        <v>327</v>
      </c>
      <c r="AN63"/>
      <c r="AO63">
        <v>363</v>
      </c>
      <c r="AQ63">
        <v>1006</v>
      </c>
      <c r="AR63">
        <v>5870</v>
      </c>
      <c r="AX63"/>
      <c r="BK63" s="14">
        <f>SUM(Portefeuille_MNT_PPS_Access26[[#This Row],[AC ANT]:[TR 2035]])</f>
        <v>7944</v>
      </c>
    </row>
    <row r="64" spans="1:63" x14ac:dyDescent="0.3">
      <c r="A64" t="s">
        <v>286</v>
      </c>
      <c r="C64" t="s">
        <v>118</v>
      </c>
      <c r="D64" t="s">
        <v>102</v>
      </c>
      <c r="E64" t="s">
        <v>177</v>
      </c>
      <c r="F64" t="s">
        <v>129</v>
      </c>
      <c r="G64" t="s">
        <v>16</v>
      </c>
      <c r="H64" t="s">
        <v>16</v>
      </c>
      <c r="I64" t="s">
        <v>131</v>
      </c>
      <c r="J64">
        <v>154240647</v>
      </c>
      <c r="K64" t="s">
        <v>294</v>
      </c>
      <c r="L64" t="s">
        <v>134</v>
      </c>
      <c r="M64">
        <f>_xlfn.XLOOKUP(Portefeuille_MNT_PPS_Access26[[#This Row],[Numéro projet]], Portefeuille_MNT_PPS_Access20[Numéro projet], Portefeuille_MNT_PPS_Access20[Année DÉBUT Travaux prévu], "")</f>
        <v>2025</v>
      </c>
      <c r="N64">
        <v>2025</v>
      </c>
      <c r="O64">
        <f>Portefeuille_MNT_PPS_Access26[[#This Row],[Année DÉBUT Travaux proposée]]-Portefeuille_MNT_PPS_Access26[[#This Row],[Année DÉBUT Travaux prévu]]</f>
        <v>0</v>
      </c>
      <c r="P64" t="s">
        <v>164</v>
      </c>
      <c r="Q64" s="1">
        <v>45702</v>
      </c>
      <c r="R64" s="1">
        <v>45702</v>
      </c>
      <c r="S64" s="1">
        <v>45702</v>
      </c>
      <c r="T6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6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6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6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6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64">
        <f>Portefeuille_MNT_PPS_Access26[[#This Row],[Délais PC1 et PC3]]+Portefeuille_MNT_PPS_Access26[[#This Row],[Délais PC3 et PC5]]</f>
        <v>0</v>
      </c>
      <c r="Z64">
        <v>1</v>
      </c>
      <c r="AA64">
        <v>1</v>
      </c>
      <c r="AB6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64" s="12" t="e">
        <f>_xlfn.XLOOKUP(Portefeuille_MNT_PPS_Access26[[#This Row],[Numéro projet]],Tableau5[Numéro projet],Tableau5[IND_Site_Prioritaire])</f>
        <v>#N/A</v>
      </c>
      <c r="AD64" s="2" t="e">
        <f>_xlfn.XLOOKUP(Portefeuille_MNT_PPS_Access26[[#This Row],[Numéro projet]],Tableau5[Numéro projet],Tableau5[Critère Etat Infrastructure])</f>
        <v>#N/A</v>
      </c>
      <c r="AE64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F64">
        <v>1</v>
      </c>
      <c r="AG64">
        <v>1</v>
      </c>
      <c r="AH64" t="s">
        <v>165</v>
      </c>
      <c r="AI64" s="2"/>
      <c r="AJ64" s="2"/>
      <c r="AN64"/>
      <c r="AO64">
        <v>50</v>
      </c>
      <c r="AP64">
        <v>2894</v>
      </c>
      <c r="AX64"/>
      <c r="BK64" s="14">
        <f>SUM(Portefeuille_MNT_PPS_Access26[[#This Row],[AC ANT]:[TR 2035]])</f>
        <v>2944</v>
      </c>
    </row>
    <row r="65" spans="1:63" x14ac:dyDescent="0.3">
      <c r="A65" t="s">
        <v>286</v>
      </c>
      <c r="C65" t="s">
        <v>118</v>
      </c>
      <c r="D65" t="s">
        <v>102</v>
      </c>
      <c r="E65" t="s">
        <v>136</v>
      </c>
      <c r="F65" t="s">
        <v>129</v>
      </c>
      <c r="G65" t="s">
        <v>16</v>
      </c>
      <c r="H65" t="s">
        <v>16</v>
      </c>
      <c r="I65" t="s">
        <v>131</v>
      </c>
      <c r="J65">
        <v>154200567</v>
      </c>
      <c r="K65" t="s">
        <v>346</v>
      </c>
      <c r="L65" t="s">
        <v>147</v>
      </c>
      <c r="M65">
        <f>_xlfn.XLOOKUP(Portefeuille_MNT_PPS_Access26[[#This Row],[Numéro projet]], Portefeuille_MNT_PPS_Access20[Numéro projet], Portefeuille_MNT_PPS_Access20[Année DÉBUT Travaux prévu], "")</f>
        <v>0</v>
      </c>
      <c r="O65">
        <f>Portefeuille_MNT_PPS_Access26[[#This Row],[Année DÉBUT Travaux proposée]]-Portefeuille_MNT_PPS_Access26[[#This Row],[Année DÉBUT Travaux prévu]]</f>
        <v>0</v>
      </c>
      <c r="P65" t="s">
        <v>164</v>
      </c>
      <c r="Q65" s="1"/>
      <c r="R65" s="1"/>
      <c r="S65" s="1"/>
      <c r="T6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6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6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6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6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65">
        <f>Portefeuille_MNT_PPS_Access26[[#This Row],[Délais PC1 et PC3]]+Portefeuille_MNT_PPS_Access26[[#This Row],[Délais PC3 et PC5]]</f>
        <v>0</v>
      </c>
      <c r="Z65">
        <v>1</v>
      </c>
      <c r="AB6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65" s="12">
        <f>_xlfn.XLOOKUP(Portefeuille_MNT_PPS_Access26[[#This Row],[Numéro projet]],Tableau5[Numéro projet],Tableau5[IND_Site_Prioritaire])</f>
        <v>3</v>
      </c>
      <c r="AD65" s="2">
        <f>_xlfn.XLOOKUP(Portefeuille_MNT_PPS_Access26[[#This Row],[Numéro projet]],Tableau5[Numéro projet],Tableau5[Critère Etat Infrastructure])</f>
        <v>0</v>
      </c>
      <c r="AE6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65" t="s">
        <v>165</v>
      </c>
      <c r="AI65" s="2">
        <v>5</v>
      </c>
      <c r="AJ65" s="2"/>
      <c r="AL65">
        <v>151</v>
      </c>
      <c r="AM65">
        <v>1</v>
      </c>
      <c r="AN65">
        <v>44</v>
      </c>
      <c r="AX65"/>
      <c r="BK65" s="14">
        <f>SUM(Portefeuille_MNT_PPS_Access26[[#This Row],[AC ANT]:[TR 2035]])</f>
        <v>196</v>
      </c>
    </row>
    <row r="66" spans="1:63" x14ac:dyDescent="0.3">
      <c r="A66" t="s">
        <v>286</v>
      </c>
      <c r="C66" t="s">
        <v>126</v>
      </c>
      <c r="D66" t="s">
        <v>127</v>
      </c>
      <c r="E66" t="s">
        <v>128</v>
      </c>
      <c r="F66" t="s">
        <v>252</v>
      </c>
      <c r="G66" t="s">
        <v>16</v>
      </c>
      <c r="H66" t="s">
        <v>16</v>
      </c>
      <c r="I66" t="s">
        <v>131</v>
      </c>
      <c r="J66">
        <v>154240500</v>
      </c>
      <c r="K66" t="s">
        <v>260</v>
      </c>
      <c r="L66" t="s">
        <v>159</v>
      </c>
      <c r="M66">
        <f>_xlfn.XLOOKUP(Portefeuille_MNT_PPS_Access26[[#This Row],[Numéro projet]], Portefeuille_MNT_PPS_Access20[Numéro projet], Portefeuille_MNT_PPS_Access20[Année DÉBUT Travaux prévu], "")</f>
        <v>2025</v>
      </c>
      <c r="N66">
        <v>2025</v>
      </c>
      <c r="O66">
        <f>Portefeuille_MNT_PPS_Access26[[#This Row],[Année DÉBUT Travaux proposée]]-Portefeuille_MNT_PPS_Access26[[#This Row],[Année DÉBUT Travaux prévu]]</f>
        <v>0</v>
      </c>
      <c r="P66" t="s">
        <v>291</v>
      </c>
      <c r="Q66" s="1"/>
      <c r="R66" s="1"/>
      <c r="S66" s="1"/>
      <c r="T6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6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6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6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6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66">
        <f>Portefeuille_MNT_PPS_Access26[[#This Row],[Délais PC1 et PC3]]+Portefeuille_MNT_PPS_Access26[[#This Row],[Délais PC3 et PC5]]</f>
        <v>0</v>
      </c>
      <c r="Z66">
        <v>1</v>
      </c>
      <c r="AB6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66" s="12">
        <f>_xlfn.XLOOKUP(Portefeuille_MNT_PPS_Access26[[#This Row],[Numéro projet]],Tableau5[Numéro projet],Tableau5[IND_Site_Prioritaire])</f>
        <v>4.333333333333333</v>
      </c>
      <c r="AD66" s="2">
        <f>_xlfn.XLOOKUP(Portefeuille_MNT_PPS_Access26[[#This Row],[Numéro projet]],Tableau5[Numéro projet],Tableau5[Critère Etat Infrastructure])</f>
        <v>0</v>
      </c>
      <c r="AE6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26.666666666666668</v>
      </c>
      <c r="AH66" t="s">
        <v>311</v>
      </c>
      <c r="AI66" s="2"/>
      <c r="AJ66" s="2"/>
      <c r="AN66"/>
      <c r="AO66">
        <v>15</v>
      </c>
      <c r="AP66">
        <v>85</v>
      </c>
      <c r="AX66"/>
      <c r="BK66" s="14">
        <f>SUM(Portefeuille_MNT_PPS_Access26[[#This Row],[AC ANT]:[TR 2035]])</f>
        <v>100</v>
      </c>
    </row>
    <row r="67" spans="1:63" x14ac:dyDescent="0.3">
      <c r="A67" t="s">
        <v>11</v>
      </c>
      <c r="C67" t="s">
        <v>118</v>
      </c>
      <c r="D67" t="s">
        <v>102</v>
      </c>
      <c r="E67" t="s">
        <v>136</v>
      </c>
      <c r="F67" t="s">
        <v>129</v>
      </c>
      <c r="G67" t="s">
        <v>325</v>
      </c>
      <c r="H67" t="s">
        <v>16</v>
      </c>
      <c r="I67" t="s">
        <v>131</v>
      </c>
      <c r="J67">
        <v>154200568</v>
      </c>
      <c r="K67" t="s">
        <v>348</v>
      </c>
      <c r="L67" t="s">
        <v>214</v>
      </c>
      <c r="M67">
        <f>_xlfn.XLOOKUP(Portefeuille_MNT_PPS_Access26[[#This Row],[Numéro projet]], Portefeuille_MNT_PPS_Access20[Numéro projet], Portefeuille_MNT_PPS_Access20[Année DÉBUT Travaux prévu], "")</f>
        <v>0</v>
      </c>
      <c r="O67">
        <f>Portefeuille_MNT_PPS_Access26[[#This Row],[Année DÉBUT Travaux proposée]]-Portefeuille_MNT_PPS_Access26[[#This Row],[Année DÉBUT Travaux prévu]]</f>
        <v>0</v>
      </c>
      <c r="P67" t="s">
        <v>297</v>
      </c>
      <c r="Q67" s="1"/>
      <c r="R67" s="1"/>
      <c r="S67" s="1">
        <v>45037</v>
      </c>
      <c r="T6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6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67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6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6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1479</v>
      </c>
      <c r="Y67">
        <f>Portefeuille_MNT_PPS_Access26[[#This Row],[Délais PC1 et PC3]]+Portefeuille_MNT_PPS_Access26[[#This Row],[Délais PC3 et PC5]]</f>
        <v>1479</v>
      </c>
      <c r="Z67">
        <v>1</v>
      </c>
      <c r="AA67">
        <v>5</v>
      </c>
      <c r="AB6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6</v>
      </c>
      <c r="AC67" s="12">
        <f>_xlfn.XLOOKUP(Portefeuille_MNT_PPS_Access26[[#This Row],[Numéro projet]],Tableau5[Numéro projet],Tableau5[IND_Site_Prioritaire])</f>
        <v>3</v>
      </c>
      <c r="AD67" s="2">
        <f>_xlfn.XLOOKUP(Portefeuille_MNT_PPS_Access26[[#This Row],[Numéro projet]],Tableau5[Numéro projet],Tableau5[Critère Etat Infrastructure])</f>
        <v>0</v>
      </c>
      <c r="AE6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67" t="s">
        <v>349</v>
      </c>
      <c r="AI67" s="2">
        <v>5</v>
      </c>
      <c r="AJ67" s="2"/>
      <c r="AL67">
        <v>36</v>
      </c>
      <c r="AN67">
        <v>4</v>
      </c>
      <c r="AX67"/>
      <c r="BK67" s="14">
        <f>SUM(Portefeuille_MNT_PPS_Access26[[#This Row],[AC ANT]:[TR 2035]])</f>
        <v>40</v>
      </c>
    </row>
    <row r="68" spans="1:63" x14ac:dyDescent="0.3">
      <c r="A68" t="s">
        <v>286</v>
      </c>
      <c r="C68" t="s">
        <v>126</v>
      </c>
      <c r="D68" t="s">
        <v>127</v>
      </c>
      <c r="E68" t="s">
        <v>128</v>
      </c>
      <c r="F68" t="s">
        <v>252</v>
      </c>
      <c r="G68" t="s">
        <v>16</v>
      </c>
      <c r="H68" t="s">
        <v>16</v>
      </c>
      <c r="I68" t="s">
        <v>131</v>
      </c>
      <c r="J68">
        <v>154240039</v>
      </c>
      <c r="K68" t="s">
        <v>254</v>
      </c>
      <c r="L68" t="s">
        <v>147</v>
      </c>
      <c r="M68">
        <f>_xlfn.XLOOKUP(Portefeuille_MNT_PPS_Access26[[#This Row],[Numéro projet]], Portefeuille_MNT_PPS_Access20[Numéro projet], Portefeuille_MNT_PPS_Access20[Année DÉBUT Travaux prévu], "")</f>
        <v>2025</v>
      </c>
      <c r="N68">
        <v>2025</v>
      </c>
      <c r="O68">
        <f>Portefeuille_MNT_PPS_Access26[[#This Row],[Année DÉBUT Travaux proposée]]-Portefeuille_MNT_PPS_Access26[[#This Row],[Année DÉBUT Travaux prévu]]</f>
        <v>0</v>
      </c>
      <c r="P68" t="s">
        <v>291</v>
      </c>
      <c r="Q68" s="1"/>
      <c r="R68" s="1"/>
      <c r="S68" s="1"/>
      <c r="T6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6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6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6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6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68">
        <f>Portefeuille_MNT_PPS_Access26[[#This Row],[Délais PC1 et PC3]]+Portefeuille_MNT_PPS_Access26[[#This Row],[Délais PC3 et PC5]]</f>
        <v>0</v>
      </c>
      <c r="Z68">
        <v>1</v>
      </c>
      <c r="AB6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68" s="12">
        <f>_xlfn.XLOOKUP(Portefeuille_MNT_PPS_Access26[[#This Row],[Numéro projet]],Tableau5[Numéro projet],Tableau5[IND_Site_Prioritaire])</f>
        <v>3</v>
      </c>
      <c r="AD68" s="2">
        <f>_xlfn.XLOOKUP(Portefeuille_MNT_PPS_Access26[[#This Row],[Numéro projet]],Tableau5[Numéro projet],Tableau5[Critère Etat Infrastructure])</f>
        <v>0</v>
      </c>
      <c r="AE6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20</v>
      </c>
      <c r="AH68" t="s">
        <v>311</v>
      </c>
      <c r="AI68" s="2"/>
      <c r="AJ68" s="2"/>
      <c r="AN68"/>
      <c r="AO68">
        <v>10</v>
      </c>
      <c r="AP68">
        <v>39</v>
      </c>
      <c r="AX68"/>
      <c r="BK68" s="14">
        <f>SUM(Portefeuille_MNT_PPS_Access26[[#This Row],[AC ANT]:[TR 2035]])</f>
        <v>49</v>
      </c>
    </row>
    <row r="69" spans="1:63" x14ac:dyDescent="0.3">
      <c r="A69" t="s">
        <v>286</v>
      </c>
      <c r="C69" t="s">
        <v>101</v>
      </c>
      <c r="D69" t="s">
        <v>102</v>
      </c>
      <c r="E69" t="s">
        <v>177</v>
      </c>
      <c r="F69" t="s">
        <v>149</v>
      </c>
      <c r="G69" t="s">
        <v>16</v>
      </c>
      <c r="H69" t="s">
        <v>16</v>
      </c>
      <c r="I69" t="s">
        <v>131</v>
      </c>
      <c r="J69">
        <v>154200670</v>
      </c>
      <c r="K69" t="s">
        <v>351</v>
      </c>
      <c r="L69" t="s">
        <v>152</v>
      </c>
      <c r="M69">
        <f>_xlfn.XLOOKUP(Portefeuille_MNT_PPS_Access26[[#This Row],[Numéro projet]], Portefeuille_MNT_PPS_Access20[Numéro projet], Portefeuille_MNT_PPS_Access20[Année DÉBUT Travaux prévu], "")</f>
        <v>0</v>
      </c>
      <c r="O69">
        <f>Portefeuille_MNT_PPS_Access26[[#This Row],[Année DÉBUT Travaux proposée]]-Portefeuille_MNT_PPS_Access26[[#This Row],[Année DÉBUT Travaux prévu]]</f>
        <v>0</v>
      </c>
      <c r="P69" t="s">
        <v>164</v>
      </c>
      <c r="Q69" s="1"/>
      <c r="R69" s="1">
        <v>44880</v>
      </c>
      <c r="S69" s="1">
        <v>44914</v>
      </c>
      <c r="T6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69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69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6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1474</v>
      </c>
      <c r="X6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</v>
      </c>
      <c r="Y69">
        <f>Portefeuille_MNT_PPS_Access26[[#This Row],[Délais PC1 et PC3]]+Portefeuille_MNT_PPS_Access26[[#This Row],[Délais PC3 et PC5]]</f>
        <v>1475</v>
      </c>
      <c r="Z69">
        <v>1</v>
      </c>
      <c r="AA69">
        <v>5</v>
      </c>
      <c r="AB6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69" s="12">
        <f>_xlfn.XLOOKUP(Portefeuille_MNT_PPS_Access26[[#This Row],[Numéro projet]],Tableau5[Numéro projet],Tableau5[IND_Site_Prioritaire])</f>
        <v>3.6666666666666665</v>
      </c>
      <c r="AD69" s="2">
        <f>_xlfn.XLOOKUP(Portefeuille_MNT_PPS_Access26[[#This Row],[Numéro projet]],Tableau5[Numéro projet],Tableau5[Critère Etat Infrastructure])</f>
        <v>0</v>
      </c>
      <c r="AE6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69">
        <v>5</v>
      </c>
      <c r="AH69" t="s">
        <v>165</v>
      </c>
      <c r="AI69" s="2">
        <v>5</v>
      </c>
      <c r="AJ69" s="2"/>
      <c r="AK69">
        <v>14</v>
      </c>
      <c r="AL69">
        <v>2970</v>
      </c>
      <c r="AN69">
        <v>52</v>
      </c>
      <c r="AX69"/>
      <c r="BK69" s="14">
        <f>SUM(Portefeuille_MNT_PPS_Access26[[#This Row],[AC ANT]:[TR 2035]])</f>
        <v>3036</v>
      </c>
    </row>
    <row r="70" spans="1:63" x14ac:dyDescent="0.3">
      <c r="A70" t="s">
        <v>11</v>
      </c>
      <c r="C70" t="s">
        <v>118</v>
      </c>
      <c r="D70" t="s">
        <v>102</v>
      </c>
      <c r="E70" t="s">
        <v>103</v>
      </c>
      <c r="F70" t="s">
        <v>252</v>
      </c>
      <c r="G70" t="s">
        <v>20</v>
      </c>
      <c r="H70" t="s">
        <v>16</v>
      </c>
      <c r="I70" t="s">
        <v>131</v>
      </c>
      <c r="J70">
        <v>154240498</v>
      </c>
      <c r="K70" t="s">
        <v>258</v>
      </c>
      <c r="L70" t="s">
        <v>180</v>
      </c>
      <c r="M70">
        <f>_xlfn.XLOOKUP(Portefeuille_MNT_PPS_Access26[[#This Row],[Numéro projet]], Portefeuille_MNT_PPS_Access20[Numéro projet], Portefeuille_MNT_PPS_Access20[Année DÉBUT Travaux prévu], "")</f>
        <v>2025</v>
      </c>
      <c r="N70">
        <v>2025</v>
      </c>
      <c r="O70">
        <f>Portefeuille_MNT_PPS_Access26[[#This Row],[Année DÉBUT Travaux proposée]]-Portefeuille_MNT_PPS_Access26[[#This Row],[Année DÉBUT Travaux prévu]]</f>
        <v>0</v>
      </c>
      <c r="P70" t="s">
        <v>291</v>
      </c>
      <c r="Q70" s="1"/>
      <c r="R70" s="1"/>
      <c r="S70" s="1"/>
      <c r="T7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7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7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7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70">
        <f>Portefeuille_MNT_PPS_Access26[[#This Row],[Délais PC1 et PC3]]+Portefeuille_MNT_PPS_Access26[[#This Row],[Délais PC3 et PC5]]</f>
        <v>0</v>
      </c>
      <c r="Z70">
        <v>1</v>
      </c>
      <c r="AB7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70" s="12">
        <f>_xlfn.XLOOKUP(Portefeuille_MNT_PPS_Access26[[#This Row],[Numéro projet]],Tableau5[Numéro projet],Tableau5[IND_Site_Prioritaire])</f>
        <v>2.9393939393939394</v>
      </c>
      <c r="AD70" s="2">
        <f>_xlfn.XLOOKUP(Portefeuille_MNT_PPS_Access26[[#This Row],[Numéro projet]],Tableau5[Numéro projet],Tableau5[Critère Etat Infrastructure])</f>
        <v>0</v>
      </c>
      <c r="AE7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19.696969696969695</v>
      </c>
      <c r="AH70" t="s">
        <v>311</v>
      </c>
      <c r="AI70" s="2"/>
      <c r="AJ70" s="2"/>
      <c r="AN70"/>
      <c r="AP70">
        <v>300</v>
      </c>
      <c r="AX70"/>
      <c r="BK70" s="14">
        <f>SUM(Portefeuille_MNT_PPS_Access26[[#This Row],[AC ANT]:[TR 2035]])</f>
        <v>300</v>
      </c>
    </row>
    <row r="71" spans="1:63" x14ac:dyDescent="0.3">
      <c r="A71" t="s">
        <v>286</v>
      </c>
      <c r="C71" t="s">
        <v>118</v>
      </c>
      <c r="D71" t="s">
        <v>102</v>
      </c>
      <c r="E71" t="s">
        <v>136</v>
      </c>
      <c r="F71" t="s">
        <v>340</v>
      </c>
      <c r="G71" t="s">
        <v>16</v>
      </c>
      <c r="H71" t="s">
        <v>16</v>
      </c>
      <c r="I71" t="s">
        <v>105</v>
      </c>
      <c r="J71">
        <v>154210133</v>
      </c>
      <c r="K71" t="s">
        <v>353</v>
      </c>
      <c r="L71" t="s">
        <v>180</v>
      </c>
      <c r="M71">
        <f>_xlfn.XLOOKUP(Portefeuille_MNT_PPS_Access26[[#This Row],[Numéro projet]], Portefeuille_MNT_PPS_Access20[Numéro projet], Portefeuille_MNT_PPS_Access20[Année DÉBUT Travaux prévu], "")</f>
        <v>0</v>
      </c>
      <c r="O71">
        <f>Portefeuille_MNT_PPS_Access26[[#This Row],[Année DÉBUT Travaux proposée]]-Portefeuille_MNT_PPS_Access26[[#This Row],[Année DÉBUT Travaux prévu]]</f>
        <v>0</v>
      </c>
      <c r="P71" t="s">
        <v>164</v>
      </c>
      <c r="Q71" s="1"/>
      <c r="R71" s="1">
        <v>44965</v>
      </c>
      <c r="S71" s="1">
        <v>45113</v>
      </c>
      <c r="T7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1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71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7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1477</v>
      </c>
      <c r="X7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71">
        <f>Portefeuille_MNT_PPS_Access26[[#This Row],[Délais PC1 et PC3]]+Portefeuille_MNT_PPS_Access26[[#This Row],[Délais PC3 et PC5]]</f>
        <v>1482</v>
      </c>
      <c r="Z71">
        <v>1</v>
      </c>
      <c r="AA71">
        <v>5</v>
      </c>
      <c r="AB7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1" s="12">
        <f>_xlfn.XLOOKUP(Portefeuille_MNT_PPS_Access26[[#This Row],[Numéro projet]],Tableau5[Numéro projet],Tableau5[IND_Site_Prioritaire])</f>
        <v>4</v>
      </c>
      <c r="AD71" s="2">
        <f>_xlfn.XLOOKUP(Portefeuille_MNT_PPS_Access26[[#This Row],[Numéro projet]],Tableau5[Numéro projet],Tableau5[Critère Etat Infrastructure])</f>
        <v>0</v>
      </c>
      <c r="AE7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71">
        <v>5</v>
      </c>
      <c r="AH71" t="s">
        <v>165</v>
      </c>
      <c r="AI71" s="2">
        <v>5</v>
      </c>
      <c r="AJ71" s="2"/>
      <c r="AK71">
        <v>87</v>
      </c>
      <c r="AL71">
        <v>304</v>
      </c>
      <c r="AM71">
        <v>35</v>
      </c>
      <c r="AN71">
        <v>958</v>
      </c>
      <c r="AX71"/>
      <c r="BK71" s="14">
        <f>SUM(Portefeuille_MNT_PPS_Access26[[#This Row],[AC ANT]:[TR 2035]])</f>
        <v>1384</v>
      </c>
    </row>
    <row r="72" spans="1:63" x14ac:dyDescent="0.3">
      <c r="A72" t="s">
        <v>286</v>
      </c>
      <c r="C72" t="s">
        <v>101</v>
      </c>
      <c r="D72" t="s">
        <v>102</v>
      </c>
      <c r="E72" t="s">
        <v>103</v>
      </c>
      <c r="F72" t="s">
        <v>129</v>
      </c>
      <c r="G72" t="s">
        <v>16</v>
      </c>
      <c r="H72" t="s">
        <v>16</v>
      </c>
      <c r="I72" t="s">
        <v>105</v>
      </c>
      <c r="J72">
        <v>154180005</v>
      </c>
      <c r="K72" t="s">
        <v>357</v>
      </c>
      <c r="L72" t="s">
        <v>116</v>
      </c>
      <c r="M72">
        <f>_xlfn.XLOOKUP(Portefeuille_MNT_PPS_Access26[[#This Row],[Numéro projet]], Portefeuille_MNT_PPS_Access20[Numéro projet], Portefeuille_MNT_PPS_Access20[Année DÉBUT Travaux prévu], "")</f>
        <v>0</v>
      </c>
      <c r="O72">
        <f>Portefeuille_MNT_PPS_Access26[[#This Row],[Année DÉBUT Travaux proposée]]-Portefeuille_MNT_PPS_Access26[[#This Row],[Année DÉBUT Travaux prévu]]</f>
        <v>0</v>
      </c>
      <c r="P72" t="s">
        <v>164</v>
      </c>
      <c r="Q72" s="1"/>
      <c r="R72" s="1">
        <v>44911</v>
      </c>
      <c r="S72" s="1">
        <v>45167</v>
      </c>
      <c r="T7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2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72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7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1475</v>
      </c>
      <c r="X7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8</v>
      </c>
      <c r="Y72">
        <f>Portefeuille_MNT_PPS_Access26[[#This Row],[Délais PC1 et PC3]]+Portefeuille_MNT_PPS_Access26[[#This Row],[Délais PC3 et PC5]]</f>
        <v>1483</v>
      </c>
      <c r="Z72">
        <v>5</v>
      </c>
      <c r="AA72">
        <v>5</v>
      </c>
      <c r="AB7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2" s="12">
        <f>_xlfn.XLOOKUP(Portefeuille_MNT_PPS_Access26[[#This Row],[Numéro projet]],Tableau5[Numéro projet],Tableau5[IND_Site_Prioritaire])</f>
        <v>3</v>
      </c>
      <c r="AD72" s="2">
        <f>_xlfn.XLOOKUP(Portefeuille_MNT_PPS_Access26[[#This Row],[Numéro projet]],Tableau5[Numéro projet],Tableau5[Critère Etat Infrastructure])</f>
        <v>0</v>
      </c>
      <c r="AE7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F72">
        <v>5</v>
      </c>
      <c r="AH72" t="s">
        <v>165</v>
      </c>
      <c r="AI72" s="2">
        <v>5</v>
      </c>
      <c r="AJ72" s="2"/>
      <c r="AK72">
        <v>16</v>
      </c>
      <c r="AM72">
        <v>19</v>
      </c>
      <c r="AN72">
        <v>1816</v>
      </c>
      <c r="AX72"/>
      <c r="BK72" s="14">
        <f>SUM(Portefeuille_MNT_PPS_Access26[[#This Row],[AC ANT]:[TR 2035]])</f>
        <v>1851</v>
      </c>
    </row>
    <row r="73" spans="1:63" x14ac:dyDescent="0.3">
      <c r="A73" t="s">
        <v>286</v>
      </c>
      <c r="C73" t="s">
        <v>118</v>
      </c>
      <c r="D73" t="s">
        <v>102</v>
      </c>
      <c r="E73" t="s">
        <v>103</v>
      </c>
      <c r="F73" t="s">
        <v>340</v>
      </c>
      <c r="G73" t="s">
        <v>16</v>
      </c>
      <c r="H73" t="s">
        <v>16</v>
      </c>
      <c r="I73" t="s">
        <v>105</v>
      </c>
      <c r="J73">
        <v>154230638</v>
      </c>
      <c r="K73" t="s">
        <v>355</v>
      </c>
      <c r="L73" t="s">
        <v>143</v>
      </c>
      <c r="M73">
        <f>_xlfn.XLOOKUP(Portefeuille_MNT_PPS_Access26[[#This Row],[Numéro projet]], Portefeuille_MNT_PPS_Access20[Numéro projet], Portefeuille_MNT_PPS_Access20[Année DÉBUT Travaux prévu], "")</f>
        <v>0</v>
      </c>
      <c r="O73">
        <f>Portefeuille_MNT_PPS_Access26[[#This Row],[Année DÉBUT Travaux proposée]]-Portefeuille_MNT_PPS_Access26[[#This Row],[Année DÉBUT Travaux prévu]]</f>
        <v>0</v>
      </c>
      <c r="P73" t="s">
        <v>164</v>
      </c>
      <c r="Q73" s="1"/>
      <c r="R73" s="1"/>
      <c r="S73" s="1"/>
      <c r="T7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7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7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7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73">
        <f>Portefeuille_MNT_PPS_Access26[[#This Row],[Délais PC1 et PC3]]+Portefeuille_MNT_PPS_Access26[[#This Row],[Délais PC3 et PC5]]</f>
        <v>0</v>
      </c>
      <c r="Z73">
        <v>1</v>
      </c>
      <c r="AB7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3" s="12">
        <f>_xlfn.XLOOKUP(Portefeuille_MNT_PPS_Access26[[#This Row],[Numéro projet]],Tableau5[Numéro projet],Tableau5[IND_Site_Prioritaire])</f>
        <v>4.333333333333333</v>
      </c>
      <c r="AD73" s="2">
        <f>_xlfn.XLOOKUP(Portefeuille_MNT_PPS_Access26[[#This Row],[Numéro projet]],Tableau5[Numéro projet],Tableau5[Critère Etat Infrastructure])</f>
        <v>0</v>
      </c>
      <c r="AE7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H73" t="s">
        <v>165</v>
      </c>
      <c r="AI73" s="2"/>
      <c r="AJ73" s="2"/>
      <c r="AK73">
        <v>173</v>
      </c>
      <c r="AL73">
        <v>7850</v>
      </c>
      <c r="AM73">
        <v>3</v>
      </c>
      <c r="AN73">
        <v>173</v>
      </c>
      <c r="AX73"/>
      <c r="BK73" s="14">
        <f>SUM(Portefeuille_MNT_PPS_Access26[[#This Row],[AC ANT]:[TR 2035]])</f>
        <v>8199</v>
      </c>
    </row>
    <row r="74" spans="1:63" x14ac:dyDescent="0.3">
      <c r="A74" t="s">
        <v>286</v>
      </c>
      <c r="C74" t="s">
        <v>126</v>
      </c>
      <c r="D74" t="s">
        <v>127</v>
      </c>
      <c r="E74" t="s">
        <v>200</v>
      </c>
      <c r="G74" t="s">
        <v>20</v>
      </c>
      <c r="H74" t="s">
        <v>20</v>
      </c>
      <c r="I74" t="s">
        <v>131</v>
      </c>
      <c r="J74">
        <v>154250379</v>
      </c>
      <c r="K74" t="s">
        <v>652</v>
      </c>
      <c r="L74" t="s">
        <v>139</v>
      </c>
      <c r="M74" t="str">
        <f>_xlfn.XLOOKUP(Portefeuille_MNT_PPS_Access26[[#This Row],[Numéro projet]], Portefeuille_MNT_PPS_Access20[Numéro projet], Portefeuille_MNT_PPS_Access20[Année DÉBUT Travaux prévu], "")</f>
        <v/>
      </c>
      <c r="N74">
        <v>2026</v>
      </c>
      <c r="O74" t="s">
        <v>295</v>
      </c>
      <c r="Q74" s="1"/>
      <c r="R74" s="1"/>
      <c r="S74" s="1"/>
      <c r="T7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7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7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7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74">
        <f>Portefeuille_MNT_PPS_Access26[[#This Row],[Délais PC1 et PC3]]+Portefeuille_MNT_PPS_Access26[[#This Row],[Délais PC3 et PC5]]</f>
        <v>0</v>
      </c>
      <c r="Z74">
        <v>1</v>
      </c>
      <c r="AB74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74" s="12" t="e">
        <f>_xlfn.XLOOKUP(Portefeuille_MNT_PPS_Access26[[#This Row],[Numéro projet]],Tableau5[Numéro projet],Tableau5[IND_Site_Prioritaire])</f>
        <v>#N/A</v>
      </c>
      <c r="AD74" s="2" t="e">
        <f>_xlfn.XLOOKUP(Portefeuille_MNT_PPS_Access26[[#This Row],[Numéro projet]],Tableau5[Numéro projet],Tableau5[Critère Etat Infrastructure])</f>
        <v>#N/A</v>
      </c>
      <c r="AE74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I74" s="2"/>
      <c r="AJ74" s="2"/>
      <c r="AN74"/>
      <c r="AR74">
        <v>15</v>
      </c>
      <c r="AX74"/>
      <c r="BK74" s="14">
        <f>SUM(Portefeuille_MNT_PPS_Access26[[#This Row],[AC ANT]:[TR 2035]])</f>
        <v>15</v>
      </c>
    </row>
    <row r="75" spans="1:63" x14ac:dyDescent="0.3">
      <c r="A75" t="s">
        <v>286</v>
      </c>
      <c r="C75" t="s">
        <v>126</v>
      </c>
      <c r="D75" t="s">
        <v>127</v>
      </c>
      <c r="E75" t="s">
        <v>136</v>
      </c>
      <c r="F75" t="s">
        <v>113</v>
      </c>
      <c r="G75" t="s">
        <v>16</v>
      </c>
      <c r="H75" t="s">
        <v>16</v>
      </c>
      <c r="I75" t="s">
        <v>105</v>
      </c>
      <c r="J75">
        <v>154951715</v>
      </c>
      <c r="K75" t="s">
        <v>359</v>
      </c>
      <c r="L75" t="s">
        <v>108</v>
      </c>
      <c r="M75">
        <f>_xlfn.XLOOKUP(Portefeuille_MNT_PPS_Access26[[#This Row],[Numéro projet]], Portefeuille_MNT_PPS_Access20[Numéro projet], Portefeuille_MNT_PPS_Access20[Année DÉBUT Travaux prévu], "")</f>
        <v>0</v>
      </c>
      <c r="O75">
        <f>Portefeuille_MNT_PPS_Access26[[#This Row],[Année DÉBUT Travaux proposée]]-Portefeuille_MNT_PPS_Access26[[#This Row],[Année DÉBUT Travaux prévu]]</f>
        <v>0</v>
      </c>
      <c r="P75" t="s">
        <v>164</v>
      </c>
      <c r="Q75" s="1"/>
      <c r="R75" s="1">
        <v>42383</v>
      </c>
      <c r="S75" s="1">
        <v>43404</v>
      </c>
      <c r="T7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5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75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7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1392</v>
      </c>
      <c r="X7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33</v>
      </c>
      <c r="Y75">
        <f>Portefeuille_MNT_PPS_Access26[[#This Row],[Délais PC1 et PC3]]+Portefeuille_MNT_PPS_Access26[[#This Row],[Délais PC3 et PC5]]</f>
        <v>1425</v>
      </c>
      <c r="Z75">
        <v>1</v>
      </c>
      <c r="AA75">
        <v>5</v>
      </c>
      <c r="AB7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5" s="12">
        <f>_xlfn.XLOOKUP(Portefeuille_MNT_PPS_Access26[[#This Row],[Numéro projet]],Tableau5[Numéro projet],Tableau5[IND_Site_Prioritaire])</f>
        <v>4</v>
      </c>
      <c r="AD75" s="2">
        <f>_xlfn.XLOOKUP(Portefeuille_MNT_PPS_Access26[[#This Row],[Numéro projet]],Tableau5[Numéro projet],Tableau5[Critère Etat Infrastructure])</f>
        <v>0</v>
      </c>
      <c r="AE7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75">
        <v>5</v>
      </c>
      <c r="AH75" t="s">
        <v>165</v>
      </c>
      <c r="AI75" s="2"/>
      <c r="AJ75" s="2"/>
      <c r="AK75">
        <v>2099</v>
      </c>
      <c r="AL75">
        <v>8991</v>
      </c>
      <c r="AM75">
        <v>93</v>
      </c>
      <c r="AN75"/>
      <c r="AO75">
        <v>29</v>
      </c>
      <c r="AX75"/>
      <c r="BK75" s="14">
        <f>SUM(Portefeuille_MNT_PPS_Access26[[#This Row],[AC ANT]:[TR 2035]])</f>
        <v>11212</v>
      </c>
    </row>
    <row r="76" spans="1:63" x14ac:dyDescent="0.3">
      <c r="A76" t="s">
        <v>286</v>
      </c>
      <c r="C76" t="s">
        <v>101</v>
      </c>
      <c r="D76" t="s">
        <v>102</v>
      </c>
      <c r="E76" t="s">
        <v>128</v>
      </c>
      <c r="F76" t="s">
        <v>113</v>
      </c>
      <c r="G76" t="s">
        <v>16</v>
      </c>
      <c r="H76" t="s">
        <v>16</v>
      </c>
      <c r="I76" t="s">
        <v>105</v>
      </c>
      <c r="J76">
        <v>154171105</v>
      </c>
      <c r="K76" t="s">
        <v>161</v>
      </c>
      <c r="L76" t="s">
        <v>122</v>
      </c>
      <c r="M76">
        <f>_xlfn.XLOOKUP(Portefeuille_MNT_PPS_Access26[[#This Row],[Numéro projet]], Portefeuille_MNT_PPS_Access20[Numéro projet], Portefeuille_MNT_PPS_Access20[Année DÉBUT Travaux prévu], "")</f>
        <v>2025</v>
      </c>
      <c r="N76">
        <v>2025</v>
      </c>
      <c r="O76">
        <f>Portefeuille_MNT_PPS_Access26[[#This Row],[Année DÉBUT Travaux proposée]]-Portefeuille_MNT_PPS_Access26[[#This Row],[Année DÉBUT Travaux prévu]]</f>
        <v>0</v>
      </c>
      <c r="P76" t="s">
        <v>164</v>
      </c>
      <c r="Q76" s="1">
        <v>44956</v>
      </c>
      <c r="R76" s="1">
        <v>45321</v>
      </c>
      <c r="S76" s="1">
        <v>45687</v>
      </c>
      <c r="T7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3.À risque</v>
      </c>
      <c r="U7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7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7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7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76">
        <f>Portefeuille_MNT_PPS_Access26[[#This Row],[Délais PC1 et PC3]]+Portefeuille_MNT_PPS_Access26[[#This Row],[Délais PC3 et PC5]]</f>
        <v>24</v>
      </c>
      <c r="Z76">
        <v>1</v>
      </c>
      <c r="AA76">
        <v>1</v>
      </c>
      <c r="AB7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6" s="12">
        <f>_xlfn.XLOOKUP(Portefeuille_MNT_PPS_Access26[[#This Row],[Numéro projet]],Tableau5[Numéro projet],Tableau5[IND_Site_Prioritaire])</f>
        <v>4</v>
      </c>
      <c r="AD76" s="2">
        <f>_xlfn.XLOOKUP(Portefeuille_MNT_PPS_Access26[[#This Row],[Numéro projet]],Tableau5[Numéro projet],Tableau5[Critère Etat Infrastructure])</f>
        <v>0</v>
      </c>
      <c r="AE7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76">
        <v>5</v>
      </c>
      <c r="AG76">
        <v>5</v>
      </c>
      <c r="AH76" t="s">
        <v>165</v>
      </c>
      <c r="AI76" s="2"/>
      <c r="AJ76" s="2"/>
      <c r="AK76">
        <v>6</v>
      </c>
      <c r="AM76">
        <v>14</v>
      </c>
      <c r="AN76"/>
      <c r="AO76">
        <v>325</v>
      </c>
      <c r="AP76">
        <v>4503</v>
      </c>
      <c r="AX76"/>
      <c r="BK76" s="14">
        <f>SUM(Portefeuille_MNT_PPS_Access26[[#This Row],[AC ANT]:[TR 2035]])</f>
        <v>4848</v>
      </c>
    </row>
    <row r="77" spans="1:63" x14ac:dyDescent="0.3">
      <c r="A77" t="s">
        <v>286</v>
      </c>
      <c r="C77" t="s">
        <v>101</v>
      </c>
      <c r="D77" t="s">
        <v>102</v>
      </c>
      <c r="E77" t="s">
        <v>136</v>
      </c>
      <c r="F77" t="s">
        <v>140</v>
      </c>
      <c r="G77" t="s">
        <v>16</v>
      </c>
      <c r="H77" t="s">
        <v>16</v>
      </c>
      <c r="I77" t="s">
        <v>131</v>
      </c>
      <c r="J77">
        <v>154180746</v>
      </c>
      <c r="K77" t="s">
        <v>361</v>
      </c>
      <c r="L77" t="s">
        <v>134</v>
      </c>
      <c r="M77">
        <f>_xlfn.XLOOKUP(Portefeuille_MNT_PPS_Access26[[#This Row],[Numéro projet]], Portefeuille_MNT_PPS_Access20[Numéro projet], Portefeuille_MNT_PPS_Access20[Année DÉBUT Travaux prévu], "")</f>
        <v>0</v>
      </c>
      <c r="O77">
        <f>Portefeuille_MNT_PPS_Access26[[#This Row],[Année DÉBUT Travaux proposée]]-Portefeuille_MNT_PPS_Access26[[#This Row],[Année DÉBUT Travaux prévu]]</f>
        <v>0</v>
      </c>
      <c r="P77" t="s">
        <v>164</v>
      </c>
      <c r="Q77" s="1">
        <v>43390</v>
      </c>
      <c r="R77" s="1"/>
      <c r="S77" s="1">
        <v>44890</v>
      </c>
      <c r="T77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7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77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7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-1425</v>
      </c>
      <c r="X7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1474</v>
      </c>
      <c r="Y77">
        <f>Portefeuille_MNT_PPS_Access26[[#This Row],[Délais PC1 et PC3]]+Portefeuille_MNT_PPS_Access26[[#This Row],[Délais PC3 et PC5]]</f>
        <v>49</v>
      </c>
      <c r="Z77">
        <v>5</v>
      </c>
      <c r="AA77">
        <v>5</v>
      </c>
      <c r="AB7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7" s="12">
        <f>_xlfn.XLOOKUP(Portefeuille_MNT_PPS_Access26[[#This Row],[Numéro projet]],Tableau5[Numéro projet],Tableau5[IND_Site_Prioritaire])</f>
        <v>1.3333333333333333</v>
      </c>
      <c r="AD77" s="2">
        <f>_xlfn.XLOOKUP(Portefeuille_MNT_PPS_Access26[[#This Row],[Numéro projet]],Tableau5[Numéro projet],Tableau5[Critère Etat Infrastructure])</f>
        <v>0</v>
      </c>
      <c r="AE7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G77">
        <v>5</v>
      </c>
      <c r="AH77" t="s">
        <v>165</v>
      </c>
      <c r="AI77" s="2">
        <v>5</v>
      </c>
      <c r="AJ77" s="2"/>
      <c r="AK77">
        <v>37</v>
      </c>
      <c r="AM77">
        <v>18</v>
      </c>
      <c r="AN77">
        <v>288</v>
      </c>
      <c r="AX77"/>
      <c r="BK77" s="14">
        <f>SUM(Portefeuille_MNT_PPS_Access26[[#This Row],[AC ANT]:[TR 2035]])</f>
        <v>343</v>
      </c>
    </row>
    <row r="78" spans="1:63" x14ac:dyDescent="0.3">
      <c r="A78" t="s">
        <v>286</v>
      </c>
      <c r="C78" t="s">
        <v>101</v>
      </c>
      <c r="D78" t="s">
        <v>102</v>
      </c>
      <c r="E78" t="s">
        <v>136</v>
      </c>
      <c r="F78" t="s">
        <v>104</v>
      </c>
      <c r="G78" t="s">
        <v>130</v>
      </c>
      <c r="H78" t="s">
        <v>130</v>
      </c>
      <c r="I78" t="s">
        <v>105</v>
      </c>
      <c r="J78">
        <v>154200684</v>
      </c>
      <c r="K78" t="s">
        <v>514</v>
      </c>
      <c r="L78" t="s">
        <v>108</v>
      </c>
      <c r="M78" s="103">
        <f>_xlfn.XLOOKUP(Portefeuille_MNT_PPS_Access26[[#This Row],[Numéro projet]], Portefeuille_MNT_PPS_Access20[Numéro projet], Portefeuille_MNT_PPS_Access20[Année DÉBUT Travaux prévu], "")</f>
        <v>2028</v>
      </c>
      <c r="N78" s="103">
        <v>2029</v>
      </c>
      <c r="O78" s="103">
        <f>Portefeuille_MNT_PPS_Access26[[#This Row],[Année DÉBUT Travaux proposée]]-Portefeuille_MNT_PPS_Access26[[#This Row],[Année DÉBUT Travaux prévu]]</f>
        <v>1</v>
      </c>
      <c r="P78" t="s">
        <v>155</v>
      </c>
      <c r="Q78" s="1">
        <v>46127</v>
      </c>
      <c r="R78" s="1">
        <v>46492</v>
      </c>
      <c r="S78" s="1">
        <v>46706</v>
      </c>
      <c r="T7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7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7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7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7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7</v>
      </c>
      <c r="Y78">
        <f>Portefeuille_MNT_PPS_Access26[[#This Row],[Délais PC1 et PC3]]+Portefeuille_MNT_PPS_Access26[[#This Row],[Délais PC3 et PC5]]</f>
        <v>19</v>
      </c>
      <c r="Z78">
        <v>1</v>
      </c>
      <c r="AA78">
        <v>1</v>
      </c>
      <c r="AB7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78" s="12">
        <f>_xlfn.XLOOKUP(Portefeuille_MNT_PPS_Access26[[#This Row],[Numéro projet]],Tableau5[Numéro projet],Tableau5[IND_Site_Prioritaire])</f>
        <v>4</v>
      </c>
      <c r="AD78" s="2">
        <f>_xlfn.XLOOKUP(Portefeuille_MNT_PPS_Access26[[#This Row],[Numéro projet]],Tableau5[Numéro projet],Tableau5[Critère Etat Infrastructure])</f>
        <v>5</v>
      </c>
      <c r="AE7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55.000000000000007</v>
      </c>
      <c r="AF78">
        <v>1</v>
      </c>
      <c r="AG78">
        <v>1</v>
      </c>
      <c r="AH78" t="s">
        <v>156</v>
      </c>
      <c r="AI78" s="2"/>
      <c r="AJ78" s="2"/>
      <c r="AN78"/>
      <c r="AS78">
        <v>150</v>
      </c>
      <c r="AU78">
        <v>150</v>
      </c>
      <c r="AW78">
        <v>550</v>
      </c>
      <c r="AX78">
        <v>4000</v>
      </c>
      <c r="BK78" s="14">
        <f>SUM(Portefeuille_MNT_PPS_Access26[[#This Row],[AC ANT]:[TR 2035]])</f>
        <v>4850</v>
      </c>
    </row>
    <row r="79" spans="1:63" x14ac:dyDescent="0.3">
      <c r="A79" t="s">
        <v>286</v>
      </c>
      <c r="C79" t="s">
        <v>118</v>
      </c>
      <c r="D79" t="s">
        <v>102</v>
      </c>
      <c r="E79" t="s">
        <v>119</v>
      </c>
      <c r="F79" t="s">
        <v>113</v>
      </c>
      <c r="G79" t="s">
        <v>16</v>
      </c>
      <c r="H79" t="s">
        <v>16</v>
      </c>
      <c r="I79" t="s">
        <v>105</v>
      </c>
      <c r="J79">
        <v>154230987</v>
      </c>
      <c r="K79" t="s">
        <v>289</v>
      </c>
      <c r="L79" t="s">
        <v>122</v>
      </c>
      <c r="M79">
        <f>_xlfn.XLOOKUP(Portefeuille_MNT_PPS_Access26[[#This Row],[Numéro projet]], Portefeuille_MNT_PPS_Access20[Numéro projet], Portefeuille_MNT_PPS_Access20[Année DÉBUT Travaux prévu], "")</f>
        <v>2025</v>
      </c>
      <c r="N79">
        <v>2025</v>
      </c>
      <c r="O79">
        <f>Portefeuille_MNT_PPS_Access26[[#This Row],[Année DÉBUT Travaux proposée]]-Portefeuille_MNT_PPS_Access26[[#This Row],[Année DÉBUT Travaux prévu]]</f>
        <v>0</v>
      </c>
      <c r="P79" t="s">
        <v>164</v>
      </c>
      <c r="Q79" s="1"/>
      <c r="R79" s="1"/>
      <c r="S79" s="1">
        <v>45712</v>
      </c>
      <c r="T7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7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7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7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7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1501</v>
      </c>
      <c r="Y79">
        <f>Portefeuille_MNT_PPS_Access26[[#This Row],[Délais PC1 et PC3]]+Portefeuille_MNT_PPS_Access26[[#This Row],[Délais PC3 et PC5]]</f>
        <v>1501</v>
      </c>
      <c r="Z79">
        <v>1</v>
      </c>
      <c r="AA79">
        <v>1</v>
      </c>
      <c r="AB7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79" s="12">
        <f>_xlfn.XLOOKUP(Portefeuille_MNT_PPS_Access26[[#This Row],[Numéro projet]],Tableau5[Numéro projet],Tableau5[IND_Site_Prioritaire])</f>
        <v>4</v>
      </c>
      <c r="AD79" s="2">
        <f>_xlfn.XLOOKUP(Portefeuille_MNT_PPS_Access26[[#This Row],[Numéro projet]],Tableau5[Numéro projet],Tableau5[Critère Etat Infrastructure])</f>
        <v>5</v>
      </c>
      <c r="AE7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85.000000000000014</v>
      </c>
      <c r="AH79" t="s">
        <v>165</v>
      </c>
      <c r="AI79" s="2"/>
      <c r="AJ79" s="2"/>
      <c r="AN79"/>
      <c r="AO79">
        <v>20</v>
      </c>
      <c r="AP79">
        <v>895</v>
      </c>
      <c r="AX79"/>
      <c r="BK79" s="14">
        <f>SUM(Portefeuille_MNT_PPS_Access26[[#This Row],[AC ANT]:[TR 2035]])</f>
        <v>915</v>
      </c>
    </row>
    <row r="80" spans="1:63" x14ac:dyDescent="0.3">
      <c r="A80" t="s">
        <v>286</v>
      </c>
      <c r="C80" t="s">
        <v>101</v>
      </c>
      <c r="D80" t="s">
        <v>102</v>
      </c>
      <c r="E80" t="s">
        <v>103</v>
      </c>
      <c r="F80" t="s">
        <v>104</v>
      </c>
      <c r="G80" t="s">
        <v>16</v>
      </c>
      <c r="H80" t="s">
        <v>16</v>
      </c>
      <c r="I80" t="s">
        <v>105</v>
      </c>
      <c r="J80">
        <v>154101262</v>
      </c>
      <c r="K80" t="s">
        <v>306</v>
      </c>
      <c r="L80" t="s">
        <v>302</v>
      </c>
      <c r="M80">
        <f>_xlfn.XLOOKUP(Portefeuille_MNT_PPS_Access26[[#This Row],[Numéro projet]], Portefeuille_MNT_PPS_Access20[Numéro projet], Portefeuille_MNT_PPS_Access20[Année DÉBUT Travaux prévu], "")</f>
        <v>0</v>
      </c>
      <c r="O80">
        <f>Portefeuille_MNT_PPS_Access26[[#This Row],[Année DÉBUT Travaux proposée]]-Portefeuille_MNT_PPS_Access26[[#This Row],[Année DÉBUT Travaux prévu]]</f>
        <v>0</v>
      </c>
      <c r="P80" t="s">
        <v>164</v>
      </c>
      <c r="Q80" s="1">
        <v>43612</v>
      </c>
      <c r="R80" s="1">
        <v>44098</v>
      </c>
      <c r="S80" s="1">
        <v>44188</v>
      </c>
      <c r="T80" s="1" t="e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#NUM!</v>
      </c>
      <c r="U80" s="1" t="e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#NUM!</v>
      </c>
      <c r="V80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8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16</v>
      </c>
      <c r="X8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3</v>
      </c>
      <c r="Y80">
        <f>Portefeuille_MNT_PPS_Access26[[#This Row],[Délais PC1 et PC3]]+Portefeuille_MNT_PPS_Access26[[#This Row],[Délais PC3 et PC5]]</f>
        <v>19</v>
      </c>
      <c r="Z80">
        <v>1</v>
      </c>
      <c r="AA80">
        <v>5</v>
      </c>
      <c r="AB8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80" s="12">
        <f>_xlfn.XLOOKUP(Portefeuille_MNT_PPS_Access26[[#This Row],[Numéro projet]],Tableau5[Numéro projet],Tableau5[IND_Site_Prioritaire])</f>
        <v>4</v>
      </c>
      <c r="AD80" s="2">
        <f>_xlfn.XLOOKUP(Portefeuille_MNT_PPS_Access26[[#This Row],[Numéro projet]],Tableau5[Numéro projet],Tableau5[Critère Etat Infrastructure])</f>
        <v>0</v>
      </c>
      <c r="AE8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80">
        <v>5</v>
      </c>
      <c r="AG80">
        <v>5</v>
      </c>
      <c r="AH80" t="s">
        <v>165</v>
      </c>
      <c r="AI80" s="2"/>
      <c r="AJ80" s="2"/>
      <c r="AK80">
        <v>640</v>
      </c>
      <c r="AL80">
        <v>6783</v>
      </c>
      <c r="AM80">
        <v>36</v>
      </c>
      <c r="AN80"/>
      <c r="AX80"/>
      <c r="BK80" s="14">
        <f>SUM(Portefeuille_MNT_PPS_Access26[[#This Row],[AC ANT]:[TR 2035]])</f>
        <v>7459</v>
      </c>
    </row>
    <row r="81" spans="1:63" x14ac:dyDescent="0.3">
      <c r="A81" t="s">
        <v>11</v>
      </c>
      <c r="C81" t="s">
        <v>118</v>
      </c>
      <c r="D81" t="s">
        <v>102</v>
      </c>
      <c r="E81" t="s">
        <v>177</v>
      </c>
      <c r="F81" t="s">
        <v>104</v>
      </c>
      <c r="G81" t="s">
        <v>16</v>
      </c>
      <c r="H81" t="s">
        <v>16</v>
      </c>
      <c r="I81" t="s">
        <v>105</v>
      </c>
      <c r="J81">
        <v>154951716</v>
      </c>
      <c r="K81" t="s">
        <v>199</v>
      </c>
      <c r="L81" t="s">
        <v>108</v>
      </c>
      <c r="M81">
        <f>_xlfn.XLOOKUP(Portefeuille_MNT_PPS_Access26[[#This Row],[Numéro projet]], Portefeuille_MNT_PPS_Access20[Numéro projet], Portefeuille_MNT_PPS_Access20[Année DÉBUT Travaux prévu], "")</f>
        <v>0</v>
      </c>
      <c r="O81">
        <f>Portefeuille_MNT_PPS_Access26[[#This Row],[Année DÉBUT Travaux proposée]]-Portefeuille_MNT_PPS_Access26[[#This Row],[Année DÉBUT Travaux prévu]]</f>
        <v>0</v>
      </c>
      <c r="P81" t="s">
        <v>297</v>
      </c>
      <c r="Q81" s="1"/>
      <c r="R81" s="1"/>
      <c r="S81" s="1">
        <v>45176</v>
      </c>
      <c r="T8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8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81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8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8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1484</v>
      </c>
      <c r="Y81">
        <f>Portefeuille_MNT_PPS_Access26[[#This Row],[Délais PC1 et PC3]]+Portefeuille_MNT_PPS_Access26[[#This Row],[Délais PC3 et PC5]]</f>
        <v>1484</v>
      </c>
      <c r="Z81">
        <v>5</v>
      </c>
      <c r="AA81">
        <v>5</v>
      </c>
      <c r="AB8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6</v>
      </c>
      <c r="AC81" s="12">
        <f>_xlfn.XLOOKUP(Portefeuille_MNT_PPS_Access26[[#This Row],[Numéro projet]],Tableau5[Numéro projet],Tableau5[IND_Site_Prioritaire])</f>
        <v>4</v>
      </c>
      <c r="AD81" s="2">
        <f>_xlfn.XLOOKUP(Portefeuille_MNT_PPS_Access26[[#This Row],[Numéro projet]],Tableau5[Numéro projet],Tableau5[Critère Etat Infrastructure])</f>
        <v>0</v>
      </c>
      <c r="AE8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81" t="s">
        <v>349</v>
      </c>
      <c r="AI81" s="2">
        <v>5</v>
      </c>
      <c r="AJ81" s="2"/>
      <c r="AK81">
        <v>269</v>
      </c>
      <c r="AM81">
        <v>14</v>
      </c>
      <c r="AN81">
        <v>5</v>
      </c>
      <c r="AX81"/>
      <c r="BK81" s="14">
        <f>SUM(Portefeuille_MNT_PPS_Access26[[#This Row],[AC ANT]:[TR 2035]])</f>
        <v>288</v>
      </c>
    </row>
    <row r="82" spans="1:63" x14ac:dyDescent="0.3">
      <c r="A82" t="s">
        <v>286</v>
      </c>
      <c r="C82" t="s">
        <v>101</v>
      </c>
      <c r="D82" t="s">
        <v>102</v>
      </c>
      <c r="E82" t="s">
        <v>136</v>
      </c>
      <c r="F82" t="s">
        <v>104</v>
      </c>
      <c r="G82" t="s">
        <v>16</v>
      </c>
      <c r="H82" t="s">
        <v>130</v>
      </c>
      <c r="I82" t="s">
        <v>105</v>
      </c>
      <c r="J82">
        <v>154062002</v>
      </c>
      <c r="K82" t="s">
        <v>171</v>
      </c>
      <c r="L82" t="s">
        <v>172</v>
      </c>
      <c r="M82">
        <f>_xlfn.XLOOKUP(Portefeuille_MNT_PPS_Access26[[#This Row],[Numéro projet]], Portefeuille_MNT_PPS_Access20[Numéro projet], Portefeuille_MNT_PPS_Access20[Année DÉBUT Travaux prévu], "")</f>
        <v>2027</v>
      </c>
      <c r="N82">
        <v>2027</v>
      </c>
      <c r="O82">
        <f>Portefeuille_MNT_PPS_Access26[[#This Row],[Année DÉBUT Travaux proposée]]-Portefeuille_MNT_PPS_Access26[[#This Row],[Année DÉBUT Travaux prévu]]</f>
        <v>0</v>
      </c>
      <c r="P82" t="s">
        <v>110</v>
      </c>
      <c r="Q82" s="1">
        <v>44833</v>
      </c>
      <c r="R82" s="1">
        <v>45945</v>
      </c>
      <c r="S82" s="1">
        <v>46310</v>
      </c>
      <c r="T8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8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8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37</v>
      </c>
      <c r="X8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82">
        <f>Portefeuille_MNT_PPS_Access26[[#This Row],[Délais PC1 et PC3]]+Portefeuille_MNT_PPS_Access26[[#This Row],[Délais PC3 et PC5]]</f>
        <v>49</v>
      </c>
      <c r="Z82">
        <v>1</v>
      </c>
      <c r="AA82">
        <v>1</v>
      </c>
      <c r="AB8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82" s="12">
        <f>_xlfn.XLOOKUP(Portefeuille_MNT_PPS_Access26[[#This Row],[Numéro projet]],Tableau5[Numéro projet],Tableau5[IND_Site_Prioritaire])</f>
        <v>3.6666666666666665</v>
      </c>
      <c r="AD82" s="2">
        <f>_xlfn.XLOOKUP(Portefeuille_MNT_PPS_Access26[[#This Row],[Numéro projet]],Tableau5[Numéro projet],Tableau5[Critère Etat Infrastructure])</f>
        <v>4</v>
      </c>
      <c r="AE8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58.333333333333336</v>
      </c>
      <c r="AF82">
        <v>1</v>
      </c>
      <c r="AG82">
        <v>5</v>
      </c>
      <c r="AH82" t="s">
        <v>112</v>
      </c>
      <c r="AI82" s="2"/>
      <c r="AJ82" s="2"/>
      <c r="AK82">
        <v>497</v>
      </c>
      <c r="AL82">
        <v>8</v>
      </c>
      <c r="AM82">
        <v>199</v>
      </c>
      <c r="AN82"/>
      <c r="AO82">
        <v>1064</v>
      </c>
      <c r="AQ82">
        <v>1008</v>
      </c>
      <c r="AS82">
        <v>1886</v>
      </c>
      <c r="AT82">
        <v>6580</v>
      </c>
      <c r="AU82">
        <v>722</v>
      </c>
      <c r="AV82">
        <v>6581</v>
      </c>
      <c r="AX82">
        <v>6576</v>
      </c>
      <c r="BK82" s="14">
        <f>SUM(Portefeuille_MNT_PPS_Access26[[#This Row],[AC ANT]:[TR 2035]])</f>
        <v>25121</v>
      </c>
    </row>
    <row r="83" spans="1:63" x14ac:dyDescent="0.3">
      <c r="A83" t="s">
        <v>286</v>
      </c>
      <c r="C83" t="s">
        <v>118</v>
      </c>
      <c r="D83" t="s">
        <v>102</v>
      </c>
      <c r="E83" t="s">
        <v>119</v>
      </c>
      <c r="F83" t="s">
        <v>206</v>
      </c>
      <c r="G83" t="s">
        <v>16</v>
      </c>
      <c r="H83" t="s">
        <v>130</v>
      </c>
      <c r="I83" t="s">
        <v>131</v>
      </c>
      <c r="J83">
        <v>154180745</v>
      </c>
      <c r="K83" t="s">
        <v>208</v>
      </c>
      <c r="L83" t="s">
        <v>209</v>
      </c>
      <c r="M83">
        <f>_xlfn.XLOOKUP(Portefeuille_MNT_PPS_Access26[[#This Row],[Numéro projet]], Portefeuille_MNT_PPS_Access20[Numéro projet], Portefeuille_MNT_PPS_Access20[Année DÉBUT Travaux prévu], "")</f>
        <v>2027</v>
      </c>
      <c r="N83">
        <v>2027</v>
      </c>
      <c r="O83">
        <f>Portefeuille_MNT_PPS_Access26[[#This Row],[Année DÉBUT Travaux proposée]]-Portefeuille_MNT_PPS_Access26[[#This Row],[Année DÉBUT Travaux prévu]]</f>
        <v>0</v>
      </c>
      <c r="P83" t="s">
        <v>155</v>
      </c>
      <c r="Q83" s="1">
        <v>45976</v>
      </c>
      <c r="R83" s="1">
        <v>46096</v>
      </c>
      <c r="S83" s="1">
        <v>46280</v>
      </c>
      <c r="T8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8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8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4</v>
      </c>
      <c r="X8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6</v>
      </c>
      <c r="Y83">
        <f>Portefeuille_MNT_PPS_Access26[[#This Row],[Délais PC1 et PC3]]+Portefeuille_MNT_PPS_Access26[[#This Row],[Délais PC3 et PC5]]</f>
        <v>10</v>
      </c>
      <c r="Z83">
        <v>1</v>
      </c>
      <c r="AA83">
        <v>1</v>
      </c>
      <c r="AB8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83" s="12">
        <f>_xlfn.XLOOKUP(Portefeuille_MNT_PPS_Access26[[#This Row],[Numéro projet]],Tableau5[Numéro projet],Tableau5[IND_Site_Prioritaire])</f>
        <v>3</v>
      </c>
      <c r="AD83" s="2">
        <f>_xlfn.XLOOKUP(Portefeuille_MNT_PPS_Access26[[#This Row],[Numéro projet]],Tableau5[Numéro projet],Tableau5[Critère Etat Infrastructure])</f>
        <v>0</v>
      </c>
      <c r="AE8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25</v>
      </c>
      <c r="AF83">
        <v>1</v>
      </c>
      <c r="AG83">
        <v>1</v>
      </c>
      <c r="AH83" t="s">
        <v>156</v>
      </c>
      <c r="AI83" s="2"/>
      <c r="AJ83" s="2"/>
      <c r="AK83">
        <v>196</v>
      </c>
      <c r="AN83"/>
      <c r="AO83">
        <v>40</v>
      </c>
      <c r="AQ83">
        <v>255</v>
      </c>
      <c r="AS83">
        <v>396</v>
      </c>
      <c r="AT83">
        <v>1500</v>
      </c>
      <c r="AX83"/>
      <c r="BK83" s="14">
        <f>SUM(Portefeuille_MNT_PPS_Access26[[#This Row],[AC ANT]:[TR 2035]])</f>
        <v>2387</v>
      </c>
    </row>
    <row r="84" spans="1:63" x14ac:dyDescent="0.3">
      <c r="A84" t="s">
        <v>286</v>
      </c>
      <c r="C84" t="s">
        <v>126</v>
      </c>
      <c r="D84" t="s">
        <v>127</v>
      </c>
      <c r="E84" t="s">
        <v>136</v>
      </c>
      <c r="F84" t="s">
        <v>144</v>
      </c>
      <c r="G84" t="s">
        <v>16</v>
      </c>
      <c r="H84" t="s">
        <v>20</v>
      </c>
      <c r="I84" t="s">
        <v>131</v>
      </c>
      <c r="J84">
        <v>154190675</v>
      </c>
      <c r="K84" t="s">
        <v>232</v>
      </c>
      <c r="L84" t="s">
        <v>147</v>
      </c>
      <c r="M84">
        <f>_xlfn.XLOOKUP(Portefeuille_MNT_PPS_Access26[[#This Row],[Numéro projet]], Portefeuille_MNT_PPS_Access20[Numéro projet], Portefeuille_MNT_PPS_Access20[Année DÉBUT Travaux prévu], "")</f>
        <v>2027</v>
      </c>
      <c r="N84">
        <v>2027</v>
      </c>
      <c r="O84">
        <f>Portefeuille_MNT_PPS_Access26[[#This Row],[Année DÉBUT Travaux proposée]]-Portefeuille_MNT_PPS_Access26[[#This Row],[Année DÉBUT Travaux prévu]]</f>
        <v>0</v>
      </c>
      <c r="P84" t="s">
        <v>110</v>
      </c>
      <c r="Q84" s="1">
        <v>45099</v>
      </c>
      <c r="R84" s="1">
        <v>46013</v>
      </c>
      <c r="S84" s="1">
        <v>46283</v>
      </c>
      <c r="T8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8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8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30</v>
      </c>
      <c r="X8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84">
        <f>Portefeuille_MNT_PPS_Access26[[#This Row],[Délais PC1 et PC3]]+Portefeuille_MNT_PPS_Access26[[#This Row],[Délais PC3 et PC5]]</f>
        <v>39</v>
      </c>
      <c r="Z84">
        <v>1</v>
      </c>
      <c r="AA84">
        <v>1</v>
      </c>
      <c r="AB8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84" s="12">
        <f>_xlfn.XLOOKUP(Portefeuille_MNT_PPS_Access26[[#This Row],[Numéro projet]],Tableau5[Numéro projet],Tableau5[IND_Site_Prioritaire])</f>
        <v>3</v>
      </c>
      <c r="AD84" s="2">
        <f>_xlfn.XLOOKUP(Portefeuille_MNT_PPS_Access26[[#This Row],[Numéro projet]],Tableau5[Numéro projet],Tableau5[Critère Etat Infrastructure])</f>
        <v>5</v>
      </c>
      <c r="AE8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84">
        <v>1</v>
      </c>
      <c r="AG84">
        <v>5</v>
      </c>
      <c r="AH84" t="s">
        <v>112</v>
      </c>
      <c r="AI84" s="2"/>
      <c r="AJ84" s="2"/>
      <c r="AK84">
        <v>9</v>
      </c>
      <c r="AM84">
        <v>21</v>
      </c>
      <c r="AN84"/>
      <c r="AO84">
        <v>672</v>
      </c>
      <c r="AQ84">
        <v>553</v>
      </c>
      <c r="AS84">
        <v>1175</v>
      </c>
      <c r="AT84">
        <v>6475</v>
      </c>
      <c r="AU84">
        <v>1602</v>
      </c>
      <c r="AV84">
        <v>6677</v>
      </c>
      <c r="AX84"/>
      <c r="BK84" s="14">
        <f>SUM(Portefeuille_MNT_PPS_Access26[[#This Row],[AC ANT]:[TR 2035]])</f>
        <v>17184</v>
      </c>
    </row>
    <row r="85" spans="1:63" x14ac:dyDescent="0.3">
      <c r="A85" t="s">
        <v>286</v>
      </c>
      <c r="C85" t="s">
        <v>118</v>
      </c>
      <c r="D85" t="s">
        <v>102</v>
      </c>
      <c r="E85" t="s">
        <v>136</v>
      </c>
      <c r="F85" t="s">
        <v>113</v>
      </c>
      <c r="G85" t="s">
        <v>16</v>
      </c>
      <c r="H85" t="s">
        <v>20</v>
      </c>
      <c r="I85" t="s">
        <v>105</v>
      </c>
      <c r="J85">
        <v>154230630</v>
      </c>
      <c r="K85" t="s">
        <v>249</v>
      </c>
      <c r="L85" t="s">
        <v>180</v>
      </c>
      <c r="M85">
        <f>_xlfn.XLOOKUP(Portefeuille_MNT_PPS_Access26[[#This Row],[Numéro projet]], Portefeuille_MNT_PPS_Access20[Numéro projet], Portefeuille_MNT_PPS_Access20[Année DÉBUT Travaux prévu], "")</f>
        <v>2027</v>
      </c>
      <c r="N85">
        <v>2027</v>
      </c>
      <c r="O85">
        <f>Portefeuille_MNT_PPS_Access26[[#This Row],[Année DÉBUT Travaux proposée]]-Portefeuille_MNT_PPS_Access26[[#This Row],[Année DÉBUT Travaux prévu]]</f>
        <v>0</v>
      </c>
      <c r="P85" t="s">
        <v>110</v>
      </c>
      <c r="Q85" s="1">
        <v>45476</v>
      </c>
      <c r="R85" s="1">
        <v>45945</v>
      </c>
      <c r="S85" s="1">
        <v>46310</v>
      </c>
      <c r="T8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8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8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15</v>
      </c>
      <c r="X8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85">
        <f>Portefeuille_MNT_PPS_Access26[[#This Row],[Délais PC1 et PC3]]+Portefeuille_MNT_PPS_Access26[[#This Row],[Délais PC3 et PC5]]</f>
        <v>27</v>
      </c>
      <c r="Z85">
        <v>1</v>
      </c>
      <c r="AA85">
        <v>1</v>
      </c>
      <c r="AB8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85" s="12">
        <f>_xlfn.XLOOKUP(Portefeuille_MNT_PPS_Access26[[#This Row],[Numéro projet]],Tableau5[Numéro projet],Tableau5[IND_Site_Prioritaire])</f>
        <v>3.166666666666667</v>
      </c>
      <c r="AD85" s="2">
        <f>_xlfn.XLOOKUP(Portefeuille_MNT_PPS_Access26[[#This Row],[Numéro projet]],Tableau5[Numéro projet],Tableau5[Critère Etat Infrastructure])</f>
        <v>5</v>
      </c>
      <c r="AE8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60.833333333333343</v>
      </c>
      <c r="AF85">
        <v>1</v>
      </c>
      <c r="AG85">
        <v>5</v>
      </c>
      <c r="AH85" t="s">
        <v>112</v>
      </c>
      <c r="AI85" s="2"/>
      <c r="AJ85" s="2"/>
      <c r="AN85"/>
      <c r="AO85">
        <v>100</v>
      </c>
      <c r="AQ85">
        <v>110</v>
      </c>
      <c r="AS85">
        <v>110</v>
      </c>
      <c r="AT85">
        <v>3445</v>
      </c>
      <c r="AX85"/>
      <c r="BK85" s="14">
        <f>SUM(Portefeuille_MNT_PPS_Access26[[#This Row],[AC ANT]:[TR 2035]])</f>
        <v>3765</v>
      </c>
    </row>
    <row r="86" spans="1:63" x14ac:dyDescent="0.3">
      <c r="A86" t="s">
        <v>286</v>
      </c>
      <c r="C86" t="s">
        <v>101</v>
      </c>
      <c r="D86" t="s">
        <v>102</v>
      </c>
      <c r="E86" t="s">
        <v>136</v>
      </c>
      <c r="F86" t="s">
        <v>140</v>
      </c>
      <c r="G86" t="s">
        <v>16</v>
      </c>
      <c r="H86" t="s">
        <v>20</v>
      </c>
      <c r="I86" t="s">
        <v>131</v>
      </c>
      <c r="J86">
        <v>154101522</v>
      </c>
      <c r="K86" t="s">
        <v>296</v>
      </c>
      <c r="L86" t="s">
        <v>183</v>
      </c>
      <c r="M86">
        <f>_xlfn.XLOOKUP(Portefeuille_MNT_PPS_Access26[[#This Row],[Numéro projet]], Portefeuille_MNT_PPS_Access20[Numéro projet], Portefeuille_MNT_PPS_Access20[Année DÉBUT Travaux prévu], "")</f>
        <v>2027</v>
      </c>
      <c r="N86">
        <v>2027</v>
      </c>
      <c r="O86">
        <f>Portefeuille_MNT_PPS_Access26[[#This Row],[Année DÉBUT Travaux proposée]]-Portefeuille_MNT_PPS_Access26[[#This Row],[Année DÉBUT Travaux prévu]]</f>
        <v>0</v>
      </c>
      <c r="P86" t="s">
        <v>110</v>
      </c>
      <c r="Q86" s="1">
        <v>45590</v>
      </c>
      <c r="R86" s="1">
        <v>46157</v>
      </c>
      <c r="S86" s="1">
        <v>46157</v>
      </c>
      <c r="T8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8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1.Très à risque</v>
      </c>
      <c r="V8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19</v>
      </c>
      <c r="X8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86">
        <f>Portefeuille_MNT_PPS_Access26[[#This Row],[Délais PC1 et PC3]]+Portefeuille_MNT_PPS_Access26[[#This Row],[Délais PC3 et PC5]]</f>
        <v>19</v>
      </c>
      <c r="Z86">
        <v>1</v>
      </c>
      <c r="AA86">
        <v>1</v>
      </c>
      <c r="AB8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86" s="12">
        <f>_xlfn.XLOOKUP(Portefeuille_MNT_PPS_Access26[[#This Row],[Numéro projet]],Tableau5[Numéro projet],Tableau5[IND_Site_Prioritaire])</f>
        <v>2.3333333333333335</v>
      </c>
      <c r="AD86" s="2">
        <f>_xlfn.XLOOKUP(Portefeuille_MNT_PPS_Access26[[#This Row],[Numéro projet]],Tableau5[Numéro projet],Tableau5[Critère Etat Infrastructure])</f>
        <v>3</v>
      </c>
      <c r="AE8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F86">
        <v>1</v>
      </c>
      <c r="AG86">
        <v>5</v>
      </c>
      <c r="AH86" t="s">
        <v>112</v>
      </c>
      <c r="AI86" s="2"/>
      <c r="AJ86" s="2"/>
      <c r="AN86"/>
      <c r="AO86">
        <v>466</v>
      </c>
      <c r="AQ86">
        <v>475</v>
      </c>
      <c r="AS86">
        <v>468</v>
      </c>
      <c r="AT86">
        <v>1461</v>
      </c>
      <c r="AX86"/>
      <c r="BK86" s="14">
        <f>SUM(Portefeuille_MNT_PPS_Access26[[#This Row],[AC ANT]:[TR 2035]])</f>
        <v>2870</v>
      </c>
    </row>
    <row r="87" spans="1:63" x14ac:dyDescent="0.3">
      <c r="A87" t="s">
        <v>286</v>
      </c>
      <c r="C87" t="s">
        <v>118</v>
      </c>
      <c r="D87" t="s">
        <v>102</v>
      </c>
      <c r="E87" t="s">
        <v>136</v>
      </c>
      <c r="F87" t="s">
        <v>104</v>
      </c>
      <c r="G87" t="s">
        <v>16</v>
      </c>
      <c r="H87" t="s">
        <v>20</v>
      </c>
      <c r="I87" t="s">
        <v>131</v>
      </c>
      <c r="J87">
        <v>154230792</v>
      </c>
      <c r="K87" t="s">
        <v>158</v>
      </c>
      <c r="L87" t="s">
        <v>159</v>
      </c>
      <c r="M87">
        <f>_xlfn.XLOOKUP(Portefeuille_MNT_PPS_Access26[[#This Row],[Numéro projet]], Portefeuille_MNT_PPS_Access20[Numéro projet], Portefeuille_MNT_PPS_Access20[Année DÉBUT Travaux prévu], "")</f>
        <v>2027</v>
      </c>
      <c r="N87">
        <v>2027</v>
      </c>
      <c r="O87">
        <f>Portefeuille_MNT_PPS_Access26[[#This Row],[Année DÉBUT Travaux proposée]]-Portefeuille_MNT_PPS_Access26[[#This Row],[Année DÉBUT Travaux prévu]]</f>
        <v>0</v>
      </c>
      <c r="P87" t="s">
        <v>155</v>
      </c>
      <c r="Q87" s="1">
        <v>46068</v>
      </c>
      <c r="R87" s="1"/>
      <c r="S87" s="1">
        <v>46433</v>
      </c>
      <c r="T8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8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8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3.À risque</v>
      </c>
      <c r="W8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-1513</v>
      </c>
      <c r="X8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1525</v>
      </c>
      <c r="Y87">
        <f>Portefeuille_MNT_PPS_Access26[[#This Row],[Délais PC1 et PC3]]+Portefeuille_MNT_PPS_Access26[[#This Row],[Délais PC3 et PC5]]</f>
        <v>12</v>
      </c>
      <c r="Z87">
        <v>1</v>
      </c>
      <c r="AA87">
        <v>1</v>
      </c>
      <c r="AB8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87" s="12">
        <f>_xlfn.XLOOKUP(Portefeuille_MNT_PPS_Access26[[#This Row],[Numéro projet]],Tableau5[Numéro projet],Tableau5[IND_Site_Prioritaire])</f>
        <v>4.333333333333333</v>
      </c>
      <c r="AD87" s="2">
        <f>_xlfn.XLOOKUP(Portefeuille_MNT_PPS_Access26[[#This Row],[Numéro projet]],Tableau5[Numéro projet],Tableau5[Critère Etat Infrastructure])</f>
        <v>5</v>
      </c>
      <c r="AE8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56.666666666666664</v>
      </c>
      <c r="AG87">
        <v>1</v>
      </c>
      <c r="AH87" t="s">
        <v>156</v>
      </c>
      <c r="AI87" s="2"/>
      <c r="AJ87" s="2"/>
      <c r="AN87"/>
      <c r="AO87">
        <v>75</v>
      </c>
      <c r="AQ87">
        <v>75</v>
      </c>
      <c r="AS87">
        <v>150</v>
      </c>
      <c r="AT87">
        <v>650</v>
      </c>
      <c r="AX87"/>
      <c r="BK87" s="14">
        <f>SUM(Portefeuille_MNT_PPS_Access26[[#This Row],[AC ANT]:[TR 2035]])</f>
        <v>950</v>
      </c>
    </row>
    <row r="88" spans="1:63" x14ac:dyDescent="0.3">
      <c r="A88" t="s">
        <v>286</v>
      </c>
      <c r="C88" t="s">
        <v>101</v>
      </c>
      <c r="D88" t="s">
        <v>102</v>
      </c>
      <c r="E88" t="s">
        <v>103</v>
      </c>
      <c r="F88" t="s">
        <v>149</v>
      </c>
      <c r="G88" t="s">
        <v>16</v>
      </c>
      <c r="H88" t="s">
        <v>20</v>
      </c>
      <c r="I88" t="s">
        <v>105</v>
      </c>
      <c r="J88">
        <v>154190684</v>
      </c>
      <c r="K88" t="s">
        <v>510</v>
      </c>
      <c r="L88" t="s">
        <v>205</v>
      </c>
      <c r="M88">
        <f>_xlfn.XLOOKUP(Portefeuille_MNT_PPS_Access26[[#This Row],[Numéro projet]], Portefeuille_MNT_PPS_Access20[Numéro projet], Portefeuille_MNT_PPS_Access20[Année DÉBUT Travaux prévu], "")</f>
        <v>2027</v>
      </c>
      <c r="N88">
        <v>2027</v>
      </c>
      <c r="O88">
        <f>Portefeuille_MNT_PPS_Access26[[#This Row],[Année DÉBUT Travaux proposée]]-Portefeuille_MNT_PPS_Access26[[#This Row],[Année DÉBUT Travaux prévu]]</f>
        <v>0</v>
      </c>
      <c r="P88" t="s">
        <v>110</v>
      </c>
      <c r="Q88" s="1">
        <v>45706</v>
      </c>
      <c r="R88" s="1">
        <v>46055</v>
      </c>
      <c r="S88" s="1">
        <v>46273</v>
      </c>
      <c r="T8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3.À risque</v>
      </c>
      <c r="U8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8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8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7</v>
      </c>
      <c r="Y88">
        <f>Portefeuille_MNT_PPS_Access26[[#This Row],[Délais PC1 et PC3]]+Portefeuille_MNT_PPS_Access26[[#This Row],[Délais PC3 et PC5]]</f>
        <v>19</v>
      </c>
      <c r="Z88">
        <v>1</v>
      </c>
      <c r="AA88">
        <v>1</v>
      </c>
      <c r="AB8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88" s="12">
        <f>_xlfn.XLOOKUP(Portefeuille_MNT_PPS_Access26[[#This Row],[Numéro projet]],Tableau5[Numéro projet],Tableau5[IND_Site_Prioritaire])</f>
        <v>3.3333333333333335</v>
      </c>
      <c r="AD88" s="2">
        <f>_xlfn.XLOOKUP(Portefeuille_MNT_PPS_Access26[[#This Row],[Numéro projet]],Tableau5[Numéro projet],Tableau5[Critère Etat Infrastructure])</f>
        <v>5</v>
      </c>
      <c r="AE8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61.666666666666671</v>
      </c>
      <c r="AF88">
        <v>1</v>
      </c>
      <c r="AG88">
        <v>1</v>
      </c>
      <c r="AH88" t="s">
        <v>112</v>
      </c>
      <c r="AI88" s="2"/>
      <c r="AJ88" s="2"/>
      <c r="AN88"/>
      <c r="AO88">
        <v>90</v>
      </c>
      <c r="AQ88">
        <v>200</v>
      </c>
      <c r="AS88">
        <v>970</v>
      </c>
      <c r="AT88">
        <v>13608</v>
      </c>
      <c r="AX88"/>
      <c r="BK88" s="14">
        <f>SUM(Portefeuille_MNT_PPS_Access26[[#This Row],[AC ANT]:[TR 2035]])</f>
        <v>14868</v>
      </c>
    </row>
    <row r="89" spans="1:63" x14ac:dyDescent="0.3">
      <c r="A89" t="s">
        <v>286</v>
      </c>
      <c r="C89" t="s">
        <v>101</v>
      </c>
      <c r="D89" t="s">
        <v>102</v>
      </c>
      <c r="E89" t="s">
        <v>103</v>
      </c>
      <c r="F89" t="s">
        <v>149</v>
      </c>
      <c r="G89" t="s">
        <v>16</v>
      </c>
      <c r="H89" t="s">
        <v>20</v>
      </c>
      <c r="I89" t="s">
        <v>105</v>
      </c>
      <c r="J89">
        <v>154190686</v>
      </c>
      <c r="K89" t="s">
        <v>238</v>
      </c>
      <c r="L89" t="s">
        <v>239</v>
      </c>
      <c r="M89">
        <f>_xlfn.XLOOKUP(Portefeuille_MNT_PPS_Access26[[#This Row],[Numéro projet]], Portefeuille_MNT_PPS_Access20[Numéro projet], Portefeuille_MNT_PPS_Access20[Année DÉBUT Travaux prévu], "")</f>
        <v>2027</v>
      </c>
      <c r="N89">
        <v>2027</v>
      </c>
      <c r="O89">
        <f>Portefeuille_MNT_PPS_Access26[[#This Row],[Année DÉBUT Travaux proposée]]-Portefeuille_MNT_PPS_Access26[[#This Row],[Année DÉBUT Travaux prévu]]</f>
        <v>0</v>
      </c>
      <c r="P89" t="s">
        <v>155</v>
      </c>
      <c r="Q89" s="1">
        <v>45915</v>
      </c>
      <c r="R89" s="1">
        <v>46037</v>
      </c>
      <c r="S89" s="1">
        <v>46310</v>
      </c>
      <c r="T8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8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8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8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4</v>
      </c>
      <c r="X8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89">
        <f>Portefeuille_MNT_PPS_Access26[[#This Row],[Délais PC1 et PC3]]+Portefeuille_MNT_PPS_Access26[[#This Row],[Délais PC3 et PC5]]</f>
        <v>13</v>
      </c>
      <c r="Z89">
        <v>1</v>
      </c>
      <c r="AA89">
        <v>1</v>
      </c>
      <c r="AB8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89" s="12">
        <f>_xlfn.XLOOKUP(Portefeuille_MNT_PPS_Access26[[#This Row],[Numéro projet]],Tableau5[Numéro projet],Tableau5[IND_Site_Prioritaire])</f>
        <v>3.3333333333333335</v>
      </c>
      <c r="AD89" s="2">
        <f>_xlfn.XLOOKUP(Portefeuille_MNT_PPS_Access26[[#This Row],[Numéro projet]],Tableau5[Numéro projet],Tableau5[Critère Etat Infrastructure])</f>
        <v>4</v>
      </c>
      <c r="AE8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F89">
        <v>1</v>
      </c>
      <c r="AG89">
        <v>1</v>
      </c>
      <c r="AH89" t="s">
        <v>156</v>
      </c>
      <c r="AI89" s="2"/>
      <c r="AJ89" s="2"/>
      <c r="AN89"/>
      <c r="AO89">
        <v>100</v>
      </c>
      <c r="AQ89">
        <v>200</v>
      </c>
      <c r="AS89">
        <v>475</v>
      </c>
      <c r="AT89">
        <v>11000</v>
      </c>
      <c r="AX89"/>
      <c r="BK89" s="14">
        <f>SUM(Portefeuille_MNT_PPS_Access26[[#This Row],[AC ANT]:[TR 2035]])</f>
        <v>11775</v>
      </c>
    </row>
    <row r="90" spans="1:63" x14ac:dyDescent="0.3">
      <c r="A90" t="s">
        <v>286</v>
      </c>
      <c r="C90" t="s">
        <v>118</v>
      </c>
      <c r="D90" t="s">
        <v>102</v>
      </c>
      <c r="E90" t="s">
        <v>177</v>
      </c>
      <c r="F90" t="s">
        <v>113</v>
      </c>
      <c r="G90" t="s">
        <v>16</v>
      </c>
      <c r="H90" t="s">
        <v>20</v>
      </c>
      <c r="I90" t="s">
        <v>131</v>
      </c>
      <c r="J90">
        <v>154200650</v>
      </c>
      <c r="K90" t="s">
        <v>241</v>
      </c>
      <c r="L90" t="s">
        <v>187</v>
      </c>
      <c r="M90">
        <f>_xlfn.XLOOKUP(Portefeuille_MNT_PPS_Access26[[#This Row],[Numéro projet]], Portefeuille_MNT_PPS_Access20[Numéro projet], Portefeuille_MNT_PPS_Access20[Année DÉBUT Travaux prévu], "")</f>
        <v>2027</v>
      </c>
      <c r="N90">
        <v>2027</v>
      </c>
      <c r="O90">
        <f>Portefeuille_MNT_PPS_Access26[[#This Row],[Année DÉBUT Travaux proposée]]-Portefeuille_MNT_PPS_Access26[[#This Row],[Année DÉBUT Travaux prévu]]</f>
        <v>0</v>
      </c>
      <c r="P90" t="s">
        <v>110</v>
      </c>
      <c r="Q90" s="1">
        <v>45708</v>
      </c>
      <c r="R90" s="1">
        <v>45939</v>
      </c>
      <c r="S90" s="1">
        <v>46296</v>
      </c>
      <c r="T9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3.À risque</v>
      </c>
      <c r="U9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9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9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8</v>
      </c>
      <c r="X9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90">
        <f>Portefeuille_MNT_PPS_Access26[[#This Row],[Délais PC1 et PC3]]+Portefeuille_MNT_PPS_Access26[[#This Row],[Délais PC3 et PC5]]</f>
        <v>20</v>
      </c>
      <c r="Z90">
        <v>1</v>
      </c>
      <c r="AA90">
        <v>1</v>
      </c>
      <c r="AB9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90" s="12">
        <f>_xlfn.XLOOKUP(Portefeuille_MNT_PPS_Access26[[#This Row],[Numéro projet]],Tableau5[Numéro projet],Tableau5[IND_Site_Prioritaire])</f>
        <v>3</v>
      </c>
      <c r="AD90" s="2">
        <f>_xlfn.XLOOKUP(Portefeuille_MNT_PPS_Access26[[#This Row],[Numéro projet]],Tableau5[Numéro projet],Tableau5[Critère Etat Infrastructure])</f>
        <v>5</v>
      </c>
      <c r="AE9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90">
        <v>1</v>
      </c>
      <c r="AG90">
        <v>1</v>
      </c>
      <c r="AH90" t="s">
        <v>112</v>
      </c>
      <c r="AI90" s="2"/>
      <c r="AJ90" s="2"/>
      <c r="AN90"/>
      <c r="AO90">
        <v>178</v>
      </c>
      <c r="AQ90">
        <v>176</v>
      </c>
      <c r="AS90">
        <v>212</v>
      </c>
      <c r="AT90">
        <v>4831</v>
      </c>
      <c r="AU90">
        <v>151</v>
      </c>
      <c r="AV90">
        <v>3298</v>
      </c>
      <c r="AX90"/>
      <c r="BK90" s="14">
        <f>SUM(Portefeuille_MNT_PPS_Access26[[#This Row],[AC ANT]:[TR 2035]])</f>
        <v>8846</v>
      </c>
    </row>
    <row r="91" spans="1:63" x14ac:dyDescent="0.3">
      <c r="A91" t="s">
        <v>286</v>
      </c>
      <c r="C91" t="s">
        <v>101</v>
      </c>
      <c r="D91" t="s">
        <v>102</v>
      </c>
      <c r="E91" t="s">
        <v>103</v>
      </c>
      <c r="F91" t="s">
        <v>140</v>
      </c>
      <c r="G91" t="s">
        <v>16</v>
      </c>
      <c r="H91" t="s">
        <v>20</v>
      </c>
      <c r="I91" t="s">
        <v>131</v>
      </c>
      <c r="J91">
        <v>154210528</v>
      </c>
      <c r="K91" t="s">
        <v>515</v>
      </c>
      <c r="L91" t="s">
        <v>180</v>
      </c>
      <c r="M91">
        <f>_xlfn.XLOOKUP(Portefeuille_MNT_PPS_Access26[[#This Row],[Numéro projet]], Portefeuille_MNT_PPS_Access20[Numéro projet], Portefeuille_MNT_PPS_Access20[Année DÉBUT Travaux prévu], "")</f>
        <v>2027</v>
      </c>
      <c r="N91">
        <v>2027</v>
      </c>
      <c r="O91">
        <f>Portefeuille_MNT_PPS_Access26[[#This Row],[Année DÉBUT Travaux proposée]]-Portefeuille_MNT_PPS_Access26[[#This Row],[Année DÉBUT Travaux prévu]]</f>
        <v>0</v>
      </c>
      <c r="P91" t="s">
        <v>110</v>
      </c>
      <c r="Q91" s="1">
        <v>45679</v>
      </c>
      <c r="R91" s="1">
        <v>46006</v>
      </c>
      <c r="S91" s="1">
        <v>46371</v>
      </c>
      <c r="T9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3.À risque</v>
      </c>
      <c r="U9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9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9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9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91">
        <f>Portefeuille_MNT_PPS_Access26[[#This Row],[Délais PC1 et PC3]]+Portefeuille_MNT_PPS_Access26[[#This Row],[Délais PC3 et PC5]]</f>
        <v>23</v>
      </c>
      <c r="Z91">
        <v>1</v>
      </c>
      <c r="AA91">
        <v>1</v>
      </c>
      <c r="AB9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91" s="12">
        <f>_xlfn.XLOOKUP(Portefeuille_MNT_PPS_Access26[[#This Row],[Numéro projet]],Tableau5[Numéro projet],Tableau5[IND_Site_Prioritaire])</f>
        <v>1.8333333333333335</v>
      </c>
      <c r="AD91" s="2">
        <f>_xlfn.XLOOKUP(Portefeuille_MNT_PPS_Access26[[#This Row],[Numéro projet]],Tableau5[Numéro projet],Tableau5[Critère Etat Infrastructure])</f>
        <v>5</v>
      </c>
      <c r="AE9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54.166666666666671</v>
      </c>
      <c r="AF91">
        <v>1</v>
      </c>
      <c r="AG91">
        <v>1</v>
      </c>
      <c r="AH91" t="s">
        <v>112</v>
      </c>
      <c r="AI91" s="2"/>
      <c r="AJ91" s="2"/>
      <c r="AN91"/>
      <c r="AO91">
        <v>200</v>
      </c>
      <c r="AQ91">
        <v>110</v>
      </c>
      <c r="AS91">
        <v>81</v>
      </c>
      <c r="AT91">
        <v>1981</v>
      </c>
      <c r="AU91">
        <v>82</v>
      </c>
      <c r="AV91">
        <v>1981</v>
      </c>
      <c r="AX91"/>
      <c r="BK91" s="14">
        <f>SUM(Portefeuille_MNT_PPS_Access26[[#This Row],[AC ANT]:[TR 2035]])</f>
        <v>4435</v>
      </c>
    </row>
    <row r="92" spans="1:63" x14ac:dyDescent="0.3">
      <c r="A92" t="s">
        <v>286</v>
      </c>
      <c r="C92" t="s">
        <v>101</v>
      </c>
      <c r="D92" t="s">
        <v>102</v>
      </c>
      <c r="E92" t="s">
        <v>136</v>
      </c>
      <c r="F92" t="s">
        <v>149</v>
      </c>
      <c r="G92" t="s">
        <v>20</v>
      </c>
      <c r="H92" t="s">
        <v>20</v>
      </c>
      <c r="I92" t="s">
        <v>131</v>
      </c>
      <c r="J92">
        <v>154220313</v>
      </c>
      <c r="K92" t="s">
        <v>382</v>
      </c>
      <c r="L92" t="s">
        <v>194</v>
      </c>
      <c r="M92">
        <f>_xlfn.XLOOKUP(Portefeuille_MNT_PPS_Access26[[#This Row],[Numéro projet]], Portefeuille_MNT_PPS_Access20[Numéro projet], Portefeuille_MNT_PPS_Access20[Année DÉBUT Travaux prévu], "")</f>
        <v>2027</v>
      </c>
      <c r="N92">
        <v>2027</v>
      </c>
      <c r="O92">
        <f>Portefeuille_MNT_PPS_Access26[[#This Row],[Année DÉBUT Travaux proposée]]-Portefeuille_MNT_PPS_Access26[[#This Row],[Année DÉBUT Travaux prévu]]</f>
        <v>0</v>
      </c>
      <c r="P92" t="s">
        <v>291</v>
      </c>
      <c r="Q92" s="1"/>
      <c r="R92" s="1"/>
      <c r="S92" s="1"/>
      <c r="T9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2">
        <f>Portefeuille_MNT_PPS_Access26[[#This Row],[Délais PC1 et PC3]]+Portefeuille_MNT_PPS_Access26[[#This Row],[Délais PC3 et PC5]]</f>
        <v>0</v>
      </c>
      <c r="Z92">
        <v>1</v>
      </c>
      <c r="AB9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92" s="12">
        <f>_xlfn.XLOOKUP(Portefeuille_MNT_PPS_Access26[[#This Row],[Numéro projet]],Tableau5[Numéro projet],Tableau5[IND_Site_Prioritaire])</f>
        <v>3.3333333333333335</v>
      </c>
      <c r="AD92" s="2">
        <f>_xlfn.XLOOKUP(Portefeuille_MNT_PPS_Access26[[#This Row],[Numéro projet]],Tableau5[Numéro projet],Tableau5[Critère Etat Infrastructure])</f>
        <v>5</v>
      </c>
      <c r="AE9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H92" t="s">
        <v>311</v>
      </c>
      <c r="AI92" s="2"/>
      <c r="AJ92" s="2"/>
      <c r="AN92"/>
      <c r="AQ92">
        <v>50</v>
      </c>
      <c r="AS92">
        <v>50</v>
      </c>
      <c r="AT92">
        <v>250</v>
      </c>
      <c r="AX92"/>
      <c r="BK92" s="14">
        <f>SUM(Portefeuille_MNT_PPS_Access26[[#This Row],[AC ANT]:[TR 2035]])</f>
        <v>350</v>
      </c>
    </row>
    <row r="93" spans="1:63" x14ac:dyDescent="0.3">
      <c r="A93" t="s">
        <v>286</v>
      </c>
      <c r="C93" t="s">
        <v>118</v>
      </c>
      <c r="D93" t="s">
        <v>102</v>
      </c>
      <c r="E93" t="s">
        <v>136</v>
      </c>
      <c r="F93" t="s">
        <v>104</v>
      </c>
      <c r="G93" t="s">
        <v>16</v>
      </c>
      <c r="H93" t="s">
        <v>20</v>
      </c>
      <c r="I93" t="s">
        <v>105</v>
      </c>
      <c r="J93">
        <v>154240757</v>
      </c>
      <c r="K93" t="s">
        <v>519</v>
      </c>
      <c r="L93" t="s">
        <v>143</v>
      </c>
      <c r="M93">
        <f>_xlfn.XLOOKUP(Portefeuille_MNT_PPS_Access26[[#This Row],[Numéro projet]], Portefeuille_MNT_PPS_Access20[Numéro projet], Portefeuille_MNT_PPS_Access20[Année DÉBUT Travaux prévu], "")</f>
        <v>2027</v>
      </c>
      <c r="N93">
        <v>2027</v>
      </c>
      <c r="O93">
        <f>Portefeuille_MNT_PPS_Access26[[#This Row],[Année DÉBUT Travaux proposée]]-Portefeuille_MNT_PPS_Access26[[#This Row],[Année DÉBUT Travaux prévu]]</f>
        <v>0</v>
      </c>
      <c r="P93" t="s">
        <v>155</v>
      </c>
      <c r="Q93" s="1">
        <v>46127</v>
      </c>
      <c r="R93" s="1"/>
      <c r="S93" s="1"/>
      <c r="T9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9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-1515</v>
      </c>
      <c r="X9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3">
        <f>Portefeuille_MNT_PPS_Access26[[#This Row],[Délais PC1 et PC3]]+Portefeuille_MNT_PPS_Access26[[#This Row],[Délais PC3 et PC5]]</f>
        <v>-1515</v>
      </c>
      <c r="Z93">
        <v>1</v>
      </c>
      <c r="AB9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93" s="12" t="e">
        <f>_xlfn.XLOOKUP(Portefeuille_MNT_PPS_Access26[[#This Row],[Numéro projet]],Tableau5[Numéro projet],Tableau5[IND_Site_Prioritaire])</f>
        <v>#N/A</v>
      </c>
      <c r="AD93" s="2" t="e">
        <f>_xlfn.XLOOKUP(Portefeuille_MNT_PPS_Access26[[#This Row],[Numéro projet]],Tableau5[Numéro projet],Tableau5[Critère Etat Infrastructure])</f>
        <v>#N/A</v>
      </c>
      <c r="AE93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G93">
        <v>1</v>
      </c>
      <c r="AH93" t="s">
        <v>156</v>
      </c>
      <c r="AI93" s="2"/>
      <c r="AJ93" s="2"/>
      <c r="AN93"/>
      <c r="AO93">
        <v>25</v>
      </c>
      <c r="AQ93">
        <v>25</v>
      </c>
      <c r="AT93">
        <v>150</v>
      </c>
      <c r="AX93"/>
      <c r="BK93" s="14">
        <f>SUM(Portefeuille_MNT_PPS_Access26[[#This Row],[AC ANT]:[TR 2035]])</f>
        <v>200</v>
      </c>
    </row>
    <row r="94" spans="1:63" x14ac:dyDescent="0.3">
      <c r="A94" t="s">
        <v>11</v>
      </c>
      <c r="C94" t="s">
        <v>118</v>
      </c>
      <c r="D94" t="s">
        <v>102</v>
      </c>
      <c r="E94" t="s">
        <v>177</v>
      </c>
      <c r="F94" t="s">
        <v>252</v>
      </c>
      <c r="G94" t="s">
        <v>20</v>
      </c>
      <c r="H94" t="s">
        <v>20</v>
      </c>
      <c r="I94" t="s">
        <v>131</v>
      </c>
      <c r="J94">
        <v>154240494</v>
      </c>
      <c r="K94" t="s">
        <v>449</v>
      </c>
      <c r="L94" t="s">
        <v>159</v>
      </c>
      <c r="M94" s="103">
        <f>_xlfn.XLOOKUP(Portefeuille_MNT_PPS_Access26[[#This Row],[Numéro projet]], Portefeuille_MNT_PPS_Access20[Numéro projet], Portefeuille_MNT_PPS_Access20[Année DÉBUT Travaux prévu], "")</f>
        <v>2026</v>
      </c>
      <c r="N94" s="103">
        <v>2027</v>
      </c>
      <c r="O94" s="103">
        <f>Portefeuille_MNT_PPS_Access26[[#This Row],[Année DÉBUT Travaux proposée]]-Portefeuille_MNT_PPS_Access26[[#This Row],[Année DÉBUT Travaux prévu]]</f>
        <v>1</v>
      </c>
      <c r="P94" t="s">
        <v>291</v>
      </c>
      <c r="Q94" s="1"/>
      <c r="R94" s="1"/>
      <c r="S94" s="1"/>
      <c r="T9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4">
        <f>Portefeuille_MNT_PPS_Access26[[#This Row],[Délais PC1 et PC3]]+Portefeuille_MNT_PPS_Access26[[#This Row],[Délais PC3 et PC5]]</f>
        <v>0</v>
      </c>
      <c r="Z94">
        <v>1</v>
      </c>
      <c r="AB9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94" s="12">
        <f>_xlfn.XLOOKUP(Portefeuille_MNT_PPS_Access26[[#This Row],[Numéro projet]],Tableau5[Numéro projet],Tableau5[IND_Site_Prioritaire])</f>
        <v>4.333333333333333</v>
      </c>
      <c r="AD94" s="2">
        <f>_xlfn.XLOOKUP(Portefeuille_MNT_PPS_Access26[[#This Row],[Numéro projet]],Tableau5[Numéro projet],Tableau5[Critère Etat Infrastructure])</f>
        <v>0</v>
      </c>
      <c r="AE9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26.666666666666668</v>
      </c>
      <c r="AH94" t="s">
        <v>311</v>
      </c>
      <c r="AI94" s="2"/>
      <c r="AJ94" s="2"/>
      <c r="AN94"/>
      <c r="AT94">
        <v>100</v>
      </c>
      <c r="AX94"/>
      <c r="BK94" s="14">
        <f>SUM(Portefeuille_MNT_PPS_Access26[[#This Row],[AC ANT]:[TR 2035]])</f>
        <v>100</v>
      </c>
    </row>
    <row r="95" spans="1:63" x14ac:dyDescent="0.3">
      <c r="A95" t="s">
        <v>286</v>
      </c>
      <c r="C95" t="s">
        <v>126</v>
      </c>
      <c r="D95" t="s">
        <v>127</v>
      </c>
      <c r="E95" t="s">
        <v>128</v>
      </c>
      <c r="F95" t="s">
        <v>252</v>
      </c>
      <c r="G95" t="s">
        <v>16</v>
      </c>
      <c r="H95" t="s">
        <v>16</v>
      </c>
      <c r="I95" t="s">
        <v>131</v>
      </c>
      <c r="J95">
        <v>154220431</v>
      </c>
      <c r="K95" t="s">
        <v>435</v>
      </c>
      <c r="L95" t="s">
        <v>147</v>
      </c>
      <c r="M95">
        <f>_xlfn.XLOOKUP(Portefeuille_MNT_PPS_Access26[[#This Row],[Numéro projet]], Portefeuille_MNT_PPS_Access20[Numéro projet], Portefeuille_MNT_PPS_Access20[Année DÉBUT Travaux prévu], "")</f>
        <v>0</v>
      </c>
      <c r="O95">
        <f>Portefeuille_MNT_PPS_Access26[[#This Row],[Année DÉBUT Travaux proposée]]-Portefeuille_MNT_PPS_Access26[[#This Row],[Année DÉBUT Travaux prévu]]</f>
        <v>0</v>
      </c>
      <c r="P95" t="s">
        <v>123</v>
      </c>
      <c r="Q95" s="1"/>
      <c r="R95" s="1"/>
      <c r="S95" s="1">
        <v>45413</v>
      </c>
      <c r="T9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5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9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1492</v>
      </c>
      <c r="Y95">
        <f>Portefeuille_MNT_PPS_Access26[[#This Row],[Délais PC1 et PC3]]+Portefeuille_MNT_PPS_Access26[[#This Row],[Délais PC3 et PC5]]</f>
        <v>1492</v>
      </c>
      <c r="Z95">
        <v>1</v>
      </c>
      <c r="AA95">
        <v>5</v>
      </c>
      <c r="AB9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5</v>
      </c>
      <c r="AC95" s="12">
        <f>_xlfn.XLOOKUP(Portefeuille_MNT_PPS_Access26[[#This Row],[Numéro projet]],Tableau5[Numéro projet],Tableau5[IND_Site_Prioritaire])</f>
        <v>3</v>
      </c>
      <c r="AD95" s="2">
        <f>_xlfn.XLOOKUP(Portefeuille_MNT_PPS_Access26[[#This Row],[Numéro projet]],Tableau5[Numéro projet],Tableau5[Critère Etat Infrastructure])</f>
        <v>0</v>
      </c>
      <c r="AE9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95" t="s">
        <v>125</v>
      </c>
      <c r="AI95" s="2">
        <v>5</v>
      </c>
      <c r="AJ95" s="2"/>
      <c r="AM95">
        <v>2</v>
      </c>
      <c r="AN95">
        <v>64</v>
      </c>
      <c r="AX95"/>
      <c r="BK95" s="14">
        <f>SUM(Portefeuille_MNT_PPS_Access26[[#This Row],[AC ANT]:[TR 2035]])</f>
        <v>66</v>
      </c>
    </row>
    <row r="96" spans="1:63" x14ac:dyDescent="0.3">
      <c r="A96" t="s">
        <v>11</v>
      </c>
      <c r="C96" t="s">
        <v>118</v>
      </c>
      <c r="D96" t="s">
        <v>102</v>
      </c>
      <c r="E96" t="s">
        <v>103</v>
      </c>
      <c r="F96" t="s">
        <v>252</v>
      </c>
      <c r="G96" t="s">
        <v>20</v>
      </c>
      <c r="H96" t="s">
        <v>20</v>
      </c>
      <c r="I96" t="s">
        <v>131</v>
      </c>
      <c r="J96">
        <v>154250200</v>
      </c>
      <c r="K96" t="s">
        <v>607</v>
      </c>
      <c r="L96" t="s">
        <v>180</v>
      </c>
      <c r="M96" t="str">
        <f>_xlfn.XLOOKUP(Portefeuille_MNT_PPS_Access26[[#This Row],[Numéro projet]], Portefeuille_MNT_PPS_Access20[Numéro projet], Portefeuille_MNT_PPS_Access20[Année DÉBUT Travaux prévu], "")</f>
        <v/>
      </c>
      <c r="N96">
        <v>2027</v>
      </c>
      <c r="O96" t="s">
        <v>295</v>
      </c>
      <c r="P96" t="s">
        <v>291</v>
      </c>
      <c r="Q96" s="1"/>
      <c r="R96" s="1"/>
      <c r="S96" s="1"/>
      <c r="T9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6">
        <f>Portefeuille_MNT_PPS_Access26[[#This Row],[Délais PC1 et PC3]]+Portefeuille_MNT_PPS_Access26[[#This Row],[Délais PC3 et PC5]]</f>
        <v>0</v>
      </c>
      <c r="Z96">
        <v>1</v>
      </c>
      <c r="AB9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96" s="12" t="e">
        <f>_xlfn.XLOOKUP(Portefeuille_MNT_PPS_Access26[[#This Row],[Numéro projet]],Tableau5[Numéro projet],Tableau5[IND_Site_Prioritaire])</f>
        <v>#N/A</v>
      </c>
      <c r="AD96" s="2" t="e">
        <f>_xlfn.XLOOKUP(Portefeuille_MNT_PPS_Access26[[#This Row],[Numéro projet]],Tableau5[Numéro projet],Tableau5[Critère Etat Infrastructure])</f>
        <v>#N/A</v>
      </c>
      <c r="AE96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96" t="s">
        <v>311</v>
      </c>
      <c r="AI96" s="2"/>
      <c r="AJ96" s="2"/>
      <c r="AN96"/>
      <c r="AT96">
        <v>300</v>
      </c>
      <c r="AX96"/>
      <c r="BK96" s="14">
        <f>SUM(Portefeuille_MNT_PPS_Access26[[#This Row],[AC ANT]:[TR 2035]])</f>
        <v>300</v>
      </c>
    </row>
    <row r="97" spans="1:63" x14ac:dyDescent="0.3">
      <c r="A97" t="s">
        <v>11</v>
      </c>
      <c r="C97" t="s">
        <v>118</v>
      </c>
      <c r="D97" t="s">
        <v>102</v>
      </c>
      <c r="E97" t="s">
        <v>103</v>
      </c>
      <c r="G97" t="s">
        <v>20</v>
      </c>
      <c r="H97" t="s">
        <v>20</v>
      </c>
      <c r="I97" t="s">
        <v>131</v>
      </c>
      <c r="J97">
        <v>154250377</v>
      </c>
      <c r="K97" t="s">
        <v>648</v>
      </c>
      <c r="L97" t="s">
        <v>147</v>
      </c>
      <c r="M97" t="str">
        <f>_xlfn.XLOOKUP(Portefeuille_MNT_PPS_Access26[[#This Row],[Numéro projet]], Portefeuille_MNT_PPS_Access20[Numéro projet], Portefeuille_MNT_PPS_Access20[Année DÉBUT Travaux prévu], "")</f>
        <v/>
      </c>
      <c r="N97">
        <v>2027</v>
      </c>
      <c r="O97" t="s">
        <v>295</v>
      </c>
      <c r="Q97" s="1"/>
      <c r="R97" s="1"/>
      <c r="S97" s="1"/>
      <c r="T9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7">
        <f>Portefeuille_MNT_PPS_Access26[[#This Row],[Délais PC1 et PC3]]+Portefeuille_MNT_PPS_Access26[[#This Row],[Délais PC3 et PC5]]</f>
        <v>0</v>
      </c>
      <c r="Z97">
        <v>1</v>
      </c>
      <c r="AB97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97" s="12" t="e">
        <f>_xlfn.XLOOKUP(Portefeuille_MNT_PPS_Access26[[#This Row],[Numéro projet]],Tableau5[Numéro projet],Tableau5[IND_Site_Prioritaire])</f>
        <v>#N/A</v>
      </c>
      <c r="AD97" s="2" t="e">
        <f>_xlfn.XLOOKUP(Portefeuille_MNT_PPS_Access26[[#This Row],[Numéro projet]],Tableau5[Numéro projet],Tableau5[Critère Etat Infrastructure])</f>
        <v>#N/A</v>
      </c>
      <c r="AE97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I97" s="2"/>
      <c r="AJ97" s="2"/>
      <c r="AN97"/>
      <c r="AT97">
        <v>10</v>
      </c>
      <c r="AX97"/>
      <c r="BK97" s="14">
        <f>SUM(Portefeuille_MNT_PPS_Access26[[#This Row],[AC ANT]:[TR 2035]])</f>
        <v>10</v>
      </c>
    </row>
    <row r="98" spans="1:63" x14ac:dyDescent="0.3">
      <c r="A98" t="s">
        <v>11</v>
      </c>
      <c r="C98" t="s">
        <v>118</v>
      </c>
      <c r="D98" t="s">
        <v>102</v>
      </c>
      <c r="E98" t="s">
        <v>242</v>
      </c>
      <c r="G98" t="s">
        <v>20</v>
      </c>
      <c r="H98" t="s">
        <v>20</v>
      </c>
      <c r="I98" t="s">
        <v>131</v>
      </c>
      <c r="J98">
        <v>154250378</v>
      </c>
      <c r="K98" t="s">
        <v>650</v>
      </c>
      <c r="L98" t="s">
        <v>414</v>
      </c>
      <c r="M98" t="str">
        <f>_xlfn.XLOOKUP(Portefeuille_MNT_PPS_Access26[[#This Row],[Numéro projet]], Portefeuille_MNT_PPS_Access20[Numéro projet], Portefeuille_MNT_PPS_Access20[Année DÉBUT Travaux prévu], "")</f>
        <v/>
      </c>
      <c r="N98">
        <v>2027</v>
      </c>
      <c r="O98" t="s">
        <v>295</v>
      </c>
      <c r="Q98" s="1"/>
      <c r="R98" s="1"/>
      <c r="S98" s="1"/>
      <c r="T9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9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9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9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9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98">
        <f>Portefeuille_MNT_PPS_Access26[[#This Row],[Délais PC1 et PC3]]+Portefeuille_MNT_PPS_Access26[[#This Row],[Délais PC3 et PC5]]</f>
        <v>0</v>
      </c>
      <c r="Z98">
        <v>1</v>
      </c>
      <c r="AB98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98" s="12" t="e">
        <f>_xlfn.XLOOKUP(Portefeuille_MNT_PPS_Access26[[#This Row],[Numéro projet]],Tableau5[Numéro projet],Tableau5[IND_Site_Prioritaire])</f>
        <v>#N/A</v>
      </c>
      <c r="AD98" s="2" t="e">
        <f>_xlfn.XLOOKUP(Portefeuille_MNT_PPS_Access26[[#This Row],[Numéro projet]],Tableau5[Numéro projet],Tableau5[Critère Etat Infrastructure])</f>
        <v>#N/A</v>
      </c>
      <c r="AE98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I98" s="2"/>
      <c r="AJ98" s="2"/>
      <c r="AN98"/>
      <c r="AT98">
        <v>100</v>
      </c>
      <c r="AX98"/>
      <c r="BK98" s="14">
        <f>SUM(Portefeuille_MNT_PPS_Access26[[#This Row],[AC ANT]:[TR 2035]])</f>
        <v>100</v>
      </c>
    </row>
    <row r="99" spans="1:63" x14ac:dyDescent="0.3">
      <c r="A99" t="s">
        <v>286</v>
      </c>
      <c r="C99" t="s">
        <v>101</v>
      </c>
      <c r="D99" t="s">
        <v>102</v>
      </c>
      <c r="E99" t="s">
        <v>136</v>
      </c>
      <c r="F99" t="s">
        <v>113</v>
      </c>
      <c r="G99" t="s">
        <v>16</v>
      </c>
      <c r="H99" t="s">
        <v>20</v>
      </c>
      <c r="I99" t="s">
        <v>131</v>
      </c>
      <c r="J99">
        <v>154140339</v>
      </c>
      <c r="K99" t="s">
        <v>186</v>
      </c>
      <c r="L99" t="s">
        <v>187</v>
      </c>
      <c r="M99" s="103">
        <f>_xlfn.XLOOKUP(Portefeuille_MNT_PPS_Access26[[#This Row],[Numéro projet]], Portefeuille_MNT_PPS_Access20[Numéro projet], Portefeuille_MNT_PPS_Access20[Année DÉBUT Travaux prévu], "")</f>
        <v>2027</v>
      </c>
      <c r="N99" s="103">
        <v>2028</v>
      </c>
      <c r="O99" s="103">
        <f>Portefeuille_MNT_PPS_Access26[[#This Row],[Année DÉBUT Travaux proposée]]-Portefeuille_MNT_PPS_Access26[[#This Row],[Année DÉBUT Travaux prévu]]</f>
        <v>1</v>
      </c>
      <c r="P99" t="s">
        <v>110</v>
      </c>
      <c r="Q99" s="1">
        <v>44823</v>
      </c>
      <c r="R99" s="1">
        <v>46310</v>
      </c>
      <c r="S99" s="1">
        <v>46521</v>
      </c>
      <c r="T9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9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9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9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49</v>
      </c>
      <c r="X9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7</v>
      </c>
      <c r="Y99">
        <f>Portefeuille_MNT_PPS_Access26[[#This Row],[Délais PC1 et PC3]]+Portefeuille_MNT_PPS_Access26[[#This Row],[Délais PC3 et PC5]]</f>
        <v>56</v>
      </c>
      <c r="Z99">
        <v>1</v>
      </c>
      <c r="AA99">
        <v>1</v>
      </c>
      <c r="AB9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99" s="12">
        <f>_xlfn.XLOOKUP(Portefeuille_MNT_PPS_Access26[[#This Row],[Numéro projet]],Tableau5[Numéro projet],Tableau5[IND_Site_Prioritaire])</f>
        <v>3</v>
      </c>
      <c r="AD99" s="2">
        <f>_xlfn.XLOOKUP(Portefeuille_MNT_PPS_Access26[[#This Row],[Numéro projet]],Tableau5[Numéro projet],Tableau5[Critère Etat Infrastructure])</f>
        <v>5</v>
      </c>
      <c r="AE9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60.000000000000007</v>
      </c>
      <c r="AF99">
        <v>1</v>
      </c>
      <c r="AG99">
        <v>5</v>
      </c>
      <c r="AH99" t="s">
        <v>112</v>
      </c>
      <c r="AI99" s="2"/>
      <c r="AJ99" s="2"/>
      <c r="AK99">
        <v>282</v>
      </c>
      <c r="AM99">
        <v>175</v>
      </c>
      <c r="AN99"/>
      <c r="AO99">
        <v>835</v>
      </c>
      <c r="AQ99">
        <v>630</v>
      </c>
      <c r="AS99">
        <v>225</v>
      </c>
      <c r="AU99">
        <v>225</v>
      </c>
      <c r="AV99">
        <v>5369</v>
      </c>
      <c r="AW99">
        <v>502</v>
      </c>
      <c r="AX99">
        <v>10806</v>
      </c>
      <c r="BK99" s="14">
        <f>SUM(Portefeuille_MNT_PPS_Access26[[#This Row],[AC ANT]:[TR 2035]])</f>
        <v>19049</v>
      </c>
    </row>
    <row r="100" spans="1:63" x14ac:dyDescent="0.3">
      <c r="A100" t="s">
        <v>286</v>
      </c>
      <c r="C100" t="s">
        <v>101</v>
      </c>
      <c r="D100" t="s">
        <v>102</v>
      </c>
      <c r="E100" t="s">
        <v>136</v>
      </c>
      <c r="F100" t="s">
        <v>149</v>
      </c>
      <c r="G100" t="s">
        <v>16</v>
      </c>
      <c r="H100" t="s">
        <v>20</v>
      </c>
      <c r="I100" t="s">
        <v>105</v>
      </c>
      <c r="J100">
        <v>154180731</v>
      </c>
      <c r="K100" t="s">
        <v>204</v>
      </c>
      <c r="L100" t="s">
        <v>205</v>
      </c>
      <c r="M100" s="103">
        <f>_xlfn.XLOOKUP(Portefeuille_MNT_PPS_Access26[[#This Row],[Numéro projet]], Portefeuille_MNT_PPS_Access20[Numéro projet], Portefeuille_MNT_PPS_Access20[Année DÉBUT Travaux prévu], "")</f>
        <v>2027</v>
      </c>
      <c r="N100" s="103">
        <v>2028</v>
      </c>
      <c r="O100" s="103">
        <f>Portefeuille_MNT_PPS_Access26[[#This Row],[Année DÉBUT Travaux proposée]]-Portefeuille_MNT_PPS_Access26[[#This Row],[Année DÉBUT Travaux prévu]]</f>
        <v>1</v>
      </c>
      <c r="P100" t="s">
        <v>155</v>
      </c>
      <c r="Q100" s="1">
        <v>45960</v>
      </c>
      <c r="R100" s="1">
        <v>46264</v>
      </c>
      <c r="S100" s="1">
        <v>46629</v>
      </c>
      <c r="T10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10</v>
      </c>
      <c r="X10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00">
        <f>Portefeuille_MNT_PPS_Access26[[#This Row],[Délais PC1 et PC3]]+Portefeuille_MNT_PPS_Access26[[#This Row],[Délais PC3 et PC5]]</f>
        <v>22</v>
      </c>
      <c r="Z100">
        <v>1</v>
      </c>
      <c r="AA100">
        <v>1</v>
      </c>
      <c r="AB10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0" s="12">
        <f>_xlfn.XLOOKUP(Portefeuille_MNT_PPS_Access26[[#This Row],[Numéro projet]],Tableau5[Numéro projet],Tableau5[IND_Site_Prioritaire])</f>
        <v>3.3333333333333335</v>
      </c>
      <c r="AD100" s="2">
        <f>_xlfn.XLOOKUP(Portefeuille_MNT_PPS_Access26[[#This Row],[Numéro projet]],Tableau5[Numéro projet],Tableau5[Critère Etat Infrastructure])</f>
        <v>5</v>
      </c>
      <c r="AE10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51.666666666666671</v>
      </c>
      <c r="AF100">
        <v>1</v>
      </c>
      <c r="AG100">
        <v>1</v>
      </c>
      <c r="AH100" t="s">
        <v>156</v>
      </c>
      <c r="AI100" s="2"/>
      <c r="AJ100" s="2"/>
      <c r="AN100"/>
      <c r="AO100">
        <v>85</v>
      </c>
      <c r="AQ100">
        <v>85</v>
      </c>
      <c r="AS100">
        <v>170</v>
      </c>
      <c r="AV100">
        <v>2000</v>
      </c>
      <c r="AX100"/>
      <c r="BK100" s="14">
        <f>SUM(Portefeuille_MNT_PPS_Access26[[#This Row],[AC ANT]:[TR 2035]])</f>
        <v>2340</v>
      </c>
    </row>
    <row r="101" spans="1:63" x14ac:dyDescent="0.3">
      <c r="A101" t="s">
        <v>286</v>
      </c>
      <c r="C101" t="s">
        <v>126</v>
      </c>
      <c r="D101" t="s">
        <v>127</v>
      </c>
      <c r="E101" t="s">
        <v>103</v>
      </c>
      <c r="F101" t="s">
        <v>149</v>
      </c>
      <c r="G101" t="s">
        <v>16</v>
      </c>
      <c r="H101" t="s">
        <v>20</v>
      </c>
      <c r="I101" t="s">
        <v>131</v>
      </c>
      <c r="J101">
        <v>154190681</v>
      </c>
      <c r="K101" t="s">
        <v>542</v>
      </c>
      <c r="L101" t="s">
        <v>152</v>
      </c>
      <c r="M101" s="103">
        <f>_xlfn.XLOOKUP(Portefeuille_MNT_PPS_Access26[[#This Row],[Numéro projet]], Portefeuille_MNT_PPS_Access20[Numéro projet], Portefeuille_MNT_PPS_Access20[Année DÉBUT Travaux prévu], "")</f>
        <v>2027</v>
      </c>
      <c r="N101" s="103">
        <v>2028</v>
      </c>
      <c r="O101" s="103">
        <f>Portefeuille_MNT_PPS_Access26[[#This Row],[Année DÉBUT Travaux proposée]]-Portefeuille_MNT_PPS_Access26[[#This Row],[Année DÉBUT Travaux prévu]]</f>
        <v>1</v>
      </c>
      <c r="P101" t="s">
        <v>155</v>
      </c>
      <c r="Q101" s="1">
        <v>45976</v>
      </c>
      <c r="R101" s="1">
        <v>46310</v>
      </c>
      <c r="S101" s="1">
        <v>46645</v>
      </c>
      <c r="T10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10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11</v>
      </c>
      <c r="Y101">
        <f>Portefeuille_MNT_PPS_Access26[[#This Row],[Délais PC1 et PC3]]+Portefeuille_MNT_PPS_Access26[[#This Row],[Délais PC3 et PC5]]</f>
        <v>22</v>
      </c>
      <c r="Z101">
        <v>1</v>
      </c>
      <c r="AA101">
        <v>1</v>
      </c>
      <c r="AB10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1" s="12">
        <f>_xlfn.XLOOKUP(Portefeuille_MNT_PPS_Access26[[#This Row],[Numéro projet]],Tableau5[Numéro projet],Tableau5[IND_Site_Prioritaire])</f>
        <v>3.6666666666666665</v>
      </c>
      <c r="AD101" s="2">
        <f>_xlfn.XLOOKUP(Portefeuille_MNT_PPS_Access26[[#This Row],[Numéro projet]],Tableau5[Numéro projet],Tableau5[Critère Etat Infrastructure])</f>
        <v>4</v>
      </c>
      <c r="AE10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48.333333333333336</v>
      </c>
      <c r="AF101">
        <v>1</v>
      </c>
      <c r="AG101">
        <v>1</v>
      </c>
      <c r="AH101" t="s">
        <v>156</v>
      </c>
      <c r="AI101" s="2"/>
      <c r="AJ101" s="2"/>
      <c r="AN101"/>
      <c r="AO101">
        <v>100</v>
      </c>
      <c r="AQ101">
        <v>267</v>
      </c>
      <c r="AS101">
        <v>588</v>
      </c>
      <c r="AV101">
        <v>4500</v>
      </c>
      <c r="AX101">
        <v>3000</v>
      </c>
      <c r="BK101" s="14">
        <f>SUM(Portefeuille_MNT_PPS_Access26[[#This Row],[AC ANT]:[TR 2035]])</f>
        <v>8455</v>
      </c>
    </row>
    <row r="102" spans="1:63" x14ac:dyDescent="0.3">
      <c r="A102" t="s">
        <v>11</v>
      </c>
      <c r="C102" t="s">
        <v>118</v>
      </c>
      <c r="D102" t="s">
        <v>102</v>
      </c>
      <c r="E102" t="s">
        <v>103</v>
      </c>
      <c r="F102" t="s">
        <v>252</v>
      </c>
      <c r="G102" t="s">
        <v>20</v>
      </c>
      <c r="H102" t="s">
        <v>16</v>
      </c>
      <c r="I102" t="s">
        <v>131</v>
      </c>
      <c r="J102">
        <v>154220312</v>
      </c>
      <c r="K102" t="s">
        <v>388</v>
      </c>
      <c r="L102" t="s">
        <v>180</v>
      </c>
      <c r="M102">
        <f>_xlfn.XLOOKUP(Portefeuille_MNT_PPS_Access26[[#This Row],[Numéro projet]], Portefeuille_MNT_PPS_Access20[Numéro projet], Portefeuille_MNT_PPS_Access20[Année DÉBUT Travaux prévu], "")</f>
        <v>0</v>
      </c>
      <c r="O102">
        <f>Portefeuille_MNT_PPS_Access26[[#This Row],[Année DÉBUT Travaux proposée]]-Portefeuille_MNT_PPS_Access26[[#This Row],[Année DÉBUT Travaux prévu]]</f>
        <v>0</v>
      </c>
      <c r="P102" t="s">
        <v>297</v>
      </c>
      <c r="Q102" s="1"/>
      <c r="R102" s="1"/>
      <c r="S102" s="1"/>
      <c r="T10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0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0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0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0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02">
        <f>Portefeuille_MNT_PPS_Access26[[#This Row],[Délais PC1 et PC3]]+Portefeuille_MNT_PPS_Access26[[#This Row],[Délais PC3 et PC5]]</f>
        <v>0</v>
      </c>
      <c r="Z102">
        <v>1</v>
      </c>
      <c r="AB10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6</v>
      </c>
      <c r="AC102" s="12">
        <f>_xlfn.XLOOKUP(Portefeuille_MNT_PPS_Access26[[#This Row],[Numéro projet]],Tableau5[Numéro projet],Tableau5[IND_Site_Prioritaire])</f>
        <v>2.8</v>
      </c>
      <c r="AD102" s="2">
        <f>_xlfn.XLOOKUP(Portefeuille_MNT_PPS_Access26[[#This Row],[Numéro projet]],Tableau5[Numéro projet],Tableau5[Critère Etat Infrastructure])</f>
        <v>0</v>
      </c>
      <c r="AE10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102" t="s">
        <v>349</v>
      </c>
      <c r="AI102" s="2">
        <v>5</v>
      </c>
      <c r="AJ102" s="2"/>
      <c r="AN102">
        <v>316</v>
      </c>
      <c r="AX102"/>
      <c r="BK102" s="14">
        <f>SUM(Portefeuille_MNT_PPS_Access26[[#This Row],[AC ANT]:[TR 2035]])</f>
        <v>316</v>
      </c>
    </row>
    <row r="103" spans="1:63" x14ac:dyDescent="0.3">
      <c r="A103" t="s">
        <v>286</v>
      </c>
      <c r="C103" t="s">
        <v>126</v>
      </c>
      <c r="D103" t="s">
        <v>127</v>
      </c>
      <c r="E103" t="s">
        <v>103</v>
      </c>
      <c r="F103" t="s">
        <v>104</v>
      </c>
      <c r="G103" t="s">
        <v>16</v>
      </c>
      <c r="H103" t="s">
        <v>130</v>
      </c>
      <c r="I103" t="s">
        <v>131</v>
      </c>
      <c r="J103">
        <v>154190517</v>
      </c>
      <c r="K103" t="s">
        <v>221</v>
      </c>
      <c r="L103" t="s">
        <v>159</v>
      </c>
      <c r="M103" s="103">
        <f>_xlfn.XLOOKUP(Portefeuille_MNT_PPS_Access26[[#This Row],[Numéro projet]], Portefeuille_MNT_PPS_Access20[Numéro projet], Portefeuille_MNT_PPS_Access20[Année DÉBUT Travaux prévu], "")</f>
        <v>2027</v>
      </c>
      <c r="N103" s="103">
        <v>2028</v>
      </c>
      <c r="O103" s="103">
        <f>Portefeuille_MNT_PPS_Access26[[#This Row],[Année DÉBUT Travaux proposée]]-Portefeuille_MNT_PPS_Access26[[#This Row],[Année DÉBUT Travaux prévu]]</f>
        <v>1</v>
      </c>
      <c r="P103" t="s">
        <v>155</v>
      </c>
      <c r="Q103" s="1">
        <v>45945</v>
      </c>
      <c r="R103" s="1">
        <v>46280</v>
      </c>
      <c r="S103" s="1">
        <v>46553</v>
      </c>
      <c r="T10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10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103">
        <f>Portefeuille_MNT_PPS_Access26[[#This Row],[Délais PC1 et PC3]]+Portefeuille_MNT_PPS_Access26[[#This Row],[Délais PC3 et PC5]]</f>
        <v>20</v>
      </c>
      <c r="Z103">
        <v>1</v>
      </c>
      <c r="AA103">
        <v>1</v>
      </c>
      <c r="AB10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3" s="12">
        <f>_xlfn.XLOOKUP(Portefeuille_MNT_PPS_Access26[[#This Row],[Numéro projet]],Tableau5[Numéro projet],Tableau5[IND_Site_Prioritaire])</f>
        <v>4.333333333333333</v>
      </c>
      <c r="AD103" s="2">
        <f>_xlfn.XLOOKUP(Portefeuille_MNT_PPS_Access26[[#This Row],[Numéro projet]],Tableau5[Numéro projet],Tableau5[Critère Etat Infrastructure])</f>
        <v>5</v>
      </c>
      <c r="AE10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56.666666666666664</v>
      </c>
      <c r="AF103">
        <v>1</v>
      </c>
      <c r="AG103">
        <v>1</v>
      </c>
      <c r="AH103" t="s">
        <v>156</v>
      </c>
      <c r="AI103" s="2"/>
      <c r="AJ103" s="2"/>
      <c r="AN103"/>
      <c r="AO103">
        <v>130</v>
      </c>
      <c r="AQ103">
        <v>125</v>
      </c>
      <c r="AS103">
        <v>100</v>
      </c>
      <c r="AU103">
        <v>70</v>
      </c>
      <c r="AV103">
        <v>14000</v>
      </c>
      <c r="AW103">
        <v>55</v>
      </c>
      <c r="AX103">
        <v>16662</v>
      </c>
      <c r="BK103" s="14">
        <f>SUM(Portefeuille_MNT_PPS_Access26[[#This Row],[AC ANT]:[TR 2035]])</f>
        <v>31142</v>
      </c>
    </row>
    <row r="104" spans="1:63" x14ac:dyDescent="0.3">
      <c r="A104" t="s">
        <v>286</v>
      </c>
      <c r="C104" t="s">
        <v>118</v>
      </c>
      <c r="D104" t="s">
        <v>102</v>
      </c>
      <c r="E104" t="s">
        <v>242</v>
      </c>
      <c r="F104" t="s">
        <v>113</v>
      </c>
      <c r="G104" t="s">
        <v>16</v>
      </c>
      <c r="H104" t="s">
        <v>20</v>
      </c>
      <c r="I104" t="s">
        <v>131</v>
      </c>
      <c r="J104">
        <v>154210524</v>
      </c>
      <c r="K104" t="s">
        <v>244</v>
      </c>
      <c r="L104" t="s">
        <v>245</v>
      </c>
      <c r="M104" s="103">
        <f>_xlfn.XLOOKUP(Portefeuille_MNT_PPS_Access26[[#This Row],[Numéro projet]], Portefeuille_MNT_PPS_Access20[Numéro projet], Portefeuille_MNT_PPS_Access20[Année DÉBUT Travaux prévu], "")</f>
        <v>2027</v>
      </c>
      <c r="N104" s="103">
        <v>2028</v>
      </c>
      <c r="O104" s="103">
        <f>Portefeuille_MNT_PPS_Access26[[#This Row],[Année DÉBUT Travaux proposée]]-Portefeuille_MNT_PPS_Access26[[#This Row],[Année DÉBUT Travaux prévu]]</f>
        <v>1</v>
      </c>
      <c r="P104" t="s">
        <v>155</v>
      </c>
      <c r="Q104" s="1">
        <v>45976</v>
      </c>
      <c r="R104" s="1">
        <v>46280</v>
      </c>
      <c r="S104" s="1">
        <v>46433</v>
      </c>
      <c r="T10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10</v>
      </c>
      <c r="X10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104">
        <f>Portefeuille_MNT_PPS_Access26[[#This Row],[Délais PC1 et PC3]]+Portefeuille_MNT_PPS_Access26[[#This Row],[Délais PC3 et PC5]]</f>
        <v>15</v>
      </c>
      <c r="Z104">
        <v>1</v>
      </c>
      <c r="AA104">
        <v>1</v>
      </c>
      <c r="AB10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4" s="12">
        <f>_xlfn.XLOOKUP(Portefeuille_MNT_PPS_Access26[[#This Row],[Numéro projet]],Tableau5[Numéro projet],Tableau5[IND_Site_Prioritaire])</f>
        <v>1.6666666666666667</v>
      </c>
      <c r="AD104" s="2">
        <f>_xlfn.XLOOKUP(Portefeuille_MNT_PPS_Access26[[#This Row],[Numéro projet]],Tableau5[Numéro projet],Tableau5[Critère Etat Infrastructure])</f>
        <v>5</v>
      </c>
      <c r="AE10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43.333333333333329</v>
      </c>
      <c r="AF104">
        <v>1</v>
      </c>
      <c r="AG104">
        <v>1</v>
      </c>
      <c r="AH104" t="s">
        <v>156</v>
      </c>
      <c r="AI104" s="2"/>
      <c r="AJ104" s="2"/>
      <c r="AN104"/>
      <c r="AO104">
        <v>50</v>
      </c>
      <c r="AQ104">
        <v>150</v>
      </c>
      <c r="AS104">
        <v>150</v>
      </c>
      <c r="AV104">
        <v>2000</v>
      </c>
      <c r="AX104"/>
      <c r="BK104" s="14">
        <f>SUM(Portefeuille_MNT_PPS_Access26[[#This Row],[AC ANT]:[TR 2035]])</f>
        <v>2350</v>
      </c>
    </row>
    <row r="105" spans="1:63" x14ac:dyDescent="0.3">
      <c r="A105" t="s">
        <v>286</v>
      </c>
      <c r="C105" t="s">
        <v>101</v>
      </c>
      <c r="D105" t="s">
        <v>102</v>
      </c>
      <c r="E105" t="s">
        <v>136</v>
      </c>
      <c r="F105" t="s">
        <v>144</v>
      </c>
      <c r="G105" t="s">
        <v>16</v>
      </c>
      <c r="H105" t="s">
        <v>20</v>
      </c>
      <c r="I105" t="s">
        <v>131</v>
      </c>
      <c r="J105">
        <v>154171403</v>
      </c>
      <c r="K105" t="s">
        <v>196</v>
      </c>
      <c r="L105" t="s">
        <v>180</v>
      </c>
      <c r="M105">
        <f>_xlfn.XLOOKUP(Portefeuille_MNT_PPS_Access26[[#This Row],[Numéro projet]], Portefeuille_MNT_PPS_Access20[Numéro projet], Portefeuille_MNT_PPS_Access20[Année DÉBUT Travaux prévu], "")</f>
        <v>2028</v>
      </c>
      <c r="N105">
        <v>2028</v>
      </c>
      <c r="O105">
        <f>Portefeuille_MNT_PPS_Access26[[#This Row],[Année DÉBUT Travaux proposée]]-Portefeuille_MNT_PPS_Access26[[#This Row],[Année DÉBUT Travaux prévu]]</f>
        <v>0</v>
      </c>
      <c r="P105" t="s">
        <v>110</v>
      </c>
      <c r="Q105" s="1">
        <v>44889</v>
      </c>
      <c r="R105" s="1">
        <v>46068</v>
      </c>
      <c r="S105" s="1">
        <v>46583</v>
      </c>
      <c r="T10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39</v>
      </c>
      <c r="X10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17</v>
      </c>
      <c r="Y105">
        <f>Portefeuille_MNT_PPS_Access26[[#This Row],[Délais PC1 et PC3]]+Portefeuille_MNT_PPS_Access26[[#This Row],[Délais PC3 et PC5]]</f>
        <v>56</v>
      </c>
      <c r="Z105">
        <v>1</v>
      </c>
      <c r="AA105">
        <v>1</v>
      </c>
      <c r="AB10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105" s="12">
        <f>_xlfn.XLOOKUP(Portefeuille_MNT_PPS_Access26[[#This Row],[Numéro projet]],Tableau5[Numéro projet],Tableau5[IND_Site_Prioritaire])</f>
        <v>2.6666666666666665</v>
      </c>
      <c r="AD105" s="2">
        <f>_xlfn.XLOOKUP(Portefeuille_MNT_PPS_Access26[[#This Row],[Numéro projet]],Tableau5[Numéro projet],Tableau5[Critère Etat Infrastructure])</f>
        <v>5</v>
      </c>
      <c r="AE10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58.333333333333336</v>
      </c>
      <c r="AF105">
        <v>1</v>
      </c>
      <c r="AG105">
        <v>5</v>
      </c>
      <c r="AH105" t="s">
        <v>112</v>
      </c>
      <c r="AI105" s="2"/>
      <c r="AJ105" s="2"/>
      <c r="AK105">
        <v>336.99999999999994</v>
      </c>
      <c r="AM105">
        <v>76</v>
      </c>
      <c r="AN105"/>
      <c r="AO105">
        <v>1657.9999999999998</v>
      </c>
      <c r="AQ105">
        <v>1529</v>
      </c>
      <c r="AS105">
        <v>1529</v>
      </c>
      <c r="AU105">
        <v>1325</v>
      </c>
      <c r="AV105">
        <v>7500</v>
      </c>
      <c r="AW105">
        <v>1200</v>
      </c>
      <c r="AX105">
        <v>9500</v>
      </c>
      <c r="AY105">
        <v>439</v>
      </c>
      <c r="AZ105">
        <v>18000</v>
      </c>
      <c r="BK105" s="14">
        <f>SUM(Portefeuille_MNT_PPS_Access26[[#This Row],[AC ANT]:[TR 2035]])</f>
        <v>43093</v>
      </c>
    </row>
    <row r="106" spans="1:63" x14ac:dyDescent="0.3">
      <c r="A106" t="s">
        <v>286</v>
      </c>
      <c r="C106" t="s">
        <v>118</v>
      </c>
      <c r="D106" t="s">
        <v>102</v>
      </c>
      <c r="E106" t="s">
        <v>103</v>
      </c>
      <c r="F106" t="s">
        <v>206</v>
      </c>
      <c r="G106" t="s">
        <v>16</v>
      </c>
      <c r="H106" t="s">
        <v>20</v>
      </c>
      <c r="I106" t="s">
        <v>131</v>
      </c>
      <c r="J106">
        <v>154180768</v>
      </c>
      <c r="K106" t="s">
        <v>211</v>
      </c>
      <c r="L106" t="s">
        <v>209</v>
      </c>
      <c r="M106">
        <f>_xlfn.XLOOKUP(Portefeuille_MNT_PPS_Access26[[#This Row],[Numéro projet]], Portefeuille_MNT_PPS_Access20[Numéro projet], Portefeuille_MNT_PPS_Access20[Année DÉBUT Travaux prévu], "")</f>
        <v>2028</v>
      </c>
      <c r="N106">
        <v>2028</v>
      </c>
      <c r="O106">
        <f>Portefeuille_MNT_PPS_Access26[[#This Row],[Année DÉBUT Travaux proposée]]-Portefeuille_MNT_PPS_Access26[[#This Row],[Année DÉBUT Travaux prévu]]</f>
        <v>0</v>
      </c>
      <c r="P106" t="s">
        <v>155</v>
      </c>
      <c r="Q106" s="1">
        <v>45976</v>
      </c>
      <c r="R106" s="1">
        <v>46341</v>
      </c>
      <c r="S106" s="1">
        <v>46645</v>
      </c>
      <c r="T10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0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10</v>
      </c>
      <c r="Y106">
        <f>Portefeuille_MNT_PPS_Access26[[#This Row],[Délais PC1 et PC3]]+Portefeuille_MNT_PPS_Access26[[#This Row],[Délais PC3 et PC5]]</f>
        <v>22</v>
      </c>
      <c r="Z106">
        <v>1</v>
      </c>
      <c r="AA106">
        <v>1</v>
      </c>
      <c r="AB10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6" s="12">
        <f>_xlfn.XLOOKUP(Portefeuille_MNT_PPS_Access26[[#This Row],[Numéro projet]],Tableau5[Numéro projet],Tableau5[IND_Site_Prioritaire])</f>
        <v>3</v>
      </c>
      <c r="AD106" s="2">
        <f>_xlfn.XLOOKUP(Portefeuille_MNT_PPS_Access26[[#This Row],[Numéro projet]],Tableau5[Numéro projet],Tableau5[Critère Etat Infrastructure])</f>
        <v>5</v>
      </c>
      <c r="AE10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49.999999999999993</v>
      </c>
      <c r="AF106">
        <v>1</v>
      </c>
      <c r="AG106">
        <v>1</v>
      </c>
      <c r="AH106" t="s">
        <v>156</v>
      </c>
      <c r="AI106" s="2"/>
      <c r="AJ106" s="2"/>
      <c r="AK106">
        <v>8</v>
      </c>
      <c r="AN106"/>
      <c r="AO106">
        <v>100</v>
      </c>
      <c r="AQ106">
        <v>100</v>
      </c>
      <c r="AS106">
        <v>100</v>
      </c>
      <c r="AU106">
        <v>250</v>
      </c>
      <c r="AV106">
        <v>7500</v>
      </c>
      <c r="AX106"/>
      <c r="BK106" s="14">
        <f>SUM(Portefeuille_MNT_PPS_Access26[[#This Row],[AC ANT]:[TR 2035]])</f>
        <v>8058</v>
      </c>
    </row>
    <row r="107" spans="1:63" x14ac:dyDescent="0.3">
      <c r="A107" t="s">
        <v>286</v>
      </c>
      <c r="C107" t="s">
        <v>118</v>
      </c>
      <c r="D107" t="s">
        <v>102</v>
      </c>
      <c r="E107" t="s">
        <v>242</v>
      </c>
      <c r="F107" t="s">
        <v>129</v>
      </c>
      <c r="G107" t="s">
        <v>16</v>
      </c>
      <c r="H107" t="s">
        <v>20</v>
      </c>
      <c r="I107" t="s">
        <v>131</v>
      </c>
      <c r="J107">
        <v>154180774</v>
      </c>
      <c r="K107" t="s">
        <v>386</v>
      </c>
      <c r="L107" t="s">
        <v>134</v>
      </c>
      <c r="M107">
        <f>_xlfn.XLOOKUP(Portefeuille_MNT_PPS_Access26[[#This Row],[Numéro projet]], Portefeuille_MNT_PPS_Access20[Numéro projet], Portefeuille_MNT_PPS_Access20[Année DÉBUT Travaux prévu], "")</f>
        <v>2028</v>
      </c>
      <c r="N107">
        <v>2028</v>
      </c>
      <c r="O107">
        <f>Portefeuille_MNT_PPS_Access26[[#This Row],[Année DÉBUT Travaux proposée]]-Portefeuille_MNT_PPS_Access26[[#This Row],[Année DÉBUT Travaux prévu]]</f>
        <v>0</v>
      </c>
      <c r="P107" t="s">
        <v>155</v>
      </c>
      <c r="Q107" s="1">
        <v>45897</v>
      </c>
      <c r="R107" s="1">
        <v>46235</v>
      </c>
      <c r="S107" s="1">
        <v>46600</v>
      </c>
      <c r="T10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0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0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07">
        <f>Portefeuille_MNT_PPS_Access26[[#This Row],[Délais PC1 et PC3]]+Portefeuille_MNT_PPS_Access26[[#This Row],[Délais PC3 et PC5]]</f>
        <v>24</v>
      </c>
      <c r="Z107">
        <v>1</v>
      </c>
      <c r="AA107">
        <v>1</v>
      </c>
      <c r="AB10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7" s="12">
        <f>_xlfn.XLOOKUP(Portefeuille_MNT_PPS_Access26[[#This Row],[Numéro projet]],Tableau5[Numéro projet],Tableau5[IND_Site_Prioritaire])</f>
        <v>2</v>
      </c>
      <c r="AD107" s="2">
        <f>_xlfn.XLOOKUP(Portefeuille_MNT_PPS_Access26[[#This Row],[Numéro projet]],Tableau5[Numéro projet],Tableau5[Critère Etat Infrastructure])</f>
        <v>5</v>
      </c>
      <c r="AE10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F107">
        <v>1</v>
      </c>
      <c r="AG107">
        <v>1</v>
      </c>
      <c r="AH107" t="s">
        <v>156</v>
      </c>
      <c r="AI107" s="2"/>
      <c r="AJ107" s="2"/>
      <c r="AN107"/>
      <c r="AO107">
        <v>20</v>
      </c>
      <c r="AQ107">
        <v>50</v>
      </c>
      <c r="AS107">
        <v>50</v>
      </c>
      <c r="AU107">
        <v>200</v>
      </c>
      <c r="AV107">
        <v>2000</v>
      </c>
      <c r="AX107"/>
      <c r="BK107" s="14">
        <f>SUM(Portefeuille_MNT_PPS_Access26[[#This Row],[AC ANT]:[TR 2035]])</f>
        <v>2320</v>
      </c>
    </row>
    <row r="108" spans="1:63" x14ac:dyDescent="0.3">
      <c r="A108" t="s">
        <v>286</v>
      </c>
      <c r="C108" t="s">
        <v>101</v>
      </c>
      <c r="D108" t="s">
        <v>102</v>
      </c>
      <c r="E108" t="s">
        <v>103</v>
      </c>
      <c r="F108" t="s">
        <v>129</v>
      </c>
      <c r="G108" t="s">
        <v>20</v>
      </c>
      <c r="H108" t="s">
        <v>20</v>
      </c>
      <c r="I108" t="s">
        <v>105</v>
      </c>
      <c r="J108">
        <v>154190687</v>
      </c>
      <c r="K108" t="s">
        <v>401</v>
      </c>
      <c r="L108" t="s">
        <v>402</v>
      </c>
      <c r="M108">
        <f>_xlfn.XLOOKUP(Portefeuille_MNT_PPS_Access26[[#This Row],[Numéro projet]], Portefeuille_MNT_PPS_Access20[Numéro projet], Portefeuille_MNT_PPS_Access20[Année DÉBUT Travaux prévu], "")</f>
        <v>2028</v>
      </c>
      <c r="N108">
        <v>2028</v>
      </c>
      <c r="O108">
        <f>Portefeuille_MNT_PPS_Access26[[#This Row],[Année DÉBUT Travaux proposée]]-Portefeuille_MNT_PPS_Access26[[#This Row],[Année DÉBUT Travaux prévu]]</f>
        <v>0</v>
      </c>
      <c r="P108" t="s">
        <v>155</v>
      </c>
      <c r="Q108" s="1">
        <v>45981</v>
      </c>
      <c r="R108" s="1">
        <v>46461</v>
      </c>
      <c r="S108" s="1">
        <v>46629</v>
      </c>
      <c r="T10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3.À risque</v>
      </c>
      <c r="V10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16</v>
      </c>
      <c r="X10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5</v>
      </c>
      <c r="Y108">
        <f>Portefeuille_MNT_PPS_Access26[[#This Row],[Délais PC1 et PC3]]+Portefeuille_MNT_PPS_Access26[[#This Row],[Délais PC3 et PC5]]</f>
        <v>21</v>
      </c>
      <c r="Z108">
        <v>1</v>
      </c>
      <c r="AA108">
        <v>1</v>
      </c>
      <c r="AB10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08" s="12">
        <f>_xlfn.XLOOKUP(Portefeuille_MNT_PPS_Access26[[#This Row],[Numéro projet]],Tableau5[Numéro projet],Tableau5[IND_Site_Prioritaire])</f>
        <v>2.6666666666666665</v>
      </c>
      <c r="AD108" s="2">
        <f>_xlfn.XLOOKUP(Portefeuille_MNT_PPS_Access26[[#This Row],[Numéro projet]],Tableau5[Numéro projet],Tableau5[Critère Etat Infrastructure])</f>
        <v>5</v>
      </c>
      <c r="AE10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48.333333333333336</v>
      </c>
      <c r="AF108">
        <v>1</v>
      </c>
      <c r="AG108">
        <v>1</v>
      </c>
      <c r="AH108" t="s">
        <v>156</v>
      </c>
      <c r="AI108" s="2"/>
      <c r="AJ108" s="2"/>
      <c r="AN108"/>
      <c r="AQ108">
        <v>200</v>
      </c>
      <c r="AS108">
        <v>200</v>
      </c>
      <c r="AU108">
        <v>800</v>
      </c>
      <c r="AV108">
        <v>16000</v>
      </c>
      <c r="AX108"/>
      <c r="BK108" s="14">
        <f>SUM(Portefeuille_MNT_PPS_Access26[[#This Row],[AC ANT]:[TR 2035]])</f>
        <v>17200</v>
      </c>
    </row>
    <row r="109" spans="1:63" x14ac:dyDescent="0.3">
      <c r="A109" t="s">
        <v>286</v>
      </c>
      <c r="C109" t="s">
        <v>101</v>
      </c>
      <c r="D109" t="s">
        <v>102</v>
      </c>
      <c r="E109" t="s">
        <v>128</v>
      </c>
      <c r="F109" t="s">
        <v>129</v>
      </c>
      <c r="G109" t="s">
        <v>16</v>
      </c>
      <c r="H109" t="s">
        <v>20</v>
      </c>
      <c r="I109" t="s">
        <v>131</v>
      </c>
      <c r="J109">
        <v>154240034</v>
      </c>
      <c r="K109" t="s">
        <v>251</v>
      </c>
      <c r="L109" t="s">
        <v>214</v>
      </c>
      <c r="M109">
        <f>_xlfn.XLOOKUP(Portefeuille_MNT_PPS_Access26[[#This Row],[Numéro projet]], Portefeuille_MNT_PPS_Access20[Numéro projet], Portefeuille_MNT_PPS_Access20[Année DÉBUT Travaux prévu], "")</f>
        <v>2028</v>
      </c>
      <c r="N109">
        <v>2028</v>
      </c>
      <c r="O109">
        <f>Portefeuille_MNT_PPS_Access26[[#This Row],[Année DÉBUT Travaux proposée]]-Portefeuille_MNT_PPS_Access26[[#This Row],[Année DÉBUT Travaux prévu]]</f>
        <v>0</v>
      </c>
      <c r="P109" t="s">
        <v>110</v>
      </c>
      <c r="Q109" s="1">
        <v>45490</v>
      </c>
      <c r="R109" s="1"/>
      <c r="S109" s="1">
        <v>46447</v>
      </c>
      <c r="T10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0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0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0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-1494</v>
      </c>
      <c r="X10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1526</v>
      </c>
      <c r="Y109">
        <f>Portefeuille_MNT_PPS_Access26[[#This Row],[Délais PC1 et PC3]]+Portefeuille_MNT_PPS_Access26[[#This Row],[Délais PC3 et PC5]]</f>
        <v>32</v>
      </c>
      <c r="Z109">
        <v>1</v>
      </c>
      <c r="AA109">
        <v>1</v>
      </c>
      <c r="AB10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109" s="12">
        <f>_xlfn.XLOOKUP(Portefeuille_MNT_PPS_Access26[[#This Row],[Numéro projet]],Tableau5[Numéro projet],Tableau5[IND_Site_Prioritaire])</f>
        <v>3</v>
      </c>
      <c r="AD109" s="2">
        <f>_xlfn.XLOOKUP(Portefeuille_MNT_PPS_Access26[[#This Row],[Numéro projet]],Tableau5[Numéro projet],Tableau5[Critère Etat Infrastructure])</f>
        <v>0</v>
      </c>
      <c r="AE10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35</v>
      </c>
      <c r="AG109">
        <v>5</v>
      </c>
      <c r="AH109" t="s">
        <v>112</v>
      </c>
      <c r="AI109" s="2"/>
      <c r="AJ109" s="2"/>
      <c r="AN109"/>
      <c r="AO109">
        <v>37</v>
      </c>
      <c r="AQ109">
        <v>10</v>
      </c>
      <c r="AS109">
        <v>12</v>
      </c>
      <c r="AU109">
        <v>30</v>
      </c>
      <c r="AV109">
        <v>194</v>
      </c>
      <c r="AX109"/>
      <c r="BK109" s="14">
        <f>SUM(Portefeuille_MNT_PPS_Access26[[#This Row],[AC ANT]:[TR 2035]])</f>
        <v>283</v>
      </c>
    </row>
    <row r="110" spans="1:63" x14ac:dyDescent="0.3">
      <c r="A110" t="s">
        <v>286</v>
      </c>
      <c r="C110" t="s">
        <v>118</v>
      </c>
      <c r="D110" t="s">
        <v>102</v>
      </c>
      <c r="E110" t="s">
        <v>136</v>
      </c>
      <c r="F110" t="s">
        <v>104</v>
      </c>
      <c r="G110" t="s">
        <v>16</v>
      </c>
      <c r="H110" t="s">
        <v>20</v>
      </c>
      <c r="I110" t="s">
        <v>105</v>
      </c>
      <c r="J110">
        <v>154240756</v>
      </c>
      <c r="K110" t="s">
        <v>517</v>
      </c>
      <c r="L110" t="s">
        <v>302</v>
      </c>
      <c r="M110" s="103">
        <f>_xlfn.XLOOKUP(Portefeuille_MNT_PPS_Access26[[#This Row],[Numéro projet]], Portefeuille_MNT_PPS_Access20[Numéro projet], Portefeuille_MNT_PPS_Access20[Année DÉBUT Travaux prévu], "")</f>
        <v>2027</v>
      </c>
      <c r="N110" s="103">
        <v>2026</v>
      </c>
      <c r="O110" s="103">
        <f>Portefeuille_MNT_PPS_Access26[[#This Row],[Année DÉBUT Travaux proposée]]-Portefeuille_MNT_PPS_Access26[[#This Row],[Année DÉBUT Travaux prévu]]</f>
        <v>-1</v>
      </c>
      <c r="P110" t="s">
        <v>155</v>
      </c>
      <c r="Q110" s="1">
        <v>45915</v>
      </c>
      <c r="R110" s="1"/>
      <c r="S110" s="1"/>
      <c r="T11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1.Très à risque</v>
      </c>
      <c r="U11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1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1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-1508</v>
      </c>
      <c r="X11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10">
        <f>Portefeuille_MNT_PPS_Access26[[#This Row],[Délais PC1 et PC3]]+Portefeuille_MNT_PPS_Access26[[#This Row],[Délais PC3 et PC5]]</f>
        <v>-1508</v>
      </c>
      <c r="Z110">
        <v>1</v>
      </c>
      <c r="AB11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0" s="12" t="e">
        <f>_xlfn.XLOOKUP(Portefeuille_MNT_PPS_Access26[[#This Row],[Numéro projet]],Tableau5[Numéro projet],Tableau5[IND_Site_Prioritaire])</f>
        <v>#N/A</v>
      </c>
      <c r="AD110" s="2" t="e">
        <f>_xlfn.XLOOKUP(Portefeuille_MNT_PPS_Access26[[#This Row],[Numéro projet]],Tableau5[Numéro projet],Tableau5[Critère Etat Infrastructure])</f>
        <v>#N/A</v>
      </c>
      <c r="AE110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G110">
        <v>1</v>
      </c>
      <c r="AH110" t="s">
        <v>156</v>
      </c>
      <c r="AI110" s="2"/>
      <c r="AJ110" s="2"/>
      <c r="AN110"/>
      <c r="AO110">
        <v>25</v>
      </c>
      <c r="AQ110">
        <v>25</v>
      </c>
      <c r="AR110">
        <v>250</v>
      </c>
      <c r="AX110"/>
      <c r="BK110" s="14">
        <f>SUM(Portefeuille_MNT_PPS_Access26[[#This Row],[AC ANT]:[TR 2035]])</f>
        <v>300</v>
      </c>
    </row>
    <row r="111" spans="1:63" x14ac:dyDescent="0.3">
      <c r="A111" t="s">
        <v>286</v>
      </c>
      <c r="C111" t="s">
        <v>118</v>
      </c>
      <c r="D111" t="s">
        <v>102</v>
      </c>
      <c r="E111" t="s">
        <v>177</v>
      </c>
      <c r="F111" t="s">
        <v>113</v>
      </c>
      <c r="G111" t="s">
        <v>20</v>
      </c>
      <c r="H111" t="s">
        <v>20</v>
      </c>
      <c r="I111" t="s">
        <v>131</v>
      </c>
      <c r="J111">
        <v>154240709</v>
      </c>
      <c r="K111" t="s">
        <v>512</v>
      </c>
      <c r="L111" t="s">
        <v>187</v>
      </c>
      <c r="M111" s="103">
        <f>_xlfn.XLOOKUP(Portefeuille_MNT_PPS_Access26[[#This Row],[Numéro projet]], Portefeuille_MNT_PPS_Access20[Numéro projet], Portefeuille_MNT_PPS_Access20[Année DÉBUT Travaux prévu], "")</f>
        <v>2028</v>
      </c>
      <c r="N111" s="103">
        <v>2029</v>
      </c>
      <c r="O111" s="103">
        <f>Portefeuille_MNT_PPS_Access26[[#This Row],[Année DÉBUT Travaux proposée]]-Portefeuille_MNT_PPS_Access26[[#This Row],[Année DÉBUT Travaux prévu]]</f>
        <v>1</v>
      </c>
      <c r="P111" t="s">
        <v>155</v>
      </c>
      <c r="Q111" s="1">
        <v>46006</v>
      </c>
      <c r="R111" s="1">
        <v>46341</v>
      </c>
      <c r="S111" s="1">
        <v>46706</v>
      </c>
      <c r="T11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1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1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1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11</v>
      </c>
      <c r="X11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11">
        <f>Portefeuille_MNT_PPS_Access26[[#This Row],[Délais PC1 et PC3]]+Portefeuille_MNT_PPS_Access26[[#This Row],[Délais PC3 et PC5]]</f>
        <v>23</v>
      </c>
      <c r="Z111">
        <v>1</v>
      </c>
      <c r="AA111">
        <v>1</v>
      </c>
      <c r="AB11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1" s="12" t="e">
        <f>_xlfn.XLOOKUP(Portefeuille_MNT_PPS_Access26[[#This Row],[Numéro projet]],Tableau5[Numéro projet],Tableau5[IND_Site_Prioritaire])</f>
        <v>#N/A</v>
      </c>
      <c r="AD111" s="2" t="e">
        <f>_xlfn.XLOOKUP(Portefeuille_MNT_PPS_Access26[[#This Row],[Numéro projet]],Tableau5[Numéro projet],Tableau5[Critère Etat Infrastructure])</f>
        <v>#N/A</v>
      </c>
      <c r="AE111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F111">
        <v>1</v>
      </c>
      <c r="AG111">
        <v>1</v>
      </c>
      <c r="AH111" t="s">
        <v>156</v>
      </c>
      <c r="AI111" s="2"/>
      <c r="AJ111" s="2"/>
      <c r="AN111"/>
      <c r="AS111">
        <v>75</v>
      </c>
      <c r="AU111">
        <v>75</v>
      </c>
      <c r="AW111">
        <v>150</v>
      </c>
      <c r="AX111">
        <v>1000</v>
      </c>
      <c r="BK111" s="14">
        <f>SUM(Portefeuille_MNT_PPS_Access26[[#This Row],[AC ANT]:[TR 2035]])</f>
        <v>1300</v>
      </c>
    </row>
    <row r="112" spans="1:63" x14ac:dyDescent="0.3">
      <c r="A112" t="s">
        <v>286</v>
      </c>
      <c r="C112" t="s">
        <v>118</v>
      </c>
      <c r="D112" t="s">
        <v>102</v>
      </c>
      <c r="E112" t="s">
        <v>242</v>
      </c>
      <c r="F112" t="s">
        <v>129</v>
      </c>
      <c r="G112" t="s">
        <v>20</v>
      </c>
      <c r="H112" t="s">
        <v>20</v>
      </c>
      <c r="I112" t="s">
        <v>131</v>
      </c>
      <c r="J112">
        <v>154210545</v>
      </c>
      <c r="K112" t="s">
        <v>410</v>
      </c>
      <c r="L112" t="s">
        <v>411</v>
      </c>
      <c r="M112">
        <f>_xlfn.XLOOKUP(Portefeuille_MNT_PPS_Access26[[#This Row],[Numéro projet]], Portefeuille_MNT_PPS_Access20[Numéro projet], Portefeuille_MNT_PPS_Access20[Année DÉBUT Travaux prévu], "")</f>
        <v>2029</v>
      </c>
      <c r="N112" s="2">
        <v>2029</v>
      </c>
      <c r="O112" s="2">
        <f>Portefeuille_MNT_PPS_Access26[[#This Row],[Année DÉBUT Travaux proposée]]-Portefeuille_MNT_PPS_Access26[[#This Row],[Année DÉBUT Travaux prévu]]</f>
        <v>0</v>
      </c>
      <c r="P112" t="s">
        <v>155</v>
      </c>
      <c r="Q112" s="1">
        <v>46143</v>
      </c>
      <c r="R112" s="1">
        <v>46508</v>
      </c>
      <c r="S112" s="1">
        <v>46874</v>
      </c>
      <c r="T11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1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1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1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1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12">
        <f>Portefeuille_MNT_PPS_Access26[[#This Row],[Délais PC1 et PC3]]+Portefeuille_MNT_PPS_Access26[[#This Row],[Délais PC3 et PC5]]</f>
        <v>24</v>
      </c>
      <c r="Z112">
        <v>1</v>
      </c>
      <c r="AA112">
        <v>1</v>
      </c>
      <c r="AB11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2" s="12">
        <f>_xlfn.XLOOKUP(Portefeuille_MNT_PPS_Access26[[#This Row],[Numéro projet]],Tableau5[Numéro projet],Tableau5[IND_Site_Prioritaire])</f>
        <v>1.3333333333333333</v>
      </c>
      <c r="AD112" s="2">
        <f>_xlfn.XLOOKUP(Portefeuille_MNT_PPS_Access26[[#This Row],[Numéro projet]],Tableau5[Numéro projet],Tableau5[Critère Etat Infrastructure])</f>
        <v>4</v>
      </c>
      <c r="AE11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36.666666666666664</v>
      </c>
      <c r="AF112">
        <v>1</v>
      </c>
      <c r="AG112">
        <v>1</v>
      </c>
      <c r="AH112" t="s">
        <v>156</v>
      </c>
      <c r="AI112" s="2"/>
      <c r="AJ112" s="2"/>
      <c r="AN112"/>
      <c r="AS112">
        <v>150</v>
      </c>
      <c r="AU112">
        <v>150</v>
      </c>
      <c r="AW112">
        <v>250</v>
      </c>
      <c r="AX112">
        <v>2000</v>
      </c>
      <c r="BK112" s="14">
        <f>SUM(Portefeuille_MNT_PPS_Access26[[#This Row],[AC ANT]:[TR 2035]])</f>
        <v>2550</v>
      </c>
    </row>
    <row r="113" spans="1:63" x14ac:dyDescent="0.3">
      <c r="A113" t="s">
        <v>286</v>
      </c>
      <c r="C113" t="s">
        <v>101</v>
      </c>
      <c r="D113" t="s">
        <v>102</v>
      </c>
      <c r="E113" t="s">
        <v>136</v>
      </c>
      <c r="F113" t="s">
        <v>206</v>
      </c>
      <c r="G113" t="s">
        <v>130</v>
      </c>
      <c r="H113" t="s">
        <v>20</v>
      </c>
      <c r="I113" t="s">
        <v>131</v>
      </c>
      <c r="J113">
        <v>154171404</v>
      </c>
      <c r="K113" t="s">
        <v>376</v>
      </c>
      <c r="L113" t="s">
        <v>209</v>
      </c>
      <c r="M113" s="103">
        <f>_xlfn.XLOOKUP(Portefeuille_MNT_PPS_Access26[[#This Row],[Numéro projet]], Portefeuille_MNT_PPS_Access20[Numéro projet], Portefeuille_MNT_PPS_Access20[Année DÉBUT Travaux prévu], "")</f>
        <v>2028</v>
      </c>
      <c r="N113" s="103">
        <v>2029</v>
      </c>
      <c r="O113" s="103">
        <f>Portefeuille_MNT_PPS_Access26[[#This Row],[Année DÉBUT Travaux proposée]]-Portefeuille_MNT_PPS_Access26[[#This Row],[Année DÉBUT Travaux prévu]]</f>
        <v>1</v>
      </c>
      <c r="P113" t="s">
        <v>155</v>
      </c>
      <c r="Q113" s="1">
        <v>46068</v>
      </c>
      <c r="R113" s="1">
        <v>46540</v>
      </c>
      <c r="S113" s="1">
        <v>46899</v>
      </c>
      <c r="T11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1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1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1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16</v>
      </c>
      <c r="X11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11</v>
      </c>
      <c r="Y113">
        <f>Portefeuille_MNT_PPS_Access26[[#This Row],[Délais PC1 et PC3]]+Portefeuille_MNT_PPS_Access26[[#This Row],[Délais PC3 et PC5]]</f>
        <v>27</v>
      </c>
      <c r="Z113">
        <v>1</v>
      </c>
      <c r="AA113">
        <v>1</v>
      </c>
      <c r="AB11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3" s="12">
        <f>_xlfn.XLOOKUP(Portefeuille_MNT_PPS_Access26[[#This Row],[Numéro projet]],Tableau5[Numéro projet],Tableau5[IND_Site_Prioritaire])</f>
        <v>3</v>
      </c>
      <c r="AD113" s="2">
        <f>_xlfn.XLOOKUP(Portefeuille_MNT_PPS_Access26[[#This Row],[Numéro projet]],Tableau5[Numéro projet],Tableau5[Critère Etat Infrastructure])</f>
        <v>4</v>
      </c>
      <c r="AE11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F113">
        <v>1</v>
      </c>
      <c r="AG113">
        <v>1</v>
      </c>
      <c r="AH113" t="s">
        <v>156</v>
      </c>
      <c r="AI113" s="2"/>
      <c r="AJ113" s="2"/>
      <c r="AN113"/>
      <c r="AQ113">
        <v>100</v>
      </c>
      <c r="AS113">
        <v>250</v>
      </c>
      <c r="AU113">
        <v>350</v>
      </c>
      <c r="AW113">
        <v>500</v>
      </c>
      <c r="AX113">
        <v>5500</v>
      </c>
      <c r="AY113">
        <v>500</v>
      </c>
      <c r="AZ113">
        <v>6000</v>
      </c>
      <c r="BA113">
        <v>500</v>
      </c>
      <c r="BB113">
        <v>6000</v>
      </c>
      <c r="BK113" s="14">
        <f>SUM(Portefeuille_MNT_PPS_Access26[[#This Row],[AC ANT]:[TR 2035]])</f>
        <v>19700</v>
      </c>
    </row>
    <row r="114" spans="1:63" x14ac:dyDescent="0.3">
      <c r="A114" t="s">
        <v>286</v>
      </c>
      <c r="C114" t="s">
        <v>101</v>
      </c>
      <c r="D114" t="s">
        <v>102</v>
      </c>
      <c r="E114" t="s">
        <v>136</v>
      </c>
      <c r="F114" t="s">
        <v>113</v>
      </c>
      <c r="G114" t="s">
        <v>16</v>
      </c>
      <c r="H114" t="s">
        <v>20</v>
      </c>
      <c r="I114" t="s">
        <v>105</v>
      </c>
      <c r="J114">
        <v>154061997</v>
      </c>
      <c r="K114" t="s">
        <v>167</v>
      </c>
      <c r="L114" t="s">
        <v>168</v>
      </c>
      <c r="M114">
        <f>_xlfn.XLOOKUP(Portefeuille_MNT_PPS_Access26[[#This Row],[Numéro projet]], Portefeuille_MNT_PPS_Access20[Numéro projet], Portefeuille_MNT_PPS_Access20[Année DÉBUT Travaux prévu], "")</f>
        <v>2029</v>
      </c>
      <c r="N114">
        <v>2029</v>
      </c>
      <c r="O114">
        <f>Portefeuille_MNT_PPS_Access26[[#This Row],[Année DÉBUT Travaux proposée]]-Portefeuille_MNT_PPS_Access26[[#This Row],[Année DÉBUT Travaux prévu]]</f>
        <v>0</v>
      </c>
      <c r="P114" t="s">
        <v>155</v>
      </c>
      <c r="Q114" s="1">
        <v>45976</v>
      </c>
      <c r="R114" s="1">
        <v>46402</v>
      </c>
      <c r="S114" s="1">
        <v>46980</v>
      </c>
      <c r="T11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1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1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1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</v>
      </c>
      <c r="X11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19</v>
      </c>
      <c r="Y114">
        <f>Portefeuille_MNT_PPS_Access26[[#This Row],[Délais PC1 et PC3]]+Portefeuille_MNT_PPS_Access26[[#This Row],[Délais PC3 et PC5]]</f>
        <v>33</v>
      </c>
      <c r="Z114">
        <v>1</v>
      </c>
      <c r="AA114">
        <v>1</v>
      </c>
      <c r="AB11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4" s="12">
        <f>_xlfn.XLOOKUP(Portefeuille_MNT_PPS_Access26[[#This Row],[Numéro projet]],Tableau5[Numéro projet],Tableau5[IND_Site_Prioritaire])</f>
        <v>3.3333333333333335</v>
      </c>
      <c r="AD114" s="2">
        <f>_xlfn.XLOOKUP(Portefeuille_MNT_PPS_Access26[[#This Row],[Numéro projet]],Tableau5[Numéro projet],Tableau5[Critère Etat Infrastructure])</f>
        <v>5</v>
      </c>
      <c r="AE11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51.666666666666671</v>
      </c>
      <c r="AF114">
        <v>1</v>
      </c>
      <c r="AG114">
        <v>1</v>
      </c>
      <c r="AH114" t="s">
        <v>156</v>
      </c>
      <c r="AI114" s="2"/>
      <c r="AJ114" s="2"/>
      <c r="AK114">
        <v>71</v>
      </c>
      <c r="AN114"/>
      <c r="AO114">
        <v>120</v>
      </c>
      <c r="AQ114">
        <v>210</v>
      </c>
      <c r="AS114">
        <v>310</v>
      </c>
      <c r="AU114">
        <v>310</v>
      </c>
      <c r="AW114">
        <v>395</v>
      </c>
      <c r="AX114">
        <v>2000</v>
      </c>
      <c r="AY114">
        <v>395</v>
      </c>
      <c r="AZ114">
        <v>2000</v>
      </c>
      <c r="BA114">
        <v>400</v>
      </c>
      <c r="BB114">
        <v>18319</v>
      </c>
      <c r="BK114" s="14">
        <f>SUM(Portefeuille_MNT_PPS_Access26[[#This Row],[AC ANT]:[TR 2035]])</f>
        <v>24530</v>
      </c>
    </row>
    <row r="115" spans="1:63" x14ac:dyDescent="0.3">
      <c r="A115" t="s">
        <v>286</v>
      </c>
      <c r="C115" t="s">
        <v>118</v>
      </c>
      <c r="D115" t="s">
        <v>102</v>
      </c>
      <c r="E115" t="s">
        <v>103</v>
      </c>
      <c r="F115" t="s">
        <v>149</v>
      </c>
      <c r="G115" t="s">
        <v>20</v>
      </c>
      <c r="H115" t="s">
        <v>20</v>
      </c>
      <c r="I115" t="s">
        <v>131</v>
      </c>
      <c r="J115">
        <v>154220351</v>
      </c>
      <c r="K115" t="s">
        <v>397</v>
      </c>
      <c r="L115" t="s">
        <v>194</v>
      </c>
      <c r="M115" s="103">
        <f>_xlfn.XLOOKUP(Portefeuille_MNT_PPS_Access26[[#This Row],[Numéro projet]], Portefeuille_MNT_PPS_Access20[Numéro projet], Portefeuille_MNT_PPS_Access20[Année DÉBUT Travaux prévu], "")</f>
        <v>2028</v>
      </c>
      <c r="N115" s="103">
        <v>2029</v>
      </c>
      <c r="O115" s="103">
        <f>Portefeuille_MNT_PPS_Access26[[#This Row],[Année DÉBUT Travaux proposée]]-Portefeuille_MNT_PPS_Access26[[#This Row],[Année DÉBUT Travaux prévu]]</f>
        <v>1</v>
      </c>
      <c r="P115" t="s">
        <v>155</v>
      </c>
      <c r="Q115" s="1">
        <v>46280</v>
      </c>
      <c r="R115" s="1">
        <v>46645</v>
      </c>
      <c r="S115" s="1">
        <v>47011</v>
      </c>
      <c r="T11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1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1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1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1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15">
        <f>Portefeuille_MNT_PPS_Access26[[#This Row],[Délais PC1 et PC3]]+Portefeuille_MNT_PPS_Access26[[#This Row],[Délais PC3 et PC5]]</f>
        <v>24</v>
      </c>
      <c r="Z115">
        <v>1</v>
      </c>
      <c r="AA115">
        <v>1</v>
      </c>
      <c r="AB11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15" s="12">
        <f>_xlfn.XLOOKUP(Portefeuille_MNT_PPS_Access26[[#This Row],[Numéro projet]],Tableau5[Numéro projet],Tableau5[IND_Site_Prioritaire])</f>
        <v>3.3333333333333335</v>
      </c>
      <c r="AD115" s="2">
        <f>_xlfn.XLOOKUP(Portefeuille_MNT_PPS_Access26[[#This Row],[Numéro projet]],Tableau5[Numéro projet],Tableau5[Critère Etat Infrastructure])</f>
        <v>4</v>
      </c>
      <c r="AE11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F115">
        <v>1</v>
      </c>
      <c r="AG115">
        <v>1</v>
      </c>
      <c r="AH115" t="s">
        <v>156</v>
      </c>
      <c r="AI115" s="2"/>
      <c r="AJ115" s="2"/>
      <c r="AN115"/>
      <c r="AQ115">
        <v>75</v>
      </c>
      <c r="AS115">
        <v>75</v>
      </c>
      <c r="AU115">
        <v>250</v>
      </c>
      <c r="AW115">
        <v>600</v>
      </c>
      <c r="AX115">
        <v>10500</v>
      </c>
      <c r="BK115" s="14">
        <f>SUM(Portefeuille_MNT_PPS_Access26[[#This Row],[AC ANT]:[TR 2035]])</f>
        <v>11500</v>
      </c>
    </row>
    <row r="116" spans="1:63" x14ac:dyDescent="0.3">
      <c r="A116" t="s">
        <v>286</v>
      </c>
      <c r="C116" t="s">
        <v>101</v>
      </c>
      <c r="D116" t="s">
        <v>102</v>
      </c>
      <c r="E116" t="s">
        <v>200</v>
      </c>
      <c r="F116" t="s">
        <v>113</v>
      </c>
      <c r="G116" t="s">
        <v>20</v>
      </c>
      <c r="H116" t="s">
        <v>20</v>
      </c>
      <c r="I116" t="s">
        <v>131</v>
      </c>
      <c r="J116">
        <v>154230556</v>
      </c>
      <c r="K116" t="s">
        <v>437</v>
      </c>
      <c r="L116" t="s">
        <v>139</v>
      </c>
      <c r="M116">
        <f>_xlfn.XLOOKUP(Portefeuille_MNT_PPS_Access26[[#This Row],[Numéro projet]], Portefeuille_MNT_PPS_Access20[Numéro projet], Portefeuille_MNT_PPS_Access20[Année DÉBUT Travaux prévu], "")</f>
        <v>2029</v>
      </c>
      <c r="N116">
        <v>2029</v>
      </c>
      <c r="O116">
        <f>Portefeuille_MNT_PPS_Access26[[#This Row],[Année DÉBUT Travaux proposée]]-Portefeuille_MNT_PPS_Access26[[#This Row],[Année DÉBUT Travaux prévu]]</f>
        <v>0</v>
      </c>
      <c r="P116" t="s">
        <v>291</v>
      </c>
      <c r="Q116" s="1"/>
      <c r="R116" s="1"/>
      <c r="S116" s="1"/>
      <c r="T11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1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1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1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1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16">
        <f>Portefeuille_MNT_PPS_Access26[[#This Row],[Délais PC1 et PC3]]+Portefeuille_MNT_PPS_Access26[[#This Row],[Délais PC3 et PC5]]</f>
        <v>0</v>
      </c>
      <c r="Z116">
        <v>1</v>
      </c>
      <c r="AB11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16" s="12">
        <f>_xlfn.XLOOKUP(Portefeuille_MNT_PPS_Access26[[#This Row],[Numéro projet]],Tableau5[Numéro projet],Tableau5[IND_Site_Prioritaire])</f>
        <v>2.3333333333333335</v>
      </c>
      <c r="AD116" s="2">
        <f>_xlfn.XLOOKUP(Portefeuille_MNT_PPS_Access26[[#This Row],[Numéro projet]],Tableau5[Numéro projet],Tableau5[Critère Etat Infrastructure])</f>
        <v>5</v>
      </c>
      <c r="AE11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41.666666666666671</v>
      </c>
      <c r="AH116" t="s">
        <v>311</v>
      </c>
      <c r="AI116" s="2"/>
      <c r="AJ116" s="2"/>
      <c r="AN116"/>
      <c r="AQ116">
        <v>50</v>
      </c>
      <c r="AS116">
        <v>50</v>
      </c>
      <c r="AU116">
        <v>150</v>
      </c>
      <c r="AW116">
        <v>300</v>
      </c>
      <c r="AX116">
        <v>3000</v>
      </c>
      <c r="BK116" s="14">
        <f>SUM(Portefeuille_MNT_PPS_Access26[[#This Row],[AC ANT]:[TR 2035]])</f>
        <v>3550</v>
      </c>
    </row>
    <row r="117" spans="1:63" x14ac:dyDescent="0.3">
      <c r="A117" t="s">
        <v>286</v>
      </c>
      <c r="C117" t="s">
        <v>101</v>
      </c>
      <c r="D117" t="s">
        <v>102</v>
      </c>
      <c r="E117" t="s">
        <v>103</v>
      </c>
      <c r="F117" t="s">
        <v>104</v>
      </c>
      <c r="G117" t="s">
        <v>20</v>
      </c>
      <c r="H117" t="s">
        <v>20</v>
      </c>
      <c r="I117" t="s">
        <v>105</v>
      </c>
      <c r="J117">
        <v>154190685</v>
      </c>
      <c r="K117" t="s">
        <v>541</v>
      </c>
      <c r="L117" t="s">
        <v>172</v>
      </c>
      <c r="M117">
        <f>_xlfn.XLOOKUP(Portefeuille_MNT_PPS_Access26[[#This Row],[Numéro projet]], Portefeuille_MNT_PPS_Access20[Numéro projet], Portefeuille_MNT_PPS_Access20[Année DÉBUT Travaux prévu], "")</f>
        <v>2029</v>
      </c>
      <c r="N117">
        <v>2029</v>
      </c>
      <c r="O117">
        <f>Portefeuille_MNT_PPS_Access26[[#This Row],[Année DÉBUT Travaux proposée]]-Portefeuille_MNT_PPS_Access26[[#This Row],[Année DÉBUT Travaux prévu]]</f>
        <v>0</v>
      </c>
      <c r="P117" t="s">
        <v>291</v>
      </c>
      <c r="Q117" s="1"/>
      <c r="R117" s="1"/>
      <c r="S117" s="1"/>
      <c r="T11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1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1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1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1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17">
        <f>Portefeuille_MNT_PPS_Access26[[#This Row],[Délais PC1 et PC3]]+Portefeuille_MNT_PPS_Access26[[#This Row],[Délais PC3 et PC5]]</f>
        <v>0</v>
      </c>
      <c r="Z117">
        <v>1</v>
      </c>
      <c r="AB11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17" s="12">
        <f>_xlfn.XLOOKUP(Portefeuille_MNT_PPS_Access26[[#This Row],[Numéro projet]],Tableau5[Numéro projet],Tableau5[IND_Site_Prioritaire])</f>
        <v>3.6666666666666665</v>
      </c>
      <c r="AD117" s="2">
        <f>_xlfn.XLOOKUP(Portefeuille_MNT_PPS_Access26[[#This Row],[Numéro projet]],Tableau5[Numéro projet],Tableau5[Critère Etat Infrastructure])</f>
        <v>3</v>
      </c>
      <c r="AE11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38.333333333333329</v>
      </c>
      <c r="AH117" t="s">
        <v>311</v>
      </c>
      <c r="AI117" s="2"/>
      <c r="AJ117" s="2"/>
      <c r="AN117"/>
      <c r="AS117">
        <v>100</v>
      </c>
      <c r="AU117">
        <v>100</v>
      </c>
      <c r="AW117">
        <v>700</v>
      </c>
      <c r="AX117">
        <v>15000</v>
      </c>
      <c r="BK117" s="14">
        <f>SUM(Portefeuille_MNT_PPS_Access26[[#This Row],[AC ANT]:[TR 2035]])</f>
        <v>15900</v>
      </c>
    </row>
    <row r="118" spans="1:63" x14ac:dyDescent="0.3">
      <c r="A118" t="s">
        <v>286</v>
      </c>
      <c r="C118" t="s">
        <v>118</v>
      </c>
      <c r="D118" t="s">
        <v>102</v>
      </c>
      <c r="E118" t="s">
        <v>177</v>
      </c>
      <c r="G118" t="s">
        <v>20</v>
      </c>
      <c r="H118" t="s">
        <v>20</v>
      </c>
      <c r="I118" t="s">
        <v>131</v>
      </c>
      <c r="J118">
        <v>154230555</v>
      </c>
      <c r="K118" t="s">
        <v>639</v>
      </c>
      <c r="L118" t="s">
        <v>147</v>
      </c>
      <c r="M118">
        <f>_xlfn.XLOOKUP(Portefeuille_MNT_PPS_Access26[[#This Row],[Numéro projet]], Portefeuille_MNT_PPS_Access20[Numéro projet], Portefeuille_MNT_PPS_Access20[Année DÉBUT Travaux prévu], "")</f>
        <v>2029</v>
      </c>
      <c r="N118">
        <v>2029</v>
      </c>
      <c r="O118">
        <f>Portefeuille_MNT_PPS_Access26[[#This Row],[Année DÉBUT Travaux proposée]]-Portefeuille_MNT_PPS_Access26[[#This Row],[Année DÉBUT Travaux prévu]]</f>
        <v>0</v>
      </c>
      <c r="P118" t="s">
        <v>291</v>
      </c>
      <c r="Q118" s="1"/>
      <c r="R118" s="1"/>
      <c r="S118" s="1"/>
      <c r="T11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1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1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1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1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18">
        <f>Portefeuille_MNT_PPS_Access26[[#This Row],[Délais PC1 et PC3]]+Portefeuille_MNT_PPS_Access26[[#This Row],[Délais PC3 et PC5]]</f>
        <v>0</v>
      </c>
      <c r="Z118">
        <v>1</v>
      </c>
      <c r="AB11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18" s="12">
        <f>_xlfn.XLOOKUP(Portefeuille_MNT_PPS_Access26[[#This Row],[Numéro projet]],Tableau5[Numéro projet],Tableau5[IND_Site_Prioritaire])</f>
        <v>3</v>
      </c>
      <c r="AD118" s="2">
        <f>_xlfn.XLOOKUP(Portefeuille_MNT_PPS_Access26[[#This Row],[Numéro projet]],Tableau5[Numéro projet],Tableau5[Critère Etat Infrastructure])</f>
        <v>0</v>
      </c>
      <c r="AE11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20</v>
      </c>
      <c r="AH118" t="s">
        <v>311</v>
      </c>
      <c r="AI118" s="2"/>
      <c r="AJ118" s="2"/>
      <c r="AN118"/>
      <c r="AU118">
        <v>50</v>
      </c>
      <c r="AW118">
        <v>100</v>
      </c>
      <c r="AX118">
        <v>1000</v>
      </c>
      <c r="BK118" s="14">
        <f>SUM(Portefeuille_MNT_PPS_Access26[[#This Row],[AC ANT]:[TR 2035]])</f>
        <v>1150</v>
      </c>
    </row>
    <row r="119" spans="1:63" x14ac:dyDescent="0.3">
      <c r="A119" t="s">
        <v>286</v>
      </c>
      <c r="C119" t="s">
        <v>101</v>
      </c>
      <c r="D119" t="s">
        <v>102</v>
      </c>
      <c r="E119" t="s">
        <v>389</v>
      </c>
      <c r="G119" t="s">
        <v>20</v>
      </c>
      <c r="H119" t="s">
        <v>20</v>
      </c>
      <c r="I119" t="s">
        <v>105</v>
      </c>
      <c r="J119">
        <v>154220359</v>
      </c>
      <c r="K119" t="s">
        <v>429</v>
      </c>
      <c r="L119" t="s">
        <v>302</v>
      </c>
      <c r="M119" s="103">
        <f>_xlfn.XLOOKUP(Portefeuille_MNT_PPS_Access26[[#This Row],[Numéro projet]], Portefeuille_MNT_PPS_Access20[Numéro projet], Portefeuille_MNT_PPS_Access20[Année DÉBUT Travaux prévu], "")</f>
        <v>2032</v>
      </c>
      <c r="N119" s="103">
        <v>2033</v>
      </c>
      <c r="O119" s="103">
        <f>Portefeuille_MNT_PPS_Access26[[#This Row],[Année DÉBUT Travaux proposée]]-Portefeuille_MNT_PPS_Access26[[#This Row],[Année DÉBUT Travaux prévu]]</f>
        <v>1</v>
      </c>
      <c r="P119" t="s">
        <v>291</v>
      </c>
      <c r="Q119" s="1"/>
      <c r="R119" s="1"/>
      <c r="S119" s="1"/>
      <c r="T11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1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1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1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1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19">
        <f>Portefeuille_MNT_PPS_Access26[[#This Row],[Délais PC1 et PC3]]+Portefeuille_MNT_PPS_Access26[[#This Row],[Délais PC3 et PC5]]</f>
        <v>0</v>
      </c>
      <c r="Z119">
        <v>1</v>
      </c>
      <c r="AB11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19" s="12">
        <f>_xlfn.XLOOKUP(Portefeuille_MNT_PPS_Access26[[#This Row],[Numéro projet]],Tableau5[Numéro projet],Tableau5[IND_Site_Prioritaire])</f>
        <v>4</v>
      </c>
      <c r="AD119" s="2">
        <f>_xlfn.XLOOKUP(Portefeuille_MNT_PPS_Access26[[#This Row],[Numéro projet]],Tableau5[Numéro projet],Tableau5[Critère Etat Infrastructure])</f>
        <v>4</v>
      </c>
      <c r="AE11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H119" t="s">
        <v>311</v>
      </c>
      <c r="AI119" s="2"/>
      <c r="AJ119" s="2"/>
      <c r="AN119"/>
      <c r="AX119"/>
      <c r="BC119">
        <v>100</v>
      </c>
      <c r="BE119">
        <v>200</v>
      </c>
      <c r="BF119">
        <v>5000</v>
      </c>
      <c r="BK119" s="14">
        <f>SUM(Portefeuille_MNT_PPS_Access26[[#This Row],[AC ANT]:[TR 2035]])</f>
        <v>5300</v>
      </c>
    </row>
    <row r="120" spans="1:63" x14ac:dyDescent="0.3">
      <c r="A120" t="s">
        <v>286</v>
      </c>
      <c r="C120" t="s">
        <v>126</v>
      </c>
      <c r="D120" t="s">
        <v>127</v>
      </c>
      <c r="E120" t="s">
        <v>136</v>
      </c>
      <c r="F120" t="s">
        <v>113</v>
      </c>
      <c r="G120" t="s">
        <v>16</v>
      </c>
      <c r="H120" t="s">
        <v>20</v>
      </c>
      <c r="I120" t="s">
        <v>131</v>
      </c>
      <c r="J120">
        <v>154190601</v>
      </c>
      <c r="K120" t="s">
        <v>227</v>
      </c>
      <c r="L120" t="s">
        <v>139</v>
      </c>
      <c r="M120">
        <f>_xlfn.XLOOKUP(Portefeuille_MNT_PPS_Access26[[#This Row],[Numéro projet]], Portefeuille_MNT_PPS_Access20[Numéro projet], Portefeuille_MNT_PPS_Access20[Année DÉBUT Travaux prévu], "")</f>
        <v>2030</v>
      </c>
      <c r="N120">
        <v>2030</v>
      </c>
      <c r="O120">
        <f>Portefeuille_MNT_PPS_Access26[[#This Row],[Année DÉBUT Travaux proposée]]-Portefeuille_MNT_PPS_Access26[[#This Row],[Année DÉBUT Travaux prévu]]</f>
        <v>0</v>
      </c>
      <c r="P120" t="s">
        <v>110</v>
      </c>
      <c r="Q120" s="1">
        <v>45330</v>
      </c>
      <c r="R120" s="1">
        <v>46325</v>
      </c>
      <c r="S120" s="1">
        <v>46991</v>
      </c>
      <c r="T12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32</v>
      </c>
      <c r="X12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22</v>
      </c>
      <c r="Y120">
        <f>Portefeuille_MNT_PPS_Access26[[#This Row],[Délais PC1 et PC3]]+Portefeuille_MNT_PPS_Access26[[#This Row],[Délais PC3 et PC5]]</f>
        <v>54</v>
      </c>
      <c r="Z120">
        <v>1</v>
      </c>
      <c r="AA120">
        <v>1</v>
      </c>
      <c r="AB12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3</v>
      </c>
      <c r="AC120" s="12">
        <f>_xlfn.XLOOKUP(Portefeuille_MNT_PPS_Access26[[#This Row],[Numéro projet]],Tableau5[Numéro projet],Tableau5[IND_Site_Prioritaire])</f>
        <v>2.3333333333333335</v>
      </c>
      <c r="AD120" s="2">
        <f>_xlfn.XLOOKUP(Portefeuille_MNT_PPS_Access26[[#This Row],[Numéro projet]],Tableau5[Numéro projet],Tableau5[Critère Etat Infrastructure])</f>
        <v>4</v>
      </c>
      <c r="AE12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51.666666666666671</v>
      </c>
      <c r="AF120">
        <v>1</v>
      </c>
      <c r="AG120">
        <v>5</v>
      </c>
      <c r="AH120" t="s">
        <v>112</v>
      </c>
      <c r="AI120" s="2"/>
      <c r="AJ120" s="2"/>
      <c r="AK120">
        <v>44</v>
      </c>
      <c r="AM120">
        <v>35</v>
      </c>
      <c r="AN120"/>
      <c r="AO120">
        <v>100</v>
      </c>
      <c r="AQ120">
        <v>288</v>
      </c>
      <c r="AS120">
        <v>475</v>
      </c>
      <c r="AU120">
        <v>475</v>
      </c>
      <c r="AW120">
        <v>573</v>
      </c>
      <c r="AX120"/>
      <c r="AY120">
        <v>1000</v>
      </c>
      <c r="AZ120">
        <v>4362</v>
      </c>
      <c r="BA120">
        <v>1087</v>
      </c>
      <c r="BB120">
        <v>12800</v>
      </c>
      <c r="BK120" s="14">
        <f>SUM(Portefeuille_MNT_PPS_Access26[[#This Row],[AC ANT]:[TR 2035]])</f>
        <v>21239</v>
      </c>
    </row>
    <row r="121" spans="1:63" x14ac:dyDescent="0.3">
      <c r="A121" t="s">
        <v>286</v>
      </c>
      <c r="C121" t="s">
        <v>101</v>
      </c>
      <c r="D121" t="s">
        <v>102</v>
      </c>
      <c r="E121" t="s">
        <v>103</v>
      </c>
      <c r="G121" t="s">
        <v>20</v>
      </c>
      <c r="H121" t="s">
        <v>20</v>
      </c>
      <c r="I121" t="s">
        <v>131</v>
      </c>
      <c r="J121">
        <v>154250401</v>
      </c>
      <c r="K121" t="s">
        <v>654</v>
      </c>
      <c r="L121" t="s">
        <v>134</v>
      </c>
      <c r="M121" t="str">
        <f>_xlfn.XLOOKUP(Portefeuille_MNT_PPS_Access26[[#This Row],[Numéro projet]], Portefeuille_MNT_PPS_Access20[Numéro projet], Portefeuille_MNT_PPS_Access20[Année DÉBUT Travaux prévu], "")</f>
        <v/>
      </c>
      <c r="N121">
        <v>2029</v>
      </c>
      <c r="O121" t="s">
        <v>295</v>
      </c>
      <c r="Q121" s="1"/>
      <c r="R121" s="1"/>
      <c r="S121" s="1"/>
      <c r="T12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2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2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2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2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21">
        <f>Portefeuille_MNT_PPS_Access26[[#This Row],[Délais PC1 et PC3]]+Portefeuille_MNT_PPS_Access26[[#This Row],[Délais PC3 et PC5]]</f>
        <v>0</v>
      </c>
      <c r="Z121">
        <v>1</v>
      </c>
      <c r="AB121" s="2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21" s="12" t="e">
        <f>_xlfn.XLOOKUP(Portefeuille_MNT_PPS_Access26[[#This Row],[Numéro projet]],Tableau5[Numéro projet],Tableau5[IND_Site_Prioritaire])</f>
        <v>#N/A</v>
      </c>
      <c r="AD121" s="2" t="e">
        <f>_xlfn.XLOOKUP(Portefeuille_MNT_PPS_Access26[[#This Row],[Numéro projet]],Tableau5[Numéro projet],Tableau5[Critère Etat Infrastructure])</f>
        <v>#N/A</v>
      </c>
      <c r="AE121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I121" s="2"/>
      <c r="AJ121" s="2"/>
      <c r="AN121"/>
      <c r="AS121">
        <v>125</v>
      </c>
      <c r="AU121">
        <v>125</v>
      </c>
      <c r="AW121">
        <v>250</v>
      </c>
      <c r="AX121">
        <v>1000</v>
      </c>
      <c r="BK121" s="14">
        <f>SUM(Portefeuille_MNT_PPS_Access26[[#This Row],[AC ANT]:[TR 2035]])</f>
        <v>1500</v>
      </c>
    </row>
    <row r="122" spans="1:63" x14ac:dyDescent="0.3">
      <c r="A122" t="s">
        <v>286</v>
      </c>
      <c r="C122" t="s">
        <v>118</v>
      </c>
      <c r="D122" t="s">
        <v>102</v>
      </c>
      <c r="E122" t="s">
        <v>242</v>
      </c>
      <c r="F122" t="s">
        <v>129</v>
      </c>
      <c r="G122" t="s">
        <v>20</v>
      </c>
      <c r="H122" t="s">
        <v>20</v>
      </c>
      <c r="I122" t="s">
        <v>131</v>
      </c>
      <c r="J122">
        <v>154210546</v>
      </c>
      <c r="K122" t="s">
        <v>644</v>
      </c>
      <c r="L122" t="s">
        <v>414</v>
      </c>
      <c r="M122">
        <f>_xlfn.XLOOKUP(Portefeuille_MNT_PPS_Access26[[#This Row],[Numéro projet]], Portefeuille_MNT_PPS_Access20[Numéro projet], Portefeuille_MNT_PPS_Access20[Année DÉBUT Travaux prévu], "")</f>
        <v>2030</v>
      </c>
      <c r="N122">
        <v>2030</v>
      </c>
      <c r="O122">
        <f>Portefeuille_MNT_PPS_Access26[[#This Row],[Année DÉBUT Travaux proposée]]-Portefeuille_MNT_PPS_Access26[[#This Row],[Année DÉBUT Travaux prévu]]</f>
        <v>0</v>
      </c>
      <c r="P122" t="s">
        <v>291</v>
      </c>
      <c r="Q122" s="1"/>
      <c r="R122" s="1"/>
      <c r="S122" s="1"/>
      <c r="T12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2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2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2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2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22">
        <f>Portefeuille_MNT_PPS_Access26[[#This Row],[Délais PC1 et PC3]]+Portefeuille_MNT_PPS_Access26[[#This Row],[Délais PC3 et PC5]]</f>
        <v>0</v>
      </c>
      <c r="Z122">
        <v>1</v>
      </c>
      <c r="AB12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22" s="12">
        <f>_xlfn.XLOOKUP(Portefeuille_MNT_PPS_Access26[[#This Row],[Numéro projet]],Tableau5[Numéro projet],Tableau5[IND_Site_Prioritaire])</f>
        <v>1</v>
      </c>
      <c r="AD122" s="2">
        <f>_xlfn.XLOOKUP(Portefeuille_MNT_PPS_Access26[[#This Row],[Numéro projet]],Tableau5[Numéro projet],Tableau5[Critère Etat Infrastructure])</f>
        <v>5</v>
      </c>
      <c r="AE12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35</v>
      </c>
      <c r="AH122" t="s">
        <v>311</v>
      </c>
      <c r="AI122" s="2"/>
      <c r="AJ122" s="2"/>
      <c r="AN122"/>
      <c r="AU122">
        <v>150</v>
      </c>
      <c r="AW122">
        <v>150</v>
      </c>
      <c r="AX122"/>
      <c r="AY122">
        <v>250</v>
      </c>
      <c r="AZ122">
        <v>2000</v>
      </c>
      <c r="BK122" s="14">
        <f>SUM(Portefeuille_MNT_PPS_Access26[[#This Row],[AC ANT]:[TR 2035]])</f>
        <v>2550</v>
      </c>
    </row>
    <row r="123" spans="1:63" x14ac:dyDescent="0.3">
      <c r="A123" t="s">
        <v>286</v>
      </c>
      <c r="C123" t="s">
        <v>101</v>
      </c>
      <c r="D123" t="s">
        <v>102</v>
      </c>
      <c r="E123" t="s">
        <v>136</v>
      </c>
      <c r="F123" t="s">
        <v>149</v>
      </c>
      <c r="G123" t="s">
        <v>130</v>
      </c>
      <c r="H123" t="s">
        <v>20</v>
      </c>
      <c r="I123" t="s">
        <v>105</v>
      </c>
      <c r="J123">
        <v>154061995</v>
      </c>
      <c r="K123" t="s">
        <v>367</v>
      </c>
      <c r="L123" t="s">
        <v>316</v>
      </c>
      <c r="M123">
        <f>_xlfn.XLOOKUP(Portefeuille_MNT_PPS_Access26[[#This Row],[Numéro projet]], Portefeuille_MNT_PPS_Access20[Numéro projet], Portefeuille_MNT_PPS_Access20[Année DÉBUT Travaux prévu], "")</f>
        <v>2030</v>
      </c>
      <c r="N123">
        <v>2030</v>
      </c>
      <c r="O123">
        <f>Portefeuille_MNT_PPS_Access26[[#This Row],[Année DÉBUT Travaux proposée]]-Portefeuille_MNT_PPS_Access26[[#This Row],[Année DÉBUT Travaux prévu]]</f>
        <v>0</v>
      </c>
      <c r="P123" t="s">
        <v>155</v>
      </c>
      <c r="Q123" s="1">
        <v>46157</v>
      </c>
      <c r="R123" s="1">
        <v>46645</v>
      </c>
      <c r="S123" s="1">
        <v>47011</v>
      </c>
      <c r="T12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16</v>
      </c>
      <c r="X12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23">
        <f>Portefeuille_MNT_PPS_Access26[[#This Row],[Délais PC1 et PC3]]+Portefeuille_MNT_PPS_Access26[[#This Row],[Délais PC3 et PC5]]</f>
        <v>28</v>
      </c>
      <c r="Z123">
        <v>1</v>
      </c>
      <c r="AA123">
        <v>1</v>
      </c>
      <c r="AB12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3" s="12">
        <f>_xlfn.XLOOKUP(Portefeuille_MNT_PPS_Access26[[#This Row],[Numéro projet]],Tableau5[Numéro projet],Tableau5[IND_Site_Prioritaire])</f>
        <v>3</v>
      </c>
      <c r="AD123" s="2">
        <f>_xlfn.XLOOKUP(Portefeuille_MNT_PPS_Access26[[#This Row],[Numéro projet]],Tableau5[Numéro projet],Tableau5[Critère Etat Infrastructure])</f>
        <v>4</v>
      </c>
      <c r="AE12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F123">
        <v>1</v>
      </c>
      <c r="AG123">
        <v>1</v>
      </c>
      <c r="AH123" t="s">
        <v>156</v>
      </c>
      <c r="AI123" s="2"/>
      <c r="AJ123" s="2"/>
      <c r="AN123"/>
      <c r="AS123">
        <v>430</v>
      </c>
      <c r="AU123">
        <v>600</v>
      </c>
      <c r="AW123">
        <v>670</v>
      </c>
      <c r="AX123"/>
      <c r="AY123">
        <v>600</v>
      </c>
      <c r="AZ123">
        <v>5000</v>
      </c>
      <c r="BC123">
        <v>500</v>
      </c>
      <c r="BD123">
        <v>4700</v>
      </c>
      <c r="BE123">
        <v>600</v>
      </c>
      <c r="BF123">
        <v>5000</v>
      </c>
      <c r="BG123">
        <v>600</v>
      </c>
      <c r="BH123">
        <v>5000</v>
      </c>
      <c r="BK123" s="14">
        <f>SUM(Portefeuille_MNT_PPS_Access26[[#This Row],[AC ANT]:[TR 2035]])</f>
        <v>23700</v>
      </c>
    </row>
    <row r="124" spans="1:63" x14ac:dyDescent="0.3">
      <c r="A124" t="s">
        <v>286</v>
      </c>
      <c r="C124" t="s">
        <v>101</v>
      </c>
      <c r="D124" t="s">
        <v>102</v>
      </c>
      <c r="E124" t="s">
        <v>136</v>
      </c>
      <c r="F124" t="s">
        <v>149</v>
      </c>
      <c r="G124" t="s">
        <v>16</v>
      </c>
      <c r="H124" t="s">
        <v>20</v>
      </c>
      <c r="I124" t="s">
        <v>131</v>
      </c>
      <c r="J124">
        <v>154180773</v>
      </c>
      <c r="K124" t="s">
        <v>213</v>
      </c>
      <c r="L124" t="s">
        <v>214</v>
      </c>
      <c r="M124">
        <f>_xlfn.XLOOKUP(Portefeuille_MNT_PPS_Access26[[#This Row],[Numéro projet]], Portefeuille_MNT_PPS_Access20[Numéro projet], Portefeuille_MNT_PPS_Access20[Année DÉBUT Travaux prévu], "")</f>
        <v>2030</v>
      </c>
      <c r="N124">
        <v>2030</v>
      </c>
      <c r="O124">
        <f>Portefeuille_MNT_PPS_Access26[[#This Row],[Année DÉBUT Travaux proposée]]-Portefeuille_MNT_PPS_Access26[[#This Row],[Année DÉBUT Travaux prévu]]</f>
        <v>0</v>
      </c>
      <c r="P124" t="s">
        <v>155</v>
      </c>
      <c r="Q124" s="1">
        <v>45915</v>
      </c>
      <c r="R124" s="1">
        <v>46280</v>
      </c>
      <c r="S124" s="1">
        <v>46645</v>
      </c>
      <c r="T12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2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24">
        <f>Portefeuille_MNT_PPS_Access26[[#This Row],[Délais PC1 et PC3]]+Portefeuille_MNT_PPS_Access26[[#This Row],[Délais PC3 et PC5]]</f>
        <v>24</v>
      </c>
      <c r="Z124">
        <v>1</v>
      </c>
      <c r="AA124">
        <v>1</v>
      </c>
      <c r="AB12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4" s="12">
        <f>_xlfn.XLOOKUP(Portefeuille_MNT_PPS_Access26[[#This Row],[Numéro projet]],Tableau5[Numéro projet],Tableau5[IND_Site_Prioritaire])</f>
        <v>3</v>
      </c>
      <c r="AD124" s="2">
        <f>_xlfn.XLOOKUP(Portefeuille_MNT_PPS_Access26[[#This Row],[Numéro projet]],Tableau5[Numéro projet],Tableau5[Critère Etat Infrastructure])</f>
        <v>5</v>
      </c>
      <c r="AE12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49.999999999999993</v>
      </c>
      <c r="AF124">
        <v>1</v>
      </c>
      <c r="AG124">
        <v>1</v>
      </c>
      <c r="AH124" t="s">
        <v>156</v>
      </c>
      <c r="AI124" s="2"/>
      <c r="AJ124" s="2"/>
      <c r="AK124">
        <v>47</v>
      </c>
      <c r="AM124">
        <v>93</v>
      </c>
      <c r="AN124"/>
      <c r="AO124">
        <v>150</v>
      </c>
      <c r="AQ124">
        <v>125</v>
      </c>
      <c r="AS124">
        <v>125</v>
      </c>
      <c r="AU124">
        <v>125</v>
      </c>
      <c r="AW124">
        <v>125</v>
      </c>
      <c r="AX124"/>
      <c r="AY124">
        <v>300</v>
      </c>
      <c r="AZ124">
        <v>5000</v>
      </c>
      <c r="BA124">
        <v>431</v>
      </c>
      <c r="BB124">
        <v>10000</v>
      </c>
      <c r="BK124" s="14">
        <f>SUM(Portefeuille_MNT_PPS_Access26[[#This Row],[AC ANT]:[TR 2035]])</f>
        <v>16521</v>
      </c>
    </row>
    <row r="125" spans="1:63" x14ac:dyDescent="0.3">
      <c r="A125" t="s">
        <v>286</v>
      </c>
      <c r="C125" t="s">
        <v>101</v>
      </c>
      <c r="D125" t="s">
        <v>102</v>
      </c>
      <c r="E125" t="s">
        <v>136</v>
      </c>
      <c r="F125" t="s">
        <v>129</v>
      </c>
      <c r="G125" t="s">
        <v>130</v>
      </c>
      <c r="H125" t="s">
        <v>20</v>
      </c>
      <c r="I125" t="s">
        <v>131</v>
      </c>
      <c r="J125">
        <v>154210517</v>
      </c>
      <c r="K125" t="s">
        <v>406</v>
      </c>
      <c r="L125" t="s">
        <v>152</v>
      </c>
      <c r="M125" s="103">
        <f>_xlfn.XLOOKUP(Portefeuille_MNT_PPS_Access26[[#This Row],[Numéro projet]], Portefeuille_MNT_PPS_Access20[Numéro projet], Portefeuille_MNT_PPS_Access20[Année DÉBUT Travaux prévu], "")</f>
        <v>2029</v>
      </c>
      <c r="N125" s="103">
        <v>2030</v>
      </c>
      <c r="O125">
        <f>Portefeuille_MNT_PPS_Access26[[#This Row],[Année DÉBUT Travaux proposée]]-Portefeuille_MNT_PPS_Access26[[#This Row],[Année DÉBUT Travaux prévu]]</f>
        <v>1</v>
      </c>
      <c r="P125" t="s">
        <v>155</v>
      </c>
      <c r="Q125" s="1">
        <v>45944</v>
      </c>
      <c r="R125" s="1">
        <v>46427</v>
      </c>
      <c r="S125" s="1">
        <v>46813</v>
      </c>
      <c r="T12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16</v>
      </c>
      <c r="X12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13</v>
      </c>
      <c r="Y125">
        <f>Portefeuille_MNT_PPS_Access26[[#This Row],[Délais PC1 et PC3]]+Portefeuille_MNT_PPS_Access26[[#This Row],[Délais PC3 et PC5]]</f>
        <v>29</v>
      </c>
      <c r="Z125">
        <v>1</v>
      </c>
      <c r="AA125">
        <v>1</v>
      </c>
      <c r="AB12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5" s="12">
        <f>_xlfn.XLOOKUP(Portefeuille_MNT_PPS_Access26[[#This Row],[Numéro projet]],Tableau5[Numéro projet],Tableau5[IND_Site_Prioritaire])</f>
        <v>3.6666666666666665</v>
      </c>
      <c r="AD125" s="2">
        <f>_xlfn.XLOOKUP(Portefeuille_MNT_PPS_Access26[[#This Row],[Numéro projet]],Tableau5[Numéro projet],Tableau5[Critère Etat Infrastructure])</f>
        <v>5</v>
      </c>
      <c r="AE12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53.333333333333336</v>
      </c>
      <c r="AF125">
        <v>1</v>
      </c>
      <c r="AG125">
        <v>1</v>
      </c>
      <c r="AH125" t="s">
        <v>156</v>
      </c>
      <c r="AI125" s="2"/>
      <c r="AJ125" s="2"/>
      <c r="AN125"/>
      <c r="AQ125">
        <v>100</v>
      </c>
      <c r="AS125">
        <v>250</v>
      </c>
      <c r="AU125">
        <v>350</v>
      </c>
      <c r="AW125">
        <v>200</v>
      </c>
      <c r="AY125">
        <v>600</v>
      </c>
      <c r="AZ125">
        <v>5500</v>
      </c>
      <c r="BA125">
        <v>600</v>
      </c>
      <c r="BB125">
        <v>6000</v>
      </c>
      <c r="BC125">
        <v>600</v>
      </c>
      <c r="BD125">
        <v>6000</v>
      </c>
      <c r="BK125" s="14">
        <f>SUM(Portefeuille_MNT_PPS_Access26[[#This Row],[AC ANT]:[TR 2035]])</f>
        <v>20200</v>
      </c>
    </row>
    <row r="126" spans="1:63" x14ac:dyDescent="0.3">
      <c r="A126" t="s">
        <v>286</v>
      </c>
      <c r="C126" t="s">
        <v>101</v>
      </c>
      <c r="D126" t="s">
        <v>102</v>
      </c>
      <c r="E126" t="s">
        <v>136</v>
      </c>
      <c r="F126" t="s">
        <v>104</v>
      </c>
      <c r="G126" t="s">
        <v>130</v>
      </c>
      <c r="H126" t="s">
        <v>20</v>
      </c>
      <c r="I126" t="s">
        <v>131</v>
      </c>
      <c r="J126">
        <v>154190597</v>
      </c>
      <c r="K126" t="s">
        <v>374</v>
      </c>
      <c r="L126" t="s">
        <v>159</v>
      </c>
      <c r="M126" s="103">
        <f>_xlfn.XLOOKUP(Portefeuille_MNT_PPS_Access26[[#This Row],[Numéro projet]], Portefeuille_MNT_PPS_Access20[Numéro projet], Portefeuille_MNT_PPS_Access20[Année DÉBUT Travaux prévu], "")</f>
        <v>2029</v>
      </c>
      <c r="N126" s="103">
        <v>2030</v>
      </c>
      <c r="O126" s="103">
        <f>Portefeuille_MNT_PPS_Access26[[#This Row],[Année DÉBUT Travaux proposée]]-Portefeuille_MNT_PPS_Access26[[#This Row],[Année DÉBUT Travaux prévu]]</f>
        <v>1</v>
      </c>
      <c r="P126" t="s">
        <v>155</v>
      </c>
      <c r="Q126" s="1">
        <v>45915</v>
      </c>
      <c r="R126" s="1">
        <v>46280</v>
      </c>
      <c r="S126" s="1">
        <v>46645</v>
      </c>
      <c r="T12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2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26">
        <f>Portefeuille_MNT_PPS_Access26[[#This Row],[Délais PC1 et PC3]]+Portefeuille_MNT_PPS_Access26[[#This Row],[Délais PC3 et PC5]]</f>
        <v>24</v>
      </c>
      <c r="Z126">
        <v>1</v>
      </c>
      <c r="AA126">
        <v>1</v>
      </c>
      <c r="AB12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6" s="12">
        <f>_xlfn.XLOOKUP(Portefeuille_MNT_PPS_Access26[[#This Row],[Numéro projet]],Tableau5[Numéro projet],Tableau5[IND_Site_Prioritaire])</f>
        <v>4.333333333333333</v>
      </c>
      <c r="AD126" s="2">
        <f>_xlfn.XLOOKUP(Portefeuille_MNT_PPS_Access26[[#This Row],[Numéro projet]],Tableau5[Numéro projet],Tableau5[Critère Etat Infrastructure])</f>
        <v>5</v>
      </c>
      <c r="AE12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56.666666666666664</v>
      </c>
      <c r="AF126">
        <v>1</v>
      </c>
      <c r="AG126">
        <v>1</v>
      </c>
      <c r="AH126" t="s">
        <v>156</v>
      </c>
      <c r="AI126" s="2"/>
      <c r="AJ126" s="2"/>
      <c r="AN126"/>
      <c r="AQ126">
        <v>100</v>
      </c>
      <c r="AS126">
        <v>250</v>
      </c>
      <c r="AU126">
        <v>350</v>
      </c>
      <c r="AW126">
        <v>500</v>
      </c>
      <c r="AX126"/>
      <c r="AY126">
        <v>500</v>
      </c>
      <c r="AZ126">
        <v>8000</v>
      </c>
      <c r="BA126">
        <v>500</v>
      </c>
      <c r="BB126">
        <v>8000</v>
      </c>
      <c r="BK126" s="14">
        <f>SUM(Portefeuille_MNT_PPS_Access26[[#This Row],[AC ANT]:[TR 2035]])</f>
        <v>18200</v>
      </c>
    </row>
    <row r="127" spans="1:63" x14ac:dyDescent="0.3">
      <c r="A127" t="s">
        <v>286</v>
      </c>
      <c r="C127" t="s">
        <v>118</v>
      </c>
      <c r="D127" t="s">
        <v>102</v>
      </c>
      <c r="E127" t="s">
        <v>103</v>
      </c>
      <c r="F127" t="s">
        <v>129</v>
      </c>
      <c r="G127" t="s">
        <v>20</v>
      </c>
      <c r="H127" t="s">
        <v>20</v>
      </c>
      <c r="I127" t="s">
        <v>131</v>
      </c>
      <c r="J127">
        <v>154200654</v>
      </c>
      <c r="K127" t="s">
        <v>643</v>
      </c>
      <c r="L127" t="s">
        <v>214</v>
      </c>
      <c r="M127" s="103">
        <f>_xlfn.XLOOKUP(Portefeuille_MNT_PPS_Access26[[#This Row],[Numéro projet]], Portefeuille_MNT_PPS_Access20[Numéro projet], Portefeuille_MNT_PPS_Access20[Année DÉBUT Travaux prévu], "")</f>
        <v>2029</v>
      </c>
      <c r="N127" s="103">
        <v>2030</v>
      </c>
      <c r="O127" s="103">
        <f>Portefeuille_MNT_PPS_Access26[[#This Row],[Année DÉBUT Travaux proposée]]-Portefeuille_MNT_PPS_Access26[[#This Row],[Année DÉBUT Travaux prévu]]</f>
        <v>1</v>
      </c>
      <c r="P127" t="s">
        <v>155</v>
      </c>
      <c r="Q127" s="1">
        <v>46188</v>
      </c>
      <c r="R127" s="1">
        <v>46722</v>
      </c>
      <c r="S127" s="1">
        <v>47011</v>
      </c>
      <c r="T12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18</v>
      </c>
      <c r="X12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9</v>
      </c>
      <c r="Y127">
        <f>Portefeuille_MNT_PPS_Access26[[#This Row],[Délais PC1 et PC3]]+Portefeuille_MNT_PPS_Access26[[#This Row],[Délais PC3 et PC5]]</f>
        <v>27</v>
      </c>
      <c r="Z127">
        <v>1</v>
      </c>
      <c r="AA127">
        <v>1</v>
      </c>
      <c r="AB12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7" s="12">
        <f>_xlfn.XLOOKUP(Portefeuille_MNT_PPS_Access26[[#This Row],[Numéro projet]],Tableau5[Numéro projet],Tableau5[IND_Site_Prioritaire])</f>
        <v>3</v>
      </c>
      <c r="AD127" s="2">
        <f>_xlfn.XLOOKUP(Portefeuille_MNT_PPS_Access26[[#This Row],[Numéro projet]],Tableau5[Numéro projet],Tableau5[Critère Etat Infrastructure])</f>
        <v>4</v>
      </c>
      <c r="AE12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45</v>
      </c>
      <c r="AF127">
        <v>1</v>
      </c>
      <c r="AG127">
        <v>1</v>
      </c>
      <c r="AH127" t="s">
        <v>156</v>
      </c>
      <c r="AI127" s="2"/>
      <c r="AJ127" s="2"/>
      <c r="AN127"/>
      <c r="AU127">
        <v>100</v>
      </c>
      <c r="AW127">
        <v>200</v>
      </c>
      <c r="AX127"/>
      <c r="AY127">
        <v>200</v>
      </c>
      <c r="AZ127">
        <v>10500</v>
      </c>
      <c r="BK127" s="14">
        <f>SUM(Portefeuille_MNT_PPS_Access26[[#This Row],[AC ANT]:[TR 2035]])</f>
        <v>11000</v>
      </c>
    </row>
    <row r="128" spans="1:63" x14ac:dyDescent="0.3">
      <c r="A128" t="s">
        <v>286</v>
      </c>
      <c r="C128" t="s">
        <v>118</v>
      </c>
      <c r="D128" t="s">
        <v>102</v>
      </c>
      <c r="E128" t="s">
        <v>242</v>
      </c>
      <c r="F128" t="s">
        <v>129</v>
      </c>
      <c r="G128" t="s">
        <v>20</v>
      </c>
      <c r="H128" t="s">
        <v>20</v>
      </c>
      <c r="I128" t="s">
        <v>131</v>
      </c>
      <c r="J128">
        <v>154210548</v>
      </c>
      <c r="K128" t="s">
        <v>416</v>
      </c>
      <c r="L128" t="s">
        <v>417</v>
      </c>
      <c r="M128" s="103">
        <f>_xlfn.XLOOKUP(Portefeuille_MNT_PPS_Access26[[#This Row],[Numéro projet]], Portefeuille_MNT_PPS_Access20[Numéro projet], Portefeuille_MNT_PPS_Access20[Année DÉBUT Travaux prévu], "")</f>
        <v>2029</v>
      </c>
      <c r="N128" s="215">
        <v>2030</v>
      </c>
      <c r="O128" s="215">
        <f>Portefeuille_MNT_PPS_Access26[[#This Row],[Année DÉBUT Travaux proposée]]-Portefeuille_MNT_PPS_Access26[[#This Row],[Année DÉBUT Travaux prévu]]</f>
        <v>1</v>
      </c>
      <c r="P128" t="s">
        <v>155</v>
      </c>
      <c r="Q128" s="1">
        <v>46143</v>
      </c>
      <c r="R128" s="1">
        <v>46508</v>
      </c>
      <c r="S128" s="1">
        <v>46874</v>
      </c>
      <c r="T12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2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2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2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2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28">
        <f>Portefeuille_MNT_PPS_Access26[[#This Row],[Délais PC1 et PC3]]+Portefeuille_MNT_PPS_Access26[[#This Row],[Délais PC3 et PC5]]</f>
        <v>24</v>
      </c>
      <c r="Z128">
        <v>1</v>
      </c>
      <c r="AA128">
        <v>1</v>
      </c>
      <c r="AB12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28" s="12">
        <f>_xlfn.XLOOKUP(Portefeuille_MNT_PPS_Access26[[#This Row],[Numéro projet]],Tableau5[Numéro projet],Tableau5[IND_Site_Prioritaire])</f>
        <v>1.3333333333333333</v>
      </c>
      <c r="AD128" s="2">
        <f>_xlfn.XLOOKUP(Portefeuille_MNT_PPS_Access26[[#This Row],[Numéro projet]],Tableau5[Numéro projet],Tableau5[Critère Etat Infrastructure])</f>
        <v>2</v>
      </c>
      <c r="AE12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26.666666666666668</v>
      </c>
      <c r="AF128">
        <v>1</v>
      </c>
      <c r="AG128">
        <v>1</v>
      </c>
      <c r="AH128" t="s">
        <v>156</v>
      </c>
      <c r="AI128" s="2"/>
      <c r="AJ128" s="2"/>
      <c r="AN128"/>
      <c r="AU128">
        <v>150</v>
      </c>
      <c r="AW128">
        <v>150</v>
      </c>
      <c r="AX128"/>
      <c r="AY128">
        <v>250</v>
      </c>
      <c r="AZ128">
        <v>2000</v>
      </c>
      <c r="BK128" s="14">
        <f>SUM(Portefeuille_MNT_PPS_Access26[[#This Row],[AC ANT]:[TR 2035]])</f>
        <v>2550</v>
      </c>
    </row>
    <row r="129" spans="1:63" x14ac:dyDescent="0.3">
      <c r="A129" t="s">
        <v>286</v>
      </c>
      <c r="C129" t="s">
        <v>101</v>
      </c>
      <c r="D129" t="s">
        <v>102</v>
      </c>
      <c r="E129" t="s">
        <v>177</v>
      </c>
      <c r="F129" t="s">
        <v>129</v>
      </c>
      <c r="G129" t="s">
        <v>20</v>
      </c>
      <c r="H129" t="s">
        <v>20</v>
      </c>
      <c r="I129" t="s">
        <v>131</v>
      </c>
      <c r="J129">
        <v>154230631</v>
      </c>
      <c r="K129" t="s">
        <v>439</v>
      </c>
      <c r="L129" t="s">
        <v>180</v>
      </c>
      <c r="M129" s="103">
        <f>_xlfn.XLOOKUP(Portefeuille_MNT_PPS_Access26[[#This Row],[Numéro projet]], Portefeuille_MNT_PPS_Access20[Numéro projet], Portefeuille_MNT_PPS_Access20[Année DÉBUT Travaux prévu], "")</f>
        <v>2029</v>
      </c>
      <c r="N129" s="103">
        <v>2030</v>
      </c>
      <c r="O129" s="103">
        <f>Portefeuille_MNT_PPS_Access26[[#This Row],[Année DÉBUT Travaux proposée]]-Portefeuille_MNT_PPS_Access26[[#This Row],[Année DÉBUT Travaux prévu]]</f>
        <v>1</v>
      </c>
      <c r="P129" t="s">
        <v>291</v>
      </c>
      <c r="Q129" s="1"/>
      <c r="R129" s="1"/>
      <c r="S129" s="1"/>
      <c r="T12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2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2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2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2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29">
        <f>Portefeuille_MNT_PPS_Access26[[#This Row],[Délais PC1 et PC3]]+Portefeuille_MNT_PPS_Access26[[#This Row],[Délais PC3 et PC5]]</f>
        <v>0</v>
      </c>
      <c r="Z129">
        <v>1</v>
      </c>
      <c r="AB12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29" s="12">
        <f>_xlfn.XLOOKUP(Portefeuille_MNT_PPS_Access26[[#This Row],[Numéro projet]],Tableau5[Numéro projet],Tableau5[IND_Site_Prioritaire])</f>
        <v>3.0476190476190474</v>
      </c>
      <c r="AD129" s="2">
        <f>_xlfn.XLOOKUP(Portefeuille_MNT_PPS_Access26[[#This Row],[Numéro projet]],Tableau5[Numéro projet],Tableau5[Critère Etat Infrastructure])</f>
        <v>0</v>
      </c>
      <c r="AE12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20.238095238095237</v>
      </c>
      <c r="AH129" t="s">
        <v>311</v>
      </c>
      <c r="AI129" s="2"/>
      <c r="AJ129" s="2"/>
      <c r="AN129"/>
      <c r="AW129">
        <v>100</v>
      </c>
      <c r="AX129"/>
      <c r="AY129">
        <v>175.00000000000003</v>
      </c>
      <c r="AZ129">
        <v>1500.0000000000002</v>
      </c>
      <c r="BK129" s="14">
        <f>SUM(Portefeuille_MNT_PPS_Access26[[#This Row],[AC ANT]:[TR 2035]])</f>
        <v>1775.0000000000002</v>
      </c>
    </row>
    <row r="130" spans="1:63" x14ac:dyDescent="0.3">
      <c r="A130" t="s">
        <v>286</v>
      </c>
      <c r="C130" t="s">
        <v>118</v>
      </c>
      <c r="D130" t="s">
        <v>102</v>
      </c>
      <c r="E130" t="s">
        <v>103</v>
      </c>
      <c r="F130" t="s">
        <v>113</v>
      </c>
      <c r="G130" t="s">
        <v>20</v>
      </c>
      <c r="H130" t="s">
        <v>20</v>
      </c>
      <c r="I130" t="s">
        <v>105</v>
      </c>
      <c r="J130">
        <v>154220487</v>
      </c>
      <c r="K130" t="s">
        <v>527</v>
      </c>
      <c r="L130" t="s">
        <v>122</v>
      </c>
      <c r="M130" s="103">
        <f>_xlfn.XLOOKUP(Portefeuille_MNT_PPS_Access26[[#This Row],[Numéro projet]], Portefeuille_MNT_PPS_Access20[Numéro projet], Portefeuille_MNT_PPS_Access20[Année DÉBUT Travaux prévu], "")</f>
        <v>2029</v>
      </c>
      <c r="N130" s="103">
        <v>2030</v>
      </c>
      <c r="O130" s="103">
        <f>Portefeuille_MNT_PPS_Access26[[#This Row],[Année DÉBUT Travaux proposée]]-Portefeuille_MNT_PPS_Access26[[#This Row],[Année DÉBUT Travaux prévu]]</f>
        <v>1</v>
      </c>
      <c r="P130" t="s">
        <v>155</v>
      </c>
      <c r="Q130" s="1">
        <v>46249</v>
      </c>
      <c r="R130" s="1">
        <v>46675</v>
      </c>
      <c r="S130" s="1">
        <v>47041</v>
      </c>
      <c r="T13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3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3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3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14</v>
      </c>
      <c r="X13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30">
        <f>Portefeuille_MNT_PPS_Access26[[#This Row],[Délais PC1 et PC3]]+Portefeuille_MNT_PPS_Access26[[#This Row],[Délais PC3 et PC5]]</f>
        <v>26</v>
      </c>
      <c r="Z130">
        <v>1</v>
      </c>
      <c r="AA130">
        <v>1</v>
      </c>
      <c r="AB13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30" s="12">
        <f>_xlfn.XLOOKUP(Portefeuille_MNT_PPS_Access26[[#This Row],[Numéro projet]],Tableau5[Numéro projet],Tableau5[IND_Site_Prioritaire])</f>
        <v>4</v>
      </c>
      <c r="AD130" s="2">
        <f>_xlfn.XLOOKUP(Portefeuille_MNT_PPS_Access26[[#This Row],[Numéro projet]],Tableau5[Numéro projet],Tableau5[Critère Etat Infrastructure])</f>
        <v>4</v>
      </c>
      <c r="AE13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50</v>
      </c>
      <c r="AF130">
        <v>1</v>
      </c>
      <c r="AG130">
        <v>1</v>
      </c>
      <c r="AH130" t="s">
        <v>156</v>
      </c>
      <c r="AI130" s="2"/>
      <c r="AJ130" s="2"/>
      <c r="AN130"/>
      <c r="AU130">
        <v>100</v>
      </c>
      <c r="AW130">
        <v>300</v>
      </c>
      <c r="AX130"/>
      <c r="AY130">
        <v>500</v>
      </c>
      <c r="AZ130">
        <v>12000</v>
      </c>
      <c r="BK130" s="14">
        <f>SUM(Portefeuille_MNT_PPS_Access26[[#This Row],[AC ANT]:[TR 2035]])</f>
        <v>12900</v>
      </c>
    </row>
    <row r="131" spans="1:63" x14ac:dyDescent="0.3">
      <c r="A131" t="s">
        <v>286</v>
      </c>
      <c r="C131" t="s">
        <v>118</v>
      </c>
      <c r="D131" t="s">
        <v>102</v>
      </c>
      <c r="E131" t="s">
        <v>103</v>
      </c>
      <c r="F131" t="s">
        <v>113</v>
      </c>
      <c r="G131" t="s">
        <v>20</v>
      </c>
      <c r="H131" t="s">
        <v>20</v>
      </c>
      <c r="I131" t="s">
        <v>131</v>
      </c>
      <c r="J131">
        <v>154220353</v>
      </c>
      <c r="K131" t="s">
        <v>423</v>
      </c>
      <c r="L131" t="s">
        <v>139</v>
      </c>
      <c r="M131" s="103">
        <f>_xlfn.XLOOKUP(Portefeuille_MNT_PPS_Access26[[#This Row],[Numéro projet]], Portefeuille_MNT_PPS_Access20[Numéro projet], Portefeuille_MNT_PPS_Access20[Année DÉBUT Travaux prévu], "")</f>
        <v>2029</v>
      </c>
      <c r="N131" s="103">
        <v>2033</v>
      </c>
      <c r="O131" s="103">
        <f>Portefeuille_MNT_PPS_Access26[[#This Row],[Année DÉBUT Travaux proposée]]-Portefeuille_MNT_PPS_Access26[[#This Row],[Année DÉBUT Travaux prévu]]</f>
        <v>4</v>
      </c>
      <c r="P131" t="s">
        <v>291</v>
      </c>
      <c r="Q131" s="1"/>
      <c r="R131" s="1"/>
      <c r="S131" s="1"/>
      <c r="T13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1">
        <f>Portefeuille_MNT_PPS_Access26[[#This Row],[Délais PC1 et PC3]]+Portefeuille_MNT_PPS_Access26[[#This Row],[Délais PC3 et PC5]]</f>
        <v>0</v>
      </c>
      <c r="Z131">
        <v>1</v>
      </c>
      <c r="AB13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1" s="12">
        <f>_xlfn.XLOOKUP(Portefeuille_MNT_PPS_Access26[[#This Row],[Numéro projet]],Tableau5[Numéro projet],Tableau5[IND_Site_Prioritaire])</f>
        <v>2.3333333333333335</v>
      </c>
      <c r="AD131" s="2">
        <f>_xlfn.XLOOKUP(Portefeuille_MNT_PPS_Access26[[#This Row],[Numéro projet]],Tableau5[Numéro projet],Tableau5[Critère Etat Infrastructure])</f>
        <v>4</v>
      </c>
      <c r="AE13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36.666666666666664</v>
      </c>
      <c r="AH131" t="s">
        <v>311</v>
      </c>
      <c r="AI131" s="2"/>
      <c r="AJ131" s="2"/>
      <c r="AN131"/>
      <c r="AX131"/>
      <c r="BA131">
        <v>100</v>
      </c>
      <c r="BC131">
        <v>200</v>
      </c>
      <c r="BE131">
        <v>250</v>
      </c>
      <c r="BF131">
        <v>7500</v>
      </c>
      <c r="BK131" s="14">
        <f>SUM(Portefeuille_MNT_PPS_Access26[[#This Row],[AC ANT]:[TR 2035]])</f>
        <v>8050</v>
      </c>
    </row>
    <row r="132" spans="1:63" x14ac:dyDescent="0.3">
      <c r="A132" t="s">
        <v>286</v>
      </c>
      <c r="C132" t="s">
        <v>126</v>
      </c>
      <c r="D132" t="s">
        <v>127</v>
      </c>
      <c r="E132" t="s">
        <v>103</v>
      </c>
      <c r="F132" t="s">
        <v>140</v>
      </c>
      <c r="G132" t="s">
        <v>20</v>
      </c>
      <c r="H132" t="s">
        <v>20</v>
      </c>
      <c r="I132" t="s">
        <v>105</v>
      </c>
      <c r="J132">
        <v>154220338</v>
      </c>
      <c r="K132" t="s">
        <v>636</v>
      </c>
      <c r="L132" t="s">
        <v>143</v>
      </c>
      <c r="M132" t="str">
        <f>_xlfn.XLOOKUP(Portefeuille_MNT_PPS_Access26[[#This Row],[Numéro projet]], Portefeuille_MNT_PPS_Access20[Numéro projet], Portefeuille_MNT_PPS_Access20[Année DÉBUT Travaux prévu], "")</f>
        <v/>
      </c>
      <c r="N132">
        <v>2030</v>
      </c>
      <c r="O132" t="s">
        <v>295</v>
      </c>
      <c r="P132" t="s">
        <v>155</v>
      </c>
      <c r="Q132" s="1">
        <v>46266</v>
      </c>
      <c r="R132" s="1">
        <v>46631</v>
      </c>
      <c r="S132" s="1">
        <v>46997</v>
      </c>
      <c r="T13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5.Respect OPC</v>
      </c>
      <c r="U13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5.Respect OPC</v>
      </c>
      <c r="V13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5.Respect OPC</v>
      </c>
      <c r="W13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12</v>
      </c>
      <c r="X13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12</v>
      </c>
      <c r="Y132">
        <f>Portefeuille_MNT_PPS_Access26[[#This Row],[Délais PC1 et PC3]]+Portefeuille_MNT_PPS_Access26[[#This Row],[Délais PC3 et PC5]]</f>
        <v>24</v>
      </c>
      <c r="Z132">
        <v>1</v>
      </c>
      <c r="AA132">
        <v>1</v>
      </c>
      <c r="AB13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1</v>
      </c>
      <c r="AC132" s="12" t="e">
        <f>_xlfn.XLOOKUP(Portefeuille_MNT_PPS_Access26[[#This Row],[Numéro projet]],Tableau5[Numéro projet],Tableau5[IND_Site_Prioritaire])</f>
        <v>#N/A</v>
      </c>
      <c r="AD132" s="2" t="e">
        <f>_xlfn.XLOOKUP(Portefeuille_MNT_PPS_Access26[[#This Row],[Numéro projet]],Tableau5[Numéro projet],Tableau5[Critère Etat Infrastructure])</f>
        <v>#N/A</v>
      </c>
      <c r="AE132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F132">
        <v>1</v>
      </c>
      <c r="AG132">
        <v>1</v>
      </c>
      <c r="AH132" t="s">
        <v>156</v>
      </c>
      <c r="AI132" s="2"/>
      <c r="AJ132" s="2"/>
      <c r="AN132"/>
      <c r="AU132">
        <v>375</v>
      </c>
      <c r="AW132">
        <v>375</v>
      </c>
      <c r="AX132"/>
      <c r="AY132">
        <v>750</v>
      </c>
      <c r="AZ132">
        <v>10000</v>
      </c>
      <c r="BA132">
        <v>875</v>
      </c>
      <c r="BB132">
        <v>10000</v>
      </c>
      <c r="BC132">
        <v>1250</v>
      </c>
      <c r="BD132">
        <v>15000</v>
      </c>
      <c r="BE132">
        <v>500</v>
      </c>
      <c r="BF132">
        <v>17000</v>
      </c>
      <c r="BG132">
        <v>1000</v>
      </c>
      <c r="BH132">
        <v>59000</v>
      </c>
      <c r="BK132" s="14">
        <f>SUM(Portefeuille_MNT_PPS_Access26[[#This Row],[AC ANT]:[TR 2035]])</f>
        <v>116125</v>
      </c>
    </row>
    <row r="133" spans="1:63" x14ac:dyDescent="0.3">
      <c r="A133" t="s">
        <v>286</v>
      </c>
      <c r="C133" t="s">
        <v>101</v>
      </c>
      <c r="D133" t="s">
        <v>102</v>
      </c>
      <c r="E133" t="s">
        <v>389</v>
      </c>
      <c r="G133" t="s">
        <v>20</v>
      </c>
      <c r="H133" t="s">
        <v>20</v>
      </c>
      <c r="I133" t="s">
        <v>105</v>
      </c>
      <c r="J133">
        <v>154220360</v>
      </c>
      <c r="K133" t="s">
        <v>433</v>
      </c>
      <c r="L133" t="s">
        <v>143</v>
      </c>
      <c r="M133">
        <f>_xlfn.XLOOKUP(Portefeuille_MNT_PPS_Access26[[#This Row],[Numéro projet]], Portefeuille_MNT_PPS_Access20[Numéro projet], Portefeuille_MNT_PPS_Access20[Année DÉBUT Travaux prévu], "")</f>
        <v>2031</v>
      </c>
      <c r="N133">
        <v>2031</v>
      </c>
      <c r="O133">
        <f>Portefeuille_MNT_PPS_Access26[[#This Row],[Année DÉBUT Travaux proposée]]-Portefeuille_MNT_PPS_Access26[[#This Row],[Année DÉBUT Travaux prévu]]</f>
        <v>0</v>
      </c>
      <c r="P133" t="s">
        <v>291</v>
      </c>
      <c r="Q133" s="1"/>
      <c r="R133" s="1"/>
      <c r="S133" s="1"/>
      <c r="T13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3">
        <f>Portefeuille_MNT_PPS_Access26[[#This Row],[Délais PC1 et PC3]]+Portefeuille_MNT_PPS_Access26[[#This Row],[Délais PC3 et PC5]]</f>
        <v>0</v>
      </c>
      <c r="Z133">
        <v>1</v>
      </c>
      <c r="AB13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3" s="12">
        <f>_xlfn.XLOOKUP(Portefeuille_MNT_PPS_Access26[[#This Row],[Numéro projet]],Tableau5[Numéro projet],Tableau5[IND_Site_Prioritaire])</f>
        <v>4.333333333333333</v>
      </c>
      <c r="AD133" s="2">
        <f>_xlfn.XLOOKUP(Portefeuille_MNT_PPS_Access26[[#This Row],[Numéro projet]],Tableau5[Numéro projet],Tableau5[Critère Etat Infrastructure])</f>
        <v>4</v>
      </c>
      <c r="AE13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H133" t="s">
        <v>311</v>
      </c>
      <c r="AI133" s="2"/>
      <c r="AJ133" s="2"/>
      <c r="AN133"/>
      <c r="AX133"/>
      <c r="AY133">
        <v>100</v>
      </c>
      <c r="BA133">
        <v>200</v>
      </c>
      <c r="BB133">
        <v>5000</v>
      </c>
      <c r="BK133" s="14">
        <f>SUM(Portefeuille_MNT_PPS_Access26[[#This Row],[AC ANT]:[TR 2035]])</f>
        <v>5300</v>
      </c>
    </row>
    <row r="134" spans="1:63" x14ac:dyDescent="0.3">
      <c r="A134" t="s">
        <v>286</v>
      </c>
      <c r="C134" t="s">
        <v>101</v>
      </c>
      <c r="D134" t="s">
        <v>102</v>
      </c>
      <c r="E134" t="s">
        <v>136</v>
      </c>
      <c r="F134" t="s">
        <v>104</v>
      </c>
      <c r="G134" t="s">
        <v>20</v>
      </c>
      <c r="H134" t="s">
        <v>20</v>
      </c>
      <c r="I134" t="s">
        <v>105</v>
      </c>
      <c r="J134">
        <v>154160749</v>
      </c>
      <c r="K134" t="s">
        <v>369</v>
      </c>
      <c r="L134" t="s">
        <v>217</v>
      </c>
      <c r="M134">
        <f>_xlfn.XLOOKUP(Portefeuille_MNT_PPS_Access26[[#This Row],[Numéro projet]], Portefeuille_MNT_PPS_Access20[Numéro projet], Portefeuille_MNT_PPS_Access20[Année DÉBUT Travaux prévu], "")</f>
        <v>2031</v>
      </c>
      <c r="N134">
        <v>2031</v>
      </c>
      <c r="O134">
        <f>Portefeuille_MNT_PPS_Access26[[#This Row],[Année DÉBUT Travaux proposée]]-Portefeuille_MNT_PPS_Access26[[#This Row],[Année DÉBUT Travaux prévu]]</f>
        <v>0</v>
      </c>
      <c r="P134" t="s">
        <v>291</v>
      </c>
      <c r="Q134" s="1"/>
      <c r="R134" s="1"/>
      <c r="S134" s="1"/>
      <c r="T13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4">
        <f>Portefeuille_MNT_PPS_Access26[[#This Row],[Délais PC1 et PC3]]+Portefeuille_MNT_PPS_Access26[[#This Row],[Délais PC3 et PC5]]</f>
        <v>0</v>
      </c>
      <c r="Z134">
        <v>1</v>
      </c>
      <c r="AB13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4" s="12">
        <f>_xlfn.XLOOKUP(Portefeuille_MNT_PPS_Access26[[#This Row],[Numéro projet]],Tableau5[Numéro projet],Tableau5[IND_Site_Prioritaire])</f>
        <v>2.3333333333333335</v>
      </c>
      <c r="AD134" s="2">
        <f>_xlfn.XLOOKUP(Portefeuille_MNT_PPS_Access26[[#This Row],[Numéro projet]],Tableau5[Numéro projet],Tableau5[Critère Etat Infrastructure])</f>
        <v>5</v>
      </c>
      <c r="AE13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41.666666666666671</v>
      </c>
      <c r="AH134" t="s">
        <v>311</v>
      </c>
      <c r="AI134" s="2"/>
      <c r="AJ134" s="2"/>
      <c r="AN134"/>
      <c r="AS134">
        <v>250</v>
      </c>
      <c r="AU134">
        <v>250</v>
      </c>
      <c r="AW134">
        <v>200</v>
      </c>
      <c r="AX134"/>
      <c r="AY134">
        <v>200</v>
      </c>
      <c r="BA134">
        <v>500</v>
      </c>
      <c r="BB134">
        <v>5700</v>
      </c>
      <c r="BC134">
        <v>500</v>
      </c>
      <c r="BD134">
        <v>5500</v>
      </c>
      <c r="BE134">
        <v>500</v>
      </c>
      <c r="BF134">
        <v>6700</v>
      </c>
      <c r="BK134" s="14">
        <f>SUM(Portefeuille_MNT_PPS_Access26[[#This Row],[AC ANT]:[TR 2035]])</f>
        <v>20300</v>
      </c>
    </row>
    <row r="135" spans="1:63" x14ac:dyDescent="0.3">
      <c r="A135" t="s">
        <v>286</v>
      </c>
      <c r="C135" t="s">
        <v>118</v>
      </c>
      <c r="D135" t="s">
        <v>102</v>
      </c>
      <c r="E135" t="s">
        <v>136</v>
      </c>
      <c r="F135" t="s">
        <v>104</v>
      </c>
      <c r="G135" t="s">
        <v>130</v>
      </c>
      <c r="H135" t="s">
        <v>20</v>
      </c>
      <c r="I135" t="s">
        <v>105</v>
      </c>
      <c r="J135">
        <v>154061990</v>
      </c>
      <c r="K135" t="s">
        <v>365</v>
      </c>
      <c r="L135" t="s">
        <v>205</v>
      </c>
      <c r="M135" s="103">
        <f>_xlfn.XLOOKUP(Portefeuille_MNT_PPS_Access26[[#This Row],[Numéro projet]], Portefeuille_MNT_PPS_Access20[Numéro projet], Portefeuille_MNT_PPS_Access20[Année DÉBUT Travaux prévu], "")</f>
        <v>2030</v>
      </c>
      <c r="N135" s="103">
        <v>2031</v>
      </c>
      <c r="O135" s="103">
        <f>Portefeuille_MNT_PPS_Access26[[#This Row],[Année DÉBUT Travaux proposée]]-Portefeuille_MNT_PPS_Access26[[#This Row],[Année DÉBUT Travaux prévu]]</f>
        <v>1</v>
      </c>
      <c r="P135" t="s">
        <v>291</v>
      </c>
      <c r="Q135" s="1"/>
      <c r="R135" s="1"/>
      <c r="S135" s="1"/>
      <c r="T13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5">
        <f>Portefeuille_MNT_PPS_Access26[[#This Row],[Délais PC1 et PC3]]+Portefeuille_MNT_PPS_Access26[[#This Row],[Délais PC3 et PC5]]</f>
        <v>0</v>
      </c>
      <c r="Z135">
        <v>1</v>
      </c>
      <c r="AB13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5" s="12">
        <f>_xlfn.XLOOKUP(Portefeuille_MNT_PPS_Access26[[#This Row],[Numéro projet]],Tableau5[Numéro projet],Tableau5[IND_Site_Prioritaire])</f>
        <v>3.3333333333333335</v>
      </c>
      <c r="AD135" s="2">
        <f>_xlfn.XLOOKUP(Portefeuille_MNT_PPS_Access26[[#This Row],[Numéro projet]],Tableau5[Numéro projet],Tableau5[Critère Etat Infrastructure])</f>
        <v>5</v>
      </c>
      <c r="AE13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46.666666666666664</v>
      </c>
      <c r="AH135" t="s">
        <v>311</v>
      </c>
      <c r="AI135" s="2"/>
      <c r="AJ135" s="2"/>
      <c r="AN135"/>
      <c r="AU135">
        <v>200</v>
      </c>
      <c r="AW135">
        <v>200</v>
      </c>
      <c r="AX135"/>
      <c r="AY135">
        <v>400</v>
      </c>
      <c r="BA135">
        <v>400</v>
      </c>
      <c r="BB135">
        <v>4500</v>
      </c>
      <c r="BC135">
        <v>400</v>
      </c>
      <c r="BD135">
        <v>7000</v>
      </c>
      <c r="BE135">
        <v>400</v>
      </c>
      <c r="BF135">
        <v>7000</v>
      </c>
      <c r="BK135" s="14">
        <f>SUM(Portefeuille_MNT_PPS_Access26[[#This Row],[AC ANT]:[TR 2035]])</f>
        <v>20500</v>
      </c>
    </row>
    <row r="136" spans="1:63" x14ac:dyDescent="0.3">
      <c r="A136" t="s">
        <v>286</v>
      </c>
      <c r="C136" t="s">
        <v>118</v>
      </c>
      <c r="D136" t="s">
        <v>102</v>
      </c>
      <c r="E136" t="s">
        <v>103</v>
      </c>
      <c r="G136" t="s">
        <v>20</v>
      </c>
      <c r="H136" t="s">
        <v>20</v>
      </c>
      <c r="I136" t="s">
        <v>131</v>
      </c>
      <c r="J136">
        <v>154171401</v>
      </c>
      <c r="K136" t="s">
        <v>372</v>
      </c>
      <c r="L136" t="s">
        <v>152</v>
      </c>
      <c r="M136" s="103">
        <f>_xlfn.XLOOKUP(Portefeuille_MNT_PPS_Access26[[#This Row],[Numéro projet]], Portefeuille_MNT_PPS_Access20[Numéro projet], Portefeuille_MNT_PPS_Access20[Année DÉBUT Travaux prévu], "")</f>
        <v>2030</v>
      </c>
      <c r="N136" s="103">
        <v>2031</v>
      </c>
      <c r="O136" s="103">
        <f>Portefeuille_MNT_PPS_Access26[[#This Row],[Année DÉBUT Travaux proposée]]-Portefeuille_MNT_PPS_Access26[[#This Row],[Année DÉBUT Travaux prévu]]</f>
        <v>1</v>
      </c>
      <c r="P136" t="s">
        <v>291</v>
      </c>
      <c r="Q136" s="1"/>
      <c r="R136" s="1"/>
      <c r="S136" s="1"/>
      <c r="T13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6">
        <f>Portefeuille_MNT_PPS_Access26[[#This Row],[Délais PC1 et PC3]]+Portefeuille_MNT_PPS_Access26[[#This Row],[Délais PC3 et PC5]]</f>
        <v>0</v>
      </c>
      <c r="Z136">
        <v>1</v>
      </c>
      <c r="AB13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6" s="12">
        <f>_xlfn.XLOOKUP(Portefeuille_MNT_PPS_Access26[[#This Row],[Numéro projet]],Tableau5[Numéro projet],Tableau5[IND_Site_Prioritaire])</f>
        <v>3.6666666666666665</v>
      </c>
      <c r="AD136" s="2">
        <f>_xlfn.XLOOKUP(Portefeuille_MNT_PPS_Access26[[#This Row],[Numéro projet]],Tableau5[Numéro projet],Tableau5[Critère Etat Infrastructure])</f>
        <v>4</v>
      </c>
      <c r="AE13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43.333333333333329</v>
      </c>
      <c r="AH136" t="s">
        <v>311</v>
      </c>
      <c r="AI136" s="2"/>
      <c r="AJ136" s="2"/>
      <c r="AN136"/>
      <c r="AW136">
        <v>100</v>
      </c>
      <c r="AX136"/>
      <c r="AY136">
        <v>200</v>
      </c>
      <c r="BA136">
        <v>450</v>
      </c>
      <c r="BB136">
        <v>7500</v>
      </c>
      <c r="BK136" s="14">
        <f>SUM(Portefeuille_MNT_PPS_Access26[[#This Row],[AC ANT]:[TR 2035]])</f>
        <v>8250</v>
      </c>
    </row>
    <row r="137" spans="1:63" x14ac:dyDescent="0.3">
      <c r="A137" t="s">
        <v>286</v>
      </c>
      <c r="C137" t="s">
        <v>118</v>
      </c>
      <c r="D137" t="s">
        <v>102</v>
      </c>
      <c r="E137" t="s">
        <v>177</v>
      </c>
      <c r="G137" t="s">
        <v>20</v>
      </c>
      <c r="H137" t="s">
        <v>20</v>
      </c>
      <c r="I137" t="s">
        <v>131</v>
      </c>
      <c r="J137">
        <v>154240787</v>
      </c>
      <c r="K137" t="s">
        <v>523</v>
      </c>
      <c r="L137" t="s">
        <v>187</v>
      </c>
      <c r="M137" s="103">
        <f>_xlfn.XLOOKUP(Portefeuille_MNT_PPS_Access26[[#This Row],[Numéro projet]], Portefeuille_MNT_PPS_Access20[Numéro projet], Portefeuille_MNT_PPS_Access20[Année DÉBUT Travaux prévu], "")</f>
        <v>2029</v>
      </c>
      <c r="N137" s="103">
        <v>2031</v>
      </c>
      <c r="O137" s="103">
        <f>Portefeuille_MNT_PPS_Access26[[#This Row],[Année DÉBUT Travaux proposée]]-Portefeuille_MNT_PPS_Access26[[#This Row],[Année DÉBUT Travaux prévu]]</f>
        <v>2</v>
      </c>
      <c r="P137" t="s">
        <v>291</v>
      </c>
      <c r="Q137" s="1"/>
      <c r="R137" s="1"/>
      <c r="S137" s="1"/>
      <c r="T13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7">
        <f>Portefeuille_MNT_PPS_Access26[[#This Row],[Délais PC1 et PC3]]+Portefeuille_MNT_PPS_Access26[[#This Row],[Délais PC3 et PC5]]</f>
        <v>0</v>
      </c>
      <c r="Z137">
        <v>1</v>
      </c>
      <c r="AB13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7" s="12" t="e">
        <f>_xlfn.XLOOKUP(Portefeuille_MNT_PPS_Access26[[#This Row],[Numéro projet]],Tableau5[Numéro projet],Tableau5[IND_Site_Prioritaire])</f>
        <v>#N/A</v>
      </c>
      <c r="AD137" s="2" t="e">
        <f>_xlfn.XLOOKUP(Portefeuille_MNT_PPS_Access26[[#This Row],[Numéro projet]],Tableau5[Numéro projet],Tableau5[Critère Etat Infrastructure])</f>
        <v>#N/A</v>
      </c>
      <c r="AE137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137" t="s">
        <v>311</v>
      </c>
      <c r="AI137" s="2"/>
      <c r="AJ137" s="2"/>
      <c r="AN137"/>
      <c r="AW137">
        <v>50</v>
      </c>
      <c r="AX137"/>
      <c r="AY137">
        <v>50</v>
      </c>
      <c r="BA137">
        <v>100</v>
      </c>
      <c r="BB137">
        <v>2000</v>
      </c>
      <c r="BK137" s="14">
        <f>SUM(Portefeuille_MNT_PPS_Access26[[#This Row],[AC ANT]:[TR 2035]])</f>
        <v>2200</v>
      </c>
    </row>
    <row r="138" spans="1:63" x14ac:dyDescent="0.3">
      <c r="A138" t="s">
        <v>286</v>
      </c>
      <c r="C138" t="s">
        <v>118</v>
      </c>
      <c r="D138" t="s">
        <v>102</v>
      </c>
      <c r="E138" t="s">
        <v>103</v>
      </c>
      <c r="G138" t="s">
        <v>20</v>
      </c>
      <c r="H138" t="s">
        <v>20</v>
      </c>
      <c r="I138" t="s">
        <v>131</v>
      </c>
      <c r="J138">
        <v>154220352</v>
      </c>
      <c r="K138" t="s">
        <v>530</v>
      </c>
      <c r="L138" t="s">
        <v>420</v>
      </c>
      <c r="M138">
        <f>_xlfn.XLOOKUP(Portefeuille_MNT_PPS_Access26[[#This Row],[Numéro projet]], Portefeuille_MNT_PPS_Access20[Numéro projet], Portefeuille_MNT_PPS_Access20[Année DÉBUT Travaux prévu], "")</f>
        <v>2032</v>
      </c>
      <c r="N138">
        <v>2032</v>
      </c>
      <c r="O138">
        <f>Portefeuille_MNT_PPS_Access26[[#This Row],[Année DÉBUT Travaux proposée]]-Portefeuille_MNT_PPS_Access26[[#This Row],[Année DÉBUT Travaux prévu]]</f>
        <v>0</v>
      </c>
      <c r="P138" t="s">
        <v>291</v>
      </c>
      <c r="Q138" s="1"/>
      <c r="R138" s="1"/>
      <c r="S138" s="1"/>
      <c r="T13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8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8">
        <f>Portefeuille_MNT_PPS_Access26[[#This Row],[Délais PC1 et PC3]]+Portefeuille_MNT_PPS_Access26[[#This Row],[Délais PC3 et PC5]]</f>
        <v>0</v>
      </c>
      <c r="Z138">
        <v>1</v>
      </c>
      <c r="AB13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8" s="12">
        <f>_xlfn.XLOOKUP(Portefeuille_MNT_PPS_Access26[[#This Row],[Numéro projet]],Tableau5[Numéro projet],Tableau5[IND_Site_Prioritaire])</f>
        <v>3.6666666666666665</v>
      </c>
      <c r="AD138" s="2">
        <f>_xlfn.XLOOKUP(Portefeuille_MNT_PPS_Access26[[#This Row],[Numéro projet]],Tableau5[Numéro projet],Tableau5[Critère Etat Infrastructure])</f>
        <v>4</v>
      </c>
      <c r="AE13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43.333333333333329</v>
      </c>
      <c r="AH138" t="s">
        <v>311</v>
      </c>
      <c r="AI138" s="2"/>
      <c r="AJ138" s="2"/>
      <c r="AN138"/>
      <c r="AX138"/>
      <c r="AY138">
        <v>100</v>
      </c>
      <c r="BA138">
        <v>200</v>
      </c>
      <c r="BC138">
        <v>450</v>
      </c>
      <c r="BD138">
        <v>7500</v>
      </c>
      <c r="BK138" s="14">
        <f>SUM(Portefeuille_MNT_PPS_Access26[[#This Row],[AC ANT]:[TR 2035]])</f>
        <v>8250</v>
      </c>
    </row>
    <row r="139" spans="1:63" x14ac:dyDescent="0.3">
      <c r="A139" t="s">
        <v>286</v>
      </c>
      <c r="C139" t="s">
        <v>101</v>
      </c>
      <c r="D139" t="s">
        <v>102</v>
      </c>
      <c r="E139" t="s">
        <v>136</v>
      </c>
      <c r="G139" t="s">
        <v>20</v>
      </c>
      <c r="H139" t="s">
        <v>20</v>
      </c>
      <c r="I139" t="s">
        <v>105</v>
      </c>
      <c r="J139">
        <v>154240501</v>
      </c>
      <c r="K139" t="s">
        <v>455</v>
      </c>
      <c r="L139" t="s">
        <v>143</v>
      </c>
      <c r="M139" s="103">
        <f>_xlfn.XLOOKUP(Portefeuille_MNT_PPS_Access26[[#This Row],[Numéro projet]], Portefeuille_MNT_PPS_Access20[Numéro projet], Portefeuille_MNT_PPS_Access20[Année DÉBUT Travaux prévu], "")</f>
        <v>2031</v>
      </c>
      <c r="N139" s="103">
        <v>2032</v>
      </c>
      <c r="O139">
        <f>Portefeuille_MNT_PPS_Access26[[#This Row],[Année DÉBUT Travaux proposée]]-Portefeuille_MNT_PPS_Access26[[#This Row],[Année DÉBUT Travaux prévu]]</f>
        <v>1</v>
      </c>
      <c r="P139" t="s">
        <v>291</v>
      </c>
      <c r="Q139" s="1"/>
      <c r="R139" s="1"/>
      <c r="S139" s="1"/>
      <c r="T13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3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3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3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3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39">
        <f>Portefeuille_MNT_PPS_Access26[[#This Row],[Délais PC1 et PC3]]+Portefeuille_MNT_PPS_Access26[[#This Row],[Délais PC3 et PC5]]</f>
        <v>0</v>
      </c>
      <c r="Z139">
        <v>1</v>
      </c>
      <c r="AB13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39" s="12">
        <f>_xlfn.XLOOKUP(Portefeuille_MNT_PPS_Access26[[#This Row],[Numéro projet]],Tableau5[Numéro projet],Tableau5[IND_Site_Prioritaire])</f>
        <v>4.333333333333333</v>
      </c>
      <c r="AD139" s="2">
        <f>_xlfn.XLOOKUP(Portefeuille_MNT_PPS_Access26[[#This Row],[Numéro projet]],Tableau5[Numéro projet],Tableau5[Critère Etat Infrastructure])</f>
        <v>2</v>
      </c>
      <c r="AE13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36.666666666666664</v>
      </c>
      <c r="AH139" t="s">
        <v>311</v>
      </c>
      <c r="AI139" s="2"/>
      <c r="AJ139" s="2"/>
      <c r="AN139"/>
      <c r="AW139">
        <v>150</v>
      </c>
      <c r="AX139"/>
      <c r="AY139">
        <v>150</v>
      </c>
      <c r="BA139">
        <v>500</v>
      </c>
      <c r="BC139">
        <v>500</v>
      </c>
      <c r="BD139">
        <v>5000</v>
      </c>
      <c r="BE139">
        <v>500</v>
      </c>
      <c r="BF139">
        <v>5000</v>
      </c>
      <c r="BK139" s="14">
        <f>SUM(Portefeuille_MNT_PPS_Access26[[#This Row],[AC ANT]:[TR 2035]])</f>
        <v>11800</v>
      </c>
    </row>
    <row r="140" spans="1:63" x14ac:dyDescent="0.3">
      <c r="A140" t="s">
        <v>286</v>
      </c>
      <c r="C140" t="s">
        <v>126</v>
      </c>
      <c r="D140" t="s">
        <v>127</v>
      </c>
      <c r="E140" t="s">
        <v>103</v>
      </c>
      <c r="F140" t="s">
        <v>113</v>
      </c>
      <c r="G140" t="s">
        <v>20</v>
      </c>
      <c r="H140" t="s">
        <v>20</v>
      </c>
      <c r="I140" t="s">
        <v>105</v>
      </c>
      <c r="J140">
        <v>154230840</v>
      </c>
      <c r="K140" t="s">
        <v>526</v>
      </c>
      <c r="L140" t="s">
        <v>168</v>
      </c>
      <c r="M140" s="103">
        <f>_xlfn.XLOOKUP(Portefeuille_MNT_PPS_Access26[[#This Row],[Numéro projet]], Portefeuille_MNT_PPS_Access20[Numéro projet], Portefeuille_MNT_PPS_Access20[Année DÉBUT Travaux prévu], "")</f>
        <v>2030</v>
      </c>
      <c r="N140" s="103">
        <v>2032</v>
      </c>
      <c r="O140" s="103">
        <f>Portefeuille_MNT_PPS_Access26[[#This Row],[Année DÉBUT Travaux proposée]]-Portefeuille_MNT_PPS_Access26[[#This Row],[Année DÉBUT Travaux prévu]]</f>
        <v>2</v>
      </c>
      <c r="P140" t="s">
        <v>291</v>
      </c>
      <c r="Q140" s="1"/>
      <c r="R140" s="1"/>
      <c r="S140" s="1"/>
      <c r="T14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0">
        <f>Portefeuille_MNT_PPS_Access26[[#This Row],[Délais PC1 et PC3]]+Portefeuille_MNT_PPS_Access26[[#This Row],[Délais PC3 et PC5]]</f>
        <v>0</v>
      </c>
      <c r="Z140">
        <v>1</v>
      </c>
      <c r="AB14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0" s="12">
        <f>_xlfn.XLOOKUP(Portefeuille_MNT_PPS_Access26[[#This Row],[Numéro projet]],Tableau5[Numéro projet],Tableau5[IND_Site_Prioritaire])</f>
        <v>3.3333333333333335</v>
      </c>
      <c r="AD140" s="2">
        <f>_xlfn.XLOOKUP(Portefeuille_MNT_PPS_Access26[[#This Row],[Numéro projet]],Tableau5[Numéro projet],Tableau5[Critère Etat Infrastructure])</f>
        <v>1</v>
      </c>
      <c r="AE14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26.666666666666668</v>
      </c>
      <c r="AH140" t="s">
        <v>311</v>
      </c>
      <c r="AI140" s="2"/>
      <c r="AJ140" s="2"/>
      <c r="AN140"/>
      <c r="AX140"/>
      <c r="AY140">
        <v>200</v>
      </c>
      <c r="BA140">
        <v>200</v>
      </c>
      <c r="BC140">
        <v>500</v>
      </c>
      <c r="BD140">
        <v>7500</v>
      </c>
      <c r="BE140">
        <v>500</v>
      </c>
      <c r="BF140">
        <v>7500</v>
      </c>
      <c r="BK140" s="14">
        <f>SUM(Portefeuille_MNT_PPS_Access26[[#This Row],[AC ANT]:[TR 2035]])</f>
        <v>16400</v>
      </c>
    </row>
    <row r="141" spans="1:63" x14ac:dyDescent="0.3">
      <c r="A141" t="s">
        <v>286</v>
      </c>
      <c r="C141" t="s">
        <v>118</v>
      </c>
      <c r="D141" t="s">
        <v>102</v>
      </c>
      <c r="E141" t="s">
        <v>136</v>
      </c>
      <c r="G141" t="s">
        <v>20</v>
      </c>
      <c r="H141" t="s">
        <v>20</v>
      </c>
      <c r="I141" t="s">
        <v>131</v>
      </c>
      <c r="J141">
        <v>154240509</v>
      </c>
      <c r="K141" t="s">
        <v>471</v>
      </c>
      <c r="L141" t="s">
        <v>191</v>
      </c>
      <c r="M141" s="103">
        <f>_xlfn.XLOOKUP(Portefeuille_MNT_PPS_Access26[[#This Row],[Numéro projet]], Portefeuille_MNT_PPS_Access20[Numéro projet], Portefeuille_MNT_PPS_Access20[Année DÉBUT Travaux prévu], "")</f>
        <v>2031</v>
      </c>
      <c r="N141" s="103">
        <v>2032</v>
      </c>
      <c r="O141">
        <f>Portefeuille_MNT_PPS_Access26[[#This Row],[Année DÉBUT Travaux proposée]]-Portefeuille_MNT_PPS_Access26[[#This Row],[Année DÉBUT Travaux prévu]]</f>
        <v>1</v>
      </c>
      <c r="P141" t="s">
        <v>291</v>
      </c>
      <c r="Q141" s="1"/>
      <c r="R141" s="1"/>
      <c r="S141" s="1"/>
      <c r="T14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1">
        <f>Portefeuille_MNT_PPS_Access26[[#This Row],[Délais PC1 et PC3]]+Portefeuille_MNT_PPS_Access26[[#This Row],[Délais PC3 et PC5]]</f>
        <v>0</v>
      </c>
      <c r="Z141">
        <v>1</v>
      </c>
      <c r="AB14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1" s="12">
        <f>_xlfn.XLOOKUP(Portefeuille_MNT_PPS_Access26[[#This Row],[Numéro projet]],Tableau5[Numéro projet],Tableau5[IND_Site_Prioritaire])</f>
        <v>1.6666666666666667</v>
      </c>
      <c r="AD141" s="2">
        <f>_xlfn.XLOOKUP(Portefeuille_MNT_PPS_Access26[[#This Row],[Numéro projet]],Tableau5[Numéro projet],Tableau5[Critère Etat Infrastructure])</f>
        <v>5</v>
      </c>
      <c r="AE141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38.333333333333336</v>
      </c>
      <c r="AH141" t="s">
        <v>311</v>
      </c>
      <c r="AI141" s="2"/>
      <c r="AJ141" s="2"/>
      <c r="AN141"/>
      <c r="AW141">
        <v>100</v>
      </c>
      <c r="AX141"/>
      <c r="AY141">
        <v>100</v>
      </c>
      <c r="BA141">
        <v>200</v>
      </c>
      <c r="BC141">
        <v>500</v>
      </c>
      <c r="BD141">
        <v>3000</v>
      </c>
      <c r="BE141">
        <v>500</v>
      </c>
      <c r="BF141">
        <v>3000</v>
      </c>
      <c r="BK141" s="14">
        <f>SUM(Portefeuille_MNT_PPS_Access26[[#This Row],[AC ANT]:[TR 2035]])</f>
        <v>7400</v>
      </c>
    </row>
    <row r="142" spans="1:63" x14ac:dyDescent="0.3">
      <c r="A142" t="s">
        <v>286</v>
      </c>
      <c r="C142" t="s">
        <v>118</v>
      </c>
      <c r="D142" t="s">
        <v>102</v>
      </c>
      <c r="E142" t="s">
        <v>389</v>
      </c>
      <c r="G142" t="s">
        <v>20</v>
      </c>
      <c r="H142" t="s">
        <v>20</v>
      </c>
      <c r="I142" t="s">
        <v>105</v>
      </c>
      <c r="J142">
        <v>154220358</v>
      </c>
      <c r="K142" t="s">
        <v>425</v>
      </c>
      <c r="L142" t="s">
        <v>205</v>
      </c>
      <c r="M142">
        <f>_xlfn.XLOOKUP(Portefeuille_MNT_PPS_Access26[[#This Row],[Numéro projet]], Portefeuille_MNT_PPS_Access20[Numéro projet], Portefeuille_MNT_PPS_Access20[Année DÉBUT Travaux prévu], "")</f>
        <v>2033</v>
      </c>
      <c r="N142">
        <v>2033</v>
      </c>
      <c r="O142">
        <f>Portefeuille_MNT_PPS_Access26[[#This Row],[Année DÉBUT Travaux proposée]]-Portefeuille_MNT_PPS_Access26[[#This Row],[Année DÉBUT Travaux prévu]]</f>
        <v>0</v>
      </c>
      <c r="P142" t="s">
        <v>291</v>
      </c>
      <c r="Q142" s="1"/>
      <c r="R142" s="1"/>
      <c r="S142" s="1"/>
      <c r="T14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2">
        <f>Portefeuille_MNT_PPS_Access26[[#This Row],[Délais PC1 et PC3]]+Portefeuille_MNT_PPS_Access26[[#This Row],[Délais PC3 et PC5]]</f>
        <v>0</v>
      </c>
      <c r="Z142">
        <v>1</v>
      </c>
      <c r="AB14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2" s="12">
        <f>_xlfn.XLOOKUP(Portefeuille_MNT_PPS_Access26[[#This Row],[Numéro projet]],Tableau5[Numéro projet],Tableau5[IND_Site_Prioritaire])</f>
        <v>3.3333333333333335</v>
      </c>
      <c r="AD142" s="2">
        <f>_xlfn.XLOOKUP(Portefeuille_MNT_PPS_Access26[[#This Row],[Numéro projet]],Tableau5[Numéro projet],Tableau5[Critère Etat Infrastructure])</f>
        <v>3</v>
      </c>
      <c r="AE14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36.666666666666664</v>
      </c>
      <c r="AH142" t="s">
        <v>311</v>
      </c>
      <c r="AI142" s="2"/>
      <c r="AJ142" s="2"/>
      <c r="AN142"/>
      <c r="AX142"/>
      <c r="BA142">
        <v>100</v>
      </c>
      <c r="BC142">
        <v>100</v>
      </c>
      <c r="BE142">
        <v>200</v>
      </c>
      <c r="BF142">
        <v>5000</v>
      </c>
      <c r="BK142" s="14">
        <f>SUM(Portefeuille_MNT_PPS_Access26[[#This Row],[AC ANT]:[TR 2035]])</f>
        <v>5400</v>
      </c>
    </row>
    <row r="143" spans="1:63" x14ac:dyDescent="0.3">
      <c r="A143" t="s">
        <v>286</v>
      </c>
      <c r="C143" t="s">
        <v>101</v>
      </c>
      <c r="D143" t="s">
        <v>102</v>
      </c>
      <c r="E143" t="s">
        <v>136</v>
      </c>
      <c r="G143" t="s">
        <v>20</v>
      </c>
      <c r="H143" t="s">
        <v>20</v>
      </c>
      <c r="I143" t="s">
        <v>105</v>
      </c>
      <c r="J143">
        <v>154240502</v>
      </c>
      <c r="K143" t="s">
        <v>457</v>
      </c>
      <c r="L143" t="s">
        <v>402</v>
      </c>
      <c r="M143">
        <f>_xlfn.XLOOKUP(Portefeuille_MNT_PPS_Access26[[#This Row],[Numéro projet]], Portefeuille_MNT_PPS_Access20[Numéro projet], Portefeuille_MNT_PPS_Access20[Année DÉBUT Travaux prévu], "")</f>
        <v>2033</v>
      </c>
      <c r="N143">
        <v>2033</v>
      </c>
      <c r="O143">
        <f>Portefeuille_MNT_PPS_Access26[[#This Row],[Année DÉBUT Travaux proposée]]-Portefeuille_MNT_PPS_Access26[[#This Row],[Année DÉBUT Travaux prévu]]</f>
        <v>0</v>
      </c>
      <c r="P143" t="s">
        <v>291</v>
      </c>
      <c r="Q143" s="1"/>
      <c r="R143" s="1"/>
      <c r="S143" s="1"/>
      <c r="T14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3">
        <f>Portefeuille_MNT_PPS_Access26[[#This Row],[Délais PC1 et PC3]]+Portefeuille_MNT_PPS_Access26[[#This Row],[Délais PC3 et PC5]]</f>
        <v>0</v>
      </c>
      <c r="Z143">
        <v>1</v>
      </c>
      <c r="AB14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3" s="12">
        <f>_xlfn.XLOOKUP(Portefeuille_MNT_PPS_Access26[[#This Row],[Numéro projet]],Tableau5[Numéro projet],Tableau5[IND_Site_Prioritaire])</f>
        <v>2.6666666666666665</v>
      </c>
      <c r="AD143" s="2">
        <f>_xlfn.XLOOKUP(Portefeuille_MNT_PPS_Access26[[#This Row],[Numéro projet]],Tableau5[Numéro projet],Tableau5[Critère Etat Infrastructure])</f>
        <v>2</v>
      </c>
      <c r="AE14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28.333333333333332</v>
      </c>
      <c r="AH143" t="s">
        <v>311</v>
      </c>
      <c r="AI143" s="2"/>
      <c r="AJ143" s="2"/>
      <c r="AN143"/>
      <c r="AX143"/>
      <c r="BC143">
        <v>150</v>
      </c>
      <c r="BE143">
        <v>150</v>
      </c>
      <c r="BG143">
        <v>500</v>
      </c>
      <c r="BH143">
        <v>6800</v>
      </c>
      <c r="BK143" s="14">
        <f>SUM(Portefeuille_MNT_PPS_Access26[[#This Row],[AC ANT]:[TR 2035]])</f>
        <v>7600</v>
      </c>
    </row>
    <row r="144" spans="1:63" x14ac:dyDescent="0.3">
      <c r="A144" t="s">
        <v>286</v>
      </c>
      <c r="C144" t="s">
        <v>101</v>
      </c>
      <c r="D144" t="s">
        <v>102</v>
      </c>
      <c r="E144" t="s">
        <v>136</v>
      </c>
      <c r="G144" t="s">
        <v>20</v>
      </c>
      <c r="H144" t="s">
        <v>20</v>
      </c>
      <c r="I144" t="s">
        <v>105</v>
      </c>
      <c r="J144">
        <v>154240503</v>
      </c>
      <c r="K144" t="s">
        <v>459</v>
      </c>
      <c r="L144" t="s">
        <v>239</v>
      </c>
      <c r="M144">
        <f>_xlfn.XLOOKUP(Portefeuille_MNT_PPS_Access26[[#This Row],[Numéro projet]], Portefeuille_MNT_PPS_Access20[Numéro projet], Portefeuille_MNT_PPS_Access20[Année DÉBUT Travaux prévu], "")</f>
        <v>2033</v>
      </c>
      <c r="N144">
        <v>2033</v>
      </c>
      <c r="O144">
        <f>Portefeuille_MNT_PPS_Access26[[#This Row],[Année DÉBUT Travaux proposée]]-Portefeuille_MNT_PPS_Access26[[#This Row],[Année DÉBUT Travaux prévu]]</f>
        <v>0</v>
      </c>
      <c r="P144" t="s">
        <v>291</v>
      </c>
      <c r="Q144" s="1"/>
      <c r="R144" s="1"/>
      <c r="S144" s="1"/>
      <c r="T14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4">
        <f>Portefeuille_MNT_PPS_Access26[[#This Row],[Délais PC1 et PC3]]+Portefeuille_MNT_PPS_Access26[[#This Row],[Délais PC3 et PC5]]</f>
        <v>0</v>
      </c>
      <c r="Z144">
        <v>1</v>
      </c>
      <c r="AB14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4" s="12">
        <f>_xlfn.XLOOKUP(Portefeuille_MNT_PPS_Access26[[#This Row],[Numéro projet]],Tableau5[Numéro projet],Tableau5[IND_Site_Prioritaire])</f>
        <v>3.3333333333333335</v>
      </c>
      <c r="AD144" s="2">
        <f>_xlfn.XLOOKUP(Portefeuille_MNT_PPS_Access26[[#This Row],[Numéro projet]],Tableau5[Numéro projet],Tableau5[Critère Etat Infrastructure])</f>
        <v>2</v>
      </c>
      <c r="AE144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31.666666666666671</v>
      </c>
      <c r="AH144" t="s">
        <v>311</v>
      </c>
      <c r="AI144" s="2"/>
      <c r="AJ144" s="2"/>
      <c r="AN144"/>
      <c r="AX144"/>
      <c r="BA144">
        <v>150</v>
      </c>
      <c r="BC144">
        <v>150</v>
      </c>
      <c r="BE144">
        <v>500</v>
      </c>
      <c r="BF144">
        <v>6500</v>
      </c>
      <c r="BK144" s="14">
        <f>SUM(Portefeuille_MNT_PPS_Access26[[#This Row],[AC ANT]:[TR 2035]])</f>
        <v>7300</v>
      </c>
    </row>
    <row r="145" spans="1:65" x14ac:dyDescent="0.3">
      <c r="A145" t="s">
        <v>286</v>
      </c>
      <c r="C145" t="s">
        <v>101</v>
      </c>
      <c r="D145" t="s">
        <v>102</v>
      </c>
      <c r="E145" t="s">
        <v>136</v>
      </c>
      <c r="G145" t="s">
        <v>20</v>
      </c>
      <c r="H145" t="s">
        <v>20</v>
      </c>
      <c r="I145" t="s">
        <v>105</v>
      </c>
      <c r="J145">
        <v>154240505</v>
      </c>
      <c r="K145" t="s">
        <v>463</v>
      </c>
      <c r="L145" t="s">
        <v>230</v>
      </c>
      <c r="M145">
        <f>_xlfn.XLOOKUP(Portefeuille_MNT_PPS_Access26[[#This Row],[Numéro projet]], Portefeuille_MNT_PPS_Access20[Numéro projet], Portefeuille_MNT_PPS_Access20[Année DÉBUT Travaux prévu], "")</f>
        <v>2033</v>
      </c>
      <c r="N145" s="2">
        <v>2033</v>
      </c>
      <c r="O145" s="2">
        <f>Portefeuille_MNT_PPS_Access26[[#This Row],[Année DÉBUT Travaux proposée]]-Portefeuille_MNT_PPS_Access26[[#This Row],[Année DÉBUT Travaux prévu]]</f>
        <v>0</v>
      </c>
      <c r="P145" t="s">
        <v>291</v>
      </c>
      <c r="Q145" s="1"/>
      <c r="R145" s="1"/>
      <c r="S145" s="1"/>
      <c r="T14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5">
        <f>Portefeuille_MNT_PPS_Access26[[#This Row],[Délais PC1 et PC3]]+Portefeuille_MNT_PPS_Access26[[#This Row],[Délais PC3 et PC5]]</f>
        <v>0</v>
      </c>
      <c r="Z145">
        <v>1</v>
      </c>
      <c r="AB14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5" s="12">
        <f>_xlfn.XLOOKUP(Portefeuille_MNT_PPS_Access26[[#This Row],[Numéro projet]],Tableau5[Numéro projet],Tableau5[IND_Site_Prioritaire])</f>
        <v>3</v>
      </c>
      <c r="AD145" s="2">
        <f>_xlfn.XLOOKUP(Portefeuille_MNT_PPS_Access26[[#This Row],[Numéro projet]],Tableau5[Numéro projet],Tableau5[Critère Etat Infrastructure])</f>
        <v>2</v>
      </c>
      <c r="AE14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30</v>
      </c>
      <c r="AH145" t="s">
        <v>311</v>
      </c>
      <c r="AI145" s="2"/>
      <c r="AJ145" s="2"/>
      <c r="AN145"/>
      <c r="AX145"/>
      <c r="BA145">
        <v>150</v>
      </c>
      <c r="BC145">
        <v>150</v>
      </c>
      <c r="BE145">
        <v>500</v>
      </c>
      <c r="BF145">
        <v>6800</v>
      </c>
      <c r="BK145" s="14">
        <f>SUM(Portefeuille_MNT_PPS_Access26[[#This Row],[AC ANT]:[TR 2035]])</f>
        <v>7600</v>
      </c>
    </row>
    <row r="146" spans="1:65" x14ac:dyDescent="0.3">
      <c r="A146" t="s">
        <v>286</v>
      </c>
      <c r="C146" t="s">
        <v>101</v>
      </c>
      <c r="D146" t="s">
        <v>102</v>
      </c>
      <c r="E146" t="s">
        <v>136</v>
      </c>
      <c r="G146" t="s">
        <v>20</v>
      </c>
      <c r="H146" t="s">
        <v>20</v>
      </c>
      <c r="I146" t="s">
        <v>105</v>
      </c>
      <c r="J146">
        <v>154240506</v>
      </c>
      <c r="K146" t="s">
        <v>465</v>
      </c>
      <c r="L146" t="s">
        <v>116</v>
      </c>
      <c r="M146">
        <f>_xlfn.XLOOKUP(Portefeuille_MNT_PPS_Access26[[#This Row],[Numéro projet]], Portefeuille_MNT_PPS_Access20[Numéro projet], Portefeuille_MNT_PPS_Access20[Année DÉBUT Travaux prévu], "")</f>
        <v>2033</v>
      </c>
      <c r="N146">
        <v>2033</v>
      </c>
      <c r="O146">
        <f>Portefeuille_MNT_PPS_Access26[[#This Row],[Année DÉBUT Travaux proposée]]-Portefeuille_MNT_PPS_Access26[[#This Row],[Année DÉBUT Travaux prévu]]</f>
        <v>0</v>
      </c>
      <c r="P146" t="s">
        <v>291</v>
      </c>
      <c r="Q146" s="1"/>
      <c r="R146" s="1"/>
      <c r="S146" s="1"/>
      <c r="T14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6">
        <f>Portefeuille_MNT_PPS_Access26[[#This Row],[Délais PC1 et PC3]]+Portefeuille_MNT_PPS_Access26[[#This Row],[Délais PC3 et PC5]]</f>
        <v>0</v>
      </c>
      <c r="Z146">
        <v>1</v>
      </c>
      <c r="AB14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6" s="12">
        <f>_xlfn.XLOOKUP(Portefeuille_MNT_PPS_Access26[[#This Row],[Numéro projet]],Tableau5[Numéro projet],Tableau5[IND_Site_Prioritaire])</f>
        <v>3</v>
      </c>
      <c r="AD146" s="2">
        <f>_xlfn.XLOOKUP(Portefeuille_MNT_PPS_Access26[[#This Row],[Numéro projet]],Tableau5[Numéro projet],Tableau5[Critère Etat Infrastructure])</f>
        <v>2</v>
      </c>
      <c r="AE14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30</v>
      </c>
      <c r="AH146" t="s">
        <v>311</v>
      </c>
      <c r="AI146" s="2"/>
      <c r="AJ146" s="2"/>
      <c r="AN146"/>
      <c r="AX146"/>
      <c r="BA146">
        <v>150</v>
      </c>
      <c r="BC146">
        <v>150</v>
      </c>
      <c r="BE146">
        <v>150</v>
      </c>
      <c r="BG146">
        <v>500</v>
      </c>
      <c r="BH146">
        <v>6800</v>
      </c>
      <c r="BK146" s="14">
        <f>SUM(Portefeuille_MNT_PPS_Access26[[#This Row],[AC ANT]:[TR 2035]])</f>
        <v>7750</v>
      </c>
    </row>
    <row r="147" spans="1:65" x14ac:dyDescent="0.3">
      <c r="A147" t="s">
        <v>286</v>
      </c>
      <c r="C147" t="s">
        <v>101</v>
      </c>
      <c r="D147" t="s">
        <v>102</v>
      </c>
      <c r="E147" t="s">
        <v>103</v>
      </c>
      <c r="G147" t="s">
        <v>20</v>
      </c>
      <c r="H147" t="s">
        <v>20</v>
      </c>
      <c r="I147" t="s">
        <v>105</v>
      </c>
      <c r="J147">
        <v>154240284</v>
      </c>
      <c r="K147" t="s">
        <v>445</v>
      </c>
      <c r="L147" t="s">
        <v>302</v>
      </c>
      <c r="M147" s="103">
        <f>_xlfn.XLOOKUP(Portefeuille_MNT_PPS_Access26[[#This Row],[Numéro projet]], Portefeuille_MNT_PPS_Access20[Numéro projet], Portefeuille_MNT_PPS_Access20[Année DÉBUT Travaux prévu], "")</f>
        <v>2032</v>
      </c>
      <c r="N147" s="103">
        <v>2029</v>
      </c>
      <c r="O147" s="103">
        <f>Portefeuille_MNT_PPS_Access26[[#This Row],[Année DÉBUT Travaux proposée]]-Portefeuille_MNT_PPS_Access26[[#This Row],[Année DÉBUT Travaux prévu]]</f>
        <v>-3</v>
      </c>
      <c r="P147" t="s">
        <v>291</v>
      </c>
      <c r="Q147" s="1"/>
      <c r="R147" s="1"/>
      <c r="S147" s="1"/>
      <c r="T147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7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7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7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7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7">
        <f>Portefeuille_MNT_PPS_Access26[[#This Row],[Délais PC1 et PC3]]+Portefeuille_MNT_PPS_Access26[[#This Row],[Délais PC3 et PC5]]</f>
        <v>0</v>
      </c>
      <c r="Z147">
        <v>1</v>
      </c>
      <c r="AB147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7" s="12">
        <f>_xlfn.XLOOKUP(Portefeuille_MNT_PPS_Access26[[#This Row],[Numéro projet]],Tableau5[Numéro projet],Tableau5[IND_Site_Prioritaire])</f>
        <v>4</v>
      </c>
      <c r="AD147" s="2">
        <f>_xlfn.XLOOKUP(Portefeuille_MNT_PPS_Access26[[#This Row],[Numéro projet]],Tableau5[Numéro projet],Tableau5[Critère Etat Infrastructure])</f>
        <v>3</v>
      </c>
      <c r="AE147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40</v>
      </c>
      <c r="AH147" t="s">
        <v>311</v>
      </c>
      <c r="AI147" s="2"/>
      <c r="AJ147" s="2"/>
      <c r="AN147"/>
      <c r="AS147">
        <v>150</v>
      </c>
      <c r="AU147">
        <v>150</v>
      </c>
      <c r="AW147">
        <v>600</v>
      </c>
      <c r="AX147">
        <v>12000</v>
      </c>
      <c r="BK147" s="14">
        <f>SUM(Portefeuille_MNT_PPS_Access26[[#This Row],[AC ANT]:[TR 2035]])</f>
        <v>12900</v>
      </c>
    </row>
    <row r="148" spans="1:65" x14ac:dyDescent="0.3">
      <c r="A148" t="s">
        <v>286</v>
      </c>
      <c r="C148" t="s">
        <v>101</v>
      </c>
      <c r="D148" t="s">
        <v>102</v>
      </c>
      <c r="E148" t="s">
        <v>188</v>
      </c>
      <c r="F148" t="s">
        <v>113</v>
      </c>
      <c r="G148" t="s">
        <v>16</v>
      </c>
      <c r="H148" t="s">
        <v>16</v>
      </c>
      <c r="I148" t="s">
        <v>131</v>
      </c>
      <c r="J148">
        <v>154200233</v>
      </c>
      <c r="K148" t="s">
        <v>344</v>
      </c>
      <c r="L148" t="s">
        <v>139</v>
      </c>
      <c r="M148">
        <f>_xlfn.XLOOKUP(Portefeuille_MNT_PPS_Access26[[#This Row],[Numéro projet]], Portefeuille_MNT_PPS_Access20[Numéro projet], Portefeuille_MNT_PPS_Access20[Année DÉBUT Travaux prévu], "")</f>
        <v>0</v>
      </c>
      <c r="O148">
        <f>Portefeuille_MNT_PPS_Access26[[#This Row],[Année DÉBUT Travaux proposée]]-Portefeuille_MNT_PPS_Access26[[#This Row],[Année DÉBUT Travaux prévu]]</f>
        <v>0</v>
      </c>
      <c r="P148" t="s">
        <v>164</v>
      </c>
      <c r="Q148" s="1"/>
      <c r="R148" s="1"/>
      <c r="S148" s="1">
        <v>44672</v>
      </c>
      <c r="T148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8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8" s="1" t="e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#NUM!</v>
      </c>
      <c r="W148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8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1467</v>
      </c>
      <c r="Y148">
        <f>Portefeuille_MNT_PPS_Access26[[#This Row],[Délais PC1 et PC3]]+Portefeuille_MNT_PPS_Access26[[#This Row],[Délais PC3 et PC5]]</f>
        <v>1467</v>
      </c>
      <c r="Z148">
        <v>1</v>
      </c>
      <c r="AA148">
        <v>5</v>
      </c>
      <c r="AB148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7</v>
      </c>
      <c r="AC148" s="12">
        <f>_xlfn.XLOOKUP(Portefeuille_MNT_PPS_Access26[[#This Row],[Numéro projet]],Tableau5[Numéro projet],Tableau5[IND_Site_Prioritaire])</f>
        <v>2.3333333333333335</v>
      </c>
      <c r="AD148" s="2">
        <f>_xlfn.XLOOKUP(Portefeuille_MNT_PPS_Access26[[#This Row],[Numéro projet]],Tableau5[Numéro projet],Tableau5[Critère Etat Infrastructure])</f>
        <v>0</v>
      </c>
      <c r="AE148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100</v>
      </c>
      <c r="AH148" t="s">
        <v>165</v>
      </c>
      <c r="AI148" s="2">
        <v>5</v>
      </c>
      <c r="AJ148" s="2"/>
      <c r="AK148">
        <v>84</v>
      </c>
      <c r="AL148">
        <v>819</v>
      </c>
      <c r="AM148">
        <v>12</v>
      </c>
      <c r="AN148">
        <v>11</v>
      </c>
      <c r="AX148"/>
      <c r="BK148" s="14">
        <f>SUM(Portefeuille_MNT_PPS_Access26[[#This Row],[AC ANT]:[TR 2035]])</f>
        <v>926</v>
      </c>
      <c r="BL148" s="57"/>
      <c r="BM148" s="57"/>
    </row>
    <row r="149" spans="1:65" x14ac:dyDescent="0.3">
      <c r="A149" t="s">
        <v>286</v>
      </c>
      <c r="C149" t="s">
        <v>126</v>
      </c>
      <c r="D149" t="s">
        <v>127</v>
      </c>
      <c r="E149" t="s">
        <v>103</v>
      </c>
      <c r="G149" t="s">
        <v>20</v>
      </c>
      <c r="H149" t="s">
        <v>20</v>
      </c>
      <c r="I149" t="s">
        <v>105</v>
      </c>
      <c r="J149">
        <v>154240511</v>
      </c>
      <c r="K149" t="s">
        <v>637</v>
      </c>
      <c r="L149" t="s">
        <v>108</v>
      </c>
      <c r="M149">
        <f>_xlfn.XLOOKUP(Portefeuille_MNT_PPS_Access26[[#This Row],[Numéro projet]], Portefeuille_MNT_PPS_Access20[Numéro projet], Portefeuille_MNT_PPS_Access20[Année DÉBUT Travaux prévu], "")</f>
        <v>2034</v>
      </c>
      <c r="N149">
        <v>2034</v>
      </c>
      <c r="O149">
        <f>Portefeuille_MNT_PPS_Access26[[#This Row],[Année DÉBUT Travaux proposée]]-Portefeuille_MNT_PPS_Access26[[#This Row],[Année DÉBUT Travaux prévu]]</f>
        <v>0</v>
      </c>
      <c r="P149" t="s">
        <v>291</v>
      </c>
      <c r="Q149" s="1"/>
      <c r="R149" s="1"/>
      <c r="S149" s="1"/>
      <c r="T149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49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49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49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49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49">
        <f>Portefeuille_MNT_PPS_Access26[[#This Row],[Délais PC1 et PC3]]+Portefeuille_MNT_PPS_Access26[[#This Row],[Délais PC3 et PC5]]</f>
        <v>0</v>
      </c>
      <c r="Z149">
        <v>1</v>
      </c>
      <c r="AB149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49" s="12">
        <f>_xlfn.XLOOKUP(Portefeuille_MNT_PPS_Access26[[#This Row],[Numéro projet]],Tableau5[Numéro projet],Tableau5[IND_Site_Prioritaire])</f>
        <v>4</v>
      </c>
      <c r="AD149" s="2">
        <f>_xlfn.XLOOKUP(Portefeuille_MNT_PPS_Access26[[#This Row],[Numéro projet]],Tableau5[Numéro projet],Tableau5[Critère Etat Infrastructure])</f>
        <v>2</v>
      </c>
      <c r="AE149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35</v>
      </c>
      <c r="AH149" t="s">
        <v>311</v>
      </c>
      <c r="AI149" s="2"/>
      <c r="AJ149" s="2"/>
      <c r="AN149"/>
      <c r="AX149"/>
      <c r="BA149">
        <v>375</v>
      </c>
      <c r="BC149">
        <v>750</v>
      </c>
      <c r="BE149">
        <v>1125</v>
      </c>
      <c r="BG149">
        <v>875</v>
      </c>
      <c r="BH149">
        <v>9000</v>
      </c>
      <c r="BI149">
        <v>1250</v>
      </c>
      <c r="BJ149">
        <v>73000</v>
      </c>
      <c r="BK149" s="14">
        <f>SUM(Portefeuille_MNT_PPS_Access26[[#This Row],[AC ANT]:[TR 2035]])</f>
        <v>86375</v>
      </c>
    </row>
    <row r="150" spans="1:65" x14ac:dyDescent="0.3">
      <c r="A150" t="s">
        <v>286</v>
      </c>
      <c r="C150" t="s">
        <v>101</v>
      </c>
      <c r="D150" t="s">
        <v>102</v>
      </c>
      <c r="E150" t="s">
        <v>136</v>
      </c>
      <c r="G150" t="s">
        <v>20</v>
      </c>
      <c r="H150" t="s">
        <v>20</v>
      </c>
      <c r="I150" t="s">
        <v>105</v>
      </c>
      <c r="J150">
        <v>154240504</v>
      </c>
      <c r="K150" t="s">
        <v>461</v>
      </c>
      <c r="L150" t="s">
        <v>108</v>
      </c>
      <c r="M150">
        <f>_xlfn.XLOOKUP(Portefeuille_MNT_PPS_Access26[[#This Row],[Numéro projet]], Portefeuille_MNT_PPS_Access20[Numéro projet], Portefeuille_MNT_PPS_Access20[Année DÉBUT Travaux prévu], "")</f>
        <v>2034</v>
      </c>
      <c r="N150">
        <v>2034</v>
      </c>
      <c r="O150">
        <f>Portefeuille_MNT_PPS_Access26[[#This Row],[Année DÉBUT Travaux proposée]]-Portefeuille_MNT_PPS_Access26[[#This Row],[Année DÉBUT Travaux prévu]]</f>
        <v>0</v>
      </c>
      <c r="P150" t="s">
        <v>291</v>
      </c>
      <c r="Q150" s="1"/>
      <c r="R150" s="1"/>
      <c r="S150" s="1"/>
      <c r="T150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0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0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0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0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0">
        <f>Portefeuille_MNT_PPS_Access26[[#This Row],[Délais PC1 et PC3]]+Portefeuille_MNT_PPS_Access26[[#This Row],[Délais PC3 et PC5]]</f>
        <v>0</v>
      </c>
      <c r="Z150">
        <v>1</v>
      </c>
      <c r="AB150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0" s="12">
        <f>_xlfn.XLOOKUP(Portefeuille_MNT_PPS_Access26[[#This Row],[Numéro projet]],Tableau5[Numéro projet],Tableau5[IND_Site_Prioritaire])</f>
        <v>4</v>
      </c>
      <c r="AD150" s="2">
        <f>_xlfn.XLOOKUP(Portefeuille_MNT_PPS_Access26[[#This Row],[Numéro projet]],Tableau5[Numéro projet],Tableau5[Critère Etat Infrastructure])</f>
        <v>2</v>
      </c>
      <c r="AE150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35</v>
      </c>
      <c r="AH150" t="s">
        <v>311</v>
      </c>
      <c r="AI150" s="2"/>
      <c r="AJ150" s="2"/>
      <c r="AN150"/>
      <c r="AX150"/>
      <c r="BC150">
        <v>150</v>
      </c>
      <c r="BE150">
        <v>150</v>
      </c>
      <c r="BG150">
        <v>500</v>
      </c>
      <c r="BH150">
        <v>7400</v>
      </c>
      <c r="BK150" s="14">
        <f>SUM(Portefeuille_MNT_PPS_Access26[[#This Row],[AC ANT]:[TR 2035]])</f>
        <v>8200</v>
      </c>
    </row>
    <row r="151" spans="1:65" x14ac:dyDescent="0.3">
      <c r="A151" t="s">
        <v>286</v>
      </c>
      <c r="C151" t="s">
        <v>118</v>
      </c>
      <c r="D151" t="s">
        <v>102</v>
      </c>
      <c r="E151" t="s">
        <v>103</v>
      </c>
      <c r="G151" t="s">
        <v>20</v>
      </c>
      <c r="H151" t="s">
        <v>20</v>
      </c>
      <c r="I151" t="s">
        <v>131</v>
      </c>
      <c r="J151">
        <v>154240816</v>
      </c>
      <c r="K151" t="s">
        <v>532</v>
      </c>
      <c r="L151" t="s">
        <v>187</v>
      </c>
      <c r="M151" s="103">
        <f>_xlfn.XLOOKUP(Portefeuille_MNT_PPS_Access26[[#This Row],[Numéro projet]], Portefeuille_MNT_PPS_Access20[Numéro projet], Portefeuille_MNT_PPS_Access20[Année DÉBUT Travaux prévu], "")</f>
        <v>2033</v>
      </c>
      <c r="N151" s="103">
        <v>2034</v>
      </c>
      <c r="O151" s="103">
        <f>Portefeuille_MNT_PPS_Access26[[#This Row],[Année DÉBUT Travaux proposée]]-Portefeuille_MNT_PPS_Access26[[#This Row],[Année DÉBUT Travaux prévu]]</f>
        <v>1</v>
      </c>
      <c r="P151" t="s">
        <v>291</v>
      </c>
      <c r="Q151" s="1"/>
      <c r="R151" s="1"/>
      <c r="S151" s="1"/>
      <c r="T151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1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1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1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1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1">
        <f>Portefeuille_MNT_PPS_Access26[[#This Row],[Délais PC1 et PC3]]+Portefeuille_MNT_PPS_Access26[[#This Row],[Délais PC3 et PC5]]</f>
        <v>0</v>
      </c>
      <c r="Z151">
        <v>1</v>
      </c>
      <c r="AB151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1" s="12" t="e">
        <f>_xlfn.XLOOKUP(Portefeuille_MNT_PPS_Access26[[#This Row],[Numéro projet]],Tableau5[Numéro projet],Tableau5[IND_Site_Prioritaire])</f>
        <v>#N/A</v>
      </c>
      <c r="AD151" s="2" t="e">
        <f>_xlfn.XLOOKUP(Portefeuille_MNT_PPS_Access26[[#This Row],[Numéro projet]],Tableau5[Numéro projet],Tableau5[Critère Etat Infrastructure])</f>
        <v>#N/A</v>
      </c>
      <c r="AE151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151" t="s">
        <v>311</v>
      </c>
      <c r="AI151" s="2"/>
      <c r="AJ151" s="2"/>
      <c r="AN151"/>
      <c r="AX151"/>
      <c r="BC151">
        <v>150</v>
      </c>
      <c r="BE151">
        <v>150</v>
      </c>
      <c r="BG151">
        <v>500</v>
      </c>
      <c r="BH151">
        <v>8000</v>
      </c>
      <c r="BK151" s="14">
        <f>SUM(Portefeuille_MNT_PPS_Access26[[#This Row],[AC ANT]:[TR 2035]])</f>
        <v>8800</v>
      </c>
    </row>
    <row r="152" spans="1:65" x14ac:dyDescent="0.3">
      <c r="A152" t="s">
        <v>286</v>
      </c>
      <c r="C152" t="s">
        <v>101</v>
      </c>
      <c r="D152" t="s">
        <v>102</v>
      </c>
      <c r="E152" t="s">
        <v>103</v>
      </c>
      <c r="G152" t="s">
        <v>20</v>
      </c>
      <c r="H152" t="s">
        <v>20</v>
      </c>
      <c r="I152" t="s">
        <v>131</v>
      </c>
      <c r="J152">
        <v>154180769</v>
      </c>
      <c r="K152" t="s">
        <v>380</v>
      </c>
      <c r="L152" t="s">
        <v>134</v>
      </c>
      <c r="M152">
        <f>_xlfn.XLOOKUP(Portefeuille_MNT_PPS_Access26[[#This Row],[Numéro projet]], Portefeuille_MNT_PPS_Access20[Numéro projet], Portefeuille_MNT_PPS_Access20[Année DÉBUT Travaux prévu], "")</f>
        <v>2035</v>
      </c>
      <c r="N152">
        <v>2035</v>
      </c>
      <c r="O152">
        <f>Portefeuille_MNT_PPS_Access26[[#This Row],[Année DÉBUT Travaux proposée]]-Portefeuille_MNT_PPS_Access26[[#This Row],[Année DÉBUT Travaux prévu]]</f>
        <v>0</v>
      </c>
      <c r="P152" t="s">
        <v>291</v>
      </c>
      <c r="Q152" s="1"/>
      <c r="R152" s="1"/>
      <c r="S152" s="1"/>
      <c r="T152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2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2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2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2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2">
        <f>Portefeuille_MNT_PPS_Access26[[#This Row],[Délais PC1 et PC3]]+Portefeuille_MNT_PPS_Access26[[#This Row],[Délais PC3 et PC5]]</f>
        <v>0</v>
      </c>
      <c r="Z152">
        <v>1</v>
      </c>
      <c r="AB152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2" s="12">
        <f>_xlfn.XLOOKUP(Portefeuille_MNT_PPS_Access26[[#This Row],[Numéro projet]],Tableau5[Numéro projet],Tableau5[IND_Site_Prioritaire])</f>
        <v>1.3333333333333333</v>
      </c>
      <c r="AD152" s="2">
        <f>_xlfn.XLOOKUP(Portefeuille_MNT_PPS_Access26[[#This Row],[Numéro projet]],Tableau5[Numéro projet],Tableau5[Critère Etat Infrastructure])</f>
        <v>2</v>
      </c>
      <c r="AE152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21.666666666666668</v>
      </c>
      <c r="AH152" t="s">
        <v>311</v>
      </c>
      <c r="AI152" s="2"/>
      <c r="AJ152" s="2"/>
      <c r="AN152"/>
      <c r="AX152"/>
      <c r="BG152">
        <v>150</v>
      </c>
      <c r="BI152">
        <v>250</v>
      </c>
      <c r="BJ152">
        <v>5000</v>
      </c>
      <c r="BK152" s="14">
        <f>SUM(Portefeuille_MNT_PPS_Access26[[#This Row],[AC ANT]:[TR 2035]])</f>
        <v>5400</v>
      </c>
      <c r="BL152" s="57"/>
      <c r="BM152" s="57"/>
    </row>
    <row r="153" spans="1:65" x14ac:dyDescent="0.3">
      <c r="A153" t="s">
        <v>286</v>
      </c>
      <c r="C153" t="s">
        <v>101</v>
      </c>
      <c r="D153" t="s">
        <v>102</v>
      </c>
      <c r="E153" t="s">
        <v>103</v>
      </c>
      <c r="G153" t="s">
        <v>20</v>
      </c>
      <c r="H153" t="s">
        <v>20</v>
      </c>
      <c r="I153" t="s">
        <v>105</v>
      </c>
      <c r="J153">
        <v>154220344</v>
      </c>
      <c r="K153" t="s">
        <v>394</v>
      </c>
      <c r="L153" t="s">
        <v>122</v>
      </c>
      <c r="M153">
        <f>_xlfn.XLOOKUP(Portefeuille_MNT_PPS_Access26[[#This Row],[Numéro projet]], Portefeuille_MNT_PPS_Access20[Numéro projet], Portefeuille_MNT_PPS_Access20[Année DÉBUT Travaux prévu], "")</f>
        <v>2035</v>
      </c>
      <c r="N153">
        <v>2035</v>
      </c>
      <c r="O153">
        <f>Portefeuille_MNT_PPS_Access26[[#This Row],[Année DÉBUT Travaux proposée]]-Portefeuille_MNT_PPS_Access26[[#This Row],[Année DÉBUT Travaux prévu]]</f>
        <v>0</v>
      </c>
      <c r="P153" t="s">
        <v>291</v>
      </c>
      <c r="Q153" s="1"/>
      <c r="R153" s="1"/>
      <c r="S153" s="1"/>
      <c r="T153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3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3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3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3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3">
        <f>Portefeuille_MNT_PPS_Access26[[#This Row],[Délais PC1 et PC3]]+Portefeuille_MNT_PPS_Access26[[#This Row],[Délais PC3 et PC5]]</f>
        <v>0</v>
      </c>
      <c r="Z153">
        <v>1</v>
      </c>
      <c r="AB153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3" s="12">
        <f>_xlfn.XLOOKUP(Portefeuille_MNT_PPS_Access26[[#This Row],[Numéro projet]],Tableau5[Numéro projet],Tableau5[IND_Site_Prioritaire])</f>
        <v>4</v>
      </c>
      <c r="AD153" s="2">
        <f>_xlfn.XLOOKUP(Portefeuille_MNT_PPS_Access26[[#This Row],[Numéro projet]],Tableau5[Numéro projet],Tableau5[Critère Etat Infrastructure])</f>
        <v>1</v>
      </c>
      <c r="AE153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30</v>
      </c>
      <c r="AH153" t="s">
        <v>311</v>
      </c>
      <c r="AI153" s="2"/>
      <c r="AJ153" s="2"/>
      <c r="AN153"/>
      <c r="AX153"/>
      <c r="BE153">
        <v>100</v>
      </c>
      <c r="BG153">
        <v>100</v>
      </c>
      <c r="BI153">
        <v>500</v>
      </c>
      <c r="BJ153">
        <v>12000</v>
      </c>
      <c r="BK153" s="14">
        <f>SUM(Portefeuille_MNT_PPS_Access26[[#This Row],[AC ANT]:[TR 2035]])</f>
        <v>12700</v>
      </c>
    </row>
    <row r="154" spans="1:65" x14ac:dyDescent="0.3">
      <c r="A154" t="s">
        <v>286</v>
      </c>
      <c r="C154" t="s">
        <v>101</v>
      </c>
      <c r="D154" t="s">
        <v>102</v>
      </c>
      <c r="E154" t="s">
        <v>389</v>
      </c>
      <c r="G154" t="s">
        <v>20</v>
      </c>
      <c r="H154" t="s">
        <v>20</v>
      </c>
      <c r="I154" t="s">
        <v>105</v>
      </c>
      <c r="J154">
        <v>154250181</v>
      </c>
      <c r="K154" t="s">
        <v>602</v>
      </c>
      <c r="L154" t="s">
        <v>239</v>
      </c>
      <c r="M154">
        <f>_xlfn.XLOOKUP(Portefeuille_MNT_PPS_Access26[[#This Row],[Numéro projet]], Portefeuille_MNT_PPS_Access20[Numéro projet], Portefeuille_MNT_PPS_Access20[Année DÉBUT Travaux prévu], "")</f>
        <v>2035</v>
      </c>
      <c r="N154">
        <v>2035</v>
      </c>
      <c r="O154">
        <f>Portefeuille_MNT_PPS_Access26[[#This Row],[Année DÉBUT Travaux proposée]]-Portefeuille_MNT_PPS_Access26[[#This Row],[Année DÉBUT Travaux prévu]]</f>
        <v>0</v>
      </c>
      <c r="P154" t="s">
        <v>291</v>
      </c>
      <c r="Q154" s="1"/>
      <c r="R154" s="1"/>
      <c r="S154" s="1"/>
      <c r="T154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4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4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4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4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4">
        <f>Portefeuille_MNT_PPS_Access26[[#This Row],[Délais PC1 et PC3]]+Portefeuille_MNT_PPS_Access26[[#This Row],[Délais PC3 et PC5]]</f>
        <v>0</v>
      </c>
      <c r="Z154">
        <v>1</v>
      </c>
      <c r="AB154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4" s="12" t="e">
        <f>_xlfn.XLOOKUP(Portefeuille_MNT_PPS_Access26[[#This Row],[Numéro projet]],Tableau5[Numéro projet],Tableau5[IND_Site_Prioritaire])</f>
        <v>#N/A</v>
      </c>
      <c r="AD154" s="2" t="e">
        <f>_xlfn.XLOOKUP(Portefeuille_MNT_PPS_Access26[[#This Row],[Numéro projet]],Tableau5[Numéro projet],Tableau5[Critère Etat Infrastructure])</f>
        <v>#N/A</v>
      </c>
      <c r="AE154" s="12" t="e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#N/A</v>
      </c>
      <c r="AH154" t="s">
        <v>311</v>
      </c>
      <c r="AI154" s="2"/>
      <c r="AJ154" s="2"/>
      <c r="AN154"/>
      <c r="AX154"/>
      <c r="BE154">
        <v>100</v>
      </c>
      <c r="BG154">
        <v>100</v>
      </c>
      <c r="BI154">
        <v>500</v>
      </c>
      <c r="BJ154">
        <v>5000</v>
      </c>
      <c r="BK154" s="14">
        <f>SUM(Portefeuille_MNT_PPS_Access26[[#This Row],[AC ANT]:[TR 2035]])</f>
        <v>5700</v>
      </c>
    </row>
    <row r="155" spans="1:65" x14ac:dyDescent="0.3">
      <c r="A155" t="s">
        <v>286</v>
      </c>
      <c r="C155" t="s">
        <v>101</v>
      </c>
      <c r="D155" t="s">
        <v>102</v>
      </c>
      <c r="E155" t="s">
        <v>103</v>
      </c>
      <c r="G155" t="s">
        <v>20</v>
      </c>
      <c r="H155" t="s">
        <v>20</v>
      </c>
      <c r="I155" t="s">
        <v>105</v>
      </c>
      <c r="J155">
        <v>154240285</v>
      </c>
      <c r="K155" t="s">
        <v>447</v>
      </c>
      <c r="L155" t="s">
        <v>168</v>
      </c>
      <c r="M155">
        <f>_xlfn.XLOOKUP(Portefeuille_MNT_PPS_Access26[[#This Row],[Numéro projet]], Portefeuille_MNT_PPS_Access20[Numéro projet], Portefeuille_MNT_PPS_Access20[Année DÉBUT Travaux prévu], "")</f>
        <v>2035</v>
      </c>
      <c r="N155">
        <v>2035</v>
      </c>
      <c r="O155">
        <f>Portefeuille_MNT_PPS_Access26[[#This Row],[Année DÉBUT Travaux proposée]]-Portefeuille_MNT_PPS_Access26[[#This Row],[Année DÉBUT Travaux prévu]]</f>
        <v>0</v>
      </c>
      <c r="P155" t="s">
        <v>291</v>
      </c>
      <c r="Q155" s="1"/>
      <c r="R155" s="1"/>
      <c r="S155" s="1"/>
      <c r="T155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5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5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5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5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5">
        <f>Portefeuille_MNT_PPS_Access26[[#This Row],[Délais PC1 et PC3]]+Portefeuille_MNT_PPS_Access26[[#This Row],[Délais PC3 et PC5]]</f>
        <v>0</v>
      </c>
      <c r="Z155">
        <v>1</v>
      </c>
      <c r="AB155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5" s="12">
        <f>_xlfn.XLOOKUP(Portefeuille_MNT_PPS_Access26[[#This Row],[Numéro projet]],Tableau5[Numéro projet],Tableau5[IND_Site_Prioritaire])</f>
        <v>3.3333333333333335</v>
      </c>
      <c r="AD155" s="2">
        <f>_xlfn.XLOOKUP(Portefeuille_MNT_PPS_Access26[[#This Row],[Numéro projet]],Tableau5[Numéro projet],Tableau5[Critère Etat Infrastructure])</f>
        <v>1</v>
      </c>
      <c r="AE155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26.666666666666668</v>
      </c>
      <c r="AH155" t="s">
        <v>311</v>
      </c>
      <c r="AI155" s="2"/>
      <c r="AJ155" s="2"/>
      <c r="AN155"/>
      <c r="AX155"/>
      <c r="BE155">
        <v>150</v>
      </c>
      <c r="BG155">
        <v>150</v>
      </c>
      <c r="BI155">
        <v>600</v>
      </c>
      <c r="BJ155">
        <v>12000</v>
      </c>
      <c r="BK155" s="14">
        <f>SUM(Portefeuille_MNT_PPS_Access26[[#This Row],[AC ANT]:[TR 2035]])</f>
        <v>12900</v>
      </c>
    </row>
    <row r="156" spans="1:65" x14ac:dyDescent="0.3">
      <c r="A156" t="s">
        <v>286</v>
      </c>
      <c r="C156" t="s">
        <v>101</v>
      </c>
      <c r="D156" t="s">
        <v>102</v>
      </c>
      <c r="E156" t="s">
        <v>103</v>
      </c>
      <c r="G156" t="s">
        <v>20</v>
      </c>
      <c r="H156" t="s">
        <v>20</v>
      </c>
      <c r="I156" t="s">
        <v>131</v>
      </c>
      <c r="J156">
        <v>154180771</v>
      </c>
      <c r="K156" t="s">
        <v>384</v>
      </c>
      <c r="L156" t="s">
        <v>183</v>
      </c>
      <c r="M156" s="103">
        <f>_xlfn.XLOOKUP(Portefeuille_MNT_PPS_Access26[[#This Row],[Numéro projet]], Portefeuille_MNT_PPS_Access20[Numéro projet], Portefeuille_MNT_PPS_Access20[Année DÉBUT Travaux prévu], "")</f>
        <v>2030</v>
      </c>
      <c r="N156" s="103">
        <v>2035</v>
      </c>
      <c r="O156" s="103">
        <f>Portefeuille_MNT_PPS_Access26[[#This Row],[Année DÉBUT Travaux proposée]]-Portefeuille_MNT_PPS_Access26[[#This Row],[Année DÉBUT Travaux prévu]]</f>
        <v>5</v>
      </c>
      <c r="P156" t="s">
        <v>291</v>
      </c>
      <c r="Q156" s="1"/>
      <c r="R156" s="1"/>
      <c r="S156" s="1"/>
      <c r="T156" s="1" t="str">
        <f xml:space="preserve"> IF(Portefeuille_MNT_PPS_Access26[[#This Row],[PC-1]] = "", "0.NA",IF(Portefeuille_MNT_PPS_Access26[[#This Row],[PC-1]] &lt;= DATE(Portefeuille_MNT_PPS_Access26[[#This Row],[Année DÉBUT Travaux proposée]]- 3, 12, 15),"5.Respect OPC",IF(Portefeuille_MNT_PPS_Access26[[#This Row],[PC-1]] &lt;= DATE(Portefeuille_MNT_PPS_Access26[[#This Row],[Année DÉBUT Travaux proposée]]-2, 4, 1),"3.À risque","1.Très à risque")))</f>
        <v>0.NA</v>
      </c>
      <c r="U156" s="1" t="str">
        <f xml:space="preserve"> IF(Portefeuille_MNT_PPS_Access26[[#This Row],[PC-3]] = "", "0.NA",IF(Portefeuille_MNT_PPS_Access26[[#This Row],[PC-3]] &lt;= DATE(Portefeuille_MNT_PPS_Access26[[#This Row],[Année DÉBUT Travaux proposée]]- 2, 12, 15),"5.Respect OPC",IF(Portefeuille_MNT_PPS_Access26[[#This Row],[PC-3]] &lt;= DATE(Portefeuille_MNT_PPS_Access26[[#This Row],[Année DÉBUT Travaux proposée]]-1, 4, 1),"3.À risque","1.Très à risque")))</f>
        <v>0.NA</v>
      </c>
      <c r="V156" s="1" t="str">
        <f xml:space="preserve"> IF(Portefeuille_MNT_PPS_Access26[[#This Row],[PC-5]] = "", "0.NA",IF(Portefeuille_MNT_PPS_Access26[[#This Row],[PC-5]] &lt;= DATE(Portefeuille_MNT_PPS_Access26[[#This Row],[Année DÉBUT Travaux proposée]]- 1, 12, 15),"5.Respect OPC",IF(Portefeuille_MNT_PPS_Access26[[#This Row],[PC-5]] &lt;= DATE(Portefeuille_MNT_PPS_Access26[[#This Row],[Année DÉBUT Travaux proposée]], 4, 1),"3.À risque","1.Très à risque")))</f>
        <v>0.NA</v>
      </c>
      <c r="W156">
        <f xml:space="preserve"> (YEAR(Portefeuille_MNT_PPS_Access26[[#This Row],[PC-3]]) - YEAR(Portefeuille_MNT_PPS_Access26[[#This Row],[PC-1]])) * 12 + MONTH(Portefeuille_MNT_PPS_Access26[[#This Row],[PC-3]]) - MONTH(Portefeuille_MNT_PPS_Access26[[#This Row],[PC-1]])</f>
        <v>0</v>
      </c>
      <c r="X156">
        <f xml:space="preserve"> (YEAR(Portefeuille_MNT_PPS_Access26[[#This Row],[PC-5]]) - YEAR(Portefeuille_MNT_PPS_Access26[[#This Row],[PC-3]])) * 12 + MONTH(Portefeuille_MNT_PPS_Access26[[#This Row],[PC-5]]) - MONTH(Portefeuille_MNT_PPS_Access26[[#This Row],[PC-3]])</f>
        <v>0</v>
      </c>
      <c r="Y156">
        <f>Portefeuille_MNT_PPS_Access26[[#This Row],[Délais PC1 et PC3]]+Portefeuille_MNT_PPS_Access26[[#This Row],[Délais PC3 et PC5]]</f>
        <v>0</v>
      </c>
      <c r="Z156">
        <v>1</v>
      </c>
      <c r="AB156" s="2" t="str">
        <f>IF(AND(Portefeuille_MNT_PPS_Access26[[#This Row],[Année DÉBUT Travaux proposée]]&gt;=2024,Portefeuille_MNT_PPS_Access26[[#This Row],[IND_PC5_TR2025]]=5),5,IF(AND(Portefeuille_MNT_PPS_Access26[[#This Row],[Année DÉBUT Travaux proposée]]&gt;=2026,Portefeuille_MNT_PPS_Access26[[#This Row],[IND_PC3_TR2026]]=5),5,Portefeuille_MNT_PPS_Access26[[#This Row],[IND_Etat_avancement]]))</f>
        <v>0</v>
      </c>
      <c r="AC156" s="12">
        <f>_xlfn.XLOOKUP(Portefeuille_MNT_PPS_Access26[[#This Row],[Numéro projet]],Tableau5[Numéro projet],Tableau5[IND_Site_Prioritaire])</f>
        <v>2.3333333333333335</v>
      </c>
      <c r="AD156" s="2">
        <f>_xlfn.XLOOKUP(Portefeuille_MNT_PPS_Access26[[#This Row],[Numéro projet]],Tableau5[Numéro projet],Tableau5[Critère Etat Infrastructure])</f>
        <v>3</v>
      </c>
      <c r="AE156" s="12">
        <f>IF(Portefeuille_MNT_PPS_Access26[[#This Row],[IND_Parachèvement]]=5,100, SUM(Portefeuille_MNT_PPS_Access26[[#This Row],[Critère PC Atteint]]*$AI$8/5, Portefeuille_MNT_PPS_Access26[[#This Row],[Critère Etat Infrastructure]]*$AI$10/5,Portefeuille_MNT_PPS_Access26[[#This Row],[Site prioritaire]]* $AI$9/5, Portefeuille_MNT_PPS_Access26[[#This Row],[IND_PROJT_ANNONCE]]*$AI$7/5)*100)</f>
        <v>31.666666666666664</v>
      </c>
      <c r="AH156" t="s">
        <v>311</v>
      </c>
      <c r="AI156" s="2"/>
      <c r="AJ156" s="2"/>
      <c r="AN156"/>
      <c r="AX156"/>
      <c r="BG156">
        <v>150</v>
      </c>
      <c r="BI156">
        <v>250</v>
      </c>
      <c r="BJ156">
        <v>5000</v>
      </c>
      <c r="BK156" s="14">
        <f>SUM(Portefeuille_MNT_PPS_Access26[[#This Row],[AC ANT]:[TR 2035]])</f>
        <v>5400</v>
      </c>
    </row>
    <row r="157" spans="1:65" x14ac:dyDescent="0.3">
      <c r="J157">
        <f>SUBTOTAL(103,Portefeuille_MNT_PPS_Access26[Numéro projet])</f>
        <v>138</v>
      </c>
      <c r="AJ157" s="25"/>
      <c r="AK157" s="14">
        <f>SUBTOTAL(109,Portefeuille_MNT_PPS_Access26[AC ANT])</f>
        <v>24010</v>
      </c>
      <c r="AL157" s="14">
        <f>SUBTOTAL(109,Portefeuille_MNT_PPS_Access26[TR ANT])</f>
        <v>153191</v>
      </c>
      <c r="AM157" s="14">
        <f>SUBTOTAL(109,Portefeuille_MNT_PPS_Access26[AC 2024])</f>
        <v>4500</v>
      </c>
      <c r="AN157" s="14">
        <f>SUBTOTAL(109,Portefeuille_MNT_PPS_Access26[TR 2024])</f>
        <v>70599</v>
      </c>
      <c r="AO157" s="14">
        <f>SUBTOTAL(109,Portefeuille_MNT_PPS_Access26[AC 2025])</f>
        <v>11828</v>
      </c>
      <c r="AP157" s="14">
        <f>SUBTOTAL(109,Portefeuille_MNT_PPS_Access26[TR 2025])</f>
        <v>55714</v>
      </c>
      <c r="AQ157" s="14">
        <f>SUBTOTAL(109,Portefeuille_MNT_PPS_Access26[AC 2026])</f>
        <v>11656</v>
      </c>
      <c r="AR157" s="14">
        <f>SUBTOTAL(109,Portefeuille_MNT_PPS_Access26[TR 2026])</f>
        <v>69084</v>
      </c>
      <c r="AS157" s="14">
        <f>SUBTOTAL(109,Portefeuille_MNT_PPS_Access26[AC 2027])</f>
        <v>12859</v>
      </c>
      <c r="AT157" s="14">
        <f>SUBTOTAL(109,Portefeuille_MNT_PPS_Access26[TR 2027])</f>
        <v>58190</v>
      </c>
      <c r="AU157" s="14">
        <f>SUBTOTAL(109,Portefeuille_MNT_PPS_Access26[AC 2028])</f>
        <v>11372</v>
      </c>
      <c r="AV157" s="14">
        <f>SUBTOTAL(109,Portefeuille_MNT_PPS_Access26[TR 2028])</f>
        <v>84529</v>
      </c>
      <c r="AW157" s="14">
        <f>SUBTOTAL(109,Portefeuille_MNT_PPS_Access26[AC 2029])</f>
        <v>11002</v>
      </c>
      <c r="AX157" s="14">
        <f>SUBTOTAL(109,Portefeuille_MNT_PPS_Access26[TR 2029])</f>
        <v>118251</v>
      </c>
      <c r="AY157" s="14">
        <f>SUBTOTAL(109,Portefeuille_MNT_PPS_Access26[AC 2030])</f>
        <v>8220</v>
      </c>
      <c r="AZ157" s="14">
        <f>SUBTOTAL(109,Portefeuille_MNT_PPS_Access26[TR 2030])</f>
        <v>98708</v>
      </c>
      <c r="BA157" s="14">
        <f>SUBTOTAL(109,Portefeuille_MNT_PPS_Access26[AC 2031])</f>
        <v>8168</v>
      </c>
      <c r="BB157" s="14">
        <f>SUBTOTAL(109,Portefeuille_MNT_PPS_Access26[TR 2031])</f>
        <v>95819</v>
      </c>
      <c r="BC157" s="14">
        <f>SUBTOTAL(109,Portefeuille_MNT_PPS_Access26[AC 2032])</f>
        <v>7250</v>
      </c>
      <c r="BD157" s="14">
        <f>SUBTOTAL(109,Portefeuille_MNT_PPS_Access26[TR 2032])</f>
        <v>61200</v>
      </c>
      <c r="BE157" s="14">
        <f>SUBTOTAL(109,Portefeuille_MNT_PPS_Access26[AC 2033])</f>
        <v>7225</v>
      </c>
      <c r="BF157" s="14">
        <f>SUBTOTAL(109,Portefeuille_MNT_PPS_Access26[TR 2033])</f>
        <v>82000</v>
      </c>
      <c r="BG157" s="14">
        <f>SUBTOTAL(109,Portefeuille_MNT_PPS_Access26[AC 2034])</f>
        <v>5125</v>
      </c>
      <c r="BH157" s="14">
        <f>SUBTOTAL(109,Portefeuille_MNT_PPS_Access26[TR 2034])</f>
        <v>102000</v>
      </c>
      <c r="BI157" s="14">
        <f>SUBTOTAL(109,Portefeuille_MNT_PPS_Access26[AC 2035])</f>
        <v>3350</v>
      </c>
      <c r="BJ157" s="14">
        <f>SUBTOTAL(109,Portefeuille_MNT_PPS_Access26[TR 2035])</f>
        <v>112000</v>
      </c>
      <c r="BK157" s="14">
        <f>SUBTOTAL(109,Portefeuille_MNT_PPS_Access26[Total Projet])</f>
        <v>1287850</v>
      </c>
    </row>
    <row r="159" spans="1:65" x14ac:dyDescent="0.3"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</row>
  </sheetData>
  <mergeCells count="183">
    <mergeCell ref="I3:J3"/>
    <mergeCell ref="AK3:AL3"/>
    <mergeCell ref="AM3:AN3"/>
    <mergeCell ref="AO3:AP3"/>
    <mergeCell ref="AQ3:AR3"/>
    <mergeCell ref="AS3:AT3"/>
    <mergeCell ref="BG3:BH3"/>
    <mergeCell ref="BI3:BJ3"/>
    <mergeCell ref="AK4:AL4"/>
    <mergeCell ref="AM4:AN4"/>
    <mergeCell ref="AO4:AP4"/>
    <mergeCell ref="AQ4:AR4"/>
    <mergeCell ref="AS4:AT4"/>
    <mergeCell ref="AU4:AV4"/>
    <mergeCell ref="AW4:AX4"/>
    <mergeCell ref="AY4:AZ4"/>
    <mergeCell ref="AU3:AV3"/>
    <mergeCell ref="AW3:AX3"/>
    <mergeCell ref="AY3:AZ3"/>
    <mergeCell ref="BA3:BB3"/>
    <mergeCell ref="BC3:BD3"/>
    <mergeCell ref="BE3:BF3"/>
    <mergeCell ref="BA4:BB4"/>
    <mergeCell ref="BC4:BD4"/>
    <mergeCell ref="AU5:AV5"/>
    <mergeCell ref="AW5:AX5"/>
    <mergeCell ref="AY5:AZ5"/>
    <mergeCell ref="BE4:BF4"/>
    <mergeCell ref="BG4:BH4"/>
    <mergeCell ref="BI4:BJ4"/>
    <mergeCell ref="AK5:AL5"/>
    <mergeCell ref="AM5:AN5"/>
    <mergeCell ref="AO5:AP5"/>
    <mergeCell ref="AQ5:AR5"/>
    <mergeCell ref="AS5:AT5"/>
    <mergeCell ref="BG5:BH5"/>
    <mergeCell ref="BI5:BJ5"/>
    <mergeCell ref="BA5:BB5"/>
    <mergeCell ref="BC5:BD5"/>
    <mergeCell ref="BE5:BF5"/>
    <mergeCell ref="BI6:BJ6"/>
    <mergeCell ref="AK7:AL7"/>
    <mergeCell ref="AM7:AN7"/>
    <mergeCell ref="AO7:AP7"/>
    <mergeCell ref="AQ7:AR7"/>
    <mergeCell ref="AS7:AT7"/>
    <mergeCell ref="BG7:BH7"/>
    <mergeCell ref="BI7:BJ7"/>
    <mergeCell ref="BA7:BB7"/>
    <mergeCell ref="BC7:BD7"/>
    <mergeCell ref="BE7:BF7"/>
    <mergeCell ref="AK6:AL6"/>
    <mergeCell ref="AM6:AN6"/>
    <mergeCell ref="AO6:AP6"/>
    <mergeCell ref="AQ6:AR6"/>
    <mergeCell ref="AS6:AT6"/>
    <mergeCell ref="AU6:AV6"/>
    <mergeCell ref="AW6:AX6"/>
    <mergeCell ref="AY6:AZ6"/>
    <mergeCell ref="AW8:AX8"/>
    <mergeCell ref="AY8:AZ8"/>
    <mergeCell ref="AU7:AV7"/>
    <mergeCell ref="AW7:AX7"/>
    <mergeCell ref="AY7:AZ7"/>
    <mergeCell ref="BA6:BB6"/>
    <mergeCell ref="BC6:BD6"/>
    <mergeCell ref="BE6:BF6"/>
    <mergeCell ref="BG6:BH6"/>
    <mergeCell ref="AU9:AV9"/>
    <mergeCell ref="AW9:AX9"/>
    <mergeCell ref="AY9:AZ9"/>
    <mergeCell ref="BA8:BB8"/>
    <mergeCell ref="BC8:BD8"/>
    <mergeCell ref="BE8:BF8"/>
    <mergeCell ref="BG8:BH8"/>
    <mergeCell ref="BI8:BJ8"/>
    <mergeCell ref="AK9:AL9"/>
    <mergeCell ref="AM9:AN9"/>
    <mergeCell ref="AO9:AP9"/>
    <mergeCell ref="AQ9:AR9"/>
    <mergeCell ref="AS9:AT9"/>
    <mergeCell ref="BG9:BH9"/>
    <mergeCell ref="BI9:BJ9"/>
    <mergeCell ref="BA9:BB9"/>
    <mergeCell ref="BC9:BD9"/>
    <mergeCell ref="BE9:BF9"/>
    <mergeCell ref="AK8:AL8"/>
    <mergeCell ref="AM8:AN8"/>
    <mergeCell ref="AO8:AP8"/>
    <mergeCell ref="AQ8:AR8"/>
    <mergeCell ref="AS8:AT8"/>
    <mergeCell ref="AU8:AV8"/>
    <mergeCell ref="BI10:BJ10"/>
    <mergeCell ref="AK11:AL11"/>
    <mergeCell ref="AM11:AN11"/>
    <mergeCell ref="AO11:AP11"/>
    <mergeCell ref="AQ11:AR11"/>
    <mergeCell ref="AS11:AT11"/>
    <mergeCell ref="BG11:BH11"/>
    <mergeCell ref="BI11:BJ11"/>
    <mergeCell ref="BA11:BB11"/>
    <mergeCell ref="BC11:BD11"/>
    <mergeCell ref="BE11:BF11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AW12:AX12"/>
    <mergeCell ref="AY12:AZ12"/>
    <mergeCell ref="AU11:AV11"/>
    <mergeCell ref="AW11:AX11"/>
    <mergeCell ref="AY11:AZ11"/>
    <mergeCell ref="BA10:BB10"/>
    <mergeCell ref="BC10:BD10"/>
    <mergeCell ref="BE10:BF10"/>
    <mergeCell ref="BG10:BH10"/>
    <mergeCell ref="AU13:AV13"/>
    <mergeCell ref="AW13:AX13"/>
    <mergeCell ref="AY13:AZ13"/>
    <mergeCell ref="BA12:BB12"/>
    <mergeCell ref="BC12:BD12"/>
    <mergeCell ref="BE12:BF12"/>
    <mergeCell ref="BG12:BH12"/>
    <mergeCell ref="BI12:BJ12"/>
    <mergeCell ref="AK13:AL13"/>
    <mergeCell ref="AM13:AN13"/>
    <mergeCell ref="AO13:AP13"/>
    <mergeCell ref="AQ13:AR13"/>
    <mergeCell ref="AS13:AT13"/>
    <mergeCell ref="BG13:BH13"/>
    <mergeCell ref="BI13:BJ13"/>
    <mergeCell ref="BA13:BB13"/>
    <mergeCell ref="BC13:BD13"/>
    <mergeCell ref="BE13:BF13"/>
    <mergeCell ref="AK12:AL12"/>
    <mergeCell ref="AM12:AN12"/>
    <mergeCell ref="AO12:AP12"/>
    <mergeCell ref="AQ12:AR12"/>
    <mergeCell ref="AS12:AT12"/>
    <mergeCell ref="AU12:AV12"/>
    <mergeCell ref="BA14:BB14"/>
    <mergeCell ref="BC14:BD14"/>
    <mergeCell ref="BE14:BF14"/>
    <mergeCell ref="BG14:BH14"/>
    <mergeCell ref="BI14:BJ14"/>
    <mergeCell ref="AK15:AL15"/>
    <mergeCell ref="AM15:AN15"/>
    <mergeCell ref="AO15:AP15"/>
    <mergeCell ref="AQ15:AR15"/>
    <mergeCell ref="AS15:AT15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6:BB16"/>
    <mergeCell ref="BC16:BD16"/>
    <mergeCell ref="BE16:BF16"/>
    <mergeCell ref="BG16:BH16"/>
    <mergeCell ref="BI16:BJ16"/>
    <mergeCell ref="BG15:BH15"/>
    <mergeCell ref="BI15:BJ15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AU15:AV15"/>
    <mergeCell ref="AW15:AX15"/>
    <mergeCell ref="AY15:AZ15"/>
    <mergeCell ref="BA15:BB15"/>
    <mergeCell ref="BC15:BD15"/>
    <mergeCell ref="BE15:BF15"/>
  </mergeCells>
  <conditionalFormatting sqref="T19:Y156">
    <cfRule type="containsText" dxfId="99" priority="1" operator="containsText" text="1.Très à risque">
      <formula>NOT(ISERROR(SEARCH("1.Très à risque",T19)))</formula>
    </cfRule>
    <cfRule type="containsText" dxfId="98" priority="2" operator="containsText" text="3.À risque">
      <formula>NOT(ISERROR(SEARCH("3.À risque",T19)))</formula>
    </cfRule>
    <cfRule type="containsText" dxfId="97" priority="3" operator="containsText" text="5.Respect OPC">
      <formula>NOT(ISERROR(SEARCH("5.Respect OPC",T19)))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DF438BC-1E9F-4871-AA4A-A1D157353B8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AB19:AC156</xm:sqref>
        </x14:conditionalFormatting>
        <x14:conditionalFormatting xmlns:xm="http://schemas.microsoft.com/office/excel/2006/main">
          <x14:cfRule type="iconSet" priority="5" id="{92235AFD-A1DA-4742-9ECC-38C8481C6FA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AD19:AE156</xm:sqref>
        </x14:conditionalFormatting>
        <x14:conditionalFormatting xmlns:xm="http://schemas.microsoft.com/office/excel/2006/main">
          <x14:cfRule type="iconSet" priority="6" id="{1C4F3B02-1866-4979-B6D2-21DE461CA13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AI19:AJ156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A221-2B52-4504-9582-23866ABED122}">
  <dimension ref="A1:BV169"/>
  <sheetViews>
    <sheetView topLeftCell="J109" zoomScale="70" zoomScaleNormal="70" workbookViewId="0">
      <selection activeCell="J73" sqref="J73"/>
    </sheetView>
  </sheetViews>
  <sheetFormatPr baseColWidth="10" defaultColWidth="11.44140625" defaultRowHeight="14.4" outlineLevelCol="1" x14ac:dyDescent="0.3"/>
  <cols>
    <col min="1" max="1" width="14.33203125" hidden="1" customWidth="1" outlineLevel="1"/>
    <col min="2" max="2" width="17.6640625" hidden="1" customWidth="1" outlineLevel="1"/>
    <col min="3" max="3" width="8" hidden="1" customWidth="1" outlineLevel="1"/>
    <col min="4" max="4" width="9.6640625" hidden="1" customWidth="1" outlineLevel="1"/>
    <col min="5" max="5" width="15.88671875" hidden="1" customWidth="1" outlineLevel="1"/>
    <col min="6" max="6" width="16" hidden="1" customWidth="1" outlineLevel="1"/>
    <col min="7" max="7" width="15.44140625" hidden="1" customWidth="1" outlineLevel="1"/>
    <col min="8" max="8" width="12.44140625" hidden="1" customWidth="1" outlineLevel="1"/>
    <col min="9" max="9" width="17" hidden="1" customWidth="1" outlineLevel="1"/>
    <col min="10" max="10" width="18.5546875" customWidth="1" collapsed="1"/>
    <col min="11" max="11" width="19.33203125" bestFit="1" customWidth="1"/>
    <col min="12" max="12" width="80.6640625" customWidth="1" collapsed="1"/>
    <col min="13" max="13" width="15.88671875" customWidth="1"/>
    <col min="14" max="14" width="15.6640625" customWidth="1"/>
    <col min="15" max="15" width="14.109375" bestFit="1" customWidth="1"/>
    <col min="16" max="16" width="14.109375" customWidth="1"/>
    <col min="17" max="17" width="23" customWidth="1"/>
    <col min="18" max="18" width="12.5546875" customWidth="1" outlineLevel="1"/>
    <col min="19" max="19" width="12.33203125" customWidth="1" outlineLevel="1"/>
    <col min="20" max="20" width="15.33203125" customWidth="1" outlineLevel="1"/>
    <col min="21" max="21" width="14" bestFit="1" customWidth="1"/>
    <col min="22" max="23" width="14.33203125" bestFit="1" customWidth="1"/>
    <col min="24" max="25" width="15" hidden="1" customWidth="1" outlineLevel="1"/>
    <col min="26" max="26" width="12.33203125" hidden="1" customWidth="1" outlineLevel="1"/>
    <col min="27" max="28" width="11.44140625" hidden="1" customWidth="1" outlineLevel="1"/>
    <col min="29" max="29" width="11.33203125" hidden="1" customWidth="1" outlineLevel="1"/>
    <col min="30" max="30" width="9.88671875" hidden="1" customWidth="1" outlineLevel="1"/>
    <col min="31" max="31" width="14.6640625" hidden="1" customWidth="1" outlineLevel="1"/>
    <col min="32" max="32" width="13.88671875" hidden="1" customWidth="1" outlineLevel="1"/>
    <col min="33" max="33" width="13.5546875" customWidth="1" collapsed="1"/>
    <col min="34" max="34" width="6.33203125" customWidth="1"/>
    <col min="35" max="35" width="9.33203125" customWidth="1" outlineLevel="1"/>
    <col min="36" max="36" width="10.44140625" customWidth="1" outlineLevel="1"/>
    <col min="37" max="37" width="9.88671875" customWidth="1" outlineLevel="1"/>
    <col min="38" max="38" width="9.88671875" style="25" customWidth="1" outlineLevel="1"/>
    <col min="39" max="40" width="9.88671875" customWidth="1" outlineLevel="1"/>
    <col min="41" max="41" width="11.109375" customWidth="1"/>
    <col min="42" max="42" width="12.33203125" customWidth="1"/>
    <col min="43" max="43" width="11" customWidth="1"/>
    <col min="44" max="47" width="9.88671875" customWidth="1"/>
    <col min="48" max="48" width="9.88671875" style="8" customWidth="1"/>
    <col min="49" max="60" width="9.88671875" customWidth="1"/>
    <col min="61" max="61" width="14.44140625" bestFit="1" customWidth="1"/>
    <col min="62" max="62" width="12.6640625" bestFit="1" customWidth="1"/>
    <col min="63" max="65" width="9.88671875" customWidth="1"/>
    <col min="66" max="66" width="13.44140625" customWidth="1"/>
    <col min="67" max="67" width="13.5546875" customWidth="1"/>
    <col min="68" max="68" width="18" customWidth="1"/>
    <col min="69" max="69" width="17" customWidth="1"/>
    <col min="70" max="70" width="16.6640625" bestFit="1" customWidth="1"/>
    <col min="71" max="80" width="11.33203125" customWidth="1"/>
    <col min="81" max="81" width="12.5546875" customWidth="1"/>
    <col min="82" max="82" width="13.44140625" customWidth="1"/>
    <col min="83" max="83" width="13.109375" customWidth="1"/>
    <col min="84" max="84" width="14" customWidth="1"/>
    <col min="85" max="90" width="17.33203125" customWidth="1"/>
    <col min="91" max="91" width="18.109375" customWidth="1"/>
    <col min="92" max="92" width="17.5546875" customWidth="1"/>
  </cols>
  <sheetData>
    <row r="1" spans="1:74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7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85"/>
      <c r="BS1" s="85"/>
      <c r="BT1" s="85"/>
      <c r="BU1" s="85"/>
      <c r="BV1" s="85"/>
    </row>
    <row r="2" spans="1:74" x14ac:dyDescent="0.3">
      <c r="AC2" s="25"/>
      <c r="AD2" s="25"/>
      <c r="AE2" s="25"/>
      <c r="AF2" s="25"/>
      <c r="AG2" s="25"/>
      <c r="AH2" s="25"/>
      <c r="AI2" s="25"/>
      <c r="AJ2" s="25"/>
      <c r="AK2" s="25"/>
      <c r="AM2" s="8"/>
      <c r="AV2"/>
    </row>
    <row r="3" spans="1:74" ht="26.4" customHeight="1" x14ac:dyDescent="0.3">
      <c r="I3" s="306" t="s">
        <v>2</v>
      </c>
      <c r="J3" s="307"/>
      <c r="O3" s="65"/>
      <c r="P3" s="65"/>
      <c r="Q3" s="65"/>
      <c r="R3" s="65"/>
      <c r="S3" s="65"/>
      <c r="T3" s="65"/>
      <c r="U3" s="65"/>
      <c r="V3" s="65"/>
      <c r="W3" s="65"/>
      <c r="X3" s="65"/>
      <c r="AE3" s="4" t="s">
        <v>3</v>
      </c>
      <c r="AF3" s="80" t="s">
        <v>4</v>
      </c>
      <c r="AG3" s="342" t="s">
        <v>5</v>
      </c>
      <c r="AH3" s="342"/>
      <c r="AI3" s="265" t="s">
        <v>6</v>
      </c>
      <c r="AJ3" s="264"/>
      <c r="AK3" s="263">
        <v>2024</v>
      </c>
      <c r="AL3" s="264"/>
      <c r="AM3" s="263">
        <v>2025</v>
      </c>
      <c r="AN3" s="264"/>
      <c r="AO3" s="263">
        <v>2026</v>
      </c>
      <c r="AP3" s="264"/>
      <c r="AQ3" s="263">
        <v>2027</v>
      </c>
      <c r="AR3" s="264"/>
      <c r="AS3" s="263">
        <v>2028</v>
      </c>
      <c r="AT3" s="264"/>
      <c r="AU3" s="263">
        <v>2029</v>
      </c>
      <c r="AV3" s="264"/>
      <c r="AW3" s="263">
        <v>2030</v>
      </c>
      <c r="AX3" s="264"/>
      <c r="AY3" s="263">
        <v>2031</v>
      </c>
      <c r="AZ3" s="264"/>
      <c r="BA3" s="263">
        <v>2032</v>
      </c>
      <c r="BB3" s="264"/>
      <c r="BC3" s="263">
        <v>2033</v>
      </c>
      <c r="BD3" s="264"/>
      <c r="BE3" s="263">
        <v>2034</v>
      </c>
      <c r="BF3" s="264"/>
      <c r="BG3" s="263">
        <v>2035</v>
      </c>
      <c r="BH3" s="264"/>
      <c r="BI3" s="26" t="s">
        <v>560</v>
      </c>
      <c r="BJ3" s="26" t="s">
        <v>595</v>
      </c>
    </row>
    <row r="4" spans="1:74" x14ac:dyDescent="0.3">
      <c r="I4" s="27" t="s">
        <v>9</v>
      </c>
      <c r="J4" s="28" t="s">
        <v>10</v>
      </c>
      <c r="O4" s="65"/>
      <c r="P4" s="65"/>
      <c r="Q4" s="65"/>
      <c r="R4" s="65"/>
      <c r="S4" s="65"/>
      <c r="T4" s="65"/>
      <c r="U4" s="65"/>
      <c r="V4" s="65"/>
      <c r="W4" s="65"/>
      <c r="X4" s="65"/>
      <c r="AE4" s="66"/>
      <c r="AF4" s="138"/>
      <c r="AH4" s="104" t="s">
        <v>11</v>
      </c>
      <c r="AI4" s="260"/>
      <c r="AJ4" s="260"/>
      <c r="AK4" s="260">
        <f>SUMIFS(Portefeuille_MNT_PPS_Access28[AC 2024],Portefeuille_MNT_PPS_Access28[DES_COMPL_NATR_COMPB],"=Fonctionnement")+SUMIFS(Portefeuille_MNT_PPS_Access28[TR 2024],Portefeuille_MNT_PPS_Access28[DES_COMPL_NATR_COMPB],"=Fonctionnement")</f>
        <v>339</v>
      </c>
      <c r="AL4" s="260"/>
      <c r="AM4" s="260">
        <f>SUMIFS(Portefeuille_MNT_PPS_Access28[AC 2025],Portefeuille_MNT_PPS_Access28[DES_COMPL_NATR_COMPB],"=Fonctionnement")+SUMIFS(Portefeuille_MNT_PPS_Access28[TR 2025],Portefeuille_MNT_PPS_Access28[DES_COMPL_NATR_COMPB],"=Fonctionnement")</f>
        <v>300</v>
      </c>
      <c r="AN4" s="260"/>
      <c r="AO4" s="260">
        <f>SUMIFS(Portefeuille_MNT_PPS_Access28[AC 2026],Portefeuille_MNT_PPS_Access28[DES_COMPL_NATR_COMPB],"=Fonctionnement")+SUMIFS(Portefeuille_MNT_PPS_Access28[TR 2026],Portefeuille_MNT_PPS_Access28[DES_COMPL_NATR_COMPB],"=Fonctionnement")</f>
        <v>300</v>
      </c>
      <c r="AP4" s="260"/>
      <c r="AQ4" s="260">
        <f>SUMIFS(Portefeuille_MNT_PPS_Access28[AC 2027],Portefeuille_MNT_PPS_Access28[DES_COMPL_NATR_COMPB],"=Fonctionnement")+SUMIFS(Portefeuille_MNT_PPS_Access28[TR 2027],Portefeuille_MNT_PPS_Access28[DES_COMPL_NATR_COMPB],"=Fonctionnement")</f>
        <v>510</v>
      </c>
      <c r="AR4" s="260"/>
      <c r="AS4" s="260">
        <f>SUMIFS(Portefeuille_MNT_PPS_Access28[AC 2028],Portefeuille_MNT_PPS_Access28[DES_COMPL_NATR_COMPB],"=Fonctionnement")+SUMIFS(Portefeuille_MNT_PPS_Access28[TR 2028],Portefeuille_MNT_PPS_Access28[DES_COMPL_NATR_COMPB],"=Fonctionnement")</f>
        <v>0</v>
      </c>
      <c r="AT4" s="260"/>
      <c r="AU4" s="260">
        <f>SUMIFS(Portefeuille_MNT_PPS_Access28[AC 2029],Portefeuille_MNT_PPS_Access28[DES_COMPL_NATR_COMPB],"=Fonctionnement")+SUMIFS(Portefeuille_MNT_PPS_Access28[TR 2029],Portefeuille_MNT_PPS_Access28[DES_COMPL_NATR_COMPB],"=Fonctionnement")</f>
        <v>0</v>
      </c>
      <c r="AV4" s="260"/>
      <c r="AW4" s="260">
        <f>SUMIFS(Portefeuille_MNT_PPS_Access28[AC 2030],Portefeuille_MNT_PPS_Access28[DES_COMPL_NATR_COMPB],"=Fonctionnement")+SUMIFS(Portefeuille_MNT_PPS_Access28[TR 2030],Portefeuille_MNT_PPS_Access28[DES_COMPL_NATR_COMPB],"=Fonctionnement")</f>
        <v>0</v>
      </c>
      <c r="AX4" s="260"/>
      <c r="AY4" s="260">
        <f>SUMIFS(Portefeuille_MNT_PPS_Access28[AC 2031],Portefeuille_MNT_PPS_Access28[DES_COMPL_NATR_COMPB],"=Fonctionnement")+SUMIFS(Portefeuille_MNT_PPS_Access28[TR 2031],Portefeuille_MNT_PPS_Access28[DES_COMPL_NATR_COMPB],"=Fonctionnement")</f>
        <v>0</v>
      </c>
      <c r="AZ4" s="260"/>
      <c r="BA4" s="260">
        <f>SUMIFS(Portefeuille_MNT_PPS_Access28[AC 2032],Portefeuille_MNT_PPS_Access28[DES_COMPL_NATR_COMPB],"=Fonctionnement")+SUMIFS(Portefeuille_MNT_PPS_Access28[TR 2032],Portefeuille_MNT_PPS_Access28[DES_COMPL_NATR_COMPB],"=Fonctionnement")</f>
        <v>0</v>
      </c>
      <c r="BB4" s="260"/>
      <c r="BC4" s="260">
        <f>SUMIFS(Portefeuille_MNT_PPS_Access28[AC 2033],Portefeuille_MNT_PPS_Access28[DES_COMPL_NATR_COMPB],"=Fonctionnement")+SUMIFS(Portefeuille_MNT_PPS_Access28[TR 2033],Portefeuille_MNT_PPS_Access28[DES_COMPL_NATR_COMPB],"=Fonctionnement")</f>
        <v>0</v>
      </c>
      <c r="BD4" s="260"/>
      <c r="BE4" s="260">
        <f>SUMIFS(Portefeuille_MNT_PPS_Access28[AC 2034],Portefeuille_MNT_PPS_Access28[DES_COMPL_NATR_COMPB],"=Fonctionnement")+SUMIFS(Portefeuille_MNT_PPS_Access28[TR 2034],Portefeuille_MNT_PPS_Access28[DES_COMPL_NATR_COMPB],"=Fonctionnement")</f>
        <v>0</v>
      </c>
      <c r="BF4" s="260"/>
      <c r="BG4" s="260">
        <f>SUMIFS(Portefeuille_MNT_PPS_Access28[AC 2035],Portefeuille_MNT_PPS_Access28[DES_COMPL_NATR_COMPB],"=Fonctionnement")+SUMIFS(Portefeuille_MNT_PPS_Access28[TR 2035],Portefeuille_MNT_PPS_Access28[DES_COMPL_NATR_COMPB],"=Fonctionnement")</f>
        <v>0</v>
      </c>
      <c r="BH4" s="260"/>
      <c r="BI4" s="16">
        <f>SUM(AO4:AX4)</f>
        <v>810</v>
      </c>
      <c r="BJ4" s="16">
        <f>SUM(AO4:BH4)</f>
        <v>810</v>
      </c>
    </row>
    <row r="5" spans="1:74" x14ac:dyDescent="0.3">
      <c r="I5" s="27" t="s">
        <v>12</v>
      </c>
      <c r="J5" s="28" t="s">
        <v>13</v>
      </c>
      <c r="AE5" s="67"/>
      <c r="AF5" s="139" t="s">
        <v>299</v>
      </c>
      <c r="AH5" s="104" t="s">
        <v>15</v>
      </c>
      <c r="AI5" s="260">
        <f>SUMIFS(Portefeuille_MNT_PPS_Access28[AC ANT],Portefeuille_MNT_PPS_Access28[État Composante AC],"=PR")</f>
        <v>24010</v>
      </c>
      <c r="AJ5" s="260"/>
      <c r="AK5" s="260">
        <f>SUMIFS(Portefeuille_MNT_PPS_Access28[AC 2024],Portefeuille_MNT_PPS_Access28[État Composante AC],"=PR")</f>
        <v>4500</v>
      </c>
      <c r="AL5" s="260"/>
      <c r="AM5" s="260">
        <f>SUMIFS(Portefeuille_MNT_PPS_Access28[AC 2025],Portefeuille_MNT_PPS_Access28[État Composante AC],"=PR")</f>
        <v>11807</v>
      </c>
      <c r="AN5" s="260"/>
      <c r="AO5" s="260">
        <f>SUMIFS(Portefeuille_MNT_PPS_Access28[AC 2026],Portefeuille_MNT_PPS_Access28[État Composante AC],"=PR")</f>
        <v>10590</v>
      </c>
      <c r="AP5" s="260"/>
      <c r="AQ5" s="260">
        <f>SUMIFS(Portefeuille_MNT_PPS_Access28[AC 2027],Portefeuille_MNT_PPS_Access28[État Composante AC],"=PR")</f>
        <v>10706</v>
      </c>
      <c r="AR5" s="260"/>
      <c r="AS5" s="260">
        <f>SUMIFS(Portefeuille_MNT_PPS_Access28[AC 2028],Portefeuille_MNT_PPS_Access28[État Composante AC],"=PR")</f>
        <v>6115</v>
      </c>
      <c r="AT5" s="260"/>
      <c r="AU5" s="260">
        <f>SUMIFS(Portefeuille_MNT_PPS_Access28[AC 2029],Portefeuille_MNT_PPS_Access28[État Composante AC],"=PR")</f>
        <v>3062</v>
      </c>
      <c r="AV5" s="260"/>
      <c r="AW5" s="260">
        <f>SUMIFS(Portefeuille_MNT_PPS_Access28[AC 2030],Portefeuille_MNT_PPS_Access28[État Composante AC],"=PR")</f>
        <v>2395</v>
      </c>
      <c r="AX5" s="260"/>
      <c r="AY5" s="260">
        <f>SUMIFS(Portefeuille_MNT_PPS_Access28[AC 2031],Portefeuille_MNT_PPS_Access28[État Composante AC],"=PR")</f>
        <v>1918</v>
      </c>
      <c r="AZ5" s="260"/>
      <c r="BA5" s="260">
        <f>SUMIFS(Portefeuille_MNT_PPS_Access28[AC 2032],Portefeuille_MNT_PPS_Access28[État Composante AC],"=PR")</f>
        <v>0</v>
      </c>
      <c r="BB5" s="260"/>
      <c r="BC5" s="260">
        <f>SUMIFS(Portefeuille_MNT_PPS_Access28[AC 2033],Portefeuille_MNT_PPS_Access28[État Composante AC],"=PR")</f>
        <v>0</v>
      </c>
      <c r="BD5" s="260"/>
      <c r="BE5" s="260">
        <f>SUMIFS(Portefeuille_MNT_PPS_Access28[AC 2034],Portefeuille_MNT_PPS_Access28[État Composante AC],"=PR")</f>
        <v>0</v>
      </c>
      <c r="BF5" s="260"/>
      <c r="BG5" s="260">
        <f>SUMIFS(Portefeuille_MNT_PPS_Access28[AC 2035],Portefeuille_MNT_PPS_Access28[État Composante TR],"=PR")</f>
        <v>0</v>
      </c>
      <c r="BH5" s="260"/>
      <c r="BI5" s="16">
        <f>SUM(AO5:AX5)</f>
        <v>32868</v>
      </c>
      <c r="BJ5" s="16">
        <f>SUM(AO5:BH5)</f>
        <v>34786</v>
      </c>
    </row>
    <row r="6" spans="1:74" x14ac:dyDescent="0.3">
      <c r="I6" s="29" t="s">
        <v>16</v>
      </c>
      <c r="J6" s="28" t="s">
        <v>17</v>
      </c>
      <c r="AE6" s="35" t="s">
        <v>18</v>
      </c>
      <c r="AF6" s="140">
        <v>1</v>
      </c>
      <c r="AH6" s="83" t="s">
        <v>19</v>
      </c>
      <c r="AI6" s="260">
        <f>SUMIFS(Portefeuille_MNT_PPS_Access28[TR ANT],Portefeuille_MNT_PPS_Access28[État Composante TR],"=PR")</f>
        <v>133660</v>
      </c>
      <c r="AJ6" s="260"/>
      <c r="AK6" s="260">
        <f>SUMIFS(Portefeuille_MNT_PPS_Access28[TR 2024],Portefeuille_MNT_PPS_Access28[État Composante TR],"=PR")</f>
        <v>70599</v>
      </c>
      <c r="AL6" s="260"/>
      <c r="AM6" s="260">
        <f>SUMIFS(Portefeuille_MNT_PPS_Access28[TR 2025],Portefeuille_MNT_PPS_Access28[État Composante TR],"=PR")</f>
        <v>55714</v>
      </c>
      <c r="AN6" s="260"/>
      <c r="AO6" s="260">
        <f>SUMIFS(Portefeuille_MNT_PPS_Access28[TR 2026],Portefeuille_MNT_PPS_Access28[État Composante TR],"=PR")</f>
        <v>59650</v>
      </c>
      <c r="AP6" s="260"/>
      <c r="AQ6" s="260">
        <f>SUMIFS(Portefeuille_MNT_PPS_Access28[TR 2027],Portefeuille_MNT_PPS_Access28[État Composante TR],"=PR")</f>
        <v>13012</v>
      </c>
      <c r="AR6" s="260"/>
      <c r="AS6" s="260">
        <f>SUMIFS(Portefeuille_MNT_PPS_Access28[TR 2028],Portefeuille_MNT_PPS_Access28[État Composante TR],"=PR")</f>
        <v>4929</v>
      </c>
      <c r="AT6" s="260"/>
      <c r="AU6" s="260">
        <f>SUMIFS(Portefeuille_MNT_PPS_Access28[TR 2029],Portefeuille_MNT_PPS_Access28[État Composante TR],"=PR")</f>
        <v>6707.0000000000018</v>
      </c>
      <c r="AV6" s="260"/>
      <c r="AW6" s="260">
        <f>SUMIFS(Portefeuille_MNT_PPS_Access28[TR 2030],Portefeuille_MNT_PPS_Access28[État Composante TR],"=PR")</f>
        <v>6846.0000000000018</v>
      </c>
      <c r="AX6" s="260"/>
      <c r="AY6" s="260">
        <f>SUMIFS(Portefeuille_MNT_PPS_Access28[TR 2031],Portefeuille_MNT_PPS_Access28[État Composante TR],"=PR")</f>
        <v>0</v>
      </c>
      <c r="AZ6" s="260"/>
      <c r="BA6" s="260">
        <f>SUMIFS(Portefeuille_MNT_PPS_Access28[TR 2032],Portefeuille_MNT_PPS_Access28[État Composante TR],"=PR")</f>
        <v>0</v>
      </c>
      <c r="BB6" s="260"/>
      <c r="BC6" s="260">
        <f>SUMIFS(Portefeuille_MNT_PPS_Access28[TR 2033],Portefeuille_MNT_PPS_Access28[État Composante TR],"=PR")</f>
        <v>0</v>
      </c>
      <c r="BD6" s="260"/>
      <c r="BE6" s="260">
        <f>SUMIFS(Portefeuille_MNT_PPS_Access28[TR 2034],Portefeuille_MNT_PPS_Access28[État Composante TR],"=PR")</f>
        <v>0</v>
      </c>
      <c r="BF6" s="260"/>
      <c r="BG6" s="260">
        <f>SUMIFS(Portefeuille_MNT_PPS_Access28[TR 2035],Portefeuille_MNT_PPS_Access28[Région],"=PR")</f>
        <v>0</v>
      </c>
      <c r="BH6" s="260"/>
      <c r="BI6" s="16">
        <f>SUM(AO6:AX6)</f>
        <v>91144</v>
      </c>
      <c r="BJ6" s="16">
        <f>SUM(AO6:BH6)</f>
        <v>91144</v>
      </c>
    </row>
    <row r="7" spans="1:74" x14ac:dyDescent="0.3">
      <c r="I7" s="30" t="s">
        <v>20</v>
      </c>
      <c r="J7" s="31" t="s">
        <v>21</v>
      </c>
      <c r="AE7" s="35" t="s">
        <v>22</v>
      </c>
      <c r="AF7" s="140">
        <v>0.25</v>
      </c>
      <c r="AH7" s="83" t="s">
        <v>23</v>
      </c>
      <c r="AI7" s="262">
        <f>AI5+AI6</f>
        <v>157670</v>
      </c>
      <c r="AJ7" s="262"/>
      <c r="AK7" s="262">
        <f>AK5+AK6</f>
        <v>75099</v>
      </c>
      <c r="AL7" s="262"/>
      <c r="AM7" s="262">
        <f>AM5+AM6</f>
        <v>67521</v>
      </c>
      <c r="AN7" s="262"/>
      <c r="AO7" s="262">
        <f>AO5+AO6</f>
        <v>70240</v>
      </c>
      <c r="AP7" s="262"/>
      <c r="AQ7" s="262">
        <f>AQ5+AQ6</f>
        <v>23718</v>
      </c>
      <c r="AR7" s="262"/>
      <c r="AS7" s="262">
        <f>AS5+AS6</f>
        <v>11044</v>
      </c>
      <c r="AT7" s="262"/>
      <c r="AU7" s="262">
        <f>AU5+AU6</f>
        <v>9769.0000000000018</v>
      </c>
      <c r="AV7" s="262"/>
      <c r="AW7" s="262">
        <f>AW5+AW6</f>
        <v>9241.0000000000018</v>
      </c>
      <c r="AX7" s="262"/>
      <c r="AY7" s="262">
        <f>AY5+AY6</f>
        <v>1918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62">
        <f>BG5+BG6</f>
        <v>0</v>
      </c>
      <c r="BH7" s="262"/>
      <c r="BI7" s="20">
        <f>BI6+BI5+BI4</f>
        <v>124822</v>
      </c>
      <c r="BJ7" s="20">
        <f>BJ6+BJ5+BJ4</f>
        <v>126740</v>
      </c>
    </row>
    <row r="8" spans="1:74" x14ac:dyDescent="0.3">
      <c r="I8" s="131"/>
      <c r="J8" s="28" t="s">
        <v>270</v>
      </c>
      <c r="AE8" s="35" t="s">
        <v>24</v>
      </c>
      <c r="AF8" s="140">
        <v>0.25</v>
      </c>
      <c r="AH8" s="83" t="s">
        <v>25</v>
      </c>
      <c r="AI8" s="260">
        <f>SUMIFS(Portefeuille_MNT_PPS_Access28[AC ANT],Portefeuille_MNT_PPS_Access28[État Composante AC],"&lt;&gt;PR")</f>
        <v>0</v>
      </c>
      <c r="AJ8" s="260"/>
      <c r="AK8" s="260">
        <f>SUMIFS(Portefeuille_MNT_PPS_Access28[AC 2024],Portefeuille_MNT_PPS_Access28[État Composante AC],"&lt;&gt;PR")</f>
        <v>0</v>
      </c>
      <c r="AL8" s="260"/>
      <c r="AM8" s="260">
        <f>SUMIFS(Portefeuille_MNT_PPS_Access28[AC 2025],Portefeuille_MNT_PPS_Access28[État Composante AC],"&lt;&gt;PR")</f>
        <v>0</v>
      </c>
      <c r="AN8" s="260"/>
      <c r="AO8" s="260">
        <f>SUMIFS(Portefeuille_MNT_PPS_Access28[AC 2026],Portefeuille_MNT_PPS_Access28[État Composante AC],"&lt;&gt;PR")</f>
        <v>756</v>
      </c>
      <c r="AP8" s="260"/>
      <c r="AQ8" s="260">
        <f>SUMIFS(Portefeuille_MNT_PPS_Access28[AC 2027],Portefeuille_MNT_PPS_Access28[État Composante AC],"&lt;&gt;PR")</f>
        <v>2655</v>
      </c>
      <c r="AR8" s="260"/>
      <c r="AS8" s="260">
        <f>SUMIFS(Portefeuille_MNT_PPS_Access28[AC 2028],Portefeuille_MNT_PPS_Access28[État Composante AC],"&lt;&gt;PR")</f>
        <v>5100</v>
      </c>
      <c r="AT8" s="260"/>
      <c r="AU8" s="260">
        <f>SUMIFS(Portefeuille_MNT_PPS_Access28[AC 2029],Portefeuille_MNT_PPS_Access28[État Composante AC],"&lt;&gt;PR")</f>
        <v>7640</v>
      </c>
      <c r="AV8" s="260"/>
      <c r="AW8" s="260">
        <f>SUMIFS(Portefeuille_MNT_PPS_Access28[AC 2030],Portefeuille_MNT_PPS_Access28[État Composante AC],"&lt;&gt;PR")</f>
        <v>6025</v>
      </c>
      <c r="AX8" s="260"/>
      <c r="AY8" s="260">
        <f>SUMIFS(Portefeuille_MNT_PPS_Access28[AC 2031],Portefeuille_MNT_PPS_Access28[État Composante AC],"&lt;&gt;PR")</f>
        <v>6250</v>
      </c>
      <c r="AZ8" s="260"/>
      <c r="BA8" s="260">
        <f>SUMIFS(Portefeuille_MNT_PPS_Access28[AC 2032],Portefeuille_MNT_PPS_Access28[État Composante AC],"&lt;&gt;PR")</f>
        <v>7250</v>
      </c>
      <c r="BB8" s="260"/>
      <c r="BC8" s="260">
        <f>SUMIFS(Portefeuille_MNT_PPS_Access28[AC 2033],Portefeuille_MNT_PPS_Access28[État Composante AC],"&lt;&gt;PR")</f>
        <v>7225</v>
      </c>
      <c r="BD8" s="260"/>
      <c r="BE8" s="260">
        <f>SUMIFS(Portefeuille_MNT_PPS_Access28[AC 2034],Portefeuille_MNT_PPS_Access28[État Composante AC],"&lt;&gt;PR")</f>
        <v>5125</v>
      </c>
      <c r="BF8" s="260"/>
      <c r="BG8" s="260">
        <f>SUMIFS(Portefeuille_MNT_PPS_Access28[AC 2035],Portefeuille_MNT_PPS_Access28[État Composante TR],"&lt;&gt;PR")</f>
        <v>3350</v>
      </c>
      <c r="BH8" s="260"/>
      <c r="BI8" s="16">
        <f>SUM(AO8:AX8)</f>
        <v>22176</v>
      </c>
      <c r="BJ8" s="16">
        <f>SUM(AO8:BH8)</f>
        <v>51376</v>
      </c>
    </row>
    <row r="9" spans="1:74" x14ac:dyDescent="0.3">
      <c r="I9" s="176"/>
      <c r="J9" s="28" t="s">
        <v>271</v>
      </c>
      <c r="AE9" s="35" t="s">
        <v>26</v>
      </c>
      <c r="AF9" s="140">
        <v>0.25</v>
      </c>
      <c r="AH9" s="83" t="s">
        <v>27</v>
      </c>
      <c r="AI9" s="260">
        <f>SUMIFS(Portefeuille_MNT_PPS_Access28[TR ANT],Portefeuille_MNT_PPS_Access28[État Composante TR],"&lt;&gt;PR")</f>
        <v>19531</v>
      </c>
      <c r="AJ9" s="260"/>
      <c r="AK9" s="260">
        <f>SUMIFS(Portefeuille_MNT_PPS_Access28[TR 2024],Portefeuille_MNT_PPS_Access28[État Composante TR],"&lt;&gt;PR")</f>
        <v>0</v>
      </c>
      <c r="AL9" s="260"/>
      <c r="AM9" s="260">
        <f>SUMIFS(Portefeuille_MNT_PPS_Access28[TR 2025],Portefeuille_MNT_PPS_Access28[État Composante TR],"&lt;&gt;PR")</f>
        <v>0</v>
      </c>
      <c r="AN9" s="260"/>
      <c r="AO9" s="260">
        <f>SUMIFS(Portefeuille_MNT_PPS_Access28[TR 2026],Portefeuille_MNT_PPS_Access28[État Composante TR],"&lt;&gt;PR")</f>
        <v>3049</v>
      </c>
      <c r="AP9" s="260"/>
      <c r="AQ9" s="260">
        <f>SUMIFS(Portefeuille_MNT_PPS_Access28[TR 2027],Portefeuille_MNT_PPS_Access28[État Composante TR],"&lt;&gt;PR")</f>
        <v>51255</v>
      </c>
      <c r="AR9" s="260"/>
      <c r="AS9" s="260">
        <f>SUMIFS(Portefeuille_MNT_PPS_Access28[TR 2028],Portefeuille_MNT_PPS_Access28[État Composante TR],"&lt;&gt;PR")</f>
        <v>68570</v>
      </c>
      <c r="AT9" s="260"/>
      <c r="AU9" s="260">
        <f>SUMIFS(Portefeuille_MNT_PPS_Access28[TR 2029],Portefeuille_MNT_PPS_Access28[État Composante TR],"&lt;&gt;PR")</f>
        <v>114544</v>
      </c>
      <c r="AV9" s="260"/>
      <c r="AW9" s="260">
        <f>SUMIFS(Portefeuille_MNT_PPS_Access28[TR 2030],Portefeuille_MNT_PPS_Access28[État Composante TR],"&lt;&gt;PR")</f>
        <v>94862</v>
      </c>
      <c r="AX9" s="260"/>
      <c r="AY9" s="260">
        <f>SUMIFS(Portefeuille_MNT_PPS_Access28[TR 2031],Portefeuille_MNT_PPS_Access28[État Composante TR],"&lt;&gt;PR")</f>
        <v>95819</v>
      </c>
      <c r="AZ9" s="260"/>
      <c r="BA9" s="260">
        <f>SUMIFS(Portefeuille_MNT_PPS_Access28[TR 2032],Portefeuille_MNT_PPS_Access28[État Composante TR],"&lt;&gt;PR")</f>
        <v>61200</v>
      </c>
      <c r="BB9" s="260"/>
      <c r="BC9" s="260">
        <f>SUMIFS(Portefeuille_MNT_PPS_Access28[TR 2033],Portefeuille_MNT_PPS_Access28[État Composante TR],"&lt;&gt;PR")</f>
        <v>82000</v>
      </c>
      <c r="BD9" s="260"/>
      <c r="BE9" s="260">
        <f>SUMIFS(Portefeuille_MNT_PPS_Access28[TR 2034],Portefeuille_MNT_PPS_Access28[État Composante TR],"&lt;&gt;PR")</f>
        <v>102000</v>
      </c>
      <c r="BF9" s="260"/>
      <c r="BG9" s="260">
        <f>SUMIFS(Portefeuille_MNT_PPS_Access28[TR 2035],Portefeuille_MNT_PPS_Access28[Région],"&lt;&gt;PR")</f>
        <v>112000</v>
      </c>
      <c r="BH9" s="260"/>
      <c r="BI9" s="16">
        <f>SUM(AO9:AX9)</f>
        <v>332280</v>
      </c>
      <c r="BJ9" s="16">
        <f>SUM(AO9:BH9)</f>
        <v>785299</v>
      </c>
    </row>
    <row r="10" spans="1:74" x14ac:dyDescent="0.3">
      <c r="I10" s="175"/>
      <c r="J10" s="31" t="s">
        <v>521</v>
      </c>
      <c r="AE10" s="35" t="s">
        <v>28</v>
      </c>
      <c r="AF10" s="140">
        <v>0.25</v>
      </c>
      <c r="AH10" s="83" t="s">
        <v>29</v>
      </c>
      <c r="AI10" s="262">
        <f>AI8+AI9</f>
        <v>19531</v>
      </c>
      <c r="AJ10" s="262"/>
      <c r="AK10" s="262">
        <f>AK8+AK9</f>
        <v>0</v>
      </c>
      <c r="AL10" s="262"/>
      <c r="AM10" s="262">
        <f>AM8+AM9</f>
        <v>0</v>
      </c>
      <c r="AN10" s="262"/>
      <c r="AO10" s="262">
        <f>AO8+AO9</f>
        <v>3805</v>
      </c>
      <c r="AP10" s="262"/>
      <c r="AQ10" s="262">
        <f>AQ8+AQ9</f>
        <v>53910</v>
      </c>
      <c r="AR10" s="262"/>
      <c r="AS10" s="262">
        <f>AS8+AS9</f>
        <v>73670</v>
      </c>
      <c r="AT10" s="262"/>
      <c r="AU10" s="262">
        <f>AU8+AU9</f>
        <v>122184</v>
      </c>
      <c r="AV10" s="262"/>
      <c r="AW10" s="262">
        <f>AW8+AW9</f>
        <v>100887</v>
      </c>
      <c r="AX10" s="262"/>
      <c r="AY10" s="262">
        <f>AY8+AY9</f>
        <v>102069</v>
      </c>
      <c r="AZ10" s="262"/>
      <c r="BA10" s="262">
        <f>BA8+BA9</f>
        <v>68450</v>
      </c>
      <c r="BB10" s="262"/>
      <c r="BC10" s="262">
        <f>BC8+BC9</f>
        <v>89225</v>
      </c>
      <c r="BD10" s="262"/>
      <c r="BE10" s="262">
        <f>BE8+BE9</f>
        <v>107125</v>
      </c>
      <c r="BF10" s="262"/>
      <c r="BG10" s="262">
        <f>BG8+BG9</f>
        <v>115350</v>
      </c>
      <c r="BH10" s="262"/>
      <c r="BI10" s="20">
        <f>BI9+BI8</f>
        <v>354456</v>
      </c>
      <c r="BJ10" s="20">
        <f>BJ9+BJ8</f>
        <v>836675</v>
      </c>
    </row>
    <row r="11" spans="1:74" ht="15.6" x14ac:dyDescent="0.3">
      <c r="AE11" s="24" t="s">
        <v>30</v>
      </c>
      <c r="AF11" s="212">
        <f>SUM(AF7:AF10)</f>
        <v>1</v>
      </c>
      <c r="AG11" s="343" t="s">
        <v>31</v>
      </c>
      <c r="AH11" s="344"/>
      <c r="AI11" s="261">
        <f>AI10+AI7</f>
        <v>177201</v>
      </c>
      <c r="AJ11" s="259"/>
      <c r="AK11" s="258">
        <f>AK10+AK7</f>
        <v>75099</v>
      </c>
      <c r="AL11" s="259"/>
      <c r="AM11" s="258">
        <f>AM10+AM7</f>
        <v>67521</v>
      </c>
      <c r="AN11" s="259"/>
      <c r="AO11" s="258">
        <f>AO10+AO7</f>
        <v>74045</v>
      </c>
      <c r="AP11" s="259"/>
      <c r="AQ11" s="258">
        <f>AQ10+AQ7</f>
        <v>77628</v>
      </c>
      <c r="AR11" s="259"/>
      <c r="AS11" s="258">
        <f>AS10+AS7</f>
        <v>84714</v>
      </c>
      <c r="AT11" s="259"/>
      <c r="AU11" s="258">
        <f>AU10+AU7</f>
        <v>131953</v>
      </c>
      <c r="AV11" s="259"/>
      <c r="AW11" s="258">
        <f>AW10+AW7</f>
        <v>110128</v>
      </c>
      <c r="AX11" s="259"/>
      <c r="AY11" s="258">
        <f t="shared" ref="AY11" si="0">AY10+AY7</f>
        <v>103987</v>
      </c>
      <c r="AZ11" s="259"/>
      <c r="BA11" s="258">
        <f t="shared" ref="BA11" si="1">BA10+BA7</f>
        <v>68450</v>
      </c>
      <c r="BB11" s="259"/>
      <c r="BC11" s="258">
        <f t="shared" ref="BC11" si="2">BC10+BC7</f>
        <v>89225</v>
      </c>
      <c r="BD11" s="259"/>
      <c r="BE11" s="258">
        <f t="shared" ref="BE11" si="3">BE10+BE7</f>
        <v>107125</v>
      </c>
      <c r="BF11" s="259"/>
      <c r="BG11" s="258">
        <f>BG10+BG7</f>
        <v>115350</v>
      </c>
      <c r="BH11" s="259"/>
      <c r="BI11" s="21">
        <f>BI7+BI10</f>
        <v>479278</v>
      </c>
      <c r="BJ11" s="21">
        <f>BJ7+BJ10</f>
        <v>963415</v>
      </c>
    </row>
    <row r="12" spans="1:74" ht="15.6" x14ac:dyDescent="0.3">
      <c r="AG12" s="209"/>
      <c r="AH12" s="83" t="s">
        <v>591</v>
      </c>
      <c r="AI12" s="260"/>
      <c r="AJ12" s="260"/>
      <c r="AK12" s="260"/>
      <c r="AL12" s="280"/>
      <c r="AM12" s="260">
        <v>28</v>
      </c>
      <c r="AN12" s="260"/>
      <c r="AO12" s="260">
        <v>-9673</v>
      </c>
      <c r="AP12" s="260"/>
      <c r="AQ12" s="260">
        <v>9000</v>
      </c>
      <c r="AR12" s="260"/>
      <c r="AS12" s="260">
        <v>968</v>
      </c>
      <c r="AT12" s="260"/>
      <c r="AU12" s="260">
        <v>70</v>
      </c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76">
        <v>0</v>
      </c>
      <c r="BJ12" s="76">
        <v>0</v>
      </c>
    </row>
    <row r="13" spans="1:74" ht="15.6" x14ac:dyDescent="0.3">
      <c r="AG13" s="345" t="s">
        <v>592</v>
      </c>
      <c r="AH13" s="346"/>
      <c r="AI13" s="258">
        <f>AI12+AI11</f>
        <v>177201</v>
      </c>
      <c r="AJ13" s="259"/>
      <c r="AK13" s="258">
        <v>75021</v>
      </c>
      <c r="AL13" s="259"/>
      <c r="AM13" s="258">
        <f>AM12+AM11</f>
        <v>67549</v>
      </c>
      <c r="AN13" s="259"/>
      <c r="AO13" s="258">
        <f>AO12+AO11</f>
        <v>64372</v>
      </c>
      <c r="AP13" s="259"/>
      <c r="AQ13" s="258">
        <f>AQ12+AQ11</f>
        <v>86628</v>
      </c>
      <c r="AR13" s="259"/>
      <c r="AS13" s="258">
        <f>AS12+AS11</f>
        <v>85682</v>
      </c>
      <c r="AT13" s="259"/>
      <c r="AU13" s="258">
        <f>AU12+AU11</f>
        <v>132023</v>
      </c>
      <c r="AV13" s="259"/>
      <c r="AW13" s="258">
        <f>AW12+AW11</f>
        <v>110128</v>
      </c>
      <c r="AX13" s="259"/>
      <c r="AY13" s="258">
        <f>AY12+AY11</f>
        <v>103987</v>
      </c>
      <c r="AZ13" s="259"/>
      <c r="BA13" s="258">
        <f>BA12+BA11</f>
        <v>68450</v>
      </c>
      <c r="BB13" s="259"/>
      <c r="BC13" s="258">
        <f>BC12+BC11</f>
        <v>89225</v>
      </c>
      <c r="BD13" s="259"/>
      <c r="BE13" s="258">
        <f>BE12+BE11</f>
        <v>107125</v>
      </c>
      <c r="BF13" s="259"/>
      <c r="BG13" s="258">
        <f>BG12+BG11</f>
        <v>115350</v>
      </c>
      <c r="BH13" s="259"/>
      <c r="BI13" s="21">
        <f>BI12+BI11</f>
        <v>479278</v>
      </c>
      <c r="BJ13" s="21">
        <f>BJ12+BJ11</f>
        <v>963415</v>
      </c>
    </row>
    <row r="14" spans="1:74" ht="15.6" x14ac:dyDescent="0.3">
      <c r="AG14" s="210"/>
      <c r="AH14" s="144" t="s">
        <v>539</v>
      </c>
      <c r="AI14" s="256"/>
      <c r="AJ14" s="257"/>
      <c r="AK14" s="256">
        <v>64600</v>
      </c>
      <c r="AL14" s="257"/>
      <c r="AM14" s="256">
        <v>75500</v>
      </c>
      <c r="AN14" s="257"/>
      <c r="AO14" s="256">
        <v>75500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80500</v>
      </c>
      <c r="AX14" s="257"/>
      <c r="AY14" s="256">
        <v>80500</v>
      </c>
      <c r="AZ14" s="257"/>
      <c r="BA14" s="256">
        <v>80500</v>
      </c>
      <c r="BB14" s="257"/>
      <c r="BC14" s="256">
        <v>80500</v>
      </c>
      <c r="BD14" s="257"/>
      <c r="BE14" s="256">
        <v>80500</v>
      </c>
      <c r="BF14" s="257"/>
      <c r="BG14" s="256">
        <v>80500</v>
      </c>
      <c r="BH14" s="257"/>
      <c r="BI14" s="17">
        <f>SUM(AM14:AV14)</f>
        <v>392500</v>
      </c>
      <c r="BJ14" s="17">
        <f>SUM(AN14:AW14)</f>
        <v>397500</v>
      </c>
    </row>
    <row r="15" spans="1:74" ht="15.6" x14ac:dyDescent="0.3">
      <c r="AG15" s="210"/>
      <c r="AH15" s="84" t="s">
        <v>555</v>
      </c>
      <c r="AI15" s="252">
        <f>AI14-AI13</f>
        <v>-177201</v>
      </c>
      <c r="AJ15" s="348"/>
      <c r="AK15" s="252">
        <f>AK14-AK13</f>
        <v>-10421</v>
      </c>
      <c r="AL15" s="253"/>
      <c r="AM15" s="252">
        <f>AM14-AM13</f>
        <v>7951</v>
      </c>
      <c r="AN15" s="253"/>
      <c r="AO15" s="252">
        <f>AO14-AO13</f>
        <v>11128</v>
      </c>
      <c r="AP15" s="253"/>
      <c r="AQ15" s="252">
        <f t="shared" ref="AQ15" si="4">AQ14-AQ13</f>
        <v>-6128</v>
      </c>
      <c r="AR15" s="253"/>
      <c r="AS15" s="252">
        <f t="shared" ref="AS15" si="5">AS14-AS13</f>
        <v>-5182</v>
      </c>
      <c r="AT15" s="253"/>
      <c r="AU15" s="252">
        <f t="shared" ref="AU15" si="6">AU14-AU13</f>
        <v>-51523</v>
      </c>
      <c r="AV15" s="253"/>
      <c r="AW15" s="252">
        <f t="shared" ref="AW15" si="7">AW14-AW13</f>
        <v>-29628</v>
      </c>
      <c r="AX15" s="253"/>
      <c r="AY15" s="252">
        <f t="shared" ref="AY15" si="8">AY14-AY13</f>
        <v>-23487</v>
      </c>
      <c r="AZ15" s="253"/>
      <c r="BA15" s="252">
        <f t="shared" ref="BA15" si="9">BA14-BA13</f>
        <v>12050</v>
      </c>
      <c r="BB15" s="253"/>
      <c r="BC15" s="252">
        <f>BC14-BC13</f>
        <v>-8725</v>
      </c>
      <c r="BD15" s="253"/>
      <c r="BE15" s="252">
        <f>BE14-BE13</f>
        <v>-26625</v>
      </c>
      <c r="BF15" s="253"/>
      <c r="BG15" s="252">
        <f>BG14-BG13</f>
        <v>-34850</v>
      </c>
      <c r="BH15" s="253"/>
      <c r="BI15" s="23">
        <f>BI14-BI13</f>
        <v>-86778</v>
      </c>
      <c r="BJ15" s="23">
        <f>BJ14-BJ13</f>
        <v>-565915</v>
      </c>
    </row>
    <row r="16" spans="1:74" ht="15.6" x14ac:dyDescent="0.3">
      <c r="AG16" s="211"/>
      <c r="AH16" s="145" t="s">
        <v>556</v>
      </c>
      <c r="AI16" s="254" t="e">
        <f>(AI13-AI14)/AI14</f>
        <v>#DIV/0!</v>
      </c>
      <c r="AJ16" s="347"/>
      <c r="AK16" s="254">
        <f t="shared" ref="AK16" si="10">(AK13-AK14)/AK14</f>
        <v>0.16131578947368422</v>
      </c>
      <c r="AL16" s="255"/>
      <c r="AM16" s="254">
        <f>(AM14-AM13)/AM14</f>
        <v>0.10531125827814569</v>
      </c>
      <c r="AN16" s="255"/>
      <c r="AO16" s="254">
        <f>(AO14-AO13)/AO14</f>
        <v>0.14739072847682119</v>
      </c>
      <c r="AP16" s="255"/>
      <c r="AQ16" s="254">
        <f t="shared" ref="AQ16" si="11">(AQ14-AQ13)/AQ14</f>
        <v>-7.612422360248447E-2</v>
      </c>
      <c r="AR16" s="255"/>
      <c r="AS16" s="254">
        <f t="shared" ref="AS16" si="12">(AS14-AS13)/AS14</f>
        <v>-6.4372670807453417E-2</v>
      </c>
      <c r="AT16" s="255"/>
      <c r="AU16" s="254">
        <f t="shared" ref="AU16" si="13">(AU14-AU13)/AU14</f>
        <v>-0.64003726708074538</v>
      </c>
      <c r="AV16" s="255"/>
      <c r="AW16" s="254">
        <f t="shared" ref="AW16" si="14">(AW14-AW13)/AW14</f>
        <v>-0.36804968944099381</v>
      </c>
      <c r="AX16" s="255"/>
      <c r="AY16" s="254">
        <f t="shared" ref="AY16" si="15">(AY14-AY13)/AY14</f>
        <v>-0.29176397515527952</v>
      </c>
      <c r="AZ16" s="255"/>
      <c r="BA16" s="254">
        <f t="shared" ref="BA16" si="16">(BA14-BA13)/BA14</f>
        <v>0.14968944099378881</v>
      </c>
      <c r="BB16" s="255"/>
      <c r="BC16" s="254">
        <f>(BC14-BC13)/BC14</f>
        <v>-0.10838509316770187</v>
      </c>
      <c r="BD16" s="255"/>
      <c r="BE16" s="254">
        <f>(BE14-BE13)/BE14</f>
        <v>-0.33074534161490682</v>
      </c>
      <c r="BF16" s="255"/>
      <c r="BG16" s="254">
        <f>(BG14-BG13)/BG14</f>
        <v>-0.4329192546583851</v>
      </c>
      <c r="BH16" s="255"/>
      <c r="BI16" s="22">
        <f>(BI14-BI13)/BI14</f>
        <v>-0.22109044585987261</v>
      </c>
      <c r="BJ16" s="22">
        <f>(BJ14-BJ13)/BJ14</f>
        <v>-1.423685534591195</v>
      </c>
    </row>
    <row r="17" spans="1:61" ht="13.95" customHeight="1" thickBot="1" x14ac:dyDescent="0.35">
      <c r="AK17" s="8"/>
      <c r="AL17"/>
      <c r="AV17"/>
    </row>
    <row r="18" spans="1:61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682</v>
      </c>
      <c r="O18" s="11" t="s">
        <v>681</v>
      </c>
      <c r="P18" s="11" t="s">
        <v>683</v>
      </c>
      <c r="Q18" s="11" t="s">
        <v>49</v>
      </c>
      <c r="R18" s="11" t="s">
        <v>50</v>
      </c>
      <c r="S18" s="11" t="s">
        <v>51</v>
      </c>
      <c r="T18" s="11" t="s">
        <v>52</v>
      </c>
      <c r="U18" s="11" t="s">
        <v>548</v>
      </c>
      <c r="V18" s="11" t="s">
        <v>538</v>
      </c>
      <c r="W18" s="11" t="s">
        <v>537</v>
      </c>
      <c r="X18" s="11" t="s">
        <v>535</v>
      </c>
      <c r="Y18" s="11" t="s">
        <v>534</v>
      </c>
      <c r="Z18" s="11" t="s">
        <v>536</v>
      </c>
      <c r="AA18" s="11" t="s">
        <v>657</v>
      </c>
      <c r="AB18" s="11" t="s">
        <v>658</v>
      </c>
      <c r="AC18" s="11" t="s">
        <v>659</v>
      </c>
      <c r="AD18" s="11" t="s">
        <v>69</v>
      </c>
      <c r="AE18" s="11" t="s">
        <v>660</v>
      </c>
      <c r="AF18" s="9" t="s">
        <v>73</v>
      </c>
      <c r="AG18" s="9" t="s">
        <v>74</v>
      </c>
      <c r="AH18" s="10" t="s">
        <v>75</v>
      </c>
      <c r="AI18" s="9" t="s">
        <v>76</v>
      </c>
      <c r="AJ18" s="9" t="s">
        <v>77</v>
      </c>
      <c r="AK18" s="9" t="s">
        <v>78</v>
      </c>
      <c r="AL18" s="9" t="s">
        <v>79</v>
      </c>
      <c r="AM18" s="9" t="s">
        <v>80</v>
      </c>
      <c r="AN18" s="9" t="s">
        <v>81</v>
      </c>
      <c r="AO18" s="9" t="s">
        <v>82</v>
      </c>
      <c r="AP18" s="9" t="s">
        <v>83</v>
      </c>
      <c r="AQ18" s="9" t="s">
        <v>84</v>
      </c>
      <c r="AR18" s="9" t="s">
        <v>85</v>
      </c>
      <c r="AS18" s="9" t="s">
        <v>86</v>
      </c>
      <c r="AT18" s="9" t="s">
        <v>87</v>
      </c>
      <c r="AU18" s="9" t="s">
        <v>88</v>
      </c>
      <c r="AV18" s="9" t="s">
        <v>89</v>
      </c>
      <c r="AW18" s="9" t="s">
        <v>90</v>
      </c>
      <c r="AX18" s="9" t="s">
        <v>91</v>
      </c>
      <c r="AY18" s="9" t="s">
        <v>92</v>
      </c>
      <c r="AZ18" s="9" t="s">
        <v>93</v>
      </c>
      <c r="BA18" s="9" t="s">
        <v>94</v>
      </c>
      <c r="BB18" s="9" t="s">
        <v>95</v>
      </c>
      <c r="BC18" s="9" t="s">
        <v>96</v>
      </c>
      <c r="BD18" s="9" t="s">
        <v>97</v>
      </c>
      <c r="BE18" s="9" t="s">
        <v>98</v>
      </c>
      <c r="BF18" s="9" t="s">
        <v>99</v>
      </c>
      <c r="BG18" s="9" t="s">
        <v>593</v>
      </c>
      <c r="BH18" s="9" t="s">
        <v>594</v>
      </c>
      <c r="BI18" s="9" t="s">
        <v>100</v>
      </c>
    </row>
    <row r="19" spans="1:61" x14ac:dyDescent="0.3">
      <c r="A19" t="s">
        <v>286</v>
      </c>
      <c r="B19" t="s">
        <v>295</v>
      </c>
      <c r="D19" t="s">
        <v>126</v>
      </c>
      <c r="E19" t="s">
        <v>127</v>
      </c>
      <c r="F19" t="s">
        <v>136</v>
      </c>
      <c r="G19" t="s">
        <v>104</v>
      </c>
      <c r="H19" t="s">
        <v>16</v>
      </c>
      <c r="I19" t="s">
        <v>16</v>
      </c>
      <c r="J19" t="s">
        <v>105</v>
      </c>
      <c r="K19" s="2">
        <v>154061991</v>
      </c>
      <c r="L19" t="s">
        <v>301</v>
      </c>
      <c r="M19" t="s">
        <v>302</v>
      </c>
      <c r="N19">
        <f>_xlfn.XLOOKUP(Portefeuille_MNT_PPS_Access28[[#This Row],[Numéro projet]], Portefeuille_MNT_PPS_Access20[Numéro projet], Portefeuille_MNT_PPS_Access20[Année DÉBUT Travaux prévu], "")</f>
        <v>0</v>
      </c>
      <c r="P19">
        <f>Portefeuille_MNT_PPS_Access28[[#This Row],[Année DÉBUT Travaux proposé]]-Portefeuille_MNT_PPS_Access28[[#This Row],[Année DÉBUT Travaux Prog actuel]]</f>
        <v>0</v>
      </c>
      <c r="Q19" t="s">
        <v>164</v>
      </c>
      <c r="R19" s="1">
        <v>41907</v>
      </c>
      <c r="S19" s="1">
        <v>41968</v>
      </c>
      <c r="T19" s="1">
        <v>42045</v>
      </c>
      <c r="U19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19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19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1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2</v>
      </c>
      <c r="Y1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</v>
      </c>
      <c r="Z19">
        <f>Portefeuille_MNT_PPS_Access28[[#This Row],[Délais PC1 et PC3]]+Portefeuille_MNT_PPS_Access28[[#This Row],[Délais PC3 et PC5]]</f>
        <v>5</v>
      </c>
      <c r="AB19">
        <v>1</v>
      </c>
      <c r="AD19" t="s">
        <v>165</v>
      </c>
      <c r="AE19">
        <v>4</v>
      </c>
      <c r="AF19" s="2" t="e">
        <f>_xlfn.XLOOKUP(Portefeuille_MNT_PPS_Access28[[#This Row],[Numéro projet]],Portefeuille_MNT_PPS_Access27[Numéro projet],Portefeuille_MNT_PPS_Access27[Critère Etat Infrastructure])</f>
        <v>#N/A</v>
      </c>
      <c r="AG19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19" s="221"/>
      <c r="AI19">
        <v>2582</v>
      </c>
      <c r="AJ19">
        <v>17091</v>
      </c>
      <c r="AK19">
        <v>25</v>
      </c>
      <c r="AL19">
        <v>98</v>
      </c>
      <c r="AM19">
        <v>10</v>
      </c>
      <c r="AV19"/>
      <c r="BI19" s="14">
        <f>SUM(Portefeuille_MNT_PPS_Access28[[#This Row],[AC ANT]:[TR 2035]])</f>
        <v>19806</v>
      </c>
    </row>
    <row r="20" spans="1:61" x14ac:dyDescent="0.3">
      <c r="A20" t="s">
        <v>286</v>
      </c>
      <c r="B20" t="s">
        <v>295</v>
      </c>
      <c r="D20" t="s">
        <v>126</v>
      </c>
      <c r="E20" t="s">
        <v>127</v>
      </c>
      <c r="F20" t="s">
        <v>136</v>
      </c>
      <c r="G20" t="s">
        <v>104</v>
      </c>
      <c r="H20" t="s">
        <v>16</v>
      </c>
      <c r="I20" t="s">
        <v>16</v>
      </c>
      <c r="J20" t="s">
        <v>131</v>
      </c>
      <c r="K20" s="2">
        <v>154091454</v>
      </c>
      <c r="L20" t="s">
        <v>304</v>
      </c>
      <c r="M20" t="s">
        <v>194</v>
      </c>
      <c r="N20">
        <f>_xlfn.XLOOKUP(Portefeuille_MNT_PPS_Access28[[#This Row],[Numéro projet]], Portefeuille_MNT_PPS_Access20[Numéro projet], Portefeuille_MNT_PPS_Access20[Année DÉBUT Travaux prévu], "")</f>
        <v>0</v>
      </c>
      <c r="P20">
        <f>Portefeuille_MNT_PPS_Access28[[#This Row],[Année DÉBUT Travaux proposé]]-Portefeuille_MNT_PPS_Access28[[#This Row],[Année DÉBUT Travaux Prog actuel]]</f>
        <v>0</v>
      </c>
      <c r="Q20" t="s">
        <v>164</v>
      </c>
      <c r="R20" s="1">
        <v>43270</v>
      </c>
      <c r="S20" s="1">
        <v>44222</v>
      </c>
      <c r="T20" s="1">
        <v>44356</v>
      </c>
      <c r="U20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20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20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2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31</v>
      </c>
      <c r="Y2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5</v>
      </c>
      <c r="Z20">
        <f>Portefeuille_MNT_PPS_Access28[[#This Row],[Délais PC1 et PC3]]+Portefeuille_MNT_PPS_Access28[[#This Row],[Délais PC3 et PC5]]</f>
        <v>36</v>
      </c>
      <c r="AB20">
        <v>1</v>
      </c>
      <c r="AD20" t="s">
        <v>165</v>
      </c>
      <c r="AE20">
        <v>3.3333333333333335</v>
      </c>
      <c r="AF20" s="2" t="e">
        <f>_xlfn.XLOOKUP(Portefeuille_MNT_PPS_Access28[[#This Row],[Numéro projet]],Portefeuille_MNT_PPS_Access27[Numéro projet],Portefeuille_MNT_PPS_Access27[Critère Etat Infrastructure])</f>
        <v>#N/A</v>
      </c>
      <c r="AG20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0" s="221"/>
      <c r="AI20">
        <v>569</v>
      </c>
      <c r="AJ20">
        <v>2223</v>
      </c>
      <c r="AK20">
        <v>18</v>
      </c>
      <c r="AL20">
        <v>92</v>
      </c>
      <c r="AV20"/>
      <c r="BI20" s="14">
        <f>SUM(Portefeuille_MNT_PPS_Access28[[#This Row],[AC ANT]:[TR 2035]])</f>
        <v>2902</v>
      </c>
    </row>
    <row r="21" spans="1:61" x14ac:dyDescent="0.3">
      <c r="A21" t="s">
        <v>286</v>
      </c>
      <c r="B21" t="s">
        <v>664</v>
      </c>
      <c r="D21" t="s">
        <v>101</v>
      </c>
      <c r="E21" t="s">
        <v>102</v>
      </c>
      <c r="F21" t="s">
        <v>103</v>
      </c>
      <c r="G21" t="s">
        <v>104</v>
      </c>
      <c r="H21" t="s">
        <v>16</v>
      </c>
      <c r="I21" t="s">
        <v>16</v>
      </c>
      <c r="J21" t="s">
        <v>105</v>
      </c>
      <c r="K21" s="2">
        <v>154101262</v>
      </c>
      <c r="L21" t="s">
        <v>306</v>
      </c>
      <c r="M21" t="s">
        <v>302</v>
      </c>
      <c r="N21">
        <f>_xlfn.XLOOKUP(Portefeuille_MNT_PPS_Access28[[#This Row],[Numéro projet]], Portefeuille_MNT_PPS_Access20[Numéro projet], Portefeuille_MNT_PPS_Access20[Année DÉBUT Travaux prévu], "")</f>
        <v>0</v>
      </c>
      <c r="P21">
        <f>Portefeuille_MNT_PPS_Access28[[#This Row],[Année DÉBUT Travaux proposé]]-Portefeuille_MNT_PPS_Access28[[#This Row],[Année DÉBUT Travaux Prog actuel]]</f>
        <v>0</v>
      </c>
      <c r="Q21" t="s">
        <v>164</v>
      </c>
      <c r="R21" s="1">
        <v>43612</v>
      </c>
      <c r="S21" s="1">
        <v>44098</v>
      </c>
      <c r="T21" s="1">
        <v>44188</v>
      </c>
      <c r="U21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21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21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2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16</v>
      </c>
      <c r="Y2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</v>
      </c>
      <c r="Z21">
        <f>Portefeuille_MNT_PPS_Access28[[#This Row],[Délais PC1 et PC3]]+Portefeuille_MNT_PPS_Access28[[#This Row],[Délais PC3 et PC5]]</f>
        <v>19</v>
      </c>
      <c r="AB21">
        <v>1</v>
      </c>
      <c r="AD21" t="s">
        <v>165</v>
      </c>
      <c r="AE21">
        <v>4</v>
      </c>
      <c r="AF21" s="2" t="e">
        <f>_xlfn.XLOOKUP(Portefeuille_MNT_PPS_Access28[[#This Row],[Numéro projet]],Portefeuille_MNT_PPS_Access27[Numéro projet],Portefeuille_MNT_PPS_Access27[Critère Etat Infrastructure])</f>
        <v>#N/A</v>
      </c>
      <c r="AG21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1" s="221"/>
      <c r="AI21">
        <v>640</v>
      </c>
      <c r="AJ21">
        <v>6783</v>
      </c>
      <c r="AK21">
        <v>36</v>
      </c>
      <c r="AL21"/>
      <c r="AV21"/>
      <c r="BI21" s="14">
        <f>SUM(Portefeuille_MNT_PPS_Access28[[#This Row],[AC ANT]:[TR 2035]])</f>
        <v>7459</v>
      </c>
    </row>
    <row r="22" spans="1:61" x14ac:dyDescent="0.3">
      <c r="A22" t="s">
        <v>286</v>
      </c>
      <c r="B22" t="s">
        <v>663</v>
      </c>
      <c r="D22" t="s">
        <v>101</v>
      </c>
      <c r="E22" t="s">
        <v>102</v>
      </c>
      <c r="F22" t="s">
        <v>177</v>
      </c>
      <c r="G22" t="s">
        <v>104</v>
      </c>
      <c r="H22" t="s">
        <v>16</v>
      </c>
      <c r="I22" t="s">
        <v>325</v>
      </c>
      <c r="J22" t="s">
        <v>131</v>
      </c>
      <c r="K22" s="2">
        <v>154111623</v>
      </c>
      <c r="L22" t="s">
        <v>604</v>
      </c>
      <c r="M22" t="s">
        <v>214</v>
      </c>
      <c r="N22">
        <f>_xlfn.XLOOKUP(Portefeuille_MNT_PPS_Access28[[#This Row],[Numéro projet]], Portefeuille_MNT_PPS_Access20[Numéro projet], Portefeuille_MNT_PPS_Access20[Année DÉBUT Travaux prévu], "")</f>
        <v>0</v>
      </c>
      <c r="P22">
        <f>Portefeuille_MNT_PPS_Access28[[#This Row],[Année DÉBUT Travaux proposé]]-Portefeuille_MNT_PPS_Access28[[#This Row],[Année DÉBUT Travaux Prog actuel]]</f>
        <v>0</v>
      </c>
      <c r="Q22" t="s">
        <v>291</v>
      </c>
      <c r="R22" s="1"/>
      <c r="S22" s="1"/>
      <c r="T22" s="1"/>
      <c r="U2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2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2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2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22">
        <f>Portefeuille_MNT_PPS_Access28[[#This Row],[Délais PC1 et PC3]]+Portefeuille_MNT_PPS_Access28[[#This Row],[Délais PC3 et PC5]]</f>
        <v>0</v>
      </c>
      <c r="AB22">
        <v>1</v>
      </c>
      <c r="AD22" t="s">
        <v>311</v>
      </c>
      <c r="AE22">
        <v>3</v>
      </c>
      <c r="AF22" s="2" t="e">
        <f>_xlfn.XLOOKUP(Portefeuille_MNT_PPS_Access28[[#This Row],[Numéro projet]],Portefeuille_MNT_PPS_Access27[Numéro projet],Portefeuille_MNT_PPS_Access27[Critère Etat Infrastructure])</f>
        <v>#N/A</v>
      </c>
      <c r="AG22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2" s="221"/>
      <c r="AI22">
        <v>96</v>
      </c>
      <c r="AJ22">
        <v>399</v>
      </c>
      <c r="AK22">
        <v>5</v>
      </c>
      <c r="AL22"/>
      <c r="AV22"/>
      <c r="BI22" s="14">
        <f>SUM(Portefeuille_MNT_PPS_Access28[[#This Row],[AC ANT]:[TR 2035]])</f>
        <v>500</v>
      </c>
    </row>
    <row r="23" spans="1:61" x14ac:dyDescent="0.3">
      <c r="A23" t="s">
        <v>286</v>
      </c>
      <c r="B23" t="s">
        <v>295</v>
      </c>
      <c r="D23" t="s">
        <v>126</v>
      </c>
      <c r="E23" t="s">
        <v>127</v>
      </c>
      <c r="F23" t="s">
        <v>136</v>
      </c>
      <c r="G23" t="s">
        <v>104</v>
      </c>
      <c r="H23" t="s">
        <v>16</v>
      </c>
      <c r="I23" t="s">
        <v>16</v>
      </c>
      <c r="J23" t="s">
        <v>131</v>
      </c>
      <c r="K23" s="2">
        <v>154130267</v>
      </c>
      <c r="L23" t="s">
        <v>308</v>
      </c>
      <c r="M23" t="s">
        <v>159</v>
      </c>
      <c r="N23">
        <f>_xlfn.XLOOKUP(Portefeuille_MNT_PPS_Access28[[#This Row],[Numéro projet]], Portefeuille_MNT_PPS_Access20[Numéro projet], Portefeuille_MNT_PPS_Access20[Année DÉBUT Travaux prévu], "")</f>
        <v>0</v>
      </c>
      <c r="P23">
        <f>Portefeuille_MNT_PPS_Access28[[#This Row],[Année DÉBUT Travaux proposé]]-Portefeuille_MNT_PPS_Access28[[#This Row],[Année DÉBUT Travaux Prog actuel]]</f>
        <v>0</v>
      </c>
      <c r="Q23" t="s">
        <v>164</v>
      </c>
      <c r="R23" s="1"/>
      <c r="S23" s="1">
        <v>42992</v>
      </c>
      <c r="T23" s="1">
        <v>43783</v>
      </c>
      <c r="U2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3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23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2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1412</v>
      </c>
      <c r="Y2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26</v>
      </c>
      <c r="Z23">
        <f>Portefeuille_MNT_PPS_Access28[[#This Row],[Délais PC1 et PC3]]+Portefeuille_MNT_PPS_Access28[[#This Row],[Délais PC3 et PC5]]</f>
        <v>1438</v>
      </c>
      <c r="AB23">
        <v>1</v>
      </c>
      <c r="AD23" t="s">
        <v>165</v>
      </c>
      <c r="AE23">
        <v>4.333333333333333</v>
      </c>
      <c r="AF23" s="2" t="e">
        <f>_xlfn.XLOOKUP(Portefeuille_MNT_PPS_Access28[[#This Row],[Numéro projet]],Portefeuille_MNT_PPS_Access27[Numéro projet],Portefeuille_MNT_PPS_Access27[Critère Etat Infrastructure])</f>
        <v>#N/A</v>
      </c>
      <c r="AG23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3" s="221"/>
      <c r="AI23">
        <v>2779</v>
      </c>
      <c r="AJ23">
        <v>15336</v>
      </c>
      <c r="AK23">
        <v>16</v>
      </c>
      <c r="AL23"/>
      <c r="AV23"/>
      <c r="BI23" s="14">
        <f>SUM(Portefeuille_MNT_PPS_Access28[[#This Row],[AC ANT]:[TR 2035]])</f>
        <v>18131</v>
      </c>
    </row>
    <row r="24" spans="1:61" x14ac:dyDescent="0.3">
      <c r="A24" t="s">
        <v>286</v>
      </c>
      <c r="B24" t="s">
        <v>662</v>
      </c>
      <c r="D24" t="s">
        <v>118</v>
      </c>
      <c r="E24" t="s">
        <v>102</v>
      </c>
      <c r="F24" t="s">
        <v>103</v>
      </c>
      <c r="H24" t="s">
        <v>16</v>
      </c>
      <c r="I24" t="s">
        <v>325</v>
      </c>
      <c r="J24" t="s">
        <v>131</v>
      </c>
      <c r="K24" s="2">
        <v>154160752</v>
      </c>
      <c r="L24" t="s">
        <v>318</v>
      </c>
      <c r="M24" t="s">
        <v>187</v>
      </c>
      <c r="N24">
        <f>_xlfn.XLOOKUP(Portefeuille_MNT_PPS_Access28[[#This Row],[Numéro projet]], Portefeuille_MNT_PPS_Access20[Numéro projet], Portefeuille_MNT_PPS_Access20[Année DÉBUT Travaux prévu], "")</f>
        <v>0</v>
      </c>
      <c r="O24" s="2"/>
      <c r="P24" s="2">
        <f>Portefeuille_MNT_PPS_Access28[[#This Row],[Année DÉBUT Travaux proposé]]-Portefeuille_MNT_PPS_Access28[[#This Row],[Année DÉBUT Travaux Prog actuel]]</f>
        <v>0</v>
      </c>
      <c r="Q24" t="s">
        <v>291</v>
      </c>
      <c r="R24" s="1"/>
      <c r="S24" s="1"/>
      <c r="T24" s="1"/>
      <c r="U2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2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2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2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24">
        <f>Portefeuille_MNT_PPS_Access28[[#This Row],[Délais PC1 et PC3]]+Portefeuille_MNT_PPS_Access28[[#This Row],[Délais PC3 et PC5]]</f>
        <v>0</v>
      </c>
      <c r="AB24">
        <v>1</v>
      </c>
      <c r="AD24" t="s">
        <v>311</v>
      </c>
      <c r="AE24">
        <v>3</v>
      </c>
      <c r="AF24" s="2" t="e">
        <f>_xlfn.XLOOKUP(Portefeuille_MNT_PPS_Access28[[#This Row],[Numéro projet]],Portefeuille_MNT_PPS_Access27[Numéro projet],Portefeuille_MNT_PPS_Access27[Critère Etat Infrastructure])</f>
        <v>#N/A</v>
      </c>
      <c r="AG24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4" s="221"/>
      <c r="AI24">
        <v>676</v>
      </c>
      <c r="AJ24">
        <v>7943</v>
      </c>
      <c r="AK24">
        <v>17</v>
      </c>
      <c r="AL24"/>
      <c r="AV24"/>
      <c r="BI24" s="14">
        <f>SUM(Portefeuille_MNT_PPS_Access28[[#This Row],[AC ANT]:[TR 2035]])</f>
        <v>8636</v>
      </c>
    </row>
    <row r="25" spans="1:61" x14ac:dyDescent="0.3">
      <c r="A25" t="s">
        <v>286</v>
      </c>
      <c r="B25" t="s">
        <v>662</v>
      </c>
      <c r="D25" t="s">
        <v>118</v>
      </c>
      <c r="E25" t="s">
        <v>102</v>
      </c>
      <c r="F25" t="s">
        <v>103</v>
      </c>
      <c r="G25" t="s">
        <v>104</v>
      </c>
      <c r="H25" t="s">
        <v>16</v>
      </c>
      <c r="I25" t="s">
        <v>16</v>
      </c>
      <c r="J25" t="s">
        <v>131</v>
      </c>
      <c r="K25" s="2">
        <v>154171269</v>
      </c>
      <c r="L25" t="s">
        <v>320</v>
      </c>
      <c r="M25" t="s">
        <v>159</v>
      </c>
      <c r="N25">
        <f>_xlfn.XLOOKUP(Portefeuille_MNT_PPS_Access28[[#This Row],[Numéro projet]], Portefeuille_MNT_PPS_Access20[Numéro projet], Portefeuille_MNT_PPS_Access20[Année DÉBUT Travaux prévu], "")</f>
        <v>0</v>
      </c>
      <c r="P25">
        <f>Portefeuille_MNT_PPS_Access28[[#This Row],[Année DÉBUT Travaux proposé]]-Portefeuille_MNT_PPS_Access28[[#This Row],[Année DÉBUT Travaux Prog actuel]]</f>
        <v>0</v>
      </c>
      <c r="Q25" t="s">
        <v>164</v>
      </c>
      <c r="R25" s="1">
        <v>44063</v>
      </c>
      <c r="S25" s="1">
        <v>44488</v>
      </c>
      <c r="T25" s="1">
        <v>44602</v>
      </c>
      <c r="U25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25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25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2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</v>
      </c>
      <c r="Y2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4</v>
      </c>
      <c r="Z25">
        <f>Portefeuille_MNT_PPS_Access28[[#This Row],[Délais PC1 et PC3]]+Portefeuille_MNT_PPS_Access28[[#This Row],[Délais PC3 et PC5]]</f>
        <v>18</v>
      </c>
      <c r="AB25">
        <v>1</v>
      </c>
      <c r="AD25" t="s">
        <v>165</v>
      </c>
      <c r="AE25">
        <v>4.333333333333333</v>
      </c>
      <c r="AF25" s="2" t="e">
        <f>_xlfn.XLOOKUP(Portefeuille_MNT_PPS_Access28[[#This Row],[Numéro projet]],Portefeuille_MNT_PPS_Access27[Numéro projet],Portefeuille_MNT_PPS_Access27[Critère Etat Infrastructure])</f>
        <v>#N/A</v>
      </c>
      <c r="AG25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5" s="221"/>
      <c r="AI25">
        <v>334</v>
      </c>
      <c r="AJ25">
        <v>5521</v>
      </c>
      <c r="AK25">
        <v>24</v>
      </c>
      <c r="AL25"/>
      <c r="AM25">
        <v>28</v>
      </c>
      <c r="AV25"/>
      <c r="BI25" s="14">
        <f>SUM(Portefeuille_MNT_PPS_Access28[[#This Row],[AC ANT]:[TR 2035]])</f>
        <v>5907</v>
      </c>
    </row>
    <row r="26" spans="1:61" x14ac:dyDescent="0.3">
      <c r="A26" t="s">
        <v>286</v>
      </c>
      <c r="B26" t="s">
        <v>662</v>
      </c>
      <c r="D26" t="s">
        <v>118</v>
      </c>
      <c r="E26" t="s">
        <v>102</v>
      </c>
      <c r="F26" t="s">
        <v>103</v>
      </c>
      <c r="H26" t="s">
        <v>16</v>
      </c>
      <c r="I26" t="s">
        <v>325</v>
      </c>
      <c r="J26" t="s">
        <v>131</v>
      </c>
      <c r="K26" s="2">
        <v>154171270</v>
      </c>
      <c r="L26" t="s">
        <v>525</v>
      </c>
      <c r="M26" t="s">
        <v>147</v>
      </c>
      <c r="N26">
        <f>_xlfn.XLOOKUP(Portefeuille_MNT_PPS_Access28[[#This Row],[Numéro projet]], Portefeuille_MNT_PPS_Access20[Numéro projet], Portefeuille_MNT_PPS_Access20[Année DÉBUT Travaux prévu], "")</f>
        <v>0</v>
      </c>
      <c r="P26">
        <f>Portefeuille_MNT_PPS_Access28[[#This Row],[Année DÉBUT Travaux proposé]]-Portefeuille_MNT_PPS_Access28[[#This Row],[Année DÉBUT Travaux Prog actuel]]</f>
        <v>0</v>
      </c>
      <c r="Q26" t="s">
        <v>291</v>
      </c>
      <c r="R26" s="1"/>
      <c r="S26" s="1"/>
      <c r="T26" s="1"/>
      <c r="U2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2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2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2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26">
        <f>Portefeuille_MNT_PPS_Access28[[#This Row],[Délais PC1 et PC3]]+Portefeuille_MNT_PPS_Access28[[#This Row],[Délais PC3 et PC5]]</f>
        <v>0</v>
      </c>
      <c r="AB26">
        <v>1</v>
      </c>
      <c r="AD26" t="s">
        <v>311</v>
      </c>
      <c r="AE26">
        <v>2.6666666666666665</v>
      </c>
      <c r="AF26" s="2" t="e">
        <f>_xlfn.XLOOKUP(Portefeuille_MNT_PPS_Access28[[#This Row],[Numéro projet]],Portefeuille_MNT_PPS_Access27[Numéro projet],Portefeuille_MNT_PPS_Access27[Critère Etat Infrastructure])</f>
        <v>#N/A</v>
      </c>
      <c r="AG26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6" s="221"/>
      <c r="AI26">
        <v>468</v>
      </c>
      <c r="AJ26">
        <v>4580</v>
      </c>
      <c r="AL26"/>
      <c r="AM26">
        <v>3</v>
      </c>
      <c r="AV26"/>
      <c r="BI26" s="14">
        <f>SUM(Portefeuille_MNT_PPS_Access28[[#This Row],[AC ANT]:[TR 2035]])</f>
        <v>5051</v>
      </c>
    </row>
    <row r="27" spans="1:61" x14ac:dyDescent="0.3">
      <c r="A27" t="s">
        <v>286</v>
      </c>
      <c r="B27" t="s">
        <v>295</v>
      </c>
      <c r="D27" t="s">
        <v>126</v>
      </c>
      <c r="E27" t="s">
        <v>127</v>
      </c>
      <c r="F27" t="s">
        <v>128</v>
      </c>
      <c r="G27" t="s">
        <v>129</v>
      </c>
      <c r="H27" t="s">
        <v>16</v>
      </c>
      <c r="I27" t="s">
        <v>16</v>
      </c>
      <c r="J27" t="s">
        <v>131</v>
      </c>
      <c r="K27" s="2">
        <v>154171295</v>
      </c>
      <c r="L27" t="s">
        <v>324</v>
      </c>
      <c r="M27" t="s">
        <v>214</v>
      </c>
      <c r="N27">
        <f>_xlfn.XLOOKUP(Portefeuille_MNT_PPS_Access28[[#This Row],[Numéro projet]], Portefeuille_MNT_PPS_Access20[Numéro projet], Portefeuille_MNT_PPS_Access20[Année DÉBUT Travaux prévu], "")</f>
        <v>0</v>
      </c>
      <c r="P27">
        <f>Portefeuille_MNT_PPS_Access28[[#This Row],[Année DÉBUT Travaux proposé]]-Portefeuille_MNT_PPS_Access28[[#This Row],[Année DÉBUT Travaux Prog actuel]]</f>
        <v>0</v>
      </c>
      <c r="Q27" t="s">
        <v>164</v>
      </c>
      <c r="R27" s="1">
        <v>44644</v>
      </c>
      <c r="S27" s="1">
        <v>44995</v>
      </c>
      <c r="T27" s="1">
        <v>45061</v>
      </c>
      <c r="U27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27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27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2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2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2</v>
      </c>
      <c r="Z27">
        <f>Portefeuille_MNT_PPS_Access28[[#This Row],[Délais PC1 et PC3]]+Portefeuille_MNT_PPS_Access28[[#This Row],[Délais PC3 et PC5]]</f>
        <v>14</v>
      </c>
      <c r="AB27">
        <v>1</v>
      </c>
      <c r="AD27" t="s">
        <v>165</v>
      </c>
      <c r="AE27">
        <v>3</v>
      </c>
      <c r="AF27" s="2" t="e">
        <f>_xlfn.XLOOKUP(Portefeuille_MNT_PPS_Access28[[#This Row],[Numéro projet]],Portefeuille_MNT_PPS_Access27[Numéro projet],Portefeuille_MNT_PPS_Access27[Critère Etat Infrastructure])</f>
        <v>#N/A</v>
      </c>
      <c r="AG27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7" s="221"/>
      <c r="AI27">
        <v>80</v>
      </c>
      <c r="AJ27">
        <v>347</v>
      </c>
      <c r="AK27">
        <v>46</v>
      </c>
      <c r="AL27">
        <v>141</v>
      </c>
      <c r="AV27"/>
      <c r="BI27" s="14">
        <f>SUM(Portefeuille_MNT_PPS_Access28[[#This Row],[AC ANT]:[TR 2035]])</f>
        <v>614</v>
      </c>
    </row>
    <row r="28" spans="1:61" x14ac:dyDescent="0.3">
      <c r="A28" t="s">
        <v>286</v>
      </c>
      <c r="B28" t="s">
        <v>664</v>
      </c>
      <c r="D28" t="s">
        <v>101</v>
      </c>
      <c r="E28" t="s">
        <v>102</v>
      </c>
      <c r="F28" t="s">
        <v>103</v>
      </c>
      <c r="H28" t="s">
        <v>16</v>
      </c>
      <c r="I28" t="s">
        <v>325</v>
      </c>
      <c r="J28" t="s">
        <v>131</v>
      </c>
      <c r="K28" s="2">
        <v>154171402</v>
      </c>
      <c r="L28" t="s">
        <v>327</v>
      </c>
      <c r="M28" t="s">
        <v>183</v>
      </c>
      <c r="N28">
        <f>_xlfn.XLOOKUP(Portefeuille_MNT_PPS_Access28[[#This Row],[Numéro projet]], Portefeuille_MNT_PPS_Access20[Numéro projet], Portefeuille_MNT_PPS_Access20[Année DÉBUT Travaux prévu], "")</f>
        <v>0</v>
      </c>
      <c r="P28">
        <f>Portefeuille_MNT_PPS_Access28[[#This Row],[Année DÉBUT Travaux proposé]]-Portefeuille_MNT_PPS_Access28[[#This Row],[Année DÉBUT Travaux Prog actuel]]</f>
        <v>0</v>
      </c>
      <c r="Q28" t="s">
        <v>291</v>
      </c>
      <c r="R28" s="1"/>
      <c r="S28" s="1"/>
      <c r="T28" s="1"/>
      <c r="U2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2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2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2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28">
        <f>Portefeuille_MNT_PPS_Access28[[#This Row],[Délais PC1 et PC3]]+Portefeuille_MNT_PPS_Access28[[#This Row],[Délais PC3 et PC5]]</f>
        <v>0</v>
      </c>
      <c r="AB28">
        <v>1</v>
      </c>
      <c r="AD28" t="s">
        <v>311</v>
      </c>
      <c r="AE28">
        <v>2.3333333333333335</v>
      </c>
      <c r="AF28" s="2" t="e">
        <f>_xlfn.XLOOKUP(Portefeuille_MNT_PPS_Access28[[#This Row],[Numéro projet]],Portefeuille_MNT_PPS_Access27[Numéro projet],Portefeuille_MNT_PPS_Access27[Critère Etat Infrastructure])</f>
        <v>#N/A</v>
      </c>
      <c r="AG28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8" s="221"/>
      <c r="AI28">
        <v>595</v>
      </c>
      <c r="AJ28">
        <v>3578</v>
      </c>
      <c r="AL28"/>
      <c r="AM28">
        <v>1</v>
      </c>
      <c r="AV28"/>
      <c r="BI28" s="14">
        <f>SUM(Portefeuille_MNT_PPS_Access28[[#This Row],[AC ANT]:[TR 2035]])</f>
        <v>4174</v>
      </c>
    </row>
    <row r="29" spans="1:61" x14ac:dyDescent="0.3">
      <c r="A29" t="s">
        <v>286</v>
      </c>
      <c r="B29" t="s">
        <v>664</v>
      </c>
      <c r="D29" t="s">
        <v>101</v>
      </c>
      <c r="E29" t="s">
        <v>102</v>
      </c>
      <c r="F29" t="s">
        <v>200</v>
      </c>
      <c r="H29" t="s">
        <v>16</v>
      </c>
      <c r="I29" t="s">
        <v>325</v>
      </c>
      <c r="J29" t="s">
        <v>131</v>
      </c>
      <c r="K29" s="2">
        <v>154171405</v>
      </c>
      <c r="L29" t="s">
        <v>329</v>
      </c>
      <c r="M29" t="s">
        <v>152</v>
      </c>
      <c r="N29">
        <f>_xlfn.XLOOKUP(Portefeuille_MNT_PPS_Access28[[#This Row],[Numéro projet]], Portefeuille_MNT_PPS_Access20[Numéro projet], Portefeuille_MNT_PPS_Access20[Année DÉBUT Travaux prévu], "")</f>
        <v>0</v>
      </c>
      <c r="P29">
        <f>Portefeuille_MNT_PPS_Access28[[#This Row],[Année DÉBUT Travaux proposé]]-Portefeuille_MNT_PPS_Access28[[#This Row],[Année DÉBUT Travaux Prog actuel]]</f>
        <v>0</v>
      </c>
      <c r="Q29" t="s">
        <v>291</v>
      </c>
      <c r="R29" s="1"/>
      <c r="S29" s="1"/>
      <c r="T29" s="1"/>
      <c r="U2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2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2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2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2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29">
        <f>Portefeuille_MNT_PPS_Access28[[#This Row],[Délais PC1 et PC3]]+Portefeuille_MNT_PPS_Access28[[#This Row],[Délais PC3 et PC5]]</f>
        <v>0</v>
      </c>
      <c r="AB29">
        <v>1</v>
      </c>
      <c r="AD29" t="s">
        <v>311</v>
      </c>
      <c r="AE29">
        <v>3.3333333333333335</v>
      </c>
      <c r="AF29" s="2" t="e">
        <f>_xlfn.XLOOKUP(Portefeuille_MNT_PPS_Access28[[#This Row],[Numéro projet]],Portefeuille_MNT_PPS_Access27[Numéro projet],Portefeuille_MNT_PPS_Access27[Critère Etat Infrastructure])</f>
        <v>#N/A</v>
      </c>
      <c r="AG29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29" s="221"/>
      <c r="AI29">
        <v>186</v>
      </c>
      <c r="AJ29">
        <v>3019</v>
      </c>
      <c r="AL29"/>
      <c r="AM29">
        <v>9</v>
      </c>
      <c r="AV29"/>
      <c r="BI29" s="14">
        <f>SUM(Portefeuille_MNT_PPS_Access28[[#This Row],[AC ANT]:[TR 2035]])</f>
        <v>3214</v>
      </c>
    </row>
    <row r="30" spans="1:61" x14ac:dyDescent="0.3">
      <c r="A30" t="s">
        <v>286</v>
      </c>
      <c r="B30" t="s">
        <v>664</v>
      </c>
      <c r="D30" t="s">
        <v>101</v>
      </c>
      <c r="E30" t="s">
        <v>102</v>
      </c>
      <c r="F30" t="s">
        <v>103</v>
      </c>
      <c r="G30" t="s">
        <v>129</v>
      </c>
      <c r="H30" t="s">
        <v>16</v>
      </c>
      <c r="I30" t="s">
        <v>16</v>
      </c>
      <c r="J30" t="s">
        <v>105</v>
      </c>
      <c r="K30" s="2">
        <v>154180005</v>
      </c>
      <c r="L30" t="s">
        <v>357</v>
      </c>
      <c r="M30" t="s">
        <v>116</v>
      </c>
      <c r="N30">
        <f>_xlfn.XLOOKUP(Portefeuille_MNT_PPS_Access28[[#This Row],[Numéro projet]], Portefeuille_MNT_PPS_Access20[Numéro projet], Portefeuille_MNT_PPS_Access20[Année DÉBUT Travaux prévu], "")</f>
        <v>0</v>
      </c>
      <c r="P30">
        <f>Portefeuille_MNT_PPS_Access28[[#This Row],[Année DÉBUT Travaux proposé]]-Portefeuille_MNT_PPS_Access28[[#This Row],[Année DÉBUT Travaux Prog actuel]]</f>
        <v>0</v>
      </c>
      <c r="Q30" t="s">
        <v>164</v>
      </c>
      <c r="R30" s="1"/>
      <c r="S30" s="1">
        <v>44911</v>
      </c>
      <c r="T30" s="1">
        <v>45167</v>
      </c>
      <c r="U3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0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30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1475</v>
      </c>
      <c r="Y3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8</v>
      </c>
      <c r="Z30">
        <f>Portefeuille_MNT_PPS_Access28[[#This Row],[Délais PC1 et PC3]]+Portefeuille_MNT_PPS_Access28[[#This Row],[Délais PC3 et PC5]]</f>
        <v>1483</v>
      </c>
      <c r="AB30">
        <v>1</v>
      </c>
      <c r="AD30" t="s">
        <v>165</v>
      </c>
      <c r="AE30">
        <v>3.3333333333333335</v>
      </c>
      <c r="AF30" s="2" t="e">
        <f>_xlfn.XLOOKUP(Portefeuille_MNT_PPS_Access28[[#This Row],[Numéro projet]],Portefeuille_MNT_PPS_Access27[Numéro projet],Portefeuille_MNT_PPS_Access27[Critère Etat Infrastructure])</f>
        <v>#N/A</v>
      </c>
      <c r="AG30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0" s="221"/>
      <c r="AI30">
        <v>16</v>
      </c>
      <c r="AK30">
        <v>19</v>
      </c>
      <c r="AL30">
        <v>1816</v>
      </c>
      <c r="AV30"/>
      <c r="BI30" s="14">
        <f>SUM(Portefeuille_MNT_PPS_Access28[[#This Row],[AC ANT]:[TR 2035]])</f>
        <v>1851</v>
      </c>
    </row>
    <row r="31" spans="1:61" x14ac:dyDescent="0.3">
      <c r="A31" t="s">
        <v>286</v>
      </c>
      <c r="B31" t="s">
        <v>664</v>
      </c>
      <c r="D31" t="s">
        <v>101</v>
      </c>
      <c r="E31" t="s">
        <v>102</v>
      </c>
      <c r="F31" t="s">
        <v>200</v>
      </c>
      <c r="G31" t="s">
        <v>104</v>
      </c>
      <c r="H31" t="s">
        <v>16</v>
      </c>
      <c r="I31" t="s">
        <v>20</v>
      </c>
      <c r="J31" t="s">
        <v>105</v>
      </c>
      <c r="K31" s="2">
        <v>154180023</v>
      </c>
      <c r="L31" t="s">
        <v>202</v>
      </c>
      <c r="M31" t="s">
        <v>108</v>
      </c>
      <c r="N31">
        <f>_xlfn.XLOOKUP(Portefeuille_MNT_PPS_Access28[[#This Row],[Numéro projet]], Portefeuille_MNT_PPS_Access20[Numéro projet], Portefeuille_MNT_PPS_Access20[Année DÉBUT Travaux prévu], "")</f>
        <v>0</v>
      </c>
      <c r="P31">
        <f>Portefeuille_MNT_PPS_Access28[[#This Row],[Année DÉBUT Travaux proposé]]-Portefeuille_MNT_PPS_Access28[[#This Row],[Année DÉBUT Travaux Prog actuel]]</f>
        <v>0</v>
      </c>
      <c r="Q31" t="s">
        <v>155</v>
      </c>
      <c r="R31" s="1"/>
      <c r="S31" s="1"/>
      <c r="T31" s="1"/>
      <c r="U3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3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3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3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31">
        <f>Portefeuille_MNT_PPS_Access28[[#This Row],[Délais PC1 et PC3]]+Portefeuille_MNT_PPS_Access28[[#This Row],[Délais PC3 et PC5]]</f>
        <v>0</v>
      </c>
      <c r="AB31">
        <v>1</v>
      </c>
      <c r="AD31" t="s">
        <v>156</v>
      </c>
      <c r="AE31">
        <v>4</v>
      </c>
      <c r="AF31" s="2" t="e">
        <f>_xlfn.XLOOKUP(Portefeuille_MNT_PPS_Access28[[#This Row],[Numéro projet]],Portefeuille_MNT_PPS_Access27[Numéro projet],Portefeuille_MNT_PPS_Access27[Critère Etat Infrastructure])</f>
        <v>#N/A</v>
      </c>
      <c r="AG31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1" s="221"/>
      <c r="AI31">
        <v>277</v>
      </c>
      <c r="AJ31">
        <v>4</v>
      </c>
      <c r="AL31"/>
      <c r="AO31">
        <v>127</v>
      </c>
      <c r="AQ31">
        <v>125</v>
      </c>
      <c r="AS31">
        <v>471</v>
      </c>
      <c r="AV31"/>
      <c r="BI31" s="14">
        <f>SUM(Portefeuille_MNT_PPS_Access28[[#This Row],[AC ANT]:[TR 2035]])</f>
        <v>1004</v>
      </c>
    </row>
    <row r="32" spans="1:61" x14ac:dyDescent="0.3">
      <c r="A32" t="s">
        <v>286</v>
      </c>
      <c r="B32" t="s">
        <v>663</v>
      </c>
      <c r="D32" t="s">
        <v>101</v>
      </c>
      <c r="E32" t="s">
        <v>102</v>
      </c>
      <c r="F32" t="s">
        <v>136</v>
      </c>
      <c r="G32" t="s">
        <v>140</v>
      </c>
      <c r="H32" t="s">
        <v>16</v>
      </c>
      <c r="I32" t="s">
        <v>16</v>
      </c>
      <c r="J32" t="s">
        <v>131</v>
      </c>
      <c r="K32" s="2">
        <v>154180746</v>
      </c>
      <c r="L32" t="s">
        <v>361</v>
      </c>
      <c r="M32" t="s">
        <v>134</v>
      </c>
      <c r="N32">
        <f>_xlfn.XLOOKUP(Portefeuille_MNT_PPS_Access28[[#This Row],[Numéro projet]], Portefeuille_MNT_PPS_Access20[Numéro projet], Portefeuille_MNT_PPS_Access20[Année DÉBUT Travaux prévu], "")</f>
        <v>0</v>
      </c>
      <c r="P32">
        <f>Portefeuille_MNT_PPS_Access28[[#This Row],[Année DÉBUT Travaux proposé]]-Portefeuille_MNT_PPS_Access28[[#This Row],[Année DÉBUT Travaux Prog actuel]]</f>
        <v>0</v>
      </c>
      <c r="Q32" t="s">
        <v>164</v>
      </c>
      <c r="R32" s="1">
        <v>43390</v>
      </c>
      <c r="S32" s="1"/>
      <c r="T32" s="1">
        <v>44890</v>
      </c>
      <c r="U32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3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32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-1425</v>
      </c>
      <c r="Y3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1474</v>
      </c>
      <c r="Z32">
        <f>Portefeuille_MNT_PPS_Access28[[#This Row],[Délais PC1 et PC3]]+Portefeuille_MNT_PPS_Access28[[#This Row],[Délais PC3 et PC5]]</f>
        <v>49</v>
      </c>
      <c r="AB32">
        <v>1</v>
      </c>
      <c r="AD32" t="s">
        <v>165</v>
      </c>
      <c r="AE32">
        <v>2.3333333333333335</v>
      </c>
      <c r="AF32" s="2" t="e">
        <f>_xlfn.XLOOKUP(Portefeuille_MNT_PPS_Access28[[#This Row],[Numéro projet]],Portefeuille_MNT_PPS_Access27[Numéro projet],Portefeuille_MNT_PPS_Access27[Critère Etat Infrastructure])</f>
        <v>#N/A</v>
      </c>
      <c r="AG32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2" s="221"/>
      <c r="AI32">
        <v>37</v>
      </c>
      <c r="AK32">
        <v>18</v>
      </c>
      <c r="AL32">
        <v>288</v>
      </c>
      <c r="AV32"/>
      <c r="BI32" s="14">
        <f>SUM(Portefeuille_MNT_PPS_Access28[[#This Row],[AC ANT]:[TR 2035]])</f>
        <v>343</v>
      </c>
    </row>
    <row r="33" spans="1:61" x14ac:dyDescent="0.3">
      <c r="A33" t="s">
        <v>286</v>
      </c>
      <c r="B33" t="s">
        <v>664</v>
      </c>
      <c r="D33" t="s">
        <v>101</v>
      </c>
      <c r="E33" t="s">
        <v>102</v>
      </c>
      <c r="F33" t="s">
        <v>103</v>
      </c>
      <c r="G33" t="s">
        <v>113</v>
      </c>
      <c r="H33" t="s">
        <v>16</v>
      </c>
      <c r="I33" t="s">
        <v>16</v>
      </c>
      <c r="J33" t="s">
        <v>105</v>
      </c>
      <c r="K33" s="2">
        <v>154180843</v>
      </c>
      <c r="L33" t="s">
        <v>363</v>
      </c>
      <c r="M33" t="s">
        <v>122</v>
      </c>
      <c r="N33">
        <f>_xlfn.XLOOKUP(Portefeuille_MNT_PPS_Access28[[#This Row],[Numéro projet]], Portefeuille_MNT_PPS_Access20[Numéro projet], Portefeuille_MNT_PPS_Access20[Année DÉBUT Travaux prévu], "")</f>
        <v>0</v>
      </c>
      <c r="P33">
        <f>Portefeuille_MNT_PPS_Access28[[#This Row],[Année DÉBUT Travaux proposé]]-Portefeuille_MNT_PPS_Access28[[#This Row],[Année DÉBUT Travaux Prog actuel]]</f>
        <v>0</v>
      </c>
      <c r="Q33" t="s">
        <v>164</v>
      </c>
      <c r="R33" s="1">
        <v>44316</v>
      </c>
      <c r="S33" s="1">
        <v>44636</v>
      </c>
      <c r="T33" s="1">
        <v>45084</v>
      </c>
      <c r="U33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33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33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3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</v>
      </c>
      <c r="Z33">
        <f>Portefeuille_MNT_PPS_Access28[[#This Row],[Délais PC1 et PC3]]+Portefeuille_MNT_PPS_Access28[[#This Row],[Délais PC3 et PC5]]</f>
        <v>26</v>
      </c>
      <c r="AB33">
        <v>1</v>
      </c>
      <c r="AD33" t="s">
        <v>165</v>
      </c>
      <c r="AE33">
        <v>4</v>
      </c>
      <c r="AF33" s="2" t="e">
        <f>_xlfn.XLOOKUP(Portefeuille_MNT_PPS_Access28[[#This Row],[Numéro projet]],Portefeuille_MNT_PPS_Access27[Numéro projet],Portefeuille_MNT_PPS_Access27[Critère Etat Infrastructure])</f>
        <v>#N/A</v>
      </c>
      <c r="AG33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3" s="221"/>
      <c r="AI33">
        <v>123</v>
      </c>
      <c r="AK33">
        <v>81</v>
      </c>
      <c r="AL33">
        <v>10747</v>
      </c>
      <c r="AM33">
        <v>178</v>
      </c>
      <c r="AV33"/>
      <c r="BI33" s="14">
        <f>SUM(Portefeuille_MNT_PPS_Access28[[#This Row],[AC ANT]:[TR 2035]])</f>
        <v>11129</v>
      </c>
    </row>
    <row r="34" spans="1:61" x14ac:dyDescent="0.3">
      <c r="A34" t="s">
        <v>286</v>
      </c>
      <c r="B34" t="s">
        <v>664</v>
      </c>
      <c r="D34" t="s">
        <v>101</v>
      </c>
      <c r="E34" t="s">
        <v>102</v>
      </c>
      <c r="F34" t="s">
        <v>200</v>
      </c>
      <c r="G34" t="s">
        <v>104</v>
      </c>
      <c r="H34" t="s">
        <v>16</v>
      </c>
      <c r="I34" t="s">
        <v>16</v>
      </c>
      <c r="J34" t="s">
        <v>105</v>
      </c>
      <c r="K34" s="2">
        <v>154190251</v>
      </c>
      <c r="L34" t="s">
        <v>339</v>
      </c>
      <c r="M34" t="s">
        <v>180</v>
      </c>
      <c r="N34">
        <f>_xlfn.XLOOKUP(Portefeuille_MNT_PPS_Access28[[#This Row],[Numéro projet]], Portefeuille_MNT_PPS_Access20[Numéro projet], Portefeuille_MNT_PPS_Access20[Année DÉBUT Travaux prévu], "")</f>
        <v>0</v>
      </c>
      <c r="P34">
        <f>Portefeuille_MNT_PPS_Access28[[#This Row],[Année DÉBUT Travaux proposé]]-Portefeuille_MNT_PPS_Access28[[#This Row],[Année DÉBUT Travaux Prog actuel]]</f>
        <v>0</v>
      </c>
      <c r="Q34" t="s">
        <v>164</v>
      </c>
      <c r="R34" s="1">
        <v>43360</v>
      </c>
      <c r="S34" s="1">
        <v>43671</v>
      </c>
      <c r="T34" s="1">
        <v>44217</v>
      </c>
      <c r="U34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34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34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10</v>
      </c>
      <c r="Y3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18</v>
      </c>
      <c r="Z34">
        <f>Portefeuille_MNT_PPS_Access28[[#This Row],[Délais PC1 et PC3]]+Portefeuille_MNT_PPS_Access28[[#This Row],[Délais PC3 et PC5]]</f>
        <v>28</v>
      </c>
      <c r="AB34">
        <v>1</v>
      </c>
      <c r="AD34" t="s">
        <v>165</v>
      </c>
      <c r="AE34">
        <v>2.833333333333333</v>
      </c>
      <c r="AF34" s="2" t="e">
        <f>_xlfn.XLOOKUP(Portefeuille_MNT_PPS_Access28[[#This Row],[Numéro projet]],Portefeuille_MNT_PPS_Access27[Numéro projet],Portefeuille_MNT_PPS_Access27[Critère Etat Infrastructure])</f>
        <v>#N/A</v>
      </c>
      <c r="AG34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4" s="221"/>
      <c r="AI34">
        <v>128</v>
      </c>
      <c r="AJ34">
        <v>2061</v>
      </c>
      <c r="AK34">
        <v>142</v>
      </c>
      <c r="AL34"/>
      <c r="AM34">
        <v>65</v>
      </c>
      <c r="AV34"/>
      <c r="BI34" s="14">
        <f>SUM(Portefeuille_MNT_PPS_Access28[[#This Row],[AC ANT]:[TR 2035]])</f>
        <v>2396</v>
      </c>
    </row>
    <row r="35" spans="1:61" x14ac:dyDescent="0.3">
      <c r="A35" t="s">
        <v>286</v>
      </c>
      <c r="B35" t="s">
        <v>662</v>
      </c>
      <c r="D35" t="s">
        <v>118</v>
      </c>
      <c r="E35" t="s">
        <v>102</v>
      </c>
      <c r="F35" t="s">
        <v>103</v>
      </c>
      <c r="G35" t="s">
        <v>340</v>
      </c>
      <c r="H35" t="s">
        <v>16</v>
      </c>
      <c r="I35" t="s">
        <v>16</v>
      </c>
      <c r="J35" t="s">
        <v>131</v>
      </c>
      <c r="K35" s="2">
        <v>154190477</v>
      </c>
      <c r="L35" t="s">
        <v>342</v>
      </c>
      <c r="M35" t="s">
        <v>147</v>
      </c>
      <c r="N35">
        <f>_xlfn.XLOOKUP(Portefeuille_MNT_PPS_Access28[[#This Row],[Numéro projet]], Portefeuille_MNT_PPS_Access20[Numéro projet], Portefeuille_MNT_PPS_Access20[Année DÉBUT Travaux prévu], "")</f>
        <v>0</v>
      </c>
      <c r="P35">
        <f>Portefeuille_MNT_PPS_Access28[[#This Row],[Année DÉBUT Travaux proposé]]-Portefeuille_MNT_PPS_Access28[[#This Row],[Année DÉBUT Travaux Prog actuel]]</f>
        <v>0</v>
      </c>
      <c r="Q35" t="s">
        <v>164</v>
      </c>
      <c r="R35" s="1">
        <v>44245</v>
      </c>
      <c r="S35" s="1">
        <v>44469</v>
      </c>
      <c r="T35" s="1">
        <v>44538</v>
      </c>
      <c r="U35" s="1" t="e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#NUM!</v>
      </c>
      <c r="V35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35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7</v>
      </c>
      <c r="Y3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</v>
      </c>
      <c r="Z35">
        <f>Portefeuille_MNT_PPS_Access28[[#This Row],[Délais PC1 et PC3]]+Portefeuille_MNT_PPS_Access28[[#This Row],[Délais PC3 et PC5]]</f>
        <v>10</v>
      </c>
      <c r="AB35">
        <v>1</v>
      </c>
      <c r="AD35" t="s">
        <v>165</v>
      </c>
      <c r="AE35">
        <v>2.6666666666666665</v>
      </c>
      <c r="AF35" s="2" t="e">
        <f>_xlfn.XLOOKUP(Portefeuille_MNT_PPS_Access28[[#This Row],[Numéro projet]],Portefeuille_MNT_PPS_Access27[Numéro projet],Portefeuille_MNT_PPS_Access27[Critère Etat Infrastructure])</f>
        <v>#N/A</v>
      </c>
      <c r="AG35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5" s="221"/>
      <c r="AI35">
        <v>603</v>
      </c>
      <c r="AJ35">
        <v>10120</v>
      </c>
      <c r="AK35">
        <v>13</v>
      </c>
      <c r="AL35">
        <v>169</v>
      </c>
      <c r="AM35">
        <v>60</v>
      </c>
      <c r="AV35"/>
      <c r="BI35" s="14">
        <f>SUM(Portefeuille_MNT_PPS_Access28[[#This Row],[AC ANT]:[TR 2035]])</f>
        <v>10965</v>
      </c>
    </row>
    <row r="36" spans="1:61" x14ac:dyDescent="0.3">
      <c r="A36" t="s">
        <v>286</v>
      </c>
      <c r="B36" t="s">
        <v>663</v>
      </c>
      <c r="D36" t="s">
        <v>101</v>
      </c>
      <c r="E36" t="s">
        <v>102</v>
      </c>
      <c r="F36" t="s">
        <v>188</v>
      </c>
      <c r="G36" t="s">
        <v>113</v>
      </c>
      <c r="H36" t="s">
        <v>16</v>
      </c>
      <c r="I36" t="s">
        <v>16</v>
      </c>
      <c r="J36" t="s">
        <v>131</v>
      </c>
      <c r="K36" s="2">
        <v>154200233</v>
      </c>
      <c r="L36" t="s">
        <v>344</v>
      </c>
      <c r="M36" t="s">
        <v>139</v>
      </c>
      <c r="N36">
        <f>_xlfn.XLOOKUP(Portefeuille_MNT_PPS_Access28[[#This Row],[Numéro projet]], Portefeuille_MNT_PPS_Access20[Numéro projet], Portefeuille_MNT_PPS_Access20[Année DÉBUT Travaux prévu], "")</f>
        <v>0</v>
      </c>
      <c r="P36">
        <f>Portefeuille_MNT_PPS_Access28[[#This Row],[Année DÉBUT Travaux proposé]]-Portefeuille_MNT_PPS_Access28[[#This Row],[Année DÉBUT Travaux Prog actuel]]</f>
        <v>0</v>
      </c>
      <c r="Q36" t="s">
        <v>164</v>
      </c>
      <c r="R36" s="1"/>
      <c r="S36" s="1"/>
      <c r="T36" s="1">
        <v>44672</v>
      </c>
      <c r="U3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36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3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1467</v>
      </c>
      <c r="Z36">
        <f>Portefeuille_MNT_PPS_Access28[[#This Row],[Délais PC1 et PC3]]+Portefeuille_MNT_PPS_Access28[[#This Row],[Délais PC3 et PC5]]</f>
        <v>1467</v>
      </c>
      <c r="AB36">
        <v>1</v>
      </c>
      <c r="AD36" t="s">
        <v>165</v>
      </c>
      <c r="AE36">
        <v>2</v>
      </c>
      <c r="AF36" s="2" t="e">
        <f>_xlfn.XLOOKUP(Portefeuille_MNT_PPS_Access28[[#This Row],[Numéro projet]],Portefeuille_MNT_PPS_Access27[Numéro projet],Portefeuille_MNT_PPS_Access27[Critère Etat Infrastructure])</f>
        <v>#N/A</v>
      </c>
      <c r="AG36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6" s="221"/>
      <c r="AI36">
        <v>84</v>
      </c>
      <c r="AJ36">
        <v>819</v>
      </c>
      <c r="AK36">
        <v>12</v>
      </c>
      <c r="AL36">
        <v>11</v>
      </c>
      <c r="AV36"/>
      <c r="BI36" s="14">
        <f>SUM(Portefeuille_MNT_PPS_Access28[[#This Row],[AC ANT]:[TR 2035]])</f>
        <v>926</v>
      </c>
    </row>
    <row r="37" spans="1:61" x14ac:dyDescent="0.3">
      <c r="A37" t="s">
        <v>286</v>
      </c>
      <c r="B37" t="s">
        <v>662</v>
      </c>
      <c r="D37" t="s">
        <v>118</v>
      </c>
      <c r="E37" t="s">
        <v>102</v>
      </c>
      <c r="F37" t="s">
        <v>136</v>
      </c>
      <c r="G37" t="s">
        <v>129</v>
      </c>
      <c r="H37" t="s">
        <v>16</v>
      </c>
      <c r="I37" t="s">
        <v>16</v>
      </c>
      <c r="J37" t="s">
        <v>131</v>
      </c>
      <c r="K37" s="2">
        <v>154200567</v>
      </c>
      <c r="L37" t="s">
        <v>346</v>
      </c>
      <c r="M37" t="s">
        <v>147</v>
      </c>
      <c r="N37">
        <f>_xlfn.XLOOKUP(Portefeuille_MNT_PPS_Access28[[#This Row],[Numéro projet]], Portefeuille_MNT_PPS_Access20[Numéro projet], Portefeuille_MNT_PPS_Access20[Année DÉBUT Travaux prévu], "")</f>
        <v>0</v>
      </c>
      <c r="P37">
        <f>Portefeuille_MNT_PPS_Access28[[#This Row],[Année DÉBUT Travaux proposé]]-Portefeuille_MNT_PPS_Access28[[#This Row],[Année DÉBUT Travaux Prog actuel]]</f>
        <v>0</v>
      </c>
      <c r="Q37" t="s">
        <v>164</v>
      </c>
      <c r="R37" s="1"/>
      <c r="S37" s="1"/>
      <c r="T37" s="1"/>
      <c r="U3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3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3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3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37">
        <f>Portefeuille_MNT_PPS_Access28[[#This Row],[Délais PC1 et PC3]]+Portefeuille_MNT_PPS_Access28[[#This Row],[Délais PC3 et PC5]]</f>
        <v>0</v>
      </c>
      <c r="AB37">
        <v>1</v>
      </c>
      <c r="AD37" t="s">
        <v>165</v>
      </c>
      <c r="AE37">
        <v>2.6666666666666665</v>
      </c>
      <c r="AF37" s="2" t="e">
        <f>_xlfn.XLOOKUP(Portefeuille_MNT_PPS_Access28[[#This Row],[Numéro projet]],Portefeuille_MNT_PPS_Access27[Numéro projet],Portefeuille_MNT_PPS_Access27[Critère Etat Infrastructure])</f>
        <v>#N/A</v>
      </c>
      <c r="AG37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7" s="221"/>
      <c r="AJ37">
        <v>151</v>
      </c>
      <c r="AK37">
        <v>1</v>
      </c>
      <c r="AL37">
        <v>44</v>
      </c>
      <c r="AV37"/>
      <c r="BI37" s="14">
        <f>SUM(Portefeuille_MNT_PPS_Access28[[#This Row],[AC ANT]:[TR 2035]])</f>
        <v>196</v>
      </c>
    </row>
    <row r="38" spans="1:61" x14ac:dyDescent="0.3">
      <c r="A38" t="s">
        <v>11</v>
      </c>
      <c r="D38" t="s">
        <v>118</v>
      </c>
      <c r="E38" t="s">
        <v>102</v>
      </c>
      <c r="F38" t="s">
        <v>136</v>
      </c>
      <c r="G38" t="s">
        <v>129</v>
      </c>
      <c r="H38" t="s">
        <v>325</v>
      </c>
      <c r="I38" t="s">
        <v>16</v>
      </c>
      <c r="J38" t="s">
        <v>131</v>
      </c>
      <c r="K38" s="2">
        <v>154200568</v>
      </c>
      <c r="L38" t="s">
        <v>348</v>
      </c>
      <c r="M38" t="s">
        <v>214</v>
      </c>
      <c r="N38">
        <f>_xlfn.XLOOKUP(Portefeuille_MNT_PPS_Access28[[#This Row],[Numéro projet]], Portefeuille_MNT_PPS_Access20[Numéro projet], Portefeuille_MNT_PPS_Access20[Année DÉBUT Travaux prévu], "")</f>
        <v>0</v>
      </c>
      <c r="P38">
        <f>Portefeuille_MNT_PPS_Access28[[#This Row],[Année DÉBUT Travaux proposé]]-Portefeuille_MNT_PPS_Access28[[#This Row],[Année DÉBUT Travaux Prog actuel]]</f>
        <v>0</v>
      </c>
      <c r="Q38" t="s">
        <v>297</v>
      </c>
      <c r="R38" s="1"/>
      <c r="S38" s="1"/>
      <c r="T38" s="1">
        <v>45037</v>
      </c>
      <c r="U3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38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3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1479</v>
      </c>
      <c r="Z38">
        <f>Portefeuille_MNT_PPS_Access28[[#This Row],[Délais PC1 et PC3]]+Portefeuille_MNT_PPS_Access28[[#This Row],[Délais PC3 et PC5]]</f>
        <v>1479</v>
      </c>
      <c r="AB38">
        <v>1</v>
      </c>
      <c r="AD38" t="s">
        <v>349</v>
      </c>
      <c r="AE38">
        <v>3</v>
      </c>
      <c r="AF38" s="2" t="e">
        <f>_xlfn.XLOOKUP(Portefeuille_MNT_PPS_Access28[[#This Row],[Numéro projet]],Portefeuille_MNT_PPS_Access27[Numéro projet],Portefeuille_MNT_PPS_Access27[Critère Etat Infrastructure])</f>
        <v>#N/A</v>
      </c>
      <c r="AG38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8" s="221"/>
      <c r="AJ38">
        <v>36</v>
      </c>
      <c r="AL38">
        <v>4</v>
      </c>
      <c r="AV38"/>
      <c r="BI38" s="14">
        <f>SUM(Portefeuille_MNT_PPS_Access28[[#This Row],[AC ANT]:[TR 2035]])</f>
        <v>40</v>
      </c>
    </row>
    <row r="39" spans="1:61" x14ac:dyDescent="0.3">
      <c r="A39" t="s">
        <v>286</v>
      </c>
      <c r="D39" t="s">
        <v>101</v>
      </c>
      <c r="E39" t="s">
        <v>102</v>
      </c>
      <c r="F39" t="s">
        <v>177</v>
      </c>
      <c r="G39" t="s">
        <v>149</v>
      </c>
      <c r="H39" t="s">
        <v>16</v>
      </c>
      <c r="I39" t="s">
        <v>16</v>
      </c>
      <c r="J39" t="s">
        <v>131</v>
      </c>
      <c r="K39" s="2">
        <v>154200670</v>
      </c>
      <c r="L39" t="s">
        <v>351</v>
      </c>
      <c r="M39" t="s">
        <v>152</v>
      </c>
      <c r="N39">
        <f>_xlfn.XLOOKUP(Portefeuille_MNT_PPS_Access28[[#This Row],[Numéro projet]], Portefeuille_MNT_PPS_Access20[Numéro projet], Portefeuille_MNT_PPS_Access20[Année DÉBUT Travaux prévu], "")</f>
        <v>0</v>
      </c>
      <c r="P39">
        <f>Portefeuille_MNT_PPS_Access28[[#This Row],[Année DÉBUT Travaux proposé]]-Portefeuille_MNT_PPS_Access28[[#This Row],[Année DÉBUT Travaux Prog actuel]]</f>
        <v>0</v>
      </c>
      <c r="Q39" t="s">
        <v>164</v>
      </c>
      <c r="R39" s="1"/>
      <c r="S39" s="1">
        <v>44880</v>
      </c>
      <c r="T39" s="1">
        <v>44914</v>
      </c>
      <c r="U3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39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39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3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1474</v>
      </c>
      <c r="Y3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</v>
      </c>
      <c r="Z39">
        <f>Portefeuille_MNT_PPS_Access28[[#This Row],[Délais PC1 et PC3]]+Portefeuille_MNT_PPS_Access28[[#This Row],[Délais PC3 et PC5]]</f>
        <v>1475</v>
      </c>
      <c r="AB39">
        <v>1</v>
      </c>
      <c r="AD39" t="s">
        <v>165</v>
      </c>
      <c r="AE39">
        <v>3.3333333333333335</v>
      </c>
      <c r="AF39" s="2" t="e">
        <f>_xlfn.XLOOKUP(Portefeuille_MNT_PPS_Access28[[#This Row],[Numéro projet]],Portefeuille_MNT_PPS_Access27[Numéro projet],Portefeuille_MNT_PPS_Access27[Critère Etat Infrastructure])</f>
        <v>#N/A</v>
      </c>
      <c r="AG39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39" s="221"/>
      <c r="AI39">
        <v>14</v>
      </c>
      <c r="AJ39">
        <v>2970</v>
      </c>
      <c r="AL39">
        <v>52</v>
      </c>
      <c r="AV39"/>
      <c r="BI39" s="14">
        <f>SUM(Portefeuille_MNT_PPS_Access28[[#This Row],[AC ANT]:[TR 2035]])</f>
        <v>3036</v>
      </c>
    </row>
    <row r="40" spans="1:61" x14ac:dyDescent="0.3">
      <c r="A40" t="s">
        <v>286</v>
      </c>
      <c r="B40" t="s">
        <v>662</v>
      </c>
      <c r="D40" t="s">
        <v>118</v>
      </c>
      <c r="E40" t="s">
        <v>102</v>
      </c>
      <c r="F40" t="s">
        <v>136</v>
      </c>
      <c r="G40" t="s">
        <v>340</v>
      </c>
      <c r="H40" t="s">
        <v>16</v>
      </c>
      <c r="I40" t="s">
        <v>16</v>
      </c>
      <c r="J40" t="s">
        <v>105</v>
      </c>
      <c r="K40" s="2">
        <v>154210133</v>
      </c>
      <c r="L40" t="s">
        <v>353</v>
      </c>
      <c r="M40" t="s">
        <v>180</v>
      </c>
      <c r="N40">
        <f>_xlfn.XLOOKUP(Portefeuille_MNT_PPS_Access28[[#This Row],[Numéro projet]], Portefeuille_MNT_PPS_Access20[Numéro projet], Portefeuille_MNT_PPS_Access20[Année DÉBUT Travaux prévu], "")</f>
        <v>0</v>
      </c>
      <c r="P40">
        <f>Portefeuille_MNT_PPS_Access28[[#This Row],[Année DÉBUT Travaux proposé]]-Portefeuille_MNT_PPS_Access28[[#This Row],[Année DÉBUT Travaux Prog actuel]]</f>
        <v>0</v>
      </c>
      <c r="Q40" t="s">
        <v>164</v>
      </c>
      <c r="R40" s="1"/>
      <c r="S40" s="1">
        <v>44965</v>
      </c>
      <c r="T40" s="1">
        <v>45113</v>
      </c>
      <c r="U4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0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40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4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1477</v>
      </c>
      <c r="Y4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5</v>
      </c>
      <c r="Z40">
        <f>Portefeuille_MNT_PPS_Access28[[#This Row],[Délais PC1 et PC3]]+Portefeuille_MNT_PPS_Access28[[#This Row],[Délais PC3 et PC5]]</f>
        <v>1482</v>
      </c>
      <c r="AB40">
        <v>1</v>
      </c>
      <c r="AD40" t="s">
        <v>165</v>
      </c>
      <c r="AE40">
        <v>4</v>
      </c>
      <c r="AF40" s="2" t="e">
        <f>_xlfn.XLOOKUP(Portefeuille_MNT_PPS_Access28[[#This Row],[Numéro projet]],Portefeuille_MNT_PPS_Access27[Numéro projet],Portefeuille_MNT_PPS_Access27[Critère Etat Infrastructure])</f>
        <v>#N/A</v>
      </c>
      <c r="AG40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0" s="221"/>
      <c r="AI40">
        <v>87</v>
      </c>
      <c r="AJ40">
        <v>304</v>
      </c>
      <c r="AK40">
        <v>35</v>
      </c>
      <c r="AL40">
        <v>958</v>
      </c>
      <c r="AV40"/>
      <c r="BI40" s="14">
        <f>SUM(Portefeuille_MNT_PPS_Access28[[#This Row],[AC ANT]:[TR 2035]])</f>
        <v>1384</v>
      </c>
    </row>
    <row r="41" spans="1:61" x14ac:dyDescent="0.3">
      <c r="A41" t="s">
        <v>11</v>
      </c>
      <c r="D41" t="s">
        <v>118</v>
      </c>
      <c r="E41" t="s">
        <v>102</v>
      </c>
      <c r="F41" t="s">
        <v>103</v>
      </c>
      <c r="G41" t="s">
        <v>252</v>
      </c>
      <c r="H41" t="s">
        <v>20</v>
      </c>
      <c r="I41" t="s">
        <v>16</v>
      </c>
      <c r="J41" t="s">
        <v>131</v>
      </c>
      <c r="K41" s="2">
        <v>154220312</v>
      </c>
      <c r="L41" t="s">
        <v>388</v>
      </c>
      <c r="M41" t="s">
        <v>180</v>
      </c>
      <c r="N41">
        <f>_xlfn.XLOOKUP(Portefeuille_MNT_PPS_Access28[[#This Row],[Numéro projet]], Portefeuille_MNT_PPS_Access20[Numéro projet], Portefeuille_MNT_PPS_Access20[Année DÉBUT Travaux prévu], "")</f>
        <v>0</v>
      </c>
      <c r="P41">
        <f>Portefeuille_MNT_PPS_Access28[[#This Row],[Année DÉBUT Travaux proposé]]-Portefeuille_MNT_PPS_Access28[[#This Row],[Année DÉBUT Travaux Prog actuel]]</f>
        <v>0</v>
      </c>
      <c r="Q41" t="s">
        <v>297</v>
      </c>
      <c r="R41" s="1"/>
      <c r="S41" s="1"/>
      <c r="T41" s="1"/>
      <c r="U4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4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4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4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41">
        <f>Portefeuille_MNT_PPS_Access28[[#This Row],[Délais PC1 et PC3]]+Portefeuille_MNT_PPS_Access28[[#This Row],[Délais PC3 et PC5]]</f>
        <v>0</v>
      </c>
      <c r="AB41">
        <v>1</v>
      </c>
      <c r="AD41" t="s">
        <v>349</v>
      </c>
      <c r="AE41">
        <v>2.7333333333333334</v>
      </c>
      <c r="AF41" s="2" t="e">
        <f>_xlfn.XLOOKUP(Portefeuille_MNT_PPS_Access28[[#This Row],[Numéro projet]],Portefeuille_MNT_PPS_Access27[Numéro projet],Portefeuille_MNT_PPS_Access27[Critère Etat Infrastructure])</f>
        <v>#N/A</v>
      </c>
      <c r="AG41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1" s="221"/>
      <c r="AL41">
        <v>316</v>
      </c>
      <c r="AV41"/>
      <c r="BI41" s="14">
        <f>SUM(Portefeuille_MNT_PPS_Access28[[#This Row],[AC ANT]:[TR 2035]])</f>
        <v>316</v>
      </c>
    </row>
    <row r="42" spans="1:61" x14ac:dyDescent="0.3">
      <c r="A42" t="s">
        <v>286</v>
      </c>
      <c r="B42" t="s">
        <v>295</v>
      </c>
      <c r="D42" t="s">
        <v>126</v>
      </c>
      <c r="E42" t="s">
        <v>127</v>
      </c>
      <c r="F42" t="s">
        <v>128</v>
      </c>
      <c r="G42" t="s">
        <v>252</v>
      </c>
      <c r="H42" t="s">
        <v>16</v>
      </c>
      <c r="I42" t="s">
        <v>16</v>
      </c>
      <c r="J42" t="s">
        <v>131</v>
      </c>
      <c r="K42" s="2">
        <v>154220431</v>
      </c>
      <c r="L42" t="s">
        <v>435</v>
      </c>
      <c r="M42" t="s">
        <v>147</v>
      </c>
      <c r="N42">
        <f>_xlfn.XLOOKUP(Portefeuille_MNT_PPS_Access28[[#This Row],[Numéro projet]], Portefeuille_MNT_PPS_Access20[Numéro projet], Portefeuille_MNT_PPS_Access20[Année DÉBUT Travaux prévu], "")</f>
        <v>0</v>
      </c>
      <c r="P42">
        <f>Portefeuille_MNT_PPS_Access28[[#This Row],[Année DÉBUT Travaux proposé]]-Portefeuille_MNT_PPS_Access28[[#This Row],[Année DÉBUT Travaux Prog actuel]]</f>
        <v>0</v>
      </c>
      <c r="Q42" t="s">
        <v>123</v>
      </c>
      <c r="R42" s="1"/>
      <c r="S42" s="1"/>
      <c r="T42" s="1">
        <v>45413</v>
      </c>
      <c r="U4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42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4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4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1492</v>
      </c>
      <c r="Z42">
        <f>Portefeuille_MNT_PPS_Access28[[#This Row],[Délais PC1 et PC3]]+Portefeuille_MNT_PPS_Access28[[#This Row],[Délais PC3 et PC5]]</f>
        <v>1492</v>
      </c>
      <c r="AB42">
        <v>1</v>
      </c>
      <c r="AD42" t="s">
        <v>125</v>
      </c>
      <c r="AE42">
        <v>2.6666666666666665</v>
      </c>
      <c r="AF42" s="2" t="e">
        <f>_xlfn.XLOOKUP(Portefeuille_MNT_PPS_Access28[[#This Row],[Numéro projet]],Portefeuille_MNT_PPS_Access27[Numéro projet],Portefeuille_MNT_PPS_Access27[Critère Etat Infrastructure])</f>
        <v>#N/A</v>
      </c>
      <c r="AG42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2" s="221"/>
      <c r="AK42">
        <v>2</v>
      </c>
      <c r="AL42">
        <v>64</v>
      </c>
      <c r="AV42"/>
      <c r="BI42" s="14">
        <f>SUM(Portefeuille_MNT_PPS_Access28[[#This Row],[AC ANT]:[TR 2035]])</f>
        <v>66</v>
      </c>
    </row>
    <row r="43" spans="1:61" x14ac:dyDescent="0.3">
      <c r="A43" t="s">
        <v>286</v>
      </c>
      <c r="B43" t="s">
        <v>662</v>
      </c>
      <c r="D43" t="s">
        <v>118</v>
      </c>
      <c r="E43" t="s">
        <v>102</v>
      </c>
      <c r="F43" t="s">
        <v>103</v>
      </c>
      <c r="G43" t="s">
        <v>340</v>
      </c>
      <c r="H43" t="s">
        <v>16</v>
      </c>
      <c r="I43" t="s">
        <v>16</v>
      </c>
      <c r="J43" t="s">
        <v>105</v>
      </c>
      <c r="K43" s="2">
        <v>154230638</v>
      </c>
      <c r="L43" t="s">
        <v>355</v>
      </c>
      <c r="M43" t="s">
        <v>143</v>
      </c>
      <c r="N43">
        <f>_xlfn.XLOOKUP(Portefeuille_MNT_PPS_Access28[[#This Row],[Numéro projet]], Portefeuille_MNT_PPS_Access20[Numéro projet], Portefeuille_MNT_PPS_Access20[Année DÉBUT Travaux prévu], "")</f>
        <v>0</v>
      </c>
      <c r="P43">
        <f>Portefeuille_MNT_PPS_Access28[[#This Row],[Année DÉBUT Travaux proposé]]-Portefeuille_MNT_PPS_Access28[[#This Row],[Année DÉBUT Travaux Prog actuel]]</f>
        <v>0</v>
      </c>
      <c r="Q43" t="s">
        <v>164</v>
      </c>
      <c r="R43" s="1"/>
      <c r="S43" s="1"/>
      <c r="T43" s="1"/>
      <c r="U4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4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4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4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43">
        <f>Portefeuille_MNT_PPS_Access28[[#This Row],[Délais PC1 et PC3]]+Portefeuille_MNT_PPS_Access28[[#This Row],[Délais PC3 et PC5]]</f>
        <v>0</v>
      </c>
      <c r="AB43">
        <v>1</v>
      </c>
      <c r="AD43" t="s">
        <v>165</v>
      </c>
      <c r="AE43">
        <v>4.333333333333333</v>
      </c>
      <c r="AF43" s="2" t="e">
        <f>_xlfn.XLOOKUP(Portefeuille_MNT_PPS_Access28[[#This Row],[Numéro projet]],Portefeuille_MNT_PPS_Access27[Numéro projet],Portefeuille_MNT_PPS_Access27[Critère Etat Infrastructure])</f>
        <v>#N/A</v>
      </c>
      <c r="AG43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3" s="221"/>
      <c r="AI43">
        <v>173</v>
      </c>
      <c r="AJ43">
        <v>7850</v>
      </c>
      <c r="AK43">
        <v>3</v>
      </c>
      <c r="AL43">
        <v>173</v>
      </c>
      <c r="AV43"/>
      <c r="BI43" s="14">
        <f>SUM(Portefeuille_MNT_PPS_Access28[[#This Row],[AC ANT]:[TR 2035]])</f>
        <v>8199</v>
      </c>
    </row>
    <row r="44" spans="1:61" x14ac:dyDescent="0.3">
      <c r="A44" t="s">
        <v>286</v>
      </c>
      <c r="B44" t="s">
        <v>295</v>
      </c>
      <c r="D44" t="s">
        <v>126</v>
      </c>
      <c r="E44" t="s">
        <v>127</v>
      </c>
      <c r="F44" t="s">
        <v>136</v>
      </c>
      <c r="G44" t="s">
        <v>113</v>
      </c>
      <c r="H44" t="s">
        <v>16</v>
      </c>
      <c r="I44" t="s">
        <v>16</v>
      </c>
      <c r="J44" t="s">
        <v>105</v>
      </c>
      <c r="K44" s="2">
        <v>154951715</v>
      </c>
      <c r="L44" t="s">
        <v>359</v>
      </c>
      <c r="M44" t="s">
        <v>108</v>
      </c>
      <c r="N44">
        <f>_xlfn.XLOOKUP(Portefeuille_MNT_PPS_Access28[[#This Row],[Numéro projet]], Portefeuille_MNT_PPS_Access20[Numéro projet], Portefeuille_MNT_PPS_Access20[Année DÉBUT Travaux prévu], "")</f>
        <v>0</v>
      </c>
      <c r="P44">
        <f>Portefeuille_MNT_PPS_Access28[[#This Row],[Année DÉBUT Travaux proposé]]-Portefeuille_MNT_PPS_Access28[[#This Row],[Année DÉBUT Travaux Prog actuel]]</f>
        <v>0</v>
      </c>
      <c r="Q44" t="s">
        <v>164</v>
      </c>
      <c r="R44" s="1"/>
      <c r="S44" s="1">
        <v>42383</v>
      </c>
      <c r="T44" s="1">
        <v>43404</v>
      </c>
      <c r="U4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4" s="1" t="e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#NUM!</v>
      </c>
      <c r="W44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4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1392</v>
      </c>
      <c r="Y4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33</v>
      </c>
      <c r="Z44">
        <f>Portefeuille_MNT_PPS_Access28[[#This Row],[Délais PC1 et PC3]]+Portefeuille_MNT_PPS_Access28[[#This Row],[Délais PC3 et PC5]]</f>
        <v>1425</v>
      </c>
      <c r="AB44">
        <v>1</v>
      </c>
      <c r="AD44" t="s">
        <v>165</v>
      </c>
      <c r="AE44">
        <v>4</v>
      </c>
      <c r="AF44" s="2" t="e">
        <f>_xlfn.XLOOKUP(Portefeuille_MNT_PPS_Access28[[#This Row],[Numéro projet]],Portefeuille_MNT_PPS_Access27[Numéro projet],Portefeuille_MNT_PPS_Access27[Critère Etat Infrastructure])</f>
        <v>#N/A</v>
      </c>
      <c r="AG44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4" s="221"/>
      <c r="AI44">
        <v>2099</v>
      </c>
      <c r="AJ44">
        <v>8991</v>
      </c>
      <c r="AK44">
        <v>93</v>
      </c>
      <c r="AL44"/>
      <c r="AM44">
        <v>29</v>
      </c>
      <c r="AV44"/>
      <c r="BI44" s="14">
        <f>SUM(Portefeuille_MNT_PPS_Access28[[#This Row],[AC ANT]:[TR 2035]])</f>
        <v>11212</v>
      </c>
    </row>
    <row r="45" spans="1:61" x14ac:dyDescent="0.3">
      <c r="A45" t="s">
        <v>11</v>
      </c>
      <c r="B45" t="s">
        <v>662</v>
      </c>
      <c r="D45" t="s">
        <v>118</v>
      </c>
      <c r="E45" t="s">
        <v>102</v>
      </c>
      <c r="F45" t="s">
        <v>177</v>
      </c>
      <c r="G45" t="s">
        <v>104</v>
      </c>
      <c r="H45" t="s">
        <v>16</v>
      </c>
      <c r="I45" t="s">
        <v>16</v>
      </c>
      <c r="J45" t="s">
        <v>105</v>
      </c>
      <c r="K45" s="2">
        <v>154951716</v>
      </c>
      <c r="L45" t="s">
        <v>199</v>
      </c>
      <c r="M45" t="s">
        <v>108</v>
      </c>
      <c r="N45">
        <f>_xlfn.XLOOKUP(Portefeuille_MNT_PPS_Access28[[#This Row],[Numéro projet]], Portefeuille_MNT_PPS_Access20[Numéro projet], Portefeuille_MNT_PPS_Access20[Année DÉBUT Travaux prévu], "")</f>
        <v>0</v>
      </c>
      <c r="P45">
        <f>Portefeuille_MNT_PPS_Access28[[#This Row],[Année DÉBUT Travaux proposé]]-Portefeuille_MNT_PPS_Access28[[#This Row],[Année DÉBUT Travaux Prog actuel]]</f>
        <v>0</v>
      </c>
      <c r="Q45" t="s">
        <v>297</v>
      </c>
      <c r="R45" s="1"/>
      <c r="S45" s="1"/>
      <c r="T45" s="1">
        <v>45176</v>
      </c>
      <c r="U4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45" s="1" t="e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#NUM!</v>
      </c>
      <c r="X4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4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1484</v>
      </c>
      <c r="Z45">
        <f>Portefeuille_MNT_PPS_Access28[[#This Row],[Délais PC1 et PC3]]+Portefeuille_MNT_PPS_Access28[[#This Row],[Délais PC3 et PC5]]</f>
        <v>1484</v>
      </c>
      <c r="AB45">
        <v>1</v>
      </c>
      <c r="AD45" t="s">
        <v>349</v>
      </c>
      <c r="AE45">
        <v>4</v>
      </c>
      <c r="AF45" s="2" t="e">
        <f>_xlfn.XLOOKUP(Portefeuille_MNT_PPS_Access28[[#This Row],[Numéro projet]],Portefeuille_MNT_PPS_Access27[Numéro projet],Portefeuille_MNT_PPS_Access27[Critère Etat Infrastructure])</f>
        <v>#N/A</v>
      </c>
      <c r="AG45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45" s="221"/>
      <c r="AI45">
        <v>269</v>
      </c>
      <c r="AK45">
        <v>14</v>
      </c>
      <c r="AL45">
        <v>5</v>
      </c>
      <c r="AV45"/>
      <c r="BI45" s="14">
        <f>SUM(Portefeuille_MNT_PPS_Access28[[#This Row],[AC ANT]:[TR 2035]])</f>
        <v>288</v>
      </c>
    </row>
    <row r="46" spans="1:61" x14ac:dyDescent="0.3">
      <c r="A46" t="s">
        <v>286</v>
      </c>
      <c r="B46" t="s">
        <v>295</v>
      </c>
      <c r="D46" t="s">
        <v>126</v>
      </c>
      <c r="E46" t="s">
        <v>127</v>
      </c>
      <c r="F46" t="s">
        <v>136</v>
      </c>
      <c r="G46" t="s">
        <v>104</v>
      </c>
      <c r="H46" t="s">
        <v>16</v>
      </c>
      <c r="I46" t="s">
        <v>16</v>
      </c>
      <c r="J46" t="s">
        <v>105</v>
      </c>
      <c r="K46" s="2">
        <v>154061996</v>
      </c>
      <c r="L46" t="s">
        <v>163</v>
      </c>
      <c r="M46" t="s">
        <v>122</v>
      </c>
      <c r="N46">
        <f>_xlfn.XLOOKUP(Portefeuille_MNT_PPS_Access28[[#This Row],[Numéro projet]], Portefeuille_MNT_PPS_Access20[Numéro projet], Portefeuille_MNT_PPS_Access20[Année DÉBUT Travaux prévu], "")</f>
        <v>2025</v>
      </c>
      <c r="O46" t="s">
        <v>148</v>
      </c>
      <c r="P46">
        <f>Portefeuille_MNT_PPS_Access28[[#This Row],[Année DÉBUT Travaux proposé]]-Portefeuille_MNT_PPS_Access28[[#This Row],[Année DÉBUT Travaux Prog actuel]]</f>
        <v>0</v>
      </c>
      <c r="Q46" t="s">
        <v>164</v>
      </c>
      <c r="R46" s="1"/>
      <c r="S46" s="1"/>
      <c r="T46" s="1"/>
      <c r="U4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4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4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4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4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46">
        <f>Portefeuille_MNT_PPS_Access28[[#This Row],[Délais PC1 et PC3]]+Portefeuille_MNT_PPS_Access28[[#This Row],[Délais PC3 et PC5]]</f>
        <v>0</v>
      </c>
      <c r="AA46">
        <v>1</v>
      </c>
      <c r="AB46">
        <v>1</v>
      </c>
      <c r="AD46" t="s">
        <v>165</v>
      </c>
      <c r="AE46">
        <v>4</v>
      </c>
      <c r="AF46" s="2">
        <f>_xlfn.XLOOKUP(Portefeuille_MNT_PPS_Access28[[#This Row],[Numéro projet]],Portefeuille_MNT_PPS_Access27[Numéro projet],Portefeuille_MNT_PPS_Access27[Critère Etat Infrastructure])</f>
        <v>0</v>
      </c>
      <c r="AG4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60.000000000000007</v>
      </c>
      <c r="AH46" s="221"/>
      <c r="AI46">
        <v>5398</v>
      </c>
      <c r="AJ46">
        <v>28152</v>
      </c>
      <c r="AK46">
        <v>46</v>
      </c>
      <c r="AL46">
        <v>891</v>
      </c>
      <c r="AM46">
        <v>399</v>
      </c>
      <c r="AN46">
        <v>67</v>
      </c>
      <c r="AO46">
        <v>93</v>
      </c>
      <c r="AV46"/>
      <c r="BI46" s="14">
        <f>SUM(Portefeuille_MNT_PPS_Access28[[#This Row],[AC ANT]:[TR 2035]])</f>
        <v>35046</v>
      </c>
    </row>
    <row r="47" spans="1:61" x14ac:dyDescent="0.3">
      <c r="A47" t="s">
        <v>286</v>
      </c>
      <c r="B47" t="s">
        <v>663</v>
      </c>
      <c r="D47" t="s">
        <v>101</v>
      </c>
      <c r="E47" t="s">
        <v>102</v>
      </c>
      <c r="F47" t="s">
        <v>136</v>
      </c>
      <c r="G47" t="s">
        <v>113</v>
      </c>
      <c r="H47" t="s">
        <v>16</v>
      </c>
      <c r="I47" t="s">
        <v>20</v>
      </c>
      <c r="J47" t="s">
        <v>105</v>
      </c>
      <c r="K47" s="2">
        <v>154061997</v>
      </c>
      <c r="L47" t="s">
        <v>167</v>
      </c>
      <c r="M47" t="s">
        <v>168</v>
      </c>
      <c r="N47">
        <f>_xlfn.XLOOKUP(Portefeuille_MNT_PPS_Access28[[#This Row],[Numéro projet]], Portefeuille_MNT_PPS_Access20[Numéro projet], Portefeuille_MNT_PPS_Access20[Année DÉBUT Travaux prévu], "")</f>
        <v>2029</v>
      </c>
      <c r="O47" t="s">
        <v>169</v>
      </c>
      <c r="P47">
        <f>Portefeuille_MNT_PPS_Access28[[#This Row],[Année DÉBUT Travaux proposé]]-Portefeuille_MNT_PPS_Access28[[#This Row],[Année DÉBUT Travaux Prog actuel]]</f>
        <v>0</v>
      </c>
      <c r="Q47" t="s">
        <v>155</v>
      </c>
      <c r="R47" s="1">
        <v>45976</v>
      </c>
      <c r="S47" s="1">
        <v>46402</v>
      </c>
      <c r="T47" s="1">
        <v>46980</v>
      </c>
      <c r="U4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4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4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4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</v>
      </c>
      <c r="Y4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19</v>
      </c>
      <c r="Z47">
        <f>Portefeuille_MNT_PPS_Access28[[#This Row],[Délais PC1 et PC3]]+Portefeuille_MNT_PPS_Access28[[#This Row],[Délais PC3 et PC5]]</f>
        <v>33</v>
      </c>
      <c r="AB47">
        <v>1</v>
      </c>
      <c r="AD47" t="s">
        <v>156</v>
      </c>
      <c r="AE47">
        <v>3.3333333333333335</v>
      </c>
      <c r="AF47" s="2">
        <f>_xlfn.XLOOKUP(Portefeuille_MNT_PPS_Access28[[#This Row],[Numéro projet]],Portefeuille_MNT_PPS_Access27[Numéro projet],Portefeuille_MNT_PPS_Access27[Critère Etat Infrastructure])</f>
        <v>4</v>
      </c>
      <c r="AG4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46.666666666666664</v>
      </c>
      <c r="AH47" s="221"/>
      <c r="AI47">
        <v>71</v>
      </c>
      <c r="AL47"/>
      <c r="AM47">
        <v>120</v>
      </c>
      <c r="AO47">
        <v>210</v>
      </c>
      <c r="AQ47">
        <v>310</v>
      </c>
      <c r="AS47">
        <v>310</v>
      </c>
      <c r="AU47">
        <v>395</v>
      </c>
      <c r="AV47">
        <v>2000</v>
      </c>
      <c r="AW47">
        <v>395</v>
      </c>
      <c r="AX47">
        <v>2000</v>
      </c>
      <c r="AY47">
        <v>400</v>
      </c>
      <c r="AZ47">
        <v>18319</v>
      </c>
      <c r="BI47" s="14">
        <f>SUM(Portefeuille_MNT_PPS_Access28[[#This Row],[AC ANT]:[TR 2035]])</f>
        <v>24530</v>
      </c>
    </row>
    <row r="48" spans="1:61" x14ac:dyDescent="0.3">
      <c r="A48" t="s">
        <v>286</v>
      </c>
      <c r="B48" t="s">
        <v>663</v>
      </c>
      <c r="D48" t="s">
        <v>101</v>
      </c>
      <c r="E48" t="s">
        <v>102</v>
      </c>
      <c r="F48" t="s">
        <v>136</v>
      </c>
      <c r="G48" t="s">
        <v>104</v>
      </c>
      <c r="H48" t="s">
        <v>16</v>
      </c>
      <c r="I48" t="s">
        <v>130</v>
      </c>
      <c r="J48" t="s">
        <v>105</v>
      </c>
      <c r="K48" s="2">
        <v>154062002</v>
      </c>
      <c r="L48" t="s">
        <v>171</v>
      </c>
      <c r="M48" t="s">
        <v>172</v>
      </c>
      <c r="N48">
        <f>_xlfn.XLOOKUP(Portefeuille_MNT_PPS_Access28[[#This Row],[Numéro projet]], Portefeuille_MNT_PPS_Access20[Numéro projet], Portefeuille_MNT_PPS_Access20[Année DÉBUT Travaux prévu], "")</f>
        <v>2027</v>
      </c>
      <c r="O48" t="s">
        <v>173</v>
      </c>
      <c r="P48">
        <f>Portefeuille_MNT_PPS_Access28[[#This Row],[Année DÉBUT Travaux proposé]]-Portefeuille_MNT_PPS_Access28[[#This Row],[Année DÉBUT Travaux Prog actuel]]</f>
        <v>0</v>
      </c>
      <c r="Q48" t="s">
        <v>110</v>
      </c>
      <c r="R48" s="1">
        <v>44833</v>
      </c>
      <c r="S48" s="1">
        <v>45976</v>
      </c>
      <c r="T48" s="1">
        <v>46310</v>
      </c>
      <c r="U4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4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4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4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38</v>
      </c>
      <c r="Y4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11</v>
      </c>
      <c r="Z48">
        <f>Portefeuille_MNT_PPS_Access28[[#This Row],[Délais PC1 et PC3]]+Portefeuille_MNT_PPS_Access28[[#This Row],[Délais PC3 et PC5]]</f>
        <v>49</v>
      </c>
      <c r="AB48">
        <v>1</v>
      </c>
      <c r="AC48">
        <v>5</v>
      </c>
      <c r="AD48" t="s">
        <v>112</v>
      </c>
      <c r="AE48">
        <v>3.6666666666666665</v>
      </c>
      <c r="AF48" s="2">
        <f>_xlfn.XLOOKUP(Portefeuille_MNT_PPS_Access28[[#This Row],[Numéro projet]],Portefeuille_MNT_PPS_Access27[Numéro projet],Portefeuille_MNT_PPS_Access27[Critère Etat Infrastructure])</f>
        <v>4</v>
      </c>
      <c r="AG4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68.333333333333329</v>
      </c>
      <c r="AH48" s="221"/>
      <c r="AI48">
        <v>497</v>
      </c>
      <c r="AJ48">
        <v>8</v>
      </c>
      <c r="AK48">
        <v>199</v>
      </c>
      <c r="AL48"/>
      <c r="AM48">
        <v>1064</v>
      </c>
      <c r="AO48">
        <v>1008</v>
      </c>
      <c r="AQ48">
        <v>1886</v>
      </c>
      <c r="AR48">
        <v>6580</v>
      </c>
      <c r="AS48">
        <v>722</v>
      </c>
      <c r="AT48">
        <v>6581</v>
      </c>
      <c r="AV48">
        <v>6576</v>
      </c>
      <c r="BI48" s="14">
        <f>SUM(Portefeuille_MNT_PPS_Access28[[#This Row],[AC ANT]:[TR 2035]])</f>
        <v>25121</v>
      </c>
    </row>
    <row r="49" spans="1:61" x14ac:dyDescent="0.3">
      <c r="A49" t="s">
        <v>286</v>
      </c>
      <c r="B49" t="s">
        <v>663</v>
      </c>
      <c r="D49" t="s">
        <v>101</v>
      </c>
      <c r="E49" t="s">
        <v>102</v>
      </c>
      <c r="F49" t="s">
        <v>136</v>
      </c>
      <c r="G49" t="s">
        <v>113</v>
      </c>
      <c r="H49" t="s">
        <v>16</v>
      </c>
      <c r="I49" t="s">
        <v>16</v>
      </c>
      <c r="J49" t="s">
        <v>131</v>
      </c>
      <c r="K49" s="2">
        <v>154081840</v>
      </c>
      <c r="L49" t="s">
        <v>138</v>
      </c>
      <c r="M49" t="s">
        <v>139</v>
      </c>
      <c r="N49">
        <f>_xlfn.XLOOKUP(Portefeuille_MNT_PPS_Access28[[#This Row],[Numéro projet]], Portefeuille_MNT_PPS_Access20[Numéro projet], Portefeuille_MNT_PPS_Access20[Année DÉBUT Travaux prévu], "")</f>
        <v>2026</v>
      </c>
      <c r="O49" t="s">
        <v>109</v>
      </c>
      <c r="P49">
        <f>Portefeuille_MNT_PPS_Access28[[#This Row],[Année DÉBUT Travaux proposé]]-Portefeuille_MNT_PPS_Access28[[#This Row],[Année DÉBUT Travaux Prog actuel]]</f>
        <v>0</v>
      </c>
      <c r="Q49" t="s">
        <v>123</v>
      </c>
      <c r="R49" s="1">
        <v>45062</v>
      </c>
      <c r="S49" s="1">
        <v>45754</v>
      </c>
      <c r="T49" s="1">
        <v>45945</v>
      </c>
      <c r="U4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4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4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4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23</v>
      </c>
      <c r="Y4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6</v>
      </c>
      <c r="Z49">
        <f>Portefeuille_MNT_PPS_Access28[[#This Row],[Délais PC1 et PC3]]+Portefeuille_MNT_PPS_Access28[[#This Row],[Délais PC3 et PC5]]</f>
        <v>29</v>
      </c>
      <c r="AA49">
        <v>1</v>
      </c>
      <c r="AB49">
        <v>5</v>
      </c>
      <c r="AC49">
        <v>5</v>
      </c>
      <c r="AD49" t="s">
        <v>125</v>
      </c>
      <c r="AE49">
        <v>2</v>
      </c>
      <c r="AF49" s="2">
        <f>_xlfn.XLOOKUP(Portefeuille_MNT_PPS_Access28[[#This Row],[Numéro projet]],Portefeuille_MNT_PPS_Access27[Numéro projet],Portefeuille_MNT_PPS_Access27[Critère Etat Infrastructure])</f>
        <v>4</v>
      </c>
      <c r="AG4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80</v>
      </c>
      <c r="AH49" s="221"/>
      <c r="AI49">
        <v>337</v>
      </c>
      <c r="AJ49">
        <v>41</v>
      </c>
      <c r="AK49">
        <v>327</v>
      </c>
      <c r="AL49"/>
      <c r="AM49">
        <v>363</v>
      </c>
      <c r="AO49">
        <v>1006</v>
      </c>
      <c r="AP49">
        <v>5870</v>
      </c>
      <c r="AV49"/>
      <c r="BI49" s="14">
        <f>SUM(Portefeuille_MNT_PPS_Access28[[#This Row],[AC ANT]:[TR 2035]])</f>
        <v>7944</v>
      </c>
    </row>
    <row r="50" spans="1:61" x14ac:dyDescent="0.3">
      <c r="A50" t="s">
        <v>286</v>
      </c>
      <c r="B50" t="s">
        <v>664</v>
      </c>
      <c r="D50" t="s">
        <v>101</v>
      </c>
      <c r="E50" t="s">
        <v>102</v>
      </c>
      <c r="F50" t="s">
        <v>103</v>
      </c>
      <c r="G50" t="s">
        <v>104</v>
      </c>
      <c r="H50" t="s">
        <v>16</v>
      </c>
      <c r="I50" t="s">
        <v>16</v>
      </c>
      <c r="J50" t="s">
        <v>105</v>
      </c>
      <c r="K50" s="2">
        <v>154101261</v>
      </c>
      <c r="L50" t="s">
        <v>216</v>
      </c>
      <c r="M50" t="s">
        <v>217</v>
      </c>
      <c r="N50">
        <f>_xlfn.XLOOKUP(Portefeuille_MNT_PPS_Access28[[#This Row],[Numéro projet]], Portefeuille_MNT_PPS_Access20[Numéro projet], Portefeuille_MNT_PPS_Access20[Année DÉBUT Travaux prévu], "")</f>
        <v>2025</v>
      </c>
      <c r="O50" t="s">
        <v>148</v>
      </c>
      <c r="P50">
        <f>Portefeuille_MNT_PPS_Access28[[#This Row],[Année DÉBUT Travaux proposé]]-Portefeuille_MNT_PPS_Access28[[#This Row],[Année DÉBUT Travaux Prog actuel]]</f>
        <v>0</v>
      </c>
      <c r="Q50" t="s">
        <v>164</v>
      </c>
      <c r="R50" s="1">
        <v>44838</v>
      </c>
      <c r="S50" s="1">
        <v>45441</v>
      </c>
      <c r="T50" s="1">
        <v>45623</v>
      </c>
      <c r="U5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5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19</v>
      </c>
      <c r="Y5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6</v>
      </c>
      <c r="Z50">
        <f>Portefeuille_MNT_PPS_Access28[[#This Row],[Délais PC1 et PC3]]+Portefeuille_MNT_PPS_Access28[[#This Row],[Délais PC3 et PC5]]</f>
        <v>25</v>
      </c>
      <c r="AA50">
        <v>1</v>
      </c>
      <c r="AB50">
        <v>5</v>
      </c>
      <c r="AD50" t="s">
        <v>165</v>
      </c>
      <c r="AE50">
        <v>2.6666666666666665</v>
      </c>
      <c r="AF50" s="2">
        <f>_xlfn.XLOOKUP(Portefeuille_MNT_PPS_Access28[[#This Row],[Numéro projet]],Portefeuille_MNT_PPS_Access27[Numéro projet],Portefeuille_MNT_PPS_Access27[Critère Etat Infrastructure])</f>
        <v>4</v>
      </c>
      <c r="AG5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93.333333333333329</v>
      </c>
      <c r="AH50" s="221"/>
      <c r="AI50">
        <v>218</v>
      </c>
      <c r="AJ50">
        <v>3</v>
      </c>
      <c r="AK50">
        <v>96</v>
      </c>
      <c r="AL50"/>
      <c r="AM50">
        <v>643</v>
      </c>
      <c r="AN50">
        <v>12563</v>
      </c>
      <c r="AV50"/>
      <c r="BI50" s="14">
        <f>SUM(Portefeuille_MNT_PPS_Access28[[#This Row],[AC ANT]:[TR 2035]])</f>
        <v>13523</v>
      </c>
    </row>
    <row r="51" spans="1:61" x14ac:dyDescent="0.3">
      <c r="A51" t="s">
        <v>286</v>
      </c>
      <c r="B51" t="s">
        <v>662</v>
      </c>
      <c r="D51" t="s">
        <v>118</v>
      </c>
      <c r="E51" t="s">
        <v>102</v>
      </c>
      <c r="F51" t="s">
        <v>136</v>
      </c>
      <c r="G51" t="s">
        <v>129</v>
      </c>
      <c r="H51" t="s">
        <v>16</v>
      </c>
      <c r="I51" t="s">
        <v>16</v>
      </c>
      <c r="J51" t="s">
        <v>131</v>
      </c>
      <c r="K51" s="2">
        <v>154101520</v>
      </c>
      <c r="L51" t="s">
        <v>219</v>
      </c>
      <c r="M51" t="s">
        <v>152</v>
      </c>
      <c r="N51">
        <f>_xlfn.XLOOKUP(Portefeuille_MNT_PPS_Access28[[#This Row],[Numéro projet]], Portefeuille_MNT_PPS_Access20[Numéro projet], Portefeuille_MNT_PPS_Access20[Année DÉBUT Travaux prévu], "")</f>
        <v>2025</v>
      </c>
      <c r="O51" t="s">
        <v>148</v>
      </c>
      <c r="P51">
        <f>Portefeuille_MNT_PPS_Access28[[#This Row],[Année DÉBUT Travaux proposé]]-Portefeuille_MNT_PPS_Access28[[#This Row],[Année DÉBUT Travaux Prog actuel]]</f>
        <v>0</v>
      </c>
      <c r="Q51" t="s">
        <v>164</v>
      </c>
      <c r="R51" s="1">
        <v>45370</v>
      </c>
      <c r="S51" s="1"/>
      <c r="T51" s="1">
        <v>45706</v>
      </c>
      <c r="U5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5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5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5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-1490</v>
      </c>
      <c r="Y5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1501</v>
      </c>
      <c r="Z51">
        <f>Portefeuille_MNT_PPS_Access28[[#This Row],[Délais PC1 et PC3]]+Portefeuille_MNT_PPS_Access28[[#This Row],[Délais PC3 et PC5]]</f>
        <v>11</v>
      </c>
      <c r="AA51">
        <v>1</v>
      </c>
      <c r="AB51">
        <v>5</v>
      </c>
      <c r="AD51" t="s">
        <v>165</v>
      </c>
      <c r="AE51">
        <v>3.3333333333333335</v>
      </c>
      <c r="AF51" s="2">
        <f>_xlfn.XLOOKUP(Portefeuille_MNT_PPS_Access28[[#This Row],[Numéro projet]],Portefeuille_MNT_PPS_Access27[Numéro projet],Portefeuille_MNT_PPS_Access27[Critère Etat Infrastructure])</f>
        <v>5</v>
      </c>
      <c r="AG5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101.66666666666666</v>
      </c>
      <c r="AH51" s="221"/>
      <c r="AI51">
        <v>6</v>
      </c>
      <c r="AK51">
        <v>45</v>
      </c>
      <c r="AL51"/>
      <c r="AM51">
        <v>38</v>
      </c>
      <c r="AN51">
        <v>605</v>
      </c>
      <c r="AV51"/>
      <c r="BI51" s="14">
        <f>SUM(Portefeuille_MNT_PPS_Access28[[#This Row],[AC ANT]:[TR 2035]])</f>
        <v>694</v>
      </c>
    </row>
    <row r="52" spans="1:61" x14ac:dyDescent="0.3">
      <c r="A52" t="s">
        <v>286</v>
      </c>
      <c r="B52" t="s">
        <v>663</v>
      </c>
      <c r="D52" t="s">
        <v>101</v>
      </c>
      <c r="E52" t="s">
        <v>102</v>
      </c>
      <c r="F52" t="s">
        <v>136</v>
      </c>
      <c r="G52" t="s">
        <v>140</v>
      </c>
      <c r="H52" t="s">
        <v>16</v>
      </c>
      <c r="I52" t="s">
        <v>20</v>
      </c>
      <c r="J52" t="s">
        <v>131</v>
      </c>
      <c r="K52" s="2">
        <v>154101522</v>
      </c>
      <c r="L52" t="s">
        <v>296</v>
      </c>
      <c r="M52" t="s">
        <v>183</v>
      </c>
      <c r="N52">
        <f>_xlfn.XLOOKUP(Portefeuille_MNT_PPS_Access28[[#This Row],[Numéro projet]], Portefeuille_MNT_PPS_Access20[Numéro projet], Portefeuille_MNT_PPS_Access20[Année DÉBUT Travaux prévu], "")</f>
        <v>2027</v>
      </c>
      <c r="O52" t="s">
        <v>173</v>
      </c>
      <c r="P52">
        <f>Portefeuille_MNT_PPS_Access28[[#This Row],[Année DÉBUT Travaux proposé]]-Portefeuille_MNT_PPS_Access28[[#This Row],[Année DÉBUT Travaux Prog actuel]]</f>
        <v>0</v>
      </c>
      <c r="Q52" t="s">
        <v>110</v>
      </c>
      <c r="R52" s="1">
        <v>45590</v>
      </c>
      <c r="S52" s="1"/>
      <c r="T52" s="1">
        <v>46157</v>
      </c>
      <c r="U5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5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-1497</v>
      </c>
      <c r="Y5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1516</v>
      </c>
      <c r="Z52">
        <f>Portefeuille_MNT_PPS_Access28[[#This Row],[Délais PC1 et PC3]]+Portefeuille_MNT_PPS_Access28[[#This Row],[Délais PC3 et PC5]]</f>
        <v>19</v>
      </c>
      <c r="AB52">
        <v>1</v>
      </c>
      <c r="AC52">
        <v>1</v>
      </c>
      <c r="AD52" t="s">
        <v>112</v>
      </c>
      <c r="AE52">
        <v>2.3333333333333335</v>
      </c>
      <c r="AF52" s="2">
        <f>_xlfn.XLOOKUP(Portefeuille_MNT_PPS_Access28[[#This Row],[Numéro projet]],Portefeuille_MNT_PPS_Access27[Numéro projet],Portefeuille_MNT_PPS_Access27[Critère Etat Infrastructure])</f>
        <v>3</v>
      </c>
      <c r="AG5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52" s="221"/>
      <c r="AL52"/>
      <c r="AM52">
        <v>466</v>
      </c>
      <c r="AO52">
        <v>475</v>
      </c>
      <c r="AQ52">
        <v>468</v>
      </c>
      <c r="AR52">
        <v>1461</v>
      </c>
      <c r="AV52"/>
      <c r="BI52" s="14">
        <f>SUM(Portefeuille_MNT_PPS_Access28[[#This Row],[AC ANT]:[TR 2035]])</f>
        <v>2870</v>
      </c>
    </row>
    <row r="53" spans="1:61" x14ac:dyDescent="0.3">
      <c r="A53" t="s">
        <v>286</v>
      </c>
      <c r="B53" t="s">
        <v>663</v>
      </c>
      <c r="D53" t="s">
        <v>101</v>
      </c>
      <c r="E53" t="s">
        <v>102</v>
      </c>
      <c r="F53" t="s">
        <v>136</v>
      </c>
      <c r="G53" t="s">
        <v>113</v>
      </c>
      <c r="H53" t="s">
        <v>16</v>
      </c>
      <c r="I53" t="s">
        <v>20</v>
      </c>
      <c r="J53" t="s">
        <v>131</v>
      </c>
      <c r="K53" s="2">
        <v>154140339</v>
      </c>
      <c r="L53" t="s">
        <v>186</v>
      </c>
      <c r="M53" t="s">
        <v>187</v>
      </c>
      <c r="N53" s="103">
        <f>_xlfn.XLOOKUP(Portefeuille_MNT_PPS_Access28[[#This Row],[Numéro projet]], Portefeuille_MNT_PPS_Access20[Numéro projet], Portefeuille_MNT_PPS_Access20[Année DÉBUT Travaux prévu], "")</f>
        <v>2027</v>
      </c>
      <c r="O53" s="103" t="s">
        <v>197</v>
      </c>
      <c r="P53">
        <f>Portefeuille_MNT_PPS_Access28[[#This Row],[Année DÉBUT Travaux proposé]]-Portefeuille_MNT_PPS_Access28[[#This Row],[Année DÉBUT Travaux Prog actuel]]</f>
        <v>1</v>
      </c>
      <c r="Q53" t="s">
        <v>110</v>
      </c>
      <c r="R53" s="1">
        <v>44823</v>
      </c>
      <c r="S53" s="1">
        <v>46310</v>
      </c>
      <c r="T53" s="1">
        <v>46521</v>
      </c>
      <c r="U5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5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49</v>
      </c>
      <c r="Y5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7</v>
      </c>
      <c r="Z53">
        <f>Portefeuille_MNT_PPS_Access28[[#This Row],[Délais PC1 et PC3]]+Portefeuille_MNT_PPS_Access28[[#This Row],[Délais PC3 et PC5]]</f>
        <v>56</v>
      </c>
      <c r="AB53">
        <v>1</v>
      </c>
      <c r="AC53">
        <v>5</v>
      </c>
      <c r="AD53" t="s">
        <v>112</v>
      </c>
      <c r="AE53">
        <v>3</v>
      </c>
      <c r="AF53" s="2">
        <f>_xlfn.XLOOKUP(Portefeuille_MNT_PPS_Access28[[#This Row],[Numéro projet]],Portefeuille_MNT_PPS_Access27[Numéro projet],Portefeuille_MNT_PPS_Access27[Critère Etat Infrastructure])</f>
        <v>3</v>
      </c>
      <c r="AG5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60.000000000000007</v>
      </c>
      <c r="AH53" s="221"/>
      <c r="AI53">
        <v>282</v>
      </c>
      <c r="AK53">
        <v>175</v>
      </c>
      <c r="AL53"/>
      <c r="AM53">
        <v>835</v>
      </c>
      <c r="AO53">
        <v>630</v>
      </c>
      <c r="AQ53">
        <v>225</v>
      </c>
      <c r="AS53">
        <v>225</v>
      </c>
      <c r="AT53">
        <v>5369</v>
      </c>
      <c r="AU53">
        <v>502</v>
      </c>
      <c r="AV53">
        <v>10806</v>
      </c>
      <c r="BI53" s="14">
        <f>SUM(Portefeuille_MNT_PPS_Access28[[#This Row],[AC ANT]:[TR 2035]])</f>
        <v>19049</v>
      </c>
    </row>
    <row r="54" spans="1:61" x14ac:dyDescent="0.3">
      <c r="A54" t="s">
        <v>286</v>
      </c>
      <c r="B54" t="s">
        <v>664</v>
      </c>
      <c r="D54" t="s">
        <v>101</v>
      </c>
      <c r="E54" t="s">
        <v>102</v>
      </c>
      <c r="F54" t="s">
        <v>103</v>
      </c>
      <c r="H54" t="s">
        <v>16</v>
      </c>
      <c r="I54" t="s">
        <v>16</v>
      </c>
      <c r="J54" t="s">
        <v>105</v>
      </c>
      <c r="K54" s="2">
        <v>154150340</v>
      </c>
      <c r="L54" t="s">
        <v>310</v>
      </c>
      <c r="M54" t="s">
        <v>108</v>
      </c>
      <c r="N54">
        <f>_xlfn.XLOOKUP(Portefeuille_MNT_PPS_Access28[[#This Row],[Numéro projet]], Portefeuille_MNT_PPS_Access20[Numéro projet], Portefeuille_MNT_PPS_Access20[Année DÉBUT Travaux prévu], "")</f>
        <v>2025</v>
      </c>
      <c r="O54" t="s">
        <v>148</v>
      </c>
      <c r="P54">
        <f>Portefeuille_MNT_PPS_Access28[[#This Row],[Année DÉBUT Travaux proposé]]-Portefeuille_MNT_PPS_Access28[[#This Row],[Année DÉBUT Travaux Prog actuel]]</f>
        <v>0</v>
      </c>
      <c r="Q54" t="s">
        <v>291</v>
      </c>
      <c r="R54" s="1"/>
      <c r="S54" s="1"/>
      <c r="T54" s="1"/>
      <c r="U5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5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5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5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5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54">
        <f>Portefeuille_MNT_PPS_Access28[[#This Row],[Délais PC1 et PC3]]+Portefeuille_MNT_PPS_Access28[[#This Row],[Délais PC3 et PC5]]</f>
        <v>0</v>
      </c>
      <c r="AA54">
        <v>1</v>
      </c>
      <c r="AB54">
        <v>1</v>
      </c>
      <c r="AD54" t="s">
        <v>311</v>
      </c>
      <c r="AE54">
        <v>4</v>
      </c>
      <c r="AF54" s="2">
        <f>_xlfn.XLOOKUP(Portefeuille_MNT_PPS_Access28[[#This Row],[Numéro projet]],Portefeuille_MNT_PPS_Access27[Numéro projet],Portefeuille_MNT_PPS_Access27[Critère Etat Infrastructure])</f>
        <v>0</v>
      </c>
      <c r="AG5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25</v>
      </c>
      <c r="AH54" s="221"/>
      <c r="AI54">
        <v>467</v>
      </c>
      <c r="AJ54">
        <v>5053</v>
      </c>
      <c r="AL54"/>
      <c r="AM54">
        <v>27</v>
      </c>
      <c r="AN54">
        <v>135</v>
      </c>
      <c r="AV54"/>
      <c r="BI54" s="14">
        <f>SUM(Portefeuille_MNT_PPS_Access28[[#This Row],[AC ANT]:[TR 2035]])</f>
        <v>5682</v>
      </c>
    </row>
    <row r="55" spans="1:61" x14ac:dyDescent="0.3">
      <c r="A55" t="s">
        <v>286</v>
      </c>
      <c r="B55" t="s">
        <v>662</v>
      </c>
      <c r="D55" t="s">
        <v>118</v>
      </c>
      <c r="E55" t="s">
        <v>102</v>
      </c>
      <c r="F55" t="s">
        <v>188</v>
      </c>
      <c r="G55" t="s">
        <v>113</v>
      </c>
      <c r="H55" t="s">
        <v>16</v>
      </c>
      <c r="I55" t="s">
        <v>130</v>
      </c>
      <c r="J55" t="s">
        <v>131</v>
      </c>
      <c r="K55" s="2">
        <v>154151031</v>
      </c>
      <c r="L55" t="s">
        <v>190</v>
      </c>
      <c r="M55" t="s">
        <v>191</v>
      </c>
      <c r="N55" s="103">
        <f>_xlfn.XLOOKUP(Portefeuille_MNT_PPS_Access28[[#This Row],[Numéro projet]], Portefeuille_MNT_PPS_Access20[Numéro projet], Portefeuille_MNT_PPS_Access20[Année DÉBUT Travaux prévu], "")</f>
        <v>2027</v>
      </c>
      <c r="O55" s="103" t="s">
        <v>109</v>
      </c>
      <c r="P55">
        <f>Portefeuille_MNT_PPS_Access28[[#This Row],[Année DÉBUT Travaux proposé]]-Portefeuille_MNT_PPS_Access28[[#This Row],[Année DÉBUT Travaux Prog actuel]]</f>
        <v>-1</v>
      </c>
      <c r="Q55" t="s">
        <v>123</v>
      </c>
      <c r="R55" s="1">
        <v>45684</v>
      </c>
      <c r="S55" s="1"/>
      <c r="T55" s="1">
        <v>46006</v>
      </c>
      <c r="U5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5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5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-1500</v>
      </c>
      <c r="Y5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1511</v>
      </c>
      <c r="Z55">
        <f>Portefeuille_MNT_PPS_Access28[[#This Row],[Délais PC1 et PC3]]+Portefeuille_MNT_PPS_Access28[[#This Row],[Délais PC3 et PC5]]</f>
        <v>11</v>
      </c>
      <c r="AA55">
        <v>1</v>
      </c>
      <c r="AB55">
        <v>1</v>
      </c>
      <c r="AC55">
        <v>5</v>
      </c>
      <c r="AD55" t="s">
        <v>125</v>
      </c>
      <c r="AE55">
        <v>1.6666666666666667</v>
      </c>
      <c r="AF55" s="2">
        <f>_xlfn.XLOOKUP(Portefeuille_MNT_PPS_Access28[[#This Row],[Numéro projet]],Portefeuille_MNT_PPS_Access27[Numéro projet],Portefeuille_MNT_PPS_Access27[Critère Etat Infrastructure])</f>
        <v>5</v>
      </c>
      <c r="AG5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63.333333333333343</v>
      </c>
      <c r="AH55" s="221"/>
      <c r="AL55"/>
      <c r="AM55">
        <v>80</v>
      </c>
      <c r="AO55">
        <v>87</v>
      </c>
      <c r="AP55">
        <v>899</v>
      </c>
      <c r="AQ55">
        <v>227</v>
      </c>
      <c r="AV55"/>
      <c r="BI55" s="14">
        <f>SUM(Portefeuille_MNT_PPS_Access28[[#This Row],[AC ANT]:[TR 2035]])</f>
        <v>1293</v>
      </c>
    </row>
    <row r="56" spans="1:61" x14ac:dyDescent="0.3">
      <c r="A56" t="s">
        <v>286</v>
      </c>
      <c r="B56" t="s">
        <v>664</v>
      </c>
      <c r="D56" t="s">
        <v>101</v>
      </c>
      <c r="E56" t="s">
        <v>102</v>
      </c>
      <c r="F56" t="s">
        <v>103</v>
      </c>
      <c r="G56" t="s">
        <v>129</v>
      </c>
      <c r="H56" t="s">
        <v>16</v>
      </c>
      <c r="I56" t="s">
        <v>16</v>
      </c>
      <c r="J56" t="s">
        <v>131</v>
      </c>
      <c r="K56" s="2">
        <v>154151060</v>
      </c>
      <c r="L56" t="s">
        <v>288</v>
      </c>
      <c r="M56" t="s">
        <v>134</v>
      </c>
      <c r="N56">
        <f>_xlfn.XLOOKUP(Portefeuille_MNT_PPS_Access28[[#This Row],[Numéro projet]], Portefeuille_MNT_PPS_Access20[Numéro projet], Portefeuille_MNT_PPS_Access20[Année DÉBUT Travaux prévu], "")</f>
        <v>2026</v>
      </c>
      <c r="O56" t="s">
        <v>109</v>
      </c>
      <c r="P56">
        <f>Portefeuille_MNT_PPS_Access28[[#This Row],[Année DÉBUT Travaux proposé]]-Portefeuille_MNT_PPS_Access28[[#This Row],[Année DÉBUT Travaux Prog actuel]]</f>
        <v>0</v>
      </c>
      <c r="Q56" t="s">
        <v>123</v>
      </c>
      <c r="R56" s="1">
        <v>45218</v>
      </c>
      <c r="S56" s="1">
        <v>45722</v>
      </c>
      <c r="T56" s="1">
        <v>45976</v>
      </c>
      <c r="U5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5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17</v>
      </c>
      <c r="Y5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8</v>
      </c>
      <c r="Z56">
        <f>Portefeuille_MNT_PPS_Access28[[#This Row],[Délais PC1 et PC3]]+Portefeuille_MNT_PPS_Access28[[#This Row],[Délais PC3 et PC5]]</f>
        <v>25</v>
      </c>
      <c r="AA56">
        <v>1</v>
      </c>
      <c r="AB56">
        <v>5</v>
      </c>
      <c r="AC56">
        <v>5</v>
      </c>
      <c r="AD56" t="s">
        <v>125</v>
      </c>
      <c r="AE56">
        <v>2.3333333333333335</v>
      </c>
      <c r="AF56" s="2">
        <f>_xlfn.XLOOKUP(Portefeuille_MNT_PPS_Access28[[#This Row],[Numéro projet]],Portefeuille_MNT_PPS_Access27[Numéro projet],Portefeuille_MNT_PPS_Access27[Critère Etat Infrastructure])</f>
        <v>5</v>
      </c>
      <c r="AG5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86.666666666666671</v>
      </c>
      <c r="AH56" s="221"/>
      <c r="AK56">
        <v>12</v>
      </c>
      <c r="AL56"/>
      <c r="AM56">
        <v>10</v>
      </c>
      <c r="AO56">
        <v>350</v>
      </c>
      <c r="AP56">
        <v>4669</v>
      </c>
      <c r="AV56"/>
      <c r="BI56" s="14">
        <f>SUM(Portefeuille_MNT_PPS_Access28[[#This Row],[AC ANT]:[TR 2035]])</f>
        <v>5041</v>
      </c>
    </row>
    <row r="57" spans="1:61" x14ac:dyDescent="0.3">
      <c r="A57" t="s">
        <v>286</v>
      </c>
      <c r="B57" t="s">
        <v>664</v>
      </c>
      <c r="D57" t="s">
        <v>101</v>
      </c>
      <c r="E57" t="s">
        <v>102</v>
      </c>
      <c r="F57" t="s">
        <v>128</v>
      </c>
      <c r="G57" t="s">
        <v>140</v>
      </c>
      <c r="H57" t="s">
        <v>16</v>
      </c>
      <c r="I57" t="s">
        <v>16</v>
      </c>
      <c r="J57" t="s">
        <v>105</v>
      </c>
      <c r="K57" s="2">
        <v>154160008</v>
      </c>
      <c r="L57" t="s">
        <v>142</v>
      </c>
      <c r="M57" t="s">
        <v>143</v>
      </c>
      <c r="N57">
        <f>_xlfn.XLOOKUP(Portefeuille_MNT_PPS_Access28[[#This Row],[Numéro projet]], Portefeuille_MNT_PPS_Access20[Numéro projet], Portefeuille_MNT_PPS_Access20[Année DÉBUT Travaux prévu], "")</f>
        <v>2026</v>
      </c>
      <c r="O57" t="s">
        <v>109</v>
      </c>
      <c r="P57">
        <f>Portefeuille_MNT_PPS_Access28[[#This Row],[Année DÉBUT Travaux proposé]]-Portefeuille_MNT_PPS_Access28[[#This Row],[Année DÉBUT Travaux Prog actuel]]</f>
        <v>0</v>
      </c>
      <c r="Q57" t="s">
        <v>123</v>
      </c>
      <c r="R57" s="1">
        <v>42900</v>
      </c>
      <c r="S57" s="1">
        <v>45323</v>
      </c>
      <c r="T57" s="1">
        <v>45889</v>
      </c>
      <c r="U5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5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80</v>
      </c>
      <c r="Y5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18</v>
      </c>
      <c r="Z57">
        <f>Portefeuille_MNT_PPS_Access28[[#This Row],[Délais PC1 et PC3]]+Portefeuille_MNT_PPS_Access28[[#This Row],[Délais PC3 et PC5]]</f>
        <v>98</v>
      </c>
      <c r="AA57">
        <v>1</v>
      </c>
      <c r="AB57">
        <v>5</v>
      </c>
      <c r="AC57">
        <v>5</v>
      </c>
      <c r="AD57" t="s">
        <v>125</v>
      </c>
      <c r="AE57">
        <v>4.333333333333333</v>
      </c>
      <c r="AF57" s="2">
        <f>_xlfn.XLOOKUP(Portefeuille_MNT_PPS_Access28[[#This Row],[Numéro projet]],Portefeuille_MNT_PPS_Access27[Numéro projet],Portefeuille_MNT_PPS_Access27[Critère Etat Infrastructure])</f>
        <v>5</v>
      </c>
      <c r="AG5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96.666666666666671</v>
      </c>
      <c r="AH57" s="221"/>
      <c r="AI57">
        <v>61</v>
      </c>
      <c r="AL57"/>
      <c r="AO57">
        <v>400</v>
      </c>
      <c r="AP57">
        <v>5399</v>
      </c>
      <c r="AV57"/>
      <c r="BI57" s="14">
        <f>SUM(Portefeuille_MNT_PPS_Access28[[#This Row],[AC ANT]:[TR 2035]])</f>
        <v>5860</v>
      </c>
    </row>
    <row r="58" spans="1:61" x14ac:dyDescent="0.3">
      <c r="A58" t="s">
        <v>286</v>
      </c>
      <c r="B58" t="s">
        <v>664</v>
      </c>
      <c r="D58" t="s">
        <v>101</v>
      </c>
      <c r="E58" t="s">
        <v>102</v>
      </c>
      <c r="F58" t="s">
        <v>103</v>
      </c>
      <c r="G58" t="s">
        <v>113</v>
      </c>
      <c r="H58" t="s">
        <v>16</v>
      </c>
      <c r="I58" t="s">
        <v>16</v>
      </c>
      <c r="J58" t="s">
        <v>105</v>
      </c>
      <c r="K58" s="2">
        <v>154160152</v>
      </c>
      <c r="L58" t="s">
        <v>313</v>
      </c>
      <c r="M58" t="s">
        <v>168</v>
      </c>
      <c r="N58">
        <f>_xlfn.XLOOKUP(Portefeuille_MNT_PPS_Access28[[#This Row],[Numéro projet]], Portefeuille_MNT_PPS_Access20[Numéro projet], Portefeuille_MNT_PPS_Access20[Année DÉBUT Travaux prévu], "")</f>
        <v>2025</v>
      </c>
      <c r="O58" t="s">
        <v>148</v>
      </c>
      <c r="P58">
        <f>Portefeuille_MNT_PPS_Access28[[#This Row],[Année DÉBUT Travaux proposé]]-Portefeuille_MNT_PPS_Access28[[#This Row],[Année DÉBUT Travaux Prog actuel]]</f>
        <v>0</v>
      </c>
      <c r="Q58" t="s">
        <v>164</v>
      </c>
      <c r="R58" s="1">
        <v>44055</v>
      </c>
      <c r="S58" s="1">
        <v>44315</v>
      </c>
      <c r="T58" s="1">
        <v>44589</v>
      </c>
      <c r="U5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5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8</v>
      </c>
      <c r="Y5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58">
        <f>Portefeuille_MNT_PPS_Access28[[#This Row],[Délais PC1 et PC3]]+Portefeuille_MNT_PPS_Access28[[#This Row],[Délais PC3 et PC5]]</f>
        <v>17</v>
      </c>
      <c r="AA58">
        <v>1</v>
      </c>
      <c r="AB58">
        <v>1</v>
      </c>
      <c r="AD58" t="s">
        <v>165</v>
      </c>
      <c r="AE58">
        <v>3.3333333333333335</v>
      </c>
      <c r="AF58" s="2">
        <f>_xlfn.XLOOKUP(Portefeuille_MNT_PPS_Access28[[#This Row],[Numéro projet]],Portefeuille_MNT_PPS_Access27[Numéro projet],Portefeuille_MNT_PPS_Access27[Critère Etat Infrastructure])</f>
        <v>2</v>
      </c>
      <c r="AG5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58" s="221"/>
      <c r="AI58">
        <v>448</v>
      </c>
      <c r="AJ58">
        <v>5849</v>
      </c>
      <c r="AK58">
        <v>290</v>
      </c>
      <c r="AL58">
        <v>3895</v>
      </c>
      <c r="AM58">
        <v>93</v>
      </c>
      <c r="AN58">
        <v>390</v>
      </c>
      <c r="AV58"/>
      <c r="BI58" s="14">
        <f>SUM(Portefeuille_MNT_PPS_Access28[[#This Row],[AC ANT]:[TR 2035]])</f>
        <v>10965</v>
      </c>
    </row>
    <row r="59" spans="1:61" x14ac:dyDescent="0.3">
      <c r="A59" t="s">
        <v>286</v>
      </c>
      <c r="B59" t="s">
        <v>664</v>
      </c>
      <c r="D59" t="s">
        <v>101</v>
      </c>
      <c r="E59" t="s">
        <v>102</v>
      </c>
      <c r="F59" t="s">
        <v>103</v>
      </c>
      <c r="G59" t="s">
        <v>206</v>
      </c>
      <c r="H59" t="s">
        <v>16</v>
      </c>
      <c r="I59" t="s">
        <v>16</v>
      </c>
      <c r="J59" t="s">
        <v>105</v>
      </c>
      <c r="K59" s="2">
        <v>154160743</v>
      </c>
      <c r="L59" t="s">
        <v>315</v>
      </c>
      <c r="M59" t="s">
        <v>316</v>
      </c>
      <c r="N59">
        <f>_xlfn.XLOOKUP(Portefeuille_MNT_PPS_Access28[[#This Row],[Numéro projet]], Portefeuille_MNT_PPS_Access20[Numéro projet], Portefeuille_MNT_PPS_Access20[Année DÉBUT Travaux prévu], "")</f>
        <v>2025</v>
      </c>
      <c r="O59" t="s">
        <v>148</v>
      </c>
      <c r="P59">
        <f>Portefeuille_MNT_PPS_Access28[[#This Row],[Année DÉBUT Travaux proposé]]-Portefeuille_MNT_PPS_Access28[[#This Row],[Année DÉBUT Travaux Prog actuel]]</f>
        <v>0</v>
      </c>
      <c r="Q59" t="s">
        <v>164</v>
      </c>
      <c r="R59" s="1">
        <v>43882</v>
      </c>
      <c r="S59" s="1">
        <v>44033</v>
      </c>
      <c r="T59" s="1">
        <v>45225</v>
      </c>
      <c r="U5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5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5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5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5</v>
      </c>
      <c r="Y5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39</v>
      </c>
      <c r="Z59">
        <f>Portefeuille_MNT_PPS_Access28[[#This Row],[Délais PC1 et PC3]]+Portefeuille_MNT_PPS_Access28[[#This Row],[Délais PC3 et PC5]]</f>
        <v>44</v>
      </c>
      <c r="AA59">
        <v>1</v>
      </c>
      <c r="AB59">
        <v>1</v>
      </c>
      <c r="AD59" t="s">
        <v>165</v>
      </c>
      <c r="AE59">
        <v>3</v>
      </c>
      <c r="AF59" s="2">
        <f>_xlfn.XLOOKUP(Portefeuille_MNT_PPS_Access28[[#This Row],[Numéro projet]],Portefeuille_MNT_PPS_Access27[Numéro projet],Portefeuille_MNT_PPS_Access27[Critère Etat Infrastructure])</f>
        <v>4</v>
      </c>
      <c r="AG5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75.000000000000014</v>
      </c>
      <c r="AH59" s="221"/>
      <c r="AI59">
        <v>257</v>
      </c>
      <c r="AJ59">
        <v>2407</v>
      </c>
      <c r="AK59">
        <v>439</v>
      </c>
      <c r="AL59">
        <v>7751</v>
      </c>
      <c r="AM59">
        <v>79</v>
      </c>
      <c r="AN59">
        <v>385</v>
      </c>
      <c r="AV59"/>
      <c r="BI59" s="14">
        <f>SUM(Portefeuille_MNT_PPS_Access28[[#This Row],[AC ANT]:[TR 2035]])</f>
        <v>11318</v>
      </c>
    </row>
    <row r="60" spans="1:61" x14ac:dyDescent="0.3">
      <c r="A60" t="s">
        <v>286</v>
      </c>
      <c r="B60" t="s">
        <v>664</v>
      </c>
      <c r="D60" t="s">
        <v>101</v>
      </c>
      <c r="E60" t="s">
        <v>102</v>
      </c>
      <c r="F60" t="s">
        <v>128</v>
      </c>
      <c r="G60" t="s">
        <v>113</v>
      </c>
      <c r="H60" t="s">
        <v>16</v>
      </c>
      <c r="I60" t="s">
        <v>16</v>
      </c>
      <c r="J60" t="s">
        <v>105</v>
      </c>
      <c r="K60" s="2">
        <v>154171105</v>
      </c>
      <c r="L60" t="s">
        <v>161</v>
      </c>
      <c r="M60" t="s">
        <v>122</v>
      </c>
      <c r="N60">
        <f>_xlfn.XLOOKUP(Portefeuille_MNT_PPS_Access28[[#This Row],[Numéro projet]], Portefeuille_MNT_PPS_Access20[Numéro projet], Portefeuille_MNT_PPS_Access20[Année DÉBUT Travaux prévu], "")</f>
        <v>2025</v>
      </c>
      <c r="O60" t="s">
        <v>148</v>
      </c>
      <c r="P60">
        <f>Portefeuille_MNT_PPS_Access28[[#This Row],[Année DÉBUT Travaux proposé]]-Portefeuille_MNT_PPS_Access28[[#This Row],[Année DÉBUT Travaux Prog actuel]]</f>
        <v>0</v>
      </c>
      <c r="Q60" t="s">
        <v>164</v>
      </c>
      <c r="R60" s="1">
        <v>44956</v>
      </c>
      <c r="S60" s="1">
        <v>45321</v>
      </c>
      <c r="T60" s="1">
        <v>45687</v>
      </c>
      <c r="U6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3.À risque</v>
      </c>
      <c r="V6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6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6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6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60">
        <f>Portefeuille_MNT_PPS_Access28[[#This Row],[Délais PC1 et PC3]]+Portefeuille_MNT_PPS_Access28[[#This Row],[Délais PC3 et PC5]]</f>
        <v>24</v>
      </c>
      <c r="AA60">
        <v>1</v>
      </c>
      <c r="AB60">
        <v>5</v>
      </c>
      <c r="AD60" t="s">
        <v>165</v>
      </c>
      <c r="AE60">
        <v>4</v>
      </c>
      <c r="AF60" s="2">
        <f>_xlfn.XLOOKUP(Portefeuille_MNT_PPS_Access28[[#This Row],[Numéro projet]],Portefeuille_MNT_PPS_Access27[Numéro projet],Portefeuille_MNT_PPS_Access27[Critère Etat Infrastructure])</f>
        <v>0</v>
      </c>
      <c r="AG6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80</v>
      </c>
      <c r="AH60" s="221"/>
      <c r="AI60">
        <v>6</v>
      </c>
      <c r="AK60">
        <v>14</v>
      </c>
      <c r="AL60"/>
      <c r="AM60">
        <v>325</v>
      </c>
      <c r="AN60">
        <v>4503</v>
      </c>
      <c r="AV60"/>
      <c r="BI60" s="14">
        <f>SUM(Portefeuille_MNT_PPS_Access28[[#This Row],[AC ANT]:[TR 2035]])</f>
        <v>4848</v>
      </c>
    </row>
    <row r="61" spans="1:61" x14ac:dyDescent="0.3">
      <c r="A61" t="s">
        <v>286</v>
      </c>
      <c r="B61" t="s">
        <v>663</v>
      </c>
      <c r="D61" t="s">
        <v>101</v>
      </c>
      <c r="E61" t="s">
        <v>102</v>
      </c>
      <c r="F61" t="s">
        <v>136</v>
      </c>
      <c r="G61" t="s">
        <v>144</v>
      </c>
      <c r="H61" t="s">
        <v>16</v>
      </c>
      <c r="I61" t="s">
        <v>20</v>
      </c>
      <c r="J61" t="s">
        <v>131</v>
      </c>
      <c r="K61" s="2">
        <v>154171403</v>
      </c>
      <c r="L61" t="s">
        <v>196</v>
      </c>
      <c r="M61" t="s">
        <v>180</v>
      </c>
      <c r="N61">
        <f>_xlfn.XLOOKUP(Portefeuille_MNT_PPS_Access28[[#This Row],[Numéro projet]], Portefeuille_MNT_PPS_Access20[Numéro projet], Portefeuille_MNT_PPS_Access20[Année DÉBUT Travaux prévu], "")</f>
        <v>2028</v>
      </c>
      <c r="O61" t="s">
        <v>197</v>
      </c>
      <c r="P61">
        <f>Portefeuille_MNT_PPS_Access28[[#This Row],[Année DÉBUT Travaux proposé]]-Portefeuille_MNT_PPS_Access28[[#This Row],[Année DÉBUT Travaux Prog actuel]]</f>
        <v>0</v>
      </c>
      <c r="Q61" t="s">
        <v>110</v>
      </c>
      <c r="R61" s="1">
        <v>44889</v>
      </c>
      <c r="S61" s="1">
        <v>46068</v>
      </c>
      <c r="T61" s="1">
        <v>46583</v>
      </c>
      <c r="U6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39</v>
      </c>
      <c r="Y6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17</v>
      </c>
      <c r="Z61">
        <f>Portefeuille_MNT_PPS_Access28[[#This Row],[Délais PC1 et PC3]]+Portefeuille_MNT_PPS_Access28[[#This Row],[Délais PC3 et PC5]]</f>
        <v>56</v>
      </c>
      <c r="AB61">
        <v>1</v>
      </c>
      <c r="AC61">
        <v>5</v>
      </c>
      <c r="AD61" t="s">
        <v>112</v>
      </c>
      <c r="AE61">
        <v>2.6666666666666665</v>
      </c>
      <c r="AF61" s="2">
        <f>_xlfn.XLOOKUP(Portefeuille_MNT_PPS_Access28[[#This Row],[Numéro projet]],Portefeuille_MNT_PPS_Access27[Numéro projet],Portefeuille_MNT_PPS_Access27[Critère Etat Infrastructure])</f>
        <v>4</v>
      </c>
      <c r="AG6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63.333333333333343</v>
      </c>
      <c r="AH61" s="221"/>
      <c r="AI61">
        <v>336.99999999999994</v>
      </c>
      <c r="AK61">
        <v>76</v>
      </c>
      <c r="AL61"/>
      <c r="AM61">
        <v>1657.9999999999998</v>
      </c>
      <c r="AO61">
        <v>1529</v>
      </c>
      <c r="AQ61">
        <v>1529</v>
      </c>
      <c r="AS61">
        <v>1325</v>
      </c>
      <c r="AT61">
        <v>7500</v>
      </c>
      <c r="AU61">
        <v>1200</v>
      </c>
      <c r="AV61">
        <v>9500</v>
      </c>
      <c r="AW61">
        <v>439</v>
      </c>
      <c r="AX61">
        <v>18000</v>
      </c>
      <c r="BI61" s="14">
        <f>SUM(Portefeuille_MNT_PPS_Access28[[#This Row],[AC ANT]:[TR 2035]])</f>
        <v>43093</v>
      </c>
    </row>
    <row r="62" spans="1:61" x14ac:dyDescent="0.3">
      <c r="A62" t="s">
        <v>286</v>
      </c>
      <c r="B62" t="s">
        <v>664</v>
      </c>
      <c r="D62" t="s">
        <v>101</v>
      </c>
      <c r="E62" t="s">
        <v>102</v>
      </c>
      <c r="F62" t="s">
        <v>103</v>
      </c>
      <c r="G62" t="s">
        <v>140</v>
      </c>
      <c r="H62" t="s">
        <v>16</v>
      </c>
      <c r="I62" t="s">
        <v>16</v>
      </c>
      <c r="J62" t="s">
        <v>105</v>
      </c>
      <c r="K62" s="2">
        <v>154171517</v>
      </c>
      <c r="L62" t="s">
        <v>175</v>
      </c>
      <c r="M62" t="s">
        <v>143</v>
      </c>
      <c r="N62">
        <f>_xlfn.XLOOKUP(Portefeuille_MNT_PPS_Access28[[#This Row],[Numéro projet]], Portefeuille_MNT_PPS_Access20[Numéro projet], Portefeuille_MNT_PPS_Access20[Année DÉBUT Travaux prévu], "")</f>
        <v>2025</v>
      </c>
      <c r="O62" t="s">
        <v>148</v>
      </c>
      <c r="P62">
        <f>Portefeuille_MNT_PPS_Access28[[#This Row],[Année DÉBUT Travaux proposé]]-Portefeuille_MNT_PPS_Access28[[#This Row],[Année DÉBUT Travaux Prog actuel]]</f>
        <v>0</v>
      </c>
      <c r="Q62" t="s">
        <v>164</v>
      </c>
      <c r="R62" s="1">
        <v>44014</v>
      </c>
      <c r="S62" s="1">
        <v>44294</v>
      </c>
      <c r="T62" s="1">
        <v>45239</v>
      </c>
      <c r="U6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9</v>
      </c>
      <c r="Y6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31</v>
      </c>
      <c r="Z62">
        <f>Portefeuille_MNT_PPS_Access28[[#This Row],[Délais PC1 et PC3]]+Portefeuille_MNT_PPS_Access28[[#This Row],[Délais PC3 et PC5]]</f>
        <v>40</v>
      </c>
      <c r="AA62">
        <v>1</v>
      </c>
      <c r="AB62">
        <v>5</v>
      </c>
      <c r="AD62" t="s">
        <v>165</v>
      </c>
      <c r="AE62">
        <v>4.333333333333333</v>
      </c>
      <c r="AF62" s="2">
        <f>_xlfn.XLOOKUP(Portefeuille_MNT_PPS_Access28[[#This Row],[Numéro projet]],Portefeuille_MNT_PPS_Access27[Numéro projet],Portefeuille_MNT_PPS_Access27[Critère Etat Infrastructure])</f>
        <v>4</v>
      </c>
      <c r="AG6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101.66666666666666</v>
      </c>
      <c r="AH62" s="221"/>
      <c r="AI62">
        <v>389</v>
      </c>
      <c r="AJ62">
        <v>4986</v>
      </c>
      <c r="AK62">
        <v>450</v>
      </c>
      <c r="AL62">
        <v>25618</v>
      </c>
      <c r="AM62">
        <v>678</v>
      </c>
      <c r="AN62">
        <v>14983</v>
      </c>
      <c r="AV62"/>
      <c r="BI62" s="14">
        <f>SUM(Portefeuille_MNT_PPS_Access28[[#This Row],[AC ANT]:[TR 2035]])</f>
        <v>47104</v>
      </c>
    </row>
    <row r="63" spans="1:61" x14ac:dyDescent="0.3">
      <c r="A63" t="s">
        <v>11</v>
      </c>
      <c r="D63" t="s">
        <v>118</v>
      </c>
      <c r="E63" t="s">
        <v>102</v>
      </c>
      <c r="F63" t="s">
        <v>103</v>
      </c>
      <c r="G63" t="s">
        <v>252</v>
      </c>
      <c r="H63" t="s">
        <v>20</v>
      </c>
      <c r="I63" t="s">
        <v>16</v>
      </c>
      <c r="J63" t="s">
        <v>131</v>
      </c>
      <c r="K63" s="2">
        <v>154240498</v>
      </c>
      <c r="L63" t="s">
        <v>258</v>
      </c>
      <c r="M63" t="s">
        <v>180</v>
      </c>
      <c r="N63">
        <f>_xlfn.XLOOKUP(Portefeuille_MNT_PPS_Access28[[#This Row],[Numéro projet]], Portefeuille_MNT_PPS_Access20[Numéro projet], Portefeuille_MNT_PPS_Access20[Année DÉBUT Travaux prévu], "")</f>
        <v>2025</v>
      </c>
      <c r="O63" t="s">
        <v>148</v>
      </c>
      <c r="P63">
        <f>Portefeuille_MNT_PPS_Access28[[#This Row],[Année DÉBUT Travaux proposé]]-Portefeuille_MNT_PPS_Access28[[#This Row],[Année DÉBUT Travaux Prog actuel]]</f>
        <v>0</v>
      </c>
      <c r="Q63" t="s">
        <v>291</v>
      </c>
      <c r="R63" s="1"/>
      <c r="S63" s="1"/>
      <c r="T63" s="1"/>
      <c r="U6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6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6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6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6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63">
        <f>Portefeuille_MNT_PPS_Access28[[#This Row],[Délais PC1 et PC3]]+Portefeuille_MNT_PPS_Access28[[#This Row],[Délais PC3 et PC5]]</f>
        <v>0</v>
      </c>
      <c r="AA63">
        <v>1</v>
      </c>
      <c r="AB63">
        <v>1</v>
      </c>
      <c r="AD63" t="s">
        <v>311</v>
      </c>
      <c r="AE63">
        <v>2.8787878787878789</v>
      </c>
      <c r="AF63" s="2">
        <f>_xlfn.XLOOKUP(Portefeuille_MNT_PPS_Access28[[#This Row],[Numéro projet]],Portefeuille_MNT_PPS_Access27[Numéro projet],Portefeuille_MNT_PPS_Access27[Critère Etat Infrastructure])</f>
        <v>3</v>
      </c>
      <c r="AG6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34.393939393939391</v>
      </c>
      <c r="AH63" s="221"/>
      <c r="AL63"/>
      <c r="AN63">
        <v>300</v>
      </c>
      <c r="AV63"/>
      <c r="BI63" s="14">
        <f>SUM(Portefeuille_MNT_PPS_Access28[[#This Row],[AC ANT]:[TR 2035]])</f>
        <v>300</v>
      </c>
    </row>
    <row r="64" spans="1:61" x14ac:dyDescent="0.3">
      <c r="A64" t="s">
        <v>286</v>
      </c>
      <c r="B64" t="s">
        <v>664</v>
      </c>
      <c r="D64" t="s">
        <v>101</v>
      </c>
      <c r="E64" t="s">
        <v>102</v>
      </c>
      <c r="F64" t="s">
        <v>200</v>
      </c>
      <c r="G64" t="s">
        <v>104</v>
      </c>
      <c r="H64" t="s">
        <v>16</v>
      </c>
      <c r="I64" t="s">
        <v>16</v>
      </c>
      <c r="J64" t="s">
        <v>105</v>
      </c>
      <c r="K64" s="2">
        <v>154180001</v>
      </c>
      <c r="L64" t="s">
        <v>331</v>
      </c>
      <c r="M64" t="s">
        <v>180</v>
      </c>
      <c r="N64">
        <f>_xlfn.XLOOKUP(Portefeuille_MNT_PPS_Access28[[#This Row],[Numéro projet]], Portefeuille_MNT_PPS_Access20[Numéro projet], Portefeuille_MNT_PPS_Access20[Année DÉBUT Travaux prévu], "")</f>
        <v>2025</v>
      </c>
      <c r="O64" t="s">
        <v>148</v>
      </c>
      <c r="P64">
        <f>Portefeuille_MNT_PPS_Access28[[#This Row],[Année DÉBUT Travaux proposé]]-Portefeuille_MNT_PPS_Access28[[#This Row],[Année DÉBUT Travaux Prog actuel]]</f>
        <v>0</v>
      </c>
      <c r="Q64" t="s">
        <v>164</v>
      </c>
      <c r="R64" s="1">
        <v>43360</v>
      </c>
      <c r="S64" s="1">
        <v>43671</v>
      </c>
      <c r="T64" s="1">
        <v>44217</v>
      </c>
      <c r="U6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10</v>
      </c>
      <c r="Y6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18</v>
      </c>
      <c r="Z64">
        <f>Portefeuille_MNT_PPS_Access28[[#This Row],[Délais PC1 et PC3]]+Portefeuille_MNT_PPS_Access28[[#This Row],[Délais PC3 et PC5]]</f>
        <v>28</v>
      </c>
      <c r="AA64">
        <v>1</v>
      </c>
      <c r="AB64">
        <v>1</v>
      </c>
      <c r="AD64" t="s">
        <v>165</v>
      </c>
      <c r="AE64">
        <v>3</v>
      </c>
      <c r="AF64" s="2">
        <f>_xlfn.XLOOKUP(Portefeuille_MNT_PPS_Access28[[#This Row],[Numéro projet]],Portefeuille_MNT_PPS_Access27[Numéro projet],Portefeuille_MNT_PPS_Access27[Critère Etat Infrastructure])</f>
        <v>0</v>
      </c>
      <c r="AG6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55.000000000000007</v>
      </c>
      <c r="AH64" s="221"/>
      <c r="AI64">
        <v>432</v>
      </c>
      <c r="AJ64">
        <v>3057</v>
      </c>
      <c r="AK64">
        <v>136</v>
      </c>
      <c r="AL64"/>
      <c r="AM64">
        <v>137</v>
      </c>
      <c r="AN64">
        <v>73</v>
      </c>
      <c r="AV64"/>
      <c r="BI64" s="14">
        <f>SUM(Portefeuille_MNT_PPS_Access28[[#This Row],[AC ANT]:[TR 2035]])</f>
        <v>3835</v>
      </c>
    </row>
    <row r="65" spans="1:61" x14ac:dyDescent="0.3">
      <c r="A65" t="s">
        <v>286</v>
      </c>
      <c r="B65" t="s">
        <v>663</v>
      </c>
      <c r="D65" t="s">
        <v>101</v>
      </c>
      <c r="E65" t="s">
        <v>102</v>
      </c>
      <c r="F65" t="s">
        <v>119</v>
      </c>
      <c r="G65" t="s">
        <v>113</v>
      </c>
      <c r="H65" t="s">
        <v>16</v>
      </c>
      <c r="I65" t="s">
        <v>16</v>
      </c>
      <c r="J65" t="s">
        <v>105</v>
      </c>
      <c r="K65" s="2">
        <v>154180091</v>
      </c>
      <c r="L65" t="s">
        <v>333</v>
      </c>
      <c r="M65" t="s">
        <v>122</v>
      </c>
      <c r="N65">
        <f>_xlfn.XLOOKUP(Portefeuille_MNT_PPS_Access28[[#This Row],[Numéro projet]], Portefeuille_MNT_PPS_Access20[Numéro projet], Portefeuille_MNT_PPS_Access20[Année DÉBUT Travaux prévu], "")</f>
        <v>2025</v>
      </c>
      <c r="O65" t="s">
        <v>148</v>
      </c>
      <c r="P65">
        <f>Portefeuille_MNT_PPS_Access28[[#This Row],[Année DÉBUT Travaux proposé]]-Portefeuille_MNT_PPS_Access28[[#This Row],[Année DÉBUT Travaux Prog actuel]]</f>
        <v>0</v>
      </c>
      <c r="Q65" t="s">
        <v>164</v>
      </c>
      <c r="R65" s="1">
        <v>44162</v>
      </c>
      <c r="S65" s="1">
        <v>44489</v>
      </c>
      <c r="T65" s="1">
        <v>44608</v>
      </c>
      <c r="U6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6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4</v>
      </c>
      <c r="Z65">
        <f>Portefeuille_MNT_PPS_Access28[[#This Row],[Délais PC1 et PC3]]+Portefeuille_MNT_PPS_Access28[[#This Row],[Délais PC3 et PC5]]</f>
        <v>15</v>
      </c>
      <c r="AA65">
        <v>1</v>
      </c>
      <c r="AB65">
        <v>1</v>
      </c>
      <c r="AD65" t="s">
        <v>165</v>
      </c>
      <c r="AE65">
        <v>4</v>
      </c>
      <c r="AF65" s="2">
        <f>_xlfn.XLOOKUP(Portefeuille_MNT_PPS_Access28[[#This Row],[Numéro projet]],Portefeuille_MNT_PPS_Access27[Numéro projet],Portefeuille_MNT_PPS_Access27[Critère Etat Infrastructure])</f>
        <v>5</v>
      </c>
      <c r="AG6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85.000000000000014</v>
      </c>
      <c r="AH65" s="221"/>
      <c r="AI65">
        <v>183</v>
      </c>
      <c r="AJ65">
        <v>33</v>
      </c>
      <c r="AK65">
        <v>297</v>
      </c>
      <c r="AL65">
        <v>6350</v>
      </c>
      <c r="AM65">
        <v>162</v>
      </c>
      <c r="AN65">
        <v>50</v>
      </c>
      <c r="AV65"/>
      <c r="BI65" s="14">
        <f>SUM(Portefeuille_MNT_PPS_Access28[[#This Row],[AC ANT]:[TR 2035]])</f>
        <v>7075</v>
      </c>
    </row>
    <row r="66" spans="1:61" x14ac:dyDescent="0.3">
      <c r="A66" t="s">
        <v>286</v>
      </c>
      <c r="D66" t="s">
        <v>118</v>
      </c>
      <c r="E66" t="s">
        <v>102</v>
      </c>
      <c r="F66" t="s">
        <v>136</v>
      </c>
      <c r="G66" t="s">
        <v>252</v>
      </c>
      <c r="H66" t="s">
        <v>20</v>
      </c>
      <c r="I66" t="s">
        <v>16</v>
      </c>
      <c r="J66" t="s">
        <v>131</v>
      </c>
      <c r="K66" s="2">
        <v>154250180</v>
      </c>
      <c r="L66" t="s">
        <v>638</v>
      </c>
      <c r="M66" t="s">
        <v>139</v>
      </c>
      <c r="N66">
        <f>_xlfn.XLOOKUP(Portefeuille_MNT_PPS_Access28[[#This Row],[Numéro projet]], Portefeuille_MNT_PPS_Access20[Numéro projet], Portefeuille_MNT_PPS_Access20[Année DÉBUT Travaux prévu], "")</f>
        <v>2025</v>
      </c>
      <c r="O66" t="s">
        <v>148</v>
      </c>
      <c r="P66">
        <f>Portefeuille_MNT_PPS_Access28[[#This Row],[Année DÉBUT Travaux proposé]]-Portefeuille_MNT_PPS_Access28[[#This Row],[Année DÉBUT Travaux Prog actuel]]</f>
        <v>0</v>
      </c>
      <c r="Q66" t="s">
        <v>291</v>
      </c>
      <c r="R66" s="1"/>
      <c r="S66" s="1"/>
      <c r="T66" s="1"/>
      <c r="U6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6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6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6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6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66">
        <f>Portefeuille_MNT_PPS_Access28[[#This Row],[Délais PC1 et PC3]]+Portefeuille_MNT_PPS_Access28[[#This Row],[Délais PC3 et PC5]]</f>
        <v>0</v>
      </c>
      <c r="AA66">
        <v>1</v>
      </c>
      <c r="AB66">
        <v>1</v>
      </c>
      <c r="AD66" t="s">
        <v>311</v>
      </c>
      <c r="AE66">
        <v>2</v>
      </c>
      <c r="AF66" s="2">
        <f>_xlfn.XLOOKUP(Portefeuille_MNT_PPS_Access28[[#This Row],[Numéro projet]],Portefeuille_MNT_PPS_Access27[Numéro projet],Portefeuille_MNT_PPS_Access27[Critère Etat Infrastructure])</f>
        <v>5</v>
      </c>
      <c r="AG6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66" s="221"/>
      <c r="AL66"/>
      <c r="AN66">
        <v>35</v>
      </c>
      <c r="AV66"/>
      <c r="BI66" s="14">
        <f>SUM(Portefeuille_MNT_PPS_Access28[[#This Row],[AC ANT]:[TR 2035]])</f>
        <v>35</v>
      </c>
    </row>
    <row r="67" spans="1:61" x14ac:dyDescent="0.3">
      <c r="A67" t="s">
        <v>286</v>
      </c>
      <c r="D67" t="s">
        <v>126</v>
      </c>
      <c r="E67" t="s">
        <v>127</v>
      </c>
      <c r="F67" t="s">
        <v>136</v>
      </c>
      <c r="G67" t="s">
        <v>252</v>
      </c>
      <c r="H67" t="s">
        <v>20</v>
      </c>
      <c r="I67" t="s">
        <v>16</v>
      </c>
      <c r="J67" t="s">
        <v>131</v>
      </c>
      <c r="K67" s="2">
        <v>154250374</v>
      </c>
      <c r="L67" t="s">
        <v>646</v>
      </c>
      <c r="M67" t="s">
        <v>139</v>
      </c>
      <c r="N67" t="str">
        <f>_xlfn.XLOOKUP(Portefeuille_MNT_PPS_Access28[[#This Row],[Numéro projet]], Portefeuille_MNT_PPS_Access20[Numéro projet], Portefeuille_MNT_PPS_Access20[Année DÉBUT Travaux prévu], "")</f>
        <v/>
      </c>
      <c r="O67" t="s">
        <v>148</v>
      </c>
      <c r="P67" t="s">
        <v>295</v>
      </c>
      <c r="Q67" t="s">
        <v>291</v>
      </c>
      <c r="R67" s="1"/>
      <c r="S67" s="1"/>
      <c r="T67" s="1"/>
      <c r="U6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6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6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6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6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67">
        <f>Portefeuille_MNT_PPS_Access28[[#This Row],[Délais PC1 et PC3]]+Portefeuille_MNT_PPS_Access28[[#This Row],[Délais PC3 et PC5]]</f>
        <v>0</v>
      </c>
      <c r="AA67">
        <v>1</v>
      </c>
      <c r="AB67">
        <v>1</v>
      </c>
      <c r="AD67" t="s">
        <v>311</v>
      </c>
      <c r="AE67">
        <v>2</v>
      </c>
      <c r="AF67" s="2">
        <f>_xlfn.XLOOKUP(Portefeuille_MNT_PPS_Access28[[#This Row],[Numéro projet]],Portefeuille_MNT_PPS_Access27[Numéro projet],Portefeuille_MNT_PPS_Access27[Critère Etat Infrastructure])</f>
        <v>4</v>
      </c>
      <c r="AG6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35</v>
      </c>
      <c r="AH67" s="221"/>
      <c r="AL67"/>
      <c r="AN67">
        <v>100</v>
      </c>
      <c r="AV67"/>
      <c r="BI67" s="14">
        <f>SUM(Portefeuille_MNT_PPS_Access28[[#This Row],[AC ANT]:[TR 2035]])</f>
        <v>100</v>
      </c>
    </row>
    <row r="68" spans="1:61" x14ac:dyDescent="0.3">
      <c r="A68" t="s">
        <v>286</v>
      </c>
      <c r="B68" t="s">
        <v>664</v>
      </c>
      <c r="D68" t="s">
        <v>101</v>
      </c>
      <c r="E68" t="s">
        <v>102</v>
      </c>
      <c r="F68" t="s">
        <v>200</v>
      </c>
      <c r="G68" t="s">
        <v>149</v>
      </c>
      <c r="H68" t="s">
        <v>16</v>
      </c>
      <c r="I68" t="s">
        <v>16</v>
      </c>
      <c r="J68" t="s">
        <v>105</v>
      </c>
      <c r="K68" s="2">
        <v>154180629</v>
      </c>
      <c r="L68" t="s">
        <v>335</v>
      </c>
      <c r="M68" t="s">
        <v>205</v>
      </c>
      <c r="N68">
        <f>_xlfn.XLOOKUP(Portefeuille_MNT_PPS_Access28[[#This Row],[Numéro projet]], Portefeuille_MNT_PPS_Access20[Numéro projet], Portefeuille_MNT_PPS_Access20[Année DÉBUT Travaux prévu], "")</f>
        <v>2025</v>
      </c>
      <c r="O68" t="s">
        <v>148</v>
      </c>
      <c r="P68">
        <f>Portefeuille_MNT_PPS_Access28[[#This Row],[Année DÉBUT Travaux proposé]]-Portefeuille_MNT_PPS_Access28[[#This Row],[Année DÉBUT Travaux Prog actuel]]</f>
        <v>0</v>
      </c>
      <c r="Q68" t="s">
        <v>164</v>
      </c>
      <c r="R68" s="1">
        <v>44228</v>
      </c>
      <c r="S68" s="1">
        <v>44579</v>
      </c>
      <c r="T68" s="1">
        <v>44865</v>
      </c>
      <c r="U6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6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68">
        <f>Portefeuille_MNT_PPS_Access28[[#This Row],[Délais PC1 et PC3]]+Portefeuille_MNT_PPS_Access28[[#This Row],[Délais PC3 et PC5]]</f>
        <v>20</v>
      </c>
      <c r="AA68">
        <v>1</v>
      </c>
      <c r="AB68">
        <v>1</v>
      </c>
      <c r="AD68" t="s">
        <v>165</v>
      </c>
      <c r="AE68">
        <v>3</v>
      </c>
      <c r="AF68" s="2">
        <f>_xlfn.XLOOKUP(Portefeuille_MNT_PPS_Access28[[#This Row],[Numéro projet]],Portefeuille_MNT_PPS_Access27[Numéro projet],Portefeuille_MNT_PPS_Access27[Critère Etat Infrastructure])</f>
        <v>0</v>
      </c>
      <c r="AG6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55.000000000000007</v>
      </c>
      <c r="AH68" s="221"/>
      <c r="AI68">
        <v>262</v>
      </c>
      <c r="AJ68">
        <v>16</v>
      </c>
      <c r="AK68">
        <v>265</v>
      </c>
      <c r="AL68">
        <v>6205</v>
      </c>
      <c r="AM68">
        <v>183</v>
      </c>
      <c r="AN68">
        <v>282</v>
      </c>
      <c r="AV68"/>
      <c r="BI68" s="14">
        <f>SUM(Portefeuille_MNT_PPS_Access28[[#This Row],[AC ANT]:[TR 2035]])</f>
        <v>7213</v>
      </c>
    </row>
    <row r="69" spans="1:61" x14ac:dyDescent="0.3">
      <c r="A69" t="s">
        <v>286</v>
      </c>
      <c r="B69" t="s">
        <v>663</v>
      </c>
      <c r="D69" t="s">
        <v>101</v>
      </c>
      <c r="E69" t="s">
        <v>102</v>
      </c>
      <c r="F69" t="s">
        <v>136</v>
      </c>
      <c r="G69" t="s">
        <v>149</v>
      </c>
      <c r="H69" t="s">
        <v>16</v>
      </c>
      <c r="I69" t="s">
        <v>20</v>
      </c>
      <c r="J69" t="s">
        <v>105</v>
      </c>
      <c r="K69" s="2">
        <v>154180731</v>
      </c>
      <c r="L69" t="s">
        <v>204</v>
      </c>
      <c r="M69" t="s">
        <v>205</v>
      </c>
      <c r="N69" s="103">
        <f>_xlfn.XLOOKUP(Portefeuille_MNT_PPS_Access28[[#This Row],[Numéro projet]], Portefeuille_MNT_PPS_Access20[Numéro projet], Portefeuille_MNT_PPS_Access20[Année DÉBUT Travaux prévu], "")</f>
        <v>2027</v>
      </c>
      <c r="O69" s="103" t="s">
        <v>197</v>
      </c>
      <c r="P69">
        <f>Portefeuille_MNT_PPS_Access28[[#This Row],[Année DÉBUT Travaux proposé]]-Portefeuille_MNT_PPS_Access28[[#This Row],[Année DÉBUT Travaux Prog actuel]]</f>
        <v>1</v>
      </c>
      <c r="Q69" t="s">
        <v>155</v>
      </c>
      <c r="R69" s="1">
        <v>45960</v>
      </c>
      <c r="S69" s="1">
        <v>46264</v>
      </c>
      <c r="T69" s="1">
        <v>46629</v>
      </c>
      <c r="U6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6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6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6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10</v>
      </c>
      <c r="Y6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69">
        <f>Portefeuille_MNT_PPS_Access28[[#This Row],[Délais PC1 et PC3]]+Portefeuille_MNT_PPS_Access28[[#This Row],[Délais PC3 et PC5]]</f>
        <v>22</v>
      </c>
      <c r="AB69">
        <v>1</v>
      </c>
      <c r="AC69">
        <v>5</v>
      </c>
      <c r="AD69" t="s">
        <v>156</v>
      </c>
      <c r="AE69">
        <v>3</v>
      </c>
      <c r="AF69" s="2">
        <f>_xlfn.XLOOKUP(Portefeuille_MNT_PPS_Access28[[#This Row],[Numéro projet]],Portefeuille_MNT_PPS_Access27[Numéro projet],Portefeuille_MNT_PPS_Access27[Critère Etat Infrastructure])</f>
        <v>5</v>
      </c>
      <c r="AG6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70</v>
      </c>
      <c r="AH69" s="221"/>
      <c r="AL69"/>
      <c r="AM69">
        <v>85</v>
      </c>
      <c r="AO69">
        <v>85</v>
      </c>
      <c r="AQ69">
        <v>170</v>
      </c>
      <c r="AT69">
        <v>2000</v>
      </c>
      <c r="AV69"/>
      <c r="BI69" s="14">
        <f>SUM(Portefeuille_MNT_PPS_Access28[[#This Row],[AC ANT]:[TR 2035]])</f>
        <v>2340</v>
      </c>
    </row>
    <row r="70" spans="1:61" x14ac:dyDescent="0.3">
      <c r="A70" t="s">
        <v>286</v>
      </c>
      <c r="B70" t="s">
        <v>664</v>
      </c>
      <c r="D70" t="s">
        <v>101</v>
      </c>
      <c r="E70" t="s">
        <v>102</v>
      </c>
      <c r="F70" t="s">
        <v>103</v>
      </c>
      <c r="G70" t="s">
        <v>113</v>
      </c>
      <c r="H70" t="s">
        <v>16</v>
      </c>
      <c r="I70" t="s">
        <v>16</v>
      </c>
      <c r="J70" t="s">
        <v>105</v>
      </c>
      <c r="K70" s="2">
        <v>154180736</v>
      </c>
      <c r="L70" t="s">
        <v>115</v>
      </c>
      <c r="M70" t="s">
        <v>116</v>
      </c>
      <c r="N70">
        <f>_xlfn.XLOOKUP(Portefeuille_MNT_PPS_Access28[[#This Row],[Numéro projet]], Portefeuille_MNT_PPS_Access20[Numéro projet], Portefeuille_MNT_PPS_Access20[Année DÉBUT Travaux prévu], "")</f>
        <v>2026</v>
      </c>
      <c r="O70" t="s">
        <v>109</v>
      </c>
      <c r="P70">
        <f>Portefeuille_MNT_PPS_Access28[[#This Row],[Année DÉBUT Travaux proposé]]-Portefeuille_MNT_PPS_Access28[[#This Row],[Année DÉBUT Travaux Prog actuel]]</f>
        <v>0</v>
      </c>
      <c r="Q70" t="s">
        <v>123</v>
      </c>
      <c r="R70" s="1">
        <v>45105</v>
      </c>
      <c r="S70" s="1">
        <v>45789</v>
      </c>
      <c r="T70" s="1">
        <v>45932</v>
      </c>
      <c r="U7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7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7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23</v>
      </c>
      <c r="Y7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5</v>
      </c>
      <c r="Z70">
        <f>Portefeuille_MNT_PPS_Access28[[#This Row],[Délais PC1 et PC3]]+Portefeuille_MNT_PPS_Access28[[#This Row],[Délais PC3 et PC5]]</f>
        <v>28</v>
      </c>
      <c r="AA70">
        <v>1</v>
      </c>
      <c r="AB70">
        <v>5</v>
      </c>
      <c r="AC70">
        <v>5</v>
      </c>
      <c r="AD70" t="s">
        <v>125</v>
      </c>
      <c r="AE70">
        <v>3.3333333333333335</v>
      </c>
      <c r="AF70" s="2">
        <f>_xlfn.XLOOKUP(Portefeuille_MNT_PPS_Access28[[#This Row],[Numéro projet]],Portefeuille_MNT_PPS_Access27[Numéro projet],Portefeuille_MNT_PPS_Access27[Critère Etat Infrastructure])</f>
        <v>4</v>
      </c>
      <c r="AG7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86.666666666666671</v>
      </c>
      <c r="AH70" s="221"/>
      <c r="AI70">
        <v>25</v>
      </c>
      <c r="AK70">
        <v>17</v>
      </c>
      <c r="AL70"/>
      <c r="AM70">
        <v>48</v>
      </c>
      <c r="AO70">
        <v>520</v>
      </c>
      <c r="AP70">
        <v>19125</v>
      </c>
      <c r="AV70"/>
      <c r="BI70" s="14">
        <f>SUM(Portefeuille_MNT_PPS_Access28[[#This Row],[AC ANT]:[TR 2035]])</f>
        <v>19735</v>
      </c>
    </row>
    <row r="71" spans="1:61" x14ac:dyDescent="0.3">
      <c r="A71" t="s">
        <v>286</v>
      </c>
      <c r="B71" t="s">
        <v>662</v>
      </c>
      <c r="D71" t="s">
        <v>118</v>
      </c>
      <c r="E71" t="s">
        <v>102</v>
      </c>
      <c r="F71" t="s">
        <v>119</v>
      </c>
      <c r="G71" t="s">
        <v>206</v>
      </c>
      <c r="H71" t="s">
        <v>16</v>
      </c>
      <c r="I71" t="s">
        <v>130</v>
      </c>
      <c r="J71" t="s">
        <v>131</v>
      </c>
      <c r="K71" s="2">
        <v>154180745</v>
      </c>
      <c r="L71" t="s">
        <v>208</v>
      </c>
      <c r="M71" t="s">
        <v>209</v>
      </c>
      <c r="N71">
        <f>_xlfn.XLOOKUP(Portefeuille_MNT_PPS_Access28[[#This Row],[Numéro projet]], Portefeuille_MNT_PPS_Access20[Numéro projet], Portefeuille_MNT_PPS_Access20[Année DÉBUT Travaux prévu], "")</f>
        <v>2027</v>
      </c>
      <c r="O71" t="s">
        <v>173</v>
      </c>
      <c r="P71">
        <f>Portefeuille_MNT_PPS_Access28[[#This Row],[Année DÉBUT Travaux proposé]]-Portefeuille_MNT_PPS_Access28[[#This Row],[Année DÉBUT Travaux Prog actuel]]</f>
        <v>0</v>
      </c>
      <c r="Q71" t="s">
        <v>155</v>
      </c>
      <c r="R71" s="1">
        <v>45976</v>
      </c>
      <c r="S71" s="1">
        <v>46096</v>
      </c>
      <c r="T71" s="1">
        <v>46280</v>
      </c>
      <c r="U7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7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7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</v>
      </c>
      <c r="Y7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6</v>
      </c>
      <c r="Z71">
        <f>Portefeuille_MNT_PPS_Access28[[#This Row],[Délais PC1 et PC3]]+Portefeuille_MNT_PPS_Access28[[#This Row],[Délais PC3 et PC5]]</f>
        <v>10</v>
      </c>
      <c r="AB71">
        <v>1</v>
      </c>
      <c r="AC71">
        <v>3</v>
      </c>
      <c r="AD71" t="s">
        <v>156</v>
      </c>
      <c r="AE71">
        <v>3.3333333333333335</v>
      </c>
      <c r="AF71" s="2">
        <f>_xlfn.XLOOKUP(Portefeuille_MNT_PPS_Access28[[#This Row],[Numéro projet]],Portefeuille_MNT_PPS_Access27[Numéro projet],Portefeuille_MNT_PPS_Access27[Critère Etat Infrastructure])</f>
        <v>3</v>
      </c>
      <c r="AG7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51.666666666666671</v>
      </c>
      <c r="AH71" s="221"/>
      <c r="AI71">
        <v>196</v>
      </c>
      <c r="AL71"/>
      <c r="AM71">
        <v>40</v>
      </c>
      <c r="AO71">
        <v>255</v>
      </c>
      <c r="AQ71">
        <v>396</v>
      </c>
      <c r="AR71">
        <v>1500</v>
      </c>
      <c r="AV71"/>
      <c r="BI71" s="14">
        <f>SUM(Portefeuille_MNT_PPS_Access28[[#This Row],[AC ANT]:[TR 2035]])</f>
        <v>2387</v>
      </c>
    </row>
    <row r="72" spans="1:61" x14ac:dyDescent="0.3">
      <c r="A72" t="s">
        <v>286</v>
      </c>
      <c r="B72" t="s">
        <v>662</v>
      </c>
      <c r="D72" t="s">
        <v>118</v>
      </c>
      <c r="E72" t="s">
        <v>102</v>
      </c>
      <c r="F72" t="s">
        <v>103</v>
      </c>
      <c r="G72" t="s">
        <v>206</v>
      </c>
      <c r="H72" t="s">
        <v>16</v>
      </c>
      <c r="I72" t="s">
        <v>20</v>
      </c>
      <c r="J72" t="s">
        <v>131</v>
      </c>
      <c r="K72" s="2">
        <v>154180768</v>
      </c>
      <c r="L72" t="s">
        <v>211</v>
      </c>
      <c r="M72" t="s">
        <v>209</v>
      </c>
      <c r="N72">
        <f>_xlfn.XLOOKUP(Portefeuille_MNT_PPS_Access28[[#This Row],[Numéro projet]], Portefeuille_MNT_PPS_Access20[Numéro projet], Portefeuille_MNT_PPS_Access20[Année DÉBUT Travaux prévu], "")</f>
        <v>2028</v>
      </c>
      <c r="O72" t="s">
        <v>197</v>
      </c>
      <c r="P72">
        <f>Portefeuille_MNT_PPS_Access28[[#This Row],[Année DÉBUT Travaux proposé]]-Portefeuille_MNT_PPS_Access28[[#This Row],[Année DÉBUT Travaux Prog actuel]]</f>
        <v>0</v>
      </c>
      <c r="Q72" t="s">
        <v>155</v>
      </c>
      <c r="R72" s="1">
        <v>45976</v>
      </c>
      <c r="S72" s="1">
        <v>46341</v>
      </c>
      <c r="T72" s="1">
        <v>46645</v>
      </c>
      <c r="U7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7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7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7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10</v>
      </c>
      <c r="Z72">
        <f>Portefeuille_MNT_PPS_Access28[[#This Row],[Délais PC1 et PC3]]+Portefeuille_MNT_PPS_Access28[[#This Row],[Délais PC3 et PC5]]</f>
        <v>22</v>
      </c>
      <c r="AB72">
        <v>1</v>
      </c>
      <c r="AC72">
        <v>5</v>
      </c>
      <c r="AD72" t="s">
        <v>156</v>
      </c>
      <c r="AE72">
        <v>3.3333333333333335</v>
      </c>
      <c r="AF72" s="2">
        <f>_xlfn.XLOOKUP(Portefeuille_MNT_PPS_Access28[[#This Row],[Numéro projet]],Portefeuille_MNT_PPS_Access27[Numéro projet],Portefeuille_MNT_PPS_Access27[Critère Etat Infrastructure])</f>
        <v>4</v>
      </c>
      <c r="AG7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72" s="221"/>
      <c r="AI72">
        <v>8</v>
      </c>
      <c r="AL72"/>
      <c r="AM72">
        <v>100</v>
      </c>
      <c r="AO72">
        <v>100</v>
      </c>
      <c r="AQ72">
        <v>100</v>
      </c>
      <c r="AS72">
        <v>250</v>
      </c>
      <c r="AT72">
        <v>7500</v>
      </c>
      <c r="AV72"/>
      <c r="BI72" s="14">
        <f>SUM(Portefeuille_MNT_PPS_Access28[[#This Row],[AC ANT]:[TR 2035]])</f>
        <v>8058</v>
      </c>
    </row>
    <row r="73" spans="1:61" x14ac:dyDescent="0.3">
      <c r="A73" t="s">
        <v>286</v>
      </c>
      <c r="B73" t="s">
        <v>664</v>
      </c>
      <c r="D73" t="s">
        <v>101</v>
      </c>
      <c r="E73" t="s">
        <v>102</v>
      </c>
      <c r="F73" t="s">
        <v>136</v>
      </c>
      <c r="G73" t="s">
        <v>149</v>
      </c>
      <c r="H73" t="s">
        <v>16</v>
      </c>
      <c r="I73" t="s">
        <v>20</v>
      </c>
      <c r="J73" t="s">
        <v>131</v>
      </c>
      <c r="K73" s="2">
        <v>154180773</v>
      </c>
      <c r="L73" s="86" t="s">
        <v>213</v>
      </c>
      <c r="M73" t="s">
        <v>214</v>
      </c>
      <c r="N73">
        <f>_xlfn.XLOOKUP(Portefeuille_MNT_PPS_Access28[[#This Row],[Numéro projet]], Portefeuille_MNT_PPS_Access20[Numéro projet], Portefeuille_MNT_PPS_Access20[Année DÉBUT Travaux prévu], "")</f>
        <v>2030</v>
      </c>
      <c r="O73" t="s">
        <v>184</v>
      </c>
      <c r="P73">
        <f>Portefeuille_MNT_PPS_Access28[[#This Row],[Année DÉBUT Travaux proposé]]-Portefeuille_MNT_PPS_Access28[[#This Row],[Année DÉBUT Travaux Prog actuel]]</f>
        <v>0</v>
      </c>
      <c r="Q73" t="s">
        <v>155</v>
      </c>
      <c r="R73" s="1">
        <v>45915</v>
      </c>
      <c r="S73" s="1">
        <v>46280</v>
      </c>
      <c r="T73" s="1">
        <v>46645</v>
      </c>
      <c r="U7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7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7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7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73">
        <f>Portefeuille_MNT_PPS_Access28[[#This Row],[Délais PC1 et PC3]]+Portefeuille_MNT_PPS_Access28[[#This Row],[Délais PC3 et PC5]]</f>
        <v>24</v>
      </c>
      <c r="AB73">
        <v>1</v>
      </c>
      <c r="AD73" t="s">
        <v>156</v>
      </c>
      <c r="AE73">
        <v>3</v>
      </c>
      <c r="AF73" s="2">
        <f>_xlfn.XLOOKUP(Portefeuille_MNT_PPS_Access28[[#This Row],[Numéro projet]],Portefeuille_MNT_PPS_Access27[Numéro projet],Portefeuille_MNT_PPS_Access27[Critère Etat Infrastructure])</f>
        <v>4</v>
      </c>
      <c r="AG7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73" s="221"/>
      <c r="AI73">
        <v>47</v>
      </c>
      <c r="AK73">
        <v>93</v>
      </c>
      <c r="AL73"/>
      <c r="AM73">
        <v>150</v>
      </c>
      <c r="AO73">
        <v>125</v>
      </c>
      <c r="AQ73">
        <v>125</v>
      </c>
      <c r="AS73">
        <v>125</v>
      </c>
      <c r="AU73">
        <v>125</v>
      </c>
      <c r="AV73"/>
      <c r="AW73">
        <v>300</v>
      </c>
      <c r="AX73">
        <v>5000</v>
      </c>
      <c r="AY73">
        <v>431</v>
      </c>
      <c r="AZ73">
        <v>10000</v>
      </c>
      <c r="BI73" s="14">
        <f>SUM(Portefeuille_MNT_PPS_Access28[[#This Row],[AC ANT]:[TR 2035]])</f>
        <v>16521</v>
      </c>
    </row>
    <row r="74" spans="1:61" x14ac:dyDescent="0.3">
      <c r="A74" t="s">
        <v>286</v>
      </c>
      <c r="B74" t="s">
        <v>662</v>
      </c>
      <c r="D74" t="s">
        <v>118</v>
      </c>
      <c r="E74" t="s">
        <v>102</v>
      </c>
      <c r="F74" t="s">
        <v>242</v>
      </c>
      <c r="G74" t="s">
        <v>129</v>
      </c>
      <c r="H74" t="s">
        <v>16</v>
      </c>
      <c r="I74" t="s">
        <v>20</v>
      </c>
      <c r="J74" t="s">
        <v>131</v>
      </c>
      <c r="K74" s="2">
        <v>154180774</v>
      </c>
      <c r="L74" t="s">
        <v>386</v>
      </c>
      <c r="M74" t="s">
        <v>134</v>
      </c>
      <c r="N74">
        <f>_xlfn.XLOOKUP(Portefeuille_MNT_PPS_Access28[[#This Row],[Numéro projet]], Portefeuille_MNT_PPS_Access20[Numéro projet], Portefeuille_MNT_PPS_Access20[Année DÉBUT Travaux prévu], "")</f>
        <v>2028</v>
      </c>
      <c r="O74" t="s">
        <v>197</v>
      </c>
      <c r="P74">
        <f>Portefeuille_MNT_PPS_Access28[[#This Row],[Année DÉBUT Travaux proposé]]-Portefeuille_MNT_PPS_Access28[[#This Row],[Année DÉBUT Travaux Prog actuel]]</f>
        <v>0</v>
      </c>
      <c r="Q74" t="s">
        <v>155</v>
      </c>
      <c r="R74" s="1">
        <v>45960</v>
      </c>
      <c r="S74" s="1">
        <v>46266</v>
      </c>
      <c r="T74" s="1">
        <v>46631</v>
      </c>
      <c r="U7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7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7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7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74">
        <f>Portefeuille_MNT_PPS_Access28[[#This Row],[Délais PC1 et PC3]]+Portefeuille_MNT_PPS_Access28[[#This Row],[Délais PC3 et PC5]]</f>
        <v>23</v>
      </c>
      <c r="AB74">
        <v>1</v>
      </c>
      <c r="AC74">
        <v>5</v>
      </c>
      <c r="AD74" t="s">
        <v>156</v>
      </c>
      <c r="AE74">
        <v>1.3333333333333333</v>
      </c>
      <c r="AF74" s="2">
        <f>_xlfn.XLOOKUP(Portefeuille_MNT_PPS_Access28[[#This Row],[Numéro projet]],Portefeuille_MNT_PPS_Access27[Numéro projet],Portefeuille_MNT_PPS_Access27[Critère Etat Infrastructure])</f>
        <v>4</v>
      </c>
      <c r="AG7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56.666666666666679</v>
      </c>
      <c r="AH74" s="221"/>
      <c r="AL74"/>
      <c r="AM74">
        <v>20</v>
      </c>
      <c r="AO74">
        <v>50</v>
      </c>
      <c r="AQ74">
        <v>50</v>
      </c>
      <c r="AS74">
        <v>200</v>
      </c>
      <c r="AT74">
        <v>2000</v>
      </c>
      <c r="AV74"/>
      <c r="BI74" s="14">
        <f>SUM(Portefeuille_MNT_PPS_Access28[[#This Row],[AC ANT]:[TR 2035]])</f>
        <v>2320</v>
      </c>
    </row>
    <row r="75" spans="1:61" x14ac:dyDescent="0.3">
      <c r="A75" t="s">
        <v>286</v>
      </c>
      <c r="B75" t="s">
        <v>663</v>
      </c>
      <c r="D75" t="s">
        <v>101</v>
      </c>
      <c r="E75" t="s">
        <v>102</v>
      </c>
      <c r="F75" t="s">
        <v>177</v>
      </c>
      <c r="G75" t="s">
        <v>129</v>
      </c>
      <c r="H75" t="s">
        <v>16</v>
      </c>
      <c r="I75" t="s">
        <v>16</v>
      </c>
      <c r="J75" t="s">
        <v>131</v>
      </c>
      <c r="K75" s="2">
        <v>154180922</v>
      </c>
      <c r="L75" t="s">
        <v>179</v>
      </c>
      <c r="M75" t="s">
        <v>180</v>
      </c>
      <c r="N75">
        <f>_xlfn.XLOOKUP(Portefeuille_MNT_PPS_Access28[[#This Row],[Numéro projet]], Portefeuille_MNT_PPS_Access20[Numéro projet], Portefeuille_MNT_PPS_Access20[Année DÉBUT Travaux prévu], "")</f>
        <v>2025</v>
      </c>
      <c r="O75" t="s">
        <v>148</v>
      </c>
      <c r="P75">
        <f>Portefeuille_MNT_PPS_Access28[[#This Row],[Année DÉBUT Travaux proposé]]-Portefeuille_MNT_PPS_Access28[[#This Row],[Année DÉBUT Travaux Prog actuel]]</f>
        <v>0</v>
      </c>
      <c r="Q75" t="s">
        <v>164</v>
      </c>
      <c r="R75" s="1"/>
      <c r="S75" s="1"/>
      <c r="T75" s="1">
        <v>45195</v>
      </c>
      <c r="U7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7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7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7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1484</v>
      </c>
      <c r="Z75">
        <f>Portefeuille_MNT_PPS_Access28[[#This Row],[Délais PC1 et PC3]]+Portefeuille_MNT_PPS_Access28[[#This Row],[Délais PC3 et PC5]]</f>
        <v>1484</v>
      </c>
      <c r="AA75">
        <v>1</v>
      </c>
      <c r="AB75">
        <v>5</v>
      </c>
      <c r="AD75" t="s">
        <v>165</v>
      </c>
      <c r="AE75">
        <v>2.6</v>
      </c>
      <c r="AF75" s="2">
        <f>_xlfn.XLOOKUP(Portefeuille_MNT_PPS_Access28[[#This Row],[Numéro projet]],Portefeuille_MNT_PPS_Access27[Numéro projet],Portefeuille_MNT_PPS_Access27[Critère Etat Infrastructure])</f>
        <v>0</v>
      </c>
      <c r="AG7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73</v>
      </c>
      <c r="AH75" s="221"/>
      <c r="AI75">
        <v>75</v>
      </c>
      <c r="AJ75">
        <v>101.00000000000001</v>
      </c>
      <c r="AK75">
        <v>25</v>
      </c>
      <c r="AL75">
        <v>1137</v>
      </c>
      <c r="AM75">
        <v>73</v>
      </c>
      <c r="AN75">
        <v>596</v>
      </c>
      <c r="AV75"/>
      <c r="BI75" s="14">
        <f>SUM(Portefeuille_MNT_PPS_Access28[[#This Row],[AC ANT]:[TR 2035]])</f>
        <v>2007</v>
      </c>
    </row>
    <row r="76" spans="1:61" x14ac:dyDescent="0.3">
      <c r="A76" t="s">
        <v>286</v>
      </c>
      <c r="B76" t="s">
        <v>663</v>
      </c>
      <c r="D76" t="s">
        <v>101</v>
      </c>
      <c r="E76" t="s">
        <v>102</v>
      </c>
      <c r="F76" t="s">
        <v>119</v>
      </c>
      <c r="G76" t="s">
        <v>129</v>
      </c>
      <c r="H76" t="s">
        <v>20</v>
      </c>
      <c r="I76" t="s">
        <v>20</v>
      </c>
      <c r="J76" t="s">
        <v>131</v>
      </c>
      <c r="K76" s="2">
        <v>154230793</v>
      </c>
      <c r="L76" t="s">
        <v>441</v>
      </c>
      <c r="M76" t="s">
        <v>152</v>
      </c>
      <c r="N76">
        <f>_xlfn.XLOOKUP(Portefeuille_MNT_PPS_Access28[[#This Row],[Numéro projet]], Portefeuille_MNT_PPS_Access20[Numéro projet], Portefeuille_MNT_PPS_Access20[Année DÉBUT Travaux prévu], "")</f>
        <v>2026</v>
      </c>
      <c r="O76" t="s">
        <v>109</v>
      </c>
      <c r="P76">
        <f>Portefeuille_MNT_PPS_Access28[[#This Row],[Année DÉBUT Travaux proposé]]-Portefeuille_MNT_PPS_Access28[[#This Row],[Année DÉBUT Travaux Prog actuel]]</f>
        <v>0</v>
      </c>
      <c r="Q76" t="s">
        <v>155</v>
      </c>
      <c r="R76" s="1">
        <v>45992</v>
      </c>
      <c r="S76" s="1"/>
      <c r="T76" s="1">
        <v>45992</v>
      </c>
      <c r="U7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7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7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-1511</v>
      </c>
      <c r="Y7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1511</v>
      </c>
      <c r="Z76">
        <f>Portefeuille_MNT_PPS_Access28[[#This Row],[Délais PC1 et PC3]]+Portefeuille_MNT_PPS_Access28[[#This Row],[Délais PC3 et PC5]]</f>
        <v>0</v>
      </c>
      <c r="AA76">
        <v>1</v>
      </c>
      <c r="AB76">
        <v>1</v>
      </c>
      <c r="AC76">
        <v>5</v>
      </c>
      <c r="AD76" t="s">
        <v>156</v>
      </c>
      <c r="AE76">
        <v>3.3333333333333335</v>
      </c>
      <c r="AF76" s="2">
        <f>_xlfn.XLOOKUP(Portefeuille_MNT_PPS_Access28[[#This Row],[Numéro projet]],Portefeuille_MNT_PPS_Access27[Numéro projet],Portefeuille_MNT_PPS_Access27[Critère Etat Infrastructure])</f>
        <v>3</v>
      </c>
      <c r="AG7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61.666666666666671</v>
      </c>
      <c r="AH76" s="221"/>
      <c r="AL76"/>
      <c r="AO76">
        <v>55</v>
      </c>
      <c r="AP76">
        <v>543</v>
      </c>
      <c r="AV76"/>
      <c r="BI76" s="14">
        <f>SUM(Portefeuille_MNT_PPS_Access28[[#This Row],[AC ANT]:[TR 2035]])</f>
        <v>598</v>
      </c>
    </row>
    <row r="77" spans="1:61" x14ac:dyDescent="0.3">
      <c r="A77" t="s">
        <v>286</v>
      </c>
      <c r="B77" t="s">
        <v>664</v>
      </c>
      <c r="D77" t="s">
        <v>101</v>
      </c>
      <c r="E77" t="s">
        <v>102</v>
      </c>
      <c r="F77" t="s">
        <v>200</v>
      </c>
      <c r="G77" t="s">
        <v>113</v>
      </c>
      <c r="H77" t="s">
        <v>16</v>
      </c>
      <c r="I77" t="s">
        <v>16</v>
      </c>
      <c r="J77" t="s">
        <v>131</v>
      </c>
      <c r="K77" s="2">
        <v>154190163</v>
      </c>
      <c r="L77" t="s">
        <v>337</v>
      </c>
      <c r="M77" t="s">
        <v>180</v>
      </c>
      <c r="N77">
        <f>_xlfn.XLOOKUP(Portefeuille_MNT_PPS_Access28[[#This Row],[Numéro projet]], Portefeuille_MNT_PPS_Access20[Numéro projet], Portefeuille_MNT_PPS_Access20[Année DÉBUT Travaux prévu], "")</f>
        <v>2025</v>
      </c>
      <c r="O77" t="s">
        <v>148</v>
      </c>
      <c r="P77">
        <f>Portefeuille_MNT_PPS_Access28[[#This Row],[Année DÉBUT Travaux proposé]]-Portefeuille_MNT_PPS_Access28[[#This Row],[Année DÉBUT Travaux Prog actuel]]</f>
        <v>0</v>
      </c>
      <c r="Q77" t="s">
        <v>164</v>
      </c>
      <c r="R77" s="1"/>
      <c r="S77" s="1">
        <v>44518</v>
      </c>
      <c r="T77" s="1">
        <v>44657</v>
      </c>
      <c r="U7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7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7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1462</v>
      </c>
      <c r="Y7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5</v>
      </c>
      <c r="Z77">
        <f>Portefeuille_MNT_PPS_Access28[[#This Row],[Délais PC1 et PC3]]+Portefeuille_MNT_PPS_Access28[[#This Row],[Délais PC3 et PC5]]</f>
        <v>1467</v>
      </c>
      <c r="AA77">
        <v>1</v>
      </c>
      <c r="AB77">
        <v>1</v>
      </c>
      <c r="AD77" t="s">
        <v>165</v>
      </c>
      <c r="AE77">
        <v>2.6666666666666665</v>
      </c>
      <c r="AF77" s="2">
        <f>_xlfn.XLOOKUP(Portefeuille_MNT_PPS_Access28[[#This Row],[Numéro projet]],Portefeuille_MNT_PPS_Access27[Numéro projet],Portefeuille_MNT_PPS_Access27[Critère Etat Infrastructure])</f>
        <v>5</v>
      </c>
      <c r="AG7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78.333333333333329</v>
      </c>
      <c r="AH77" s="221"/>
      <c r="AI77">
        <v>594</v>
      </c>
      <c r="AJ77">
        <v>3359</v>
      </c>
      <c r="AK77">
        <v>264</v>
      </c>
      <c r="AL77">
        <v>2717</v>
      </c>
      <c r="AM77">
        <v>63</v>
      </c>
      <c r="AN77">
        <v>462</v>
      </c>
      <c r="AV77"/>
      <c r="BI77" s="14">
        <f>SUM(Portefeuille_MNT_PPS_Access28[[#This Row],[AC ANT]:[TR 2035]])</f>
        <v>7459</v>
      </c>
    </row>
    <row r="78" spans="1:61" x14ac:dyDescent="0.3">
      <c r="A78" t="s">
        <v>286</v>
      </c>
      <c r="B78" t="s">
        <v>662</v>
      </c>
      <c r="D78" t="s">
        <v>118</v>
      </c>
      <c r="E78" t="s">
        <v>102</v>
      </c>
      <c r="F78" t="s">
        <v>103</v>
      </c>
      <c r="G78" t="s">
        <v>149</v>
      </c>
      <c r="H78" t="s">
        <v>16</v>
      </c>
      <c r="I78" t="s">
        <v>16</v>
      </c>
      <c r="J78" t="s">
        <v>131</v>
      </c>
      <c r="K78" s="2">
        <v>154190478</v>
      </c>
      <c r="L78" t="s">
        <v>193</v>
      </c>
      <c r="M78" t="s">
        <v>194</v>
      </c>
      <c r="N78">
        <f>_xlfn.XLOOKUP(Portefeuille_MNT_PPS_Access28[[#This Row],[Numéro projet]], Portefeuille_MNT_PPS_Access20[Numéro projet], Portefeuille_MNT_PPS_Access20[Année DÉBUT Travaux prévu], "")</f>
        <v>2025</v>
      </c>
      <c r="O78" t="s">
        <v>148</v>
      </c>
      <c r="P78">
        <f>Portefeuille_MNT_PPS_Access28[[#This Row],[Année DÉBUT Travaux proposé]]-Portefeuille_MNT_PPS_Access28[[#This Row],[Année DÉBUT Travaux Prog actuel]]</f>
        <v>0</v>
      </c>
      <c r="Q78" t="s">
        <v>164</v>
      </c>
      <c r="R78" s="1">
        <v>44547</v>
      </c>
      <c r="S78" s="1">
        <v>45091</v>
      </c>
      <c r="T78" s="1">
        <v>45375</v>
      </c>
      <c r="U7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7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7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7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18</v>
      </c>
      <c r="Y7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78">
        <f>Portefeuille_MNT_PPS_Access28[[#This Row],[Délais PC1 et PC3]]+Portefeuille_MNT_PPS_Access28[[#This Row],[Délais PC3 et PC5]]</f>
        <v>27</v>
      </c>
      <c r="AA78">
        <v>1</v>
      </c>
      <c r="AB78">
        <v>5</v>
      </c>
      <c r="AD78" t="s">
        <v>165</v>
      </c>
      <c r="AE78">
        <v>3.3333333333333335</v>
      </c>
      <c r="AF78" s="2">
        <f>_xlfn.XLOOKUP(Portefeuille_MNT_PPS_Access28[[#This Row],[Numéro projet]],Portefeuille_MNT_PPS_Access27[Numéro projet],Portefeuille_MNT_PPS_Access27[Critère Etat Infrastructure])</f>
        <v>5</v>
      </c>
      <c r="AG7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101.66666666666666</v>
      </c>
      <c r="AH78" s="221"/>
      <c r="AI78">
        <v>7</v>
      </c>
      <c r="AK78">
        <v>45</v>
      </c>
      <c r="AL78">
        <v>1057</v>
      </c>
      <c r="AM78">
        <v>221</v>
      </c>
      <c r="AN78">
        <v>4691</v>
      </c>
      <c r="AV78"/>
      <c r="BI78" s="14">
        <f>SUM(Portefeuille_MNT_PPS_Access28[[#This Row],[AC ANT]:[TR 2035]])</f>
        <v>6021</v>
      </c>
    </row>
    <row r="79" spans="1:61" x14ac:dyDescent="0.3">
      <c r="A79" t="s">
        <v>286</v>
      </c>
      <c r="B79" t="s">
        <v>662</v>
      </c>
      <c r="D79" t="s">
        <v>118</v>
      </c>
      <c r="E79" t="s">
        <v>102</v>
      </c>
      <c r="F79" t="s">
        <v>136</v>
      </c>
      <c r="G79" t="s">
        <v>113</v>
      </c>
      <c r="H79" t="s">
        <v>20</v>
      </c>
      <c r="I79" t="s">
        <v>20</v>
      </c>
      <c r="J79" t="s">
        <v>131</v>
      </c>
      <c r="K79" s="2">
        <v>154250021</v>
      </c>
      <c r="L79" t="s">
        <v>544</v>
      </c>
      <c r="M79" t="s">
        <v>187</v>
      </c>
      <c r="N79">
        <f>_xlfn.XLOOKUP(Portefeuille_MNT_PPS_Access28[[#This Row],[Numéro projet]], Portefeuille_MNT_PPS_Access20[Numéro projet], Portefeuille_MNT_PPS_Access20[Année DÉBUT Travaux prévu], "")</f>
        <v>2026</v>
      </c>
      <c r="O79" t="s">
        <v>109</v>
      </c>
      <c r="P79">
        <f>Portefeuille_MNT_PPS_Access28[[#This Row],[Année DÉBUT Travaux proposé]]-Portefeuille_MNT_PPS_Access28[[#This Row],[Année DÉBUT Travaux Prog actuel]]</f>
        <v>0</v>
      </c>
      <c r="Q79" t="s">
        <v>123</v>
      </c>
      <c r="R79" s="1">
        <v>45762</v>
      </c>
      <c r="S79" s="1">
        <v>46096</v>
      </c>
      <c r="T79" s="1">
        <v>46096</v>
      </c>
      <c r="U7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7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7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7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7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79">
        <f>Portefeuille_MNT_PPS_Access28[[#This Row],[Délais PC1 et PC3]]+Portefeuille_MNT_PPS_Access28[[#This Row],[Délais PC3 et PC5]]</f>
        <v>11</v>
      </c>
      <c r="AA79">
        <v>1</v>
      </c>
      <c r="AB79">
        <v>1</v>
      </c>
      <c r="AC79">
        <v>3</v>
      </c>
      <c r="AD79" t="s">
        <v>125</v>
      </c>
      <c r="AE79">
        <v>3</v>
      </c>
      <c r="AF79" s="2">
        <f>_xlfn.XLOOKUP(Portefeuille_MNT_PPS_Access28[[#This Row],[Numéro projet]],Portefeuille_MNT_PPS_Access27[Numéro projet],Portefeuille_MNT_PPS_Access27[Critère Etat Infrastructure])</f>
        <v>3</v>
      </c>
      <c r="AG7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49.999999999999993</v>
      </c>
      <c r="AH79" s="221"/>
      <c r="AL79"/>
      <c r="AO79">
        <v>1</v>
      </c>
      <c r="AP79">
        <v>164</v>
      </c>
      <c r="AV79"/>
      <c r="BI79" s="14">
        <f>SUM(Portefeuille_MNT_PPS_Access28[[#This Row],[AC ANT]:[TR 2035]])</f>
        <v>165</v>
      </c>
    </row>
    <row r="80" spans="1:61" x14ac:dyDescent="0.3">
      <c r="A80" t="s">
        <v>11</v>
      </c>
      <c r="D80" t="s">
        <v>118</v>
      </c>
      <c r="E80" t="s">
        <v>102</v>
      </c>
      <c r="F80" t="s">
        <v>103</v>
      </c>
      <c r="G80" t="s">
        <v>252</v>
      </c>
      <c r="H80" t="s">
        <v>20</v>
      </c>
      <c r="I80" t="s">
        <v>20</v>
      </c>
      <c r="J80" t="s">
        <v>131</v>
      </c>
      <c r="K80" s="2">
        <v>154250176</v>
      </c>
      <c r="L80" t="s">
        <v>598</v>
      </c>
      <c r="M80" t="s">
        <v>214</v>
      </c>
      <c r="N80">
        <f>_xlfn.XLOOKUP(Portefeuille_MNT_PPS_Access28[[#This Row],[Numéro projet]], Portefeuille_MNT_PPS_Access20[Numéro projet], Portefeuille_MNT_PPS_Access20[Année DÉBUT Travaux prévu], "")</f>
        <v>2026</v>
      </c>
      <c r="O80" t="s">
        <v>109</v>
      </c>
      <c r="P80">
        <f>Portefeuille_MNT_PPS_Access28[[#This Row],[Année DÉBUT Travaux proposé]]-Portefeuille_MNT_PPS_Access28[[#This Row],[Année DÉBUT Travaux Prog actuel]]</f>
        <v>0</v>
      </c>
      <c r="Q80" t="s">
        <v>291</v>
      </c>
      <c r="R80" s="1"/>
      <c r="S80" s="1"/>
      <c r="T80" s="1"/>
      <c r="U8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8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8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8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8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80">
        <f>Portefeuille_MNT_PPS_Access28[[#This Row],[Délais PC1 et PC3]]+Portefeuille_MNT_PPS_Access28[[#This Row],[Délais PC3 et PC5]]</f>
        <v>0</v>
      </c>
      <c r="AA80">
        <v>1</v>
      </c>
      <c r="AB80">
        <v>1</v>
      </c>
      <c r="AC80">
        <v>3</v>
      </c>
      <c r="AD80" t="s">
        <v>311</v>
      </c>
      <c r="AE80">
        <v>3</v>
      </c>
      <c r="AF80" s="2">
        <f>_xlfn.XLOOKUP(Portefeuille_MNT_PPS_Access28[[#This Row],[Numéro projet]],Portefeuille_MNT_PPS_Access27[Numéro projet],Portefeuille_MNT_PPS_Access27[Critère Etat Infrastructure])</f>
        <v>3</v>
      </c>
      <c r="AG8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49.999999999999993</v>
      </c>
      <c r="AH80" s="221"/>
      <c r="AL80"/>
      <c r="AP80">
        <v>300</v>
      </c>
      <c r="AV80"/>
      <c r="BI80" s="14">
        <f>SUM(Portefeuille_MNT_PPS_Access28[[#This Row],[AC ANT]:[TR 2035]])</f>
        <v>300</v>
      </c>
    </row>
    <row r="81" spans="1:61" x14ac:dyDescent="0.3">
      <c r="A81" t="s">
        <v>11</v>
      </c>
      <c r="D81" t="s">
        <v>118</v>
      </c>
      <c r="E81" t="s">
        <v>102</v>
      </c>
      <c r="F81" t="s">
        <v>177</v>
      </c>
      <c r="G81" t="s">
        <v>252</v>
      </c>
      <c r="H81" t="s">
        <v>20</v>
      </c>
      <c r="I81" t="s">
        <v>20</v>
      </c>
      <c r="J81" t="s">
        <v>131</v>
      </c>
      <c r="K81" s="2">
        <v>154240494</v>
      </c>
      <c r="L81" t="s">
        <v>449</v>
      </c>
      <c r="M81" t="s">
        <v>159</v>
      </c>
      <c r="N81" s="103">
        <f>_xlfn.XLOOKUP(Portefeuille_MNT_PPS_Access28[[#This Row],[Numéro projet]], Portefeuille_MNT_PPS_Access20[Numéro projet], Portefeuille_MNT_PPS_Access20[Année DÉBUT Travaux prévu], "")</f>
        <v>2026</v>
      </c>
      <c r="O81" s="103" t="s">
        <v>173</v>
      </c>
      <c r="P81">
        <f>Portefeuille_MNT_PPS_Access28[[#This Row],[Année DÉBUT Travaux proposé]]-Portefeuille_MNT_PPS_Access28[[#This Row],[Année DÉBUT Travaux Prog actuel]]</f>
        <v>1</v>
      </c>
      <c r="Q81" t="s">
        <v>291</v>
      </c>
      <c r="R81" s="1"/>
      <c r="S81" s="1"/>
      <c r="T81" s="1"/>
      <c r="U8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8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8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8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8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81">
        <f>Portefeuille_MNT_PPS_Access28[[#This Row],[Délais PC1 et PC3]]+Portefeuille_MNT_PPS_Access28[[#This Row],[Délais PC3 et PC5]]</f>
        <v>0</v>
      </c>
      <c r="AB81">
        <v>1</v>
      </c>
      <c r="AC81">
        <v>3</v>
      </c>
      <c r="AD81" t="s">
        <v>311</v>
      </c>
      <c r="AE81">
        <v>4.333333333333333</v>
      </c>
      <c r="AF81" s="2">
        <f>_xlfn.XLOOKUP(Portefeuille_MNT_PPS_Access28[[#This Row],[Numéro projet]],Portefeuille_MNT_PPS_Access27[Numéro projet],Portefeuille_MNT_PPS_Access27[Critère Etat Infrastructure])</f>
        <v>4</v>
      </c>
      <c r="AG8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61.666666666666671</v>
      </c>
      <c r="AH81" s="221"/>
      <c r="AL81"/>
      <c r="AR81">
        <v>100</v>
      </c>
      <c r="AV81"/>
      <c r="BI81" s="14">
        <f>SUM(Portefeuille_MNT_PPS_Access28[[#This Row],[AC ANT]:[TR 2035]])</f>
        <v>100</v>
      </c>
    </row>
    <row r="82" spans="1:61" x14ac:dyDescent="0.3">
      <c r="A82" t="s">
        <v>286</v>
      </c>
      <c r="B82" t="s">
        <v>664</v>
      </c>
      <c r="D82" t="s">
        <v>101</v>
      </c>
      <c r="E82" t="s">
        <v>102</v>
      </c>
      <c r="F82" t="s">
        <v>103</v>
      </c>
      <c r="G82" t="s">
        <v>149</v>
      </c>
      <c r="H82" t="s">
        <v>16</v>
      </c>
      <c r="I82" t="s">
        <v>16</v>
      </c>
      <c r="J82" t="s">
        <v>105</v>
      </c>
      <c r="K82" s="2">
        <v>154190480</v>
      </c>
      <c r="L82" t="s">
        <v>229</v>
      </c>
      <c r="M82" t="s">
        <v>230</v>
      </c>
      <c r="N82">
        <f>_xlfn.XLOOKUP(Portefeuille_MNT_PPS_Access28[[#This Row],[Numéro projet]], Portefeuille_MNT_PPS_Access20[Numéro projet], Portefeuille_MNT_PPS_Access20[Année DÉBUT Travaux prévu], "")</f>
        <v>2025</v>
      </c>
      <c r="O82" t="s">
        <v>148</v>
      </c>
      <c r="P82">
        <f>Portefeuille_MNT_PPS_Access28[[#This Row],[Année DÉBUT Travaux proposé]]-Portefeuille_MNT_PPS_Access28[[#This Row],[Année DÉBUT Travaux Prog actuel]]</f>
        <v>0</v>
      </c>
      <c r="Q82" t="s">
        <v>164</v>
      </c>
      <c r="R82" s="1">
        <v>45022</v>
      </c>
      <c r="S82" s="1">
        <v>45463</v>
      </c>
      <c r="T82" s="1">
        <v>45590</v>
      </c>
      <c r="U8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8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8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8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</v>
      </c>
      <c r="Y8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4</v>
      </c>
      <c r="Z82">
        <f>Portefeuille_MNT_PPS_Access28[[#This Row],[Délais PC1 et PC3]]+Portefeuille_MNT_PPS_Access28[[#This Row],[Délais PC3 et PC5]]</f>
        <v>18</v>
      </c>
      <c r="AA82">
        <v>1</v>
      </c>
      <c r="AB82">
        <v>5</v>
      </c>
      <c r="AD82" t="s">
        <v>165</v>
      </c>
      <c r="AE82">
        <v>3</v>
      </c>
      <c r="AF82" s="2">
        <f>_xlfn.XLOOKUP(Portefeuille_MNT_PPS_Access28[[#This Row],[Numéro projet]],Portefeuille_MNT_PPS_Access27[Numéro projet],Portefeuille_MNT_PPS_Access27[Critère Etat Infrastructure])</f>
        <v>4</v>
      </c>
      <c r="AG8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95</v>
      </c>
      <c r="AH82" s="221"/>
      <c r="AI82">
        <v>61</v>
      </c>
      <c r="AL82"/>
      <c r="AM82">
        <v>601</v>
      </c>
      <c r="AN82">
        <v>11581</v>
      </c>
      <c r="AV82"/>
      <c r="BI82" s="14">
        <f>SUM(Portefeuille_MNT_PPS_Access28[[#This Row],[AC ANT]:[TR 2035]])</f>
        <v>12243</v>
      </c>
    </row>
    <row r="83" spans="1:61" x14ac:dyDescent="0.3">
      <c r="A83" t="s">
        <v>286</v>
      </c>
      <c r="B83" t="s">
        <v>295</v>
      </c>
      <c r="D83" t="s">
        <v>126</v>
      </c>
      <c r="E83" t="s">
        <v>127</v>
      </c>
      <c r="F83" t="s">
        <v>103</v>
      </c>
      <c r="G83" t="s">
        <v>104</v>
      </c>
      <c r="H83" t="s">
        <v>16</v>
      </c>
      <c r="I83" t="s">
        <v>130</v>
      </c>
      <c r="J83" t="s">
        <v>131</v>
      </c>
      <c r="K83" s="2">
        <v>154190517</v>
      </c>
      <c r="L83" t="s">
        <v>221</v>
      </c>
      <c r="M83" t="s">
        <v>159</v>
      </c>
      <c r="N83" s="103">
        <f>_xlfn.XLOOKUP(Portefeuille_MNT_PPS_Access28[[#This Row],[Numéro projet]], Portefeuille_MNT_PPS_Access20[Numéro projet], Portefeuille_MNT_PPS_Access20[Année DÉBUT Travaux prévu], "")</f>
        <v>2027</v>
      </c>
      <c r="O83" s="103" t="s">
        <v>197</v>
      </c>
      <c r="P83">
        <f>Portefeuille_MNT_PPS_Access28[[#This Row],[Année DÉBUT Travaux proposé]]-Portefeuille_MNT_PPS_Access28[[#This Row],[Année DÉBUT Travaux Prog actuel]]</f>
        <v>1</v>
      </c>
      <c r="Q83" t="s">
        <v>155</v>
      </c>
      <c r="R83" s="1">
        <v>45976</v>
      </c>
      <c r="S83" s="1">
        <v>46264</v>
      </c>
      <c r="T83" s="1">
        <v>46553</v>
      </c>
      <c r="U8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8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8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9</v>
      </c>
      <c r="Y8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10</v>
      </c>
      <c r="Z83">
        <f>Portefeuille_MNT_PPS_Access28[[#This Row],[Délais PC1 et PC3]]+Portefeuille_MNT_PPS_Access28[[#This Row],[Délais PC3 et PC5]]</f>
        <v>19</v>
      </c>
      <c r="AB83">
        <v>1</v>
      </c>
      <c r="AC83">
        <v>5</v>
      </c>
      <c r="AD83" t="s">
        <v>156</v>
      </c>
      <c r="AE83">
        <v>4.333333333333333</v>
      </c>
      <c r="AF83" s="2">
        <f>_xlfn.XLOOKUP(Portefeuille_MNT_PPS_Access28[[#This Row],[Numéro projet]],Portefeuille_MNT_PPS_Access27[Numéro projet],Portefeuille_MNT_PPS_Access27[Critère Etat Infrastructure])</f>
        <v>3</v>
      </c>
      <c r="AG8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83" s="221"/>
      <c r="AL83"/>
      <c r="AM83">
        <v>130</v>
      </c>
      <c r="AO83">
        <v>125</v>
      </c>
      <c r="AQ83">
        <v>100</v>
      </c>
      <c r="AS83">
        <v>70</v>
      </c>
      <c r="AT83">
        <v>14000</v>
      </c>
      <c r="AU83">
        <v>55</v>
      </c>
      <c r="AV83">
        <v>16662</v>
      </c>
      <c r="BI83" s="14">
        <f>SUM(Portefeuille_MNT_PPS_Access28[[#This Row],[AC ANT]:[TR 2035]])</f>
        <v>31142</v>
      </c>
    </row>
    <row r="84" spans="1:61" x14ac:dyDescent="0.3">
      <c r="A84" t="s">
        <v>286</v>
      </c>
      <c r="B84" t="s">
        <v>295</v>
      </c>
      <c r="D84" t="s">
        <v>126</v>
      </c>
      <c r="E84" t="s">
        <v>127</v>
      </c>
      <c r="F84" t="s">
        <v>177</v>
      </c>
      <c r="G84" t="s">
        <v>206</v>
      </c>
      <c r="H84" t="s">
        <v>16</v>
      </c>
      <c r="I84" t="s">
        <v>16</v>
      </c>
      <c r="J84" t="s">
        <v>223</v>
      </c>
      <c r="K84" s="2">
        <v>154190529</v>
      </c>
      <c r="L84" t="s">
        <v>520</v>
      </c>
      <c r="M84" t="s">
        <v>180</v>
      </c>
      <c r="N84">
        <f>_xlfn.XLOOKUP(Portefeuille_MNT_PPS_Access28[[#This Row],[Numéro projet]], Portefeuille_MNT_PPS_Access20[Numéro projet], Portefeuille_MNT_PPS_Access20[Année DÉBUT Travaux prévu], "")</f>
        <v>2026</v>
      </c>
      <c r="O84" t="s">
        <v>109</v>
      </c>
      <c r="P84">
        <f>Portefeuille_MNT_PPS_Access28[[#This Row],[Année DÉBUT Travaux proposé]]-Portefeuille_MNT_PPS_Access28[[#This Row],[Année DÉBUT Travaux Prog actuel]]</f>
        <v>0</v>
      </c>
      <c r="Q84" t="s">
        <v>123</v>
      </c>
      <c r="R84" s="1">
        <v>44623</v>
      </c>
      <c r="S84" s="1">
        <v>45698</v>
      </c>
      <c r="T84" s="1">
        <v>46218</v>
      </c>
      <c r="U8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8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1.Très à risque</v>
      </c>
      <c r="X8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35</v>
      </c>
      <c r="Y8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17</v>
      </c>
      <c r="Z84">
        <f>Portefeuille_MNT_PPS_Access28[[#This Row],[Délais PC1 et PC3]]+Portefeuille_MNT_PPS_Access28[[#This Row],[Délais PC3 et PC5]]</f>
        <v>52</v>
      </c>
      <c r="AA84">
        <v>1</v>
      </c>
      <c r="AB84">
        <v>1</v>
      </c>
      <c r="AC84">
        <v>1</v>
      </c>
      <c r="AD84" t="s">
        <v>125</v>
      </c>
      <c r="AE84">
        <v>3.35</v>
      </c>
      <c r="AF84" s="2">
        <f>_xlfn.XLOOKUP(Portefeuille_MNT_PPS_Access28[[#This Row],[Numéro projet]],Portefeuille_MNT_PPS_Access27[Numéro projet],Portefeuille_MNT_PPS_Access27[Critère Etat Infrastructure])</f>
        <v>5</v>
      </c>
      <c r="AG8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51.750000000000007</v>
      </c>
      <c r="AH84" s="221"/>
      <c r="AI84">
        <v>180.00000000000003</v>
      </c>
      <c r="AK84">
        <v>53</v>
      </c>
      <c r="AL84"/>
      <c r="AM84">
        <v>150</v>
      </c>
      <c r="AO84">
        <v>133</v>
      </c>
      <c r="AP84">
        <v>354.99999999999994</v>
      </c>
      <c r="AQ84">
        <v>53.000000000000007</v>
      </c>
      <c r="AR84">
        <v>1610</v>
      </c>
      <c r="AS84">
        <v>159</v>
      </c>
      <c r="AT84">
        <v>4929</v>
      </c>
      <c r="AU84">
        <v>212</v>
      </c>
      <c r="AV84">
        <v>6707.0000000000018</v>
      </c>
      <c r="AW84">
        <v>261</v>
      </c>
      <c r="AX84">
        <v>6846.0000000000018</v>
      </c>
      <c r="BI84" s="14">
        <f>SUM(Portefeuille_MNT_PPS_Access28[[#This Row],[AC ANT]:[TR 2035]])</f>
        <v>21648.000000000004</v>
      </c>
    </row>
    <row r="85" spans="1:61" x14ac:dyDescent="0.3">
      <c r="A85" t="s">
        <v>286</v>
      </c>
      <c r="B85" t="s">
        <v>295</v>
      </c>
      <c r="D85" t="s">
        <v>126</v>
      </c>
      <c r="E85" t="s">
        <v>127</v>
      </c>
      <c r="F85" t="s">
        <v>136</v>
      </c>
      <c r="G85" t="s">
        <v>113</v>
      </c>
      <c r="H85" t="s">
        <v>16</v>
      </c>
      <c r="I85" t="s">
        <v>20</v>
      </c>
      <c r="J85" t="s">
        <v>131</v>
      </c>
      <c r="K85" s="2">
        <v>154190601</v>
      </c>
      <c r="L85" t="s">
        <v>227</v>
      </c>
      <c r="M85" t="s">
        <v>139</v>
      </c>
      <c r="N85">
        <f>_xlfn.XLOOKUP(Portefeuille_MNT_PPS_Access28[[#This Row],[Numéro projet]], Portefeuille_MNT_PPS_Access20[Numéro projet], Portefeuille_MNT_PPS_Access20[Année DÉBUT Travaux prévu], "")</f>
        <v>2030</v>
      </c>
      <c r="O85" t="s">
        <v>184</v>
      </c>
      <c r="P85">
        <f>Portefeuille_MNT_PPS_Access28[[#This Row],[Année DÉBUT Travaux proposé]]-Portefeuille_MNT_PPS_Access28[[#This Row],[Année DÉBUT Travaux Prog actuel]]</f>
        <v>0</v>
      </c>
      <c r="Q85" t="s">
        <v>110</v>
      </c>
      <c r="R85" s="1">
        <v>45330</v>
      </c>
      <c r="S85" s="1">
        <v>46690</v>
      </c>
      <c r="T85" s="1">
        <v>47376</v>
      </c>
      <c r="U8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8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8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44</v>
      </c>
      <c r="Y8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23</v>
      </c>
      <c r="Z85">
        <f>Portefeuille_MNT_PPS_Access28[[#This Row],[Délais PC1 et PC3]]+Portefeuille_MNT_PPS_Access28[[#This Row],[Délais PC3 et PC5]]</f>
        <v>67</v>
      </c>
      <c r="AB85">
        <v>1</v>
      </c>
      <c r="AD85" t="s">
        <v>112</v>
      </c>
      <c r="AE85">
        <v>2</v>
      </c>
      <c r="AF85" s="2">
        <f>_xlfn.XLOOKUP(Portefeuille_MNT_PPS_Access28[[#This Row],[Numéro projet]],Portefeuille_MNT_PPS_Access27[Numéro projet],Portefeuille_MNT_PPS_Access27[Critère Etat Infrastructure])</f>
        <v>3</v>
      </c>
      <c r="AG8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85" s="221"/>
      <c r="AI85">
        <v>44</v>
      </c>
      <c r="AK85">
        <v>35</v>
      </c>
      <c r="AL85"/>
      <c r="AM85">
        <v>100</v>
      </c>
      <c r="AO85">
        <v>288</v>
      </c>
      <c r="AQ85">
        <v>475</v>
      </c>
      <c r="AS85">
        <v>475</v>
      </c>
      <c r="AU85">
        <v>573</v>
      </c>
      <c r="AV85"/>
      <c r="AW85">
        <v>1000</v>
      </c>
      <c r="AX85">
        <v>4362</v>
      </c>
      <c r="AY85">
        <v>1087</v>
      </c>
      <c r="AZ85">
        <v>12800</v>
      </c>
      <c r="BI85" s="14">
        <f>SUM(Portefeuille_MNT_PPS_Access28[[#This Row],[AC ANT]:[TR 2035]])</f>
        <v>21239</v>
      </c>
    </row>
    <row r="86" spans="1:61" x14ac:dyDescent="0.3">
      <c r="A86" t="s">
        <v>286</v>
      </c>
      <c r="B86" t="s">
        <v>295</v>
      </c>
      <c r="D86" t="s">
        <v>126</v>
      </c>
      <c r="E86" t="s">
        <v>127</v>
      </c>
      <c r="F86" t="s">
        <v>103</v>
      </c>
      <c r="G86" t="s">
        <v>144</v>
      </c>
      <c r="H86" t="s">
        <v>16</v>
      </c>
      <c r="I86" t="s">
        <v>16</v>
      </c>
      <c r="J86" t="s">
        <v>131</v>
      </c>
      <c r="K86" s="2">
        <v>154190674</v>
      </c>
      <c r="L86" t="s">
        <v>146</v>
      </c>
      <c r="M86" t="s">
        <v>147</v>
      </c>
      <c r="N86">
        <f>_xlfn.XLOOKUP(Portefeuille_MNT_PPS_Access28[[#This Row],[Numéro projet]], Portefeuille_MNT_PPS_Access20[Numéro projet], Portefeuille_MNT_PPS_Access20[Année DÉBUT Travaux prévu], "")</f>
        <v>2026</v>
      </c>
      <c r="O86" t="s">
        <v>109</v>
      </c>
      <c r="P86">
        <f>Portefeuille_MNT_PPS_Access28[[#This Row],[Année DÉBUT Travaux proposé]]-Portefeuille_MNT_PPS_Access28[[#This Row],[Année DÉBUT Travaux Prog actuel]]</f>
        <v>0</v>
      </c>
      <c r="Q86" t="s">
        <v>110</v>
      </c>
      <c r="R86" s="1">
        <v>44609</v>
      </c>
      <c r="S86" s="1">
        <v>45996</v>
      </c>
      <c r="T86" s="1">
        <v>46310</v>
      </c>
      <c r="U8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8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1.Très à risque</v>
      </c>
      <c r="X8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46</v>
      </c>
      <c r="Y8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10</v>
      </c>
      <c r="Z86">
        <f>Portefeuille_MNT_PPS_Access28[[#This Row],[Délais PC1 et PC3]]+Portefeuille_MNT_PPS_Access28[[#This Row],[Délais PC3 et PC5]]</f>
        <v>56</v>
      </c>
      <c r="AA86">
        <v>1</v>
      </c>
      <c r="AB86">
        <v>5</v>
      </c>
      <c r="AC86">
        <v>1</v>
      </c>
      <c r="AD86" t="s">
        <v>112</v>
      </c>
      <c r="AE86">
        <v>2.6666666666666665</v>
      </c>
      <c r="AF86" s="2">
        <f>_xlfn.XLOOKUP(Portefeuille_MNT_PPS_Access28[[#This Row],[Numéro projet]],Portefeuille_MNT_PPS_Access27[Numéro projet],Portefeuille_MNT_PPS_Access27[Critère Etat Infrastructure])</f>
        <v>3</v>
      </c>
      <c r="AG8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58.333333333333336</v>
      </c>
      <c r="AH86" s="221"/>
      <c r="AI86">
        <v>117</v>
      </c>
      <c r="AK86">
        <v>84</v>
      </c>
      <c r="AL86"/>
      <c r="AM86">
        <v>195</v>
      </c>
      <c r="AO86">
        <v>125</v>
      </c>
      <c r="AP86">
        <v>2421</v>
      </c>
      <c r="AQ86">
        <v>202</v>
      </c>
      <c r="AR86">
        <v>7263</v>
      </c>
      <c r="AV86"/>
      <c r="BI86" s="14">
        <f>SUM(Portefeuille_MNT_PPS_Access28[[#This Row],[AC ANT]:[TR 2035]])</f>
        <v>10407</v>
      </c>
    </row>
    <row r="87" spans="1:61" x14ac:dyDescent="0.3">
      <c r="A87" t="s">
        <v>286</v>
      </c>
      <c r="B87" t="s">
        <v>295</v>
      </c>
      <c r="D87" t="s">
        <v>126</v>
      </c>
      <c r="E87" t="s">
        <v>127</v>
      </c>
      <c r="F87" t="s">
        <v>136</v>
      </c>
      <c r="G87" t="s">
        <v>144</v>
      </c>
      <c r="H87" t="s">
        <v>16</v>
      </c>
      <c r="I87" t="s">
        <v>20</v>
      </c>
      <c r="J87" t="s">
        <v>131</v>
      </c>
      <c r="K87" s="2">
        <v>154190675</v>
      </c>
      <c r="L87" t="s">
        <v>232</v>
      </c>
      <c r="M87" t="s">
        <v>147</v>
      </c>
      <c r="N87">
        <f>_xlfn.XLOOKUP(Portefeuille_MNT_PPS_Access28[[#This Row],[Numéro projet]], Portefeuille_MNT_PPS_Access20[Numéro projet], Portefeuille_MNT_PPS_Access20[Année DÉBUT Travaux prévu], "")</f>
        <v>2027</v>
      </c>
      <c r="O87" t="s">
        <v>173</v>
      </c>
      <c r="P87">
        <f>Portefeuille_MNT_PPS_Access28[[#This Row],[Année DÉBUT Travaux proposé]]-Portefeuille_MNT_PPS_Access28[[#This Row],[Année DÉBUT Travaux Prog actuel]]</f>
        <v>0</v>
      </c>
      <c r="Q87" t="s">
        <v>110</v>
      </c>
      <c r="R87" s="1">
        <v>45099</v>
      </c>
      <c r="S87" s="1">
        <v>46037</v>
      </c>
      <c r="T87" s="1">
        <v>46283</v>
      </c>
      <c r="U8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8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8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31</v>
      </c>
      <c r="Y8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8</v>
      </c>
      <c r="Z87">
        <f>Portefeuille_MNT_PPS_Access28[[#This Row],[Délais PC1 et PC3]]+Portefeuille_MNT_PPS_Access28[[#This Row],[Délais PC3 et PC5]]</f>
        <v>39</v>
      </c>
      <c r="AB87">
        <v>1</v>
      </c>
      <c r="AC87">
        <v>3</v>
      </c>
      <c r="AD87" t="s">
        <v>112</v>
      </c>
      <c r="AE87">
        <v>2.6666666666666665</v>
      </c>
      <c r="AF87" s="2">
        <f>_xlfn.XLOOKUP(Portefeuille_MNT_PPS_Access28[[#This Row],[Numéro projet]],Portefeuille_MNT_PPS_Access27[Numéro projet],Portefeuille_MNT_PPS_Access27[Critère Etat Infrastructure])</f>
        <v>3</v>
      </c>
      <c r="AG8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48.333333333333336</v>
      </c>
      <c r="AH87" s="221"/>
      <c r="AI87">
        <v>9</v>
      </c>
      <c r="AK87">
        <v>21</v>
      </c>
      <c r="AL87"/>
      <c r="AM87">
        <v>672</v>
      </c>
      <c r="AO87">
        <v>553</v>
      </c>
      <c r="AQ87">
        <v>1175</v>
      </c>
      <c r="AR87">
        <v>6475</v>
      </c>
      <c r="AS87">
        <v>1602</v>
      </c>
      <c r="AT87">
        <v>6677</v>
      </c>
      <c r="AV87"/>
      <c r="BI87" s="14">
        <f>SUM(Portefeuille_MNT_PPS_Access28[[#This Row],[AC ANT]:[TR 2035]])</f>
        <v>17184</v>
      </c>
    </row>
    <row r="88" spans="1:61" x14ac:dyDescent="0.3">
      <c r="A88" t="s">
        <v>286</v>
      </c>
      <c r="B88" t="s">
        <v>663</v>
      </c>
      <c r="D88" t="s">
        <v>101</v>
      </c>
      <c r="E88" t="s">
        <v>102</v>
      </c>
      <c r="F88" t="s">
        <v>136</v>
      </c>
      <c r="G88" t="s">
        <v>149</v>
      </c>
      <c r="H88" t="s">
        <v>20</v>
      </c>
      <c r="I88" t="s">
        <v>20</v>
      </c>
      <c r="J88" t="s">
        <v>131</v>
      </c>
      <c r="K88" s="2">
        <v>154220313</v>
      </c>
      <c r="L88" s="86" t="s">
        <v>382</v>
      </c>
      <c r="M88" t="s">
        <v>194</v>
      </c>
      <c r="N88">
        <f>_xlfn.XLOOKUP(Portefeuille_MNT_PPS_Access28[[#This Row],[Numéro projet]], Portefeuille_MNT_PPS_Access20[Numéro projet], Portefeuille_MNT_PPS_Access20[Année DÉBUT Travaux prévu], "")</f>
        <v>2027</v>
      </c>
      <c r="O88" t="s">
        <v>173</v>
      </c>
      <c r="P88">
        <f>Portefeuille_MNT_PPS_Access28[[#This Row],[Année DÉBUT Travaux proposé]]-Portefeuille_MNT_PPS_Access28[[#This Row],[Année DÉBUT Travaux Prog actuel]]</f>
        <v>0</v>
      </c>
      <c r="Q88" s="86" t="s">
        <v>291</v>
      </c>
      <c r="R88" s="1"/>
      <c r="S88" s="1"/>
      <c r="T88" s="1"/>
      <c r="U8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8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8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8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8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88">
        <f>Portefeuille_MNT_PPS_Access28[[#This Row],[Délais PC1 et PC3]]+Portefeuille_MNT_PPS_Access28[[#This Row],[Délais PC3 et PC5]]</f>
        <v>0</v>
      </c>
      <c r="AB88">
        <v>1</v>
      </c>
      <c r="AC88">
        <v>3</v>
      </c>
      <c r="AD88" t="s">
        <v>311</v>
      </c>
      <c r="AE88">
        <v>3.3333333333333335</v>
      </c>
      <c r="AF88" s="2">
        <f>_xlfn.XLOOKUP(Portefeuille_MNT_PPS_Access28[[#This Row],[Numéro projet]],Portefeuille_MNT_PPS_Access27[Numéro projet],Portefeuille_MNT_PPS_Access27[Critère Etat Infrastructure])</f>
        <v>5</v>
      </c>
      <c r="AG8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61.666666666666671</v>
      </c>
      <c r="AH88" s="221"/>
      <c r="AL88"/>
      <c r="AO88">
        <v>50</v>
      </c>
      <c r="AQ88">
        <v>50</v>
      </c>
      <c r="AR88">
        <v>250</v>
      </c>
      <c r="AV88"/>
      <c r="BI88" s="14">
        <f>SUM(Portefeuille_MNT_PPS_Access28[[#This Row],[AC ANT]:[TR 2035]])</f>
        <v>350</v>
      </c>
    </row>
    <row r="89" spans="1:61" x14ac:dyDescent="0.3">
      <c r="A89" t="s">
        <v>286</v>
      </c>
      <c r="B89" t="s">
        <v>295</v>
      </c>
      <c r="D89" t="s">
        <v>126</v>
      </c>
      <c r="E89" t="s">
        <v>127</v>
      </c>
      <c r="F89" t="s">
        <v>103</v>
      </c>
      <c r="G89" t="s">
        <v>149</v>
      </c>
      <c r="H89" t="s">
        <v>16</v>
      </c>
      <c r="I89" t="s">
        <v>20</v>
      </c>
      <c r="J89" t="s">
        <v>131</v>
      </c>
      <c r="K89" s="2">
        <v>154190681</v>
      </c>
      <c r="L89" t="s">
        <v>542</v>
      </c>
      <c r="M89" t="s">
        <v>152</v>
      </c>
      <c r="N89" s="103">
        <f>_xlfn.XLOOKUP(Portefeuille_MNT_PPS_Access28[[#This Row],[Numéro projet]], Portefeuille_MNT_PPS_Access20[Numéro projet], Portefeuille_MNT_PPS_Access20[Année DÉBUT Travaux prévu], "")</f>
        <v>2027</v>
      </c>
      <c r="O89" s="103" t="s">
        <v>197</v>
      </c>
      <c r="P89">
        <f>Portefeuille_MNT_PPS_Access28[[#This Row],[Année DÉBUT Travaux proposé]]-Portefeuille_MNT_PPS_Access28[[#This Row],[Année DÉBUT Travaux Prog actuel]]</f>
        <v>1</v>
      </c>
      <c r="Q89" t="s">
        <v>155</v>
      </c>
      <c r="R89" s="1">
        <v>45976</v>
      </c>
      <c r="S89" s="1">
        <v>46310</v>
      </c>
      <c r="T89" s="1">
        <v>46645</v>
      </c>
      <c r="U8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8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8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8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8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11</v>
      </c>
      <c r="Z89">
        <f>Portefeuille_MNT_PPS_Access28[[#This Row],[Délais PC1 et PC3]]+Portefeuille_MNT_PPS_Access28[[#This Row],[Délais PC3 et PC5]]</f>
        <v>22</v>
      </c>
      <c r="AB89">
        <v>1</v>
      </c>
      <c r="AC89">
        <v>5</v>
      </c>
      <c r="AD89" t="s">
        <v>156</v>
      </c>
      <c r="AE89">
        <v>3.3333333333333335</v>
      </c>
      <c r="AF89" s="2">
        <f>_xlfn.XLOOKUP(Portefeuille_MNT_PPS_Access28[[#This Row],[Numéro projet]],Portefeuille_MNT_PPS_Access27[Numéro projet],Portefeuille_MNT_PPS_Access27[Critère Etat Infrastructure])</f>
        <v>3</v>
      </c>
      <c r="AG8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61.666666666666671</v>
      </c>
      <c r="AH89" s="221"/>
      <c r="AL89"/>
      <c r="AM89">
        <v>100</v>
      </c>
      <c r="AO89">
        <v>267</v>
      </c>
      <c r="AQ89">
        <v>588</v>
      </c>
      <c r="AT89">
        <v>4500</v>
      </c>
      <c r="AV89">
        <v>3000</v>
      </c>
      <c r="BI89" s="14">
        <f>SUM(Portefeuille_MNT_PPS_Access28[[#This Row],[AC ANT]:[TR 2035]])</f>
        <v>8455</v>
      </c>
    </row>
    <row r="90" spans="1:61" x14ac:dyDescent="0.3">
      <c r="A90" t="s">
        <v>286</v>
      </c>
      <c r="B90" t="s">
        <v>664</v>
      </c>
      <c r="D90" t="s">
        <v>101</v>
      </c>
      <c r="E90" t="s">
        <v>102</v>
      </c>
      <c r="F90" t="s">
        <v>103</v>
      </c>
      <c r="G90" t="s">
        <v>149</v>
      </c>
      <c r="H90" t="s">
        <v>16</v>
      </c>
      <c r="I90" t="s">
        <v>20</v>
      </c>
      <c r="J90" t="s">
        <v>105</v>
      </c>
      <c r="K90" s="2">
        <v>154190684</v>
      </c>
      <c r="L90" t="s">
        <v>510</v>
      </c>
      <c r="M90" t="s">
        <v>205</v>
      </c>
      <c r="N90">
        <f>_xlfn.XLOOKUP(Portefeuille_MNT_PPS_Access28[[#This Row],[Numéro projet]], Portefeuille_MNT_PPS_Access20[Numéro projet], Portefeuille_MNT_PPS_Access20[Année DÉBUT Travaux prévu], "")</f>
        <v>2027</v>
      </c>
      <c r="O90" t="s">
        <v>173</v>
      </c>
      <c r="P90">
        <f>Portefeuille_MNT_PPS_Access28[[#This Row],[Année DÉBUT Travaux proposé]]-Portefeuille_MNT_PPS_Access28[[#This Row],[Année DÉBUT Travaux Prog actuel]]</f>
        <v>0</v>
      </c>
      <c r="Q90" t="s">
        <v>110</v>
      </c>
      <c r="R90" s="1">
        <v>45706</v>
      </c>
      <c r="S90" s="1">
        <v>46055</v>
      </c>
      <c r="T90" s="1">
        <v>46273</v>
      </c>
      <c r="U9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3.À risque</v>
      </c>
      <c r="V9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9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9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7</v>
      </c>
      <c r="Z90">
        <f>Portefeuille_MNT_PPS_Access28[[#This Row],[Délais PC1 et PC3]]+Portefeuille_MNT_PPS_Access28[[#This Row],[Délais PC3 et PC5]]</f>
        <v>19</v>
      </c>
      <c r="AB90">
        <v>1</v>
      </c>
      <c r="AC90">
        <v>3</v>
      </c>
      <c r="AD90" t="s">
        <v>112</v>
      </c>
      <c r="AE90">
        <v>3</v>
      </c>
      <c r="AF90" s="2">
        <f>_xlfn.XLOOKUP(Portefeuille_MNT_PPS_Access28[[#This Row],[Numéro projet]],Portefeuille_MNT_PPS_Access27[Numéro projet],Portefeuille_MNT_PPS_Access27[Critère Etat Infrastructure])</f>
        <v>4</v>
      </c>
      <c r="AG9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55.000000000000007</v>
      </c>
      <c r="AH90" s="221"/>
      <c r="AL90"/>
      <c r="AM90">
        <v>90</v>
      </c>
      <c r="AO90">
        <v>200</v>
      </c>
      <c r="AQ90">
        <v>970</v>
      </c>
      <c r="AR90">
        <v>13608</v>
      </c>
      <c r="AV90"/>
      <c r="BI90" s="14">
        <f>SUM(Portefeuille_MNT_PPS_Access28[[#This Row],[AC ANT]:[TR 2035]])</f>
        <v>14868</v>
      </c>
    </row>
    <row r="91" spans="1:61" x14ac:dyDescent="0.3">
      <c r="A91" t="s">
        <v>286</v>
      </c>
      <c r="B91" t="s">
        <v>664</v>
      </c>
      <c r="D91" t="s">
        <v>101</v>
      </c>
      <c r="E91" t="s">
        <v>102</v>
      </c>
      <c r="F91" t="s">
        <v>103</v>
      </c>
      <c r="G91" t="s">
        <v>149</v>
      </c>
      <c r="H91" t="s">
        <v>16</v>
      </c>
      <c r="I91" t="s">
        <v>20</v>
      </c>
      <c r="J91" t="s">
        <v>105</v>
      </c>
      <c r="K91" s="2">
        <v>154190686</v>
      </c>
      <c r="L91" t="s">
        <v>665</v>
      </c>
      <c r="M91" t="s">
        <v>239</v>
      </c>
      <c r="N91">
        <f>_xlfn.XLOOKUP(Portefeuille_MNT_PPS_Access28[[#This Row],[Numéro projet]], Portefeuille_MNT_PPS_Access20[Numéro projet], Portefeuille_MNT_PPS_Access20[Année DÉBUT Travaux prévu], "")</f>
        <v>2027</v>
      </c>
      <c r="O91" t="s">
        <v>173</v>
      </c>
      <c r="P91">
        <f>Portefeuille_MNT_PPS_Access28[[#This Row],[Année DÉBUT Travaux proposé]]-Portefeuille_MNT_PPS_Access28[[#This Row],[Année DÉBUT Travaux Prog actuel]]</f>
        <v>0</v>
      </c>
      <c r="Q91" t="s">
        <v>155</v>
      </c>
      <c r="R91" s="1">
        <v>45915</v>
      </c>
      <c r="S91" s="1">
        <v>46037</v>
      </c>
      <c r="T91" s="1">
        <v>46310</v>
      </c>
      <c r="U9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9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9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</v>
      </c>
      <c r="Y9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91">
        <f>Portefeuille_MNT_PPS_Access28[[#This Row],[Délais PC1 et PC3]]+Portefeuille_MNT_PPS_Access28[[#This Row],[Délais PC3 et PC5]]</f>
        <v>13</v>
      </c>
      <c r="AB91">
        <v>1</v>
      </c>
      <c r="AC91">
        <v>3</v>
      </c>
      <c r="AD91" t="s">
        <v>156</v>
      </c>
      <c r="AE91">
        <v>3.3333333333333335</v>
      </c>
      <c r="AF91" s="2">
        <f>_xlfn.XLOOKUP(Portefeuille_MNT_PPS_Access28[[#This Row],[Numéro projet]],Portefeuille_MNT_PPS_Access27[Numéro projet],Portefeuille_MNT_PPS_Access27[Critère Etat Infrastructure])</f>
        <v>4</v>
      </c>
      <c r="AG9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56.666666666666664</v>
      </c>
      <c r="AH91" s="221"/>
      <c r="AL91"/>
      <c r="AM91">
        <v>25</v>
      </c>
      <c r="AO91">
        <v>26</v>
      </c>
      <c r="AQ91">
        <v>723</v>
      </c>
      <c r="AR91">
        <v>10494</v>
      </c>
      <c r="AV91"/>
      <c r="BI91" s="14">
        <f>SUM(Portefeuille_MNT_PPS_Access28[[#This Row],[AC ANT]:[TR 2035]])</f>
        <v>11268</v>
      </c>
    </row>
    <row r="92" spans="1:61" x14ac:dyDescent="0.3">
      <c r="A92" t="s">
        <v>286</v>
      </c>
      <c r="B92" t="s">
        <v>664</v>
      </c>
      <c r="D92" t="s">
        <v>101</v>
      </c>
      <c r="E92" t="s">
        <v>102</v>
      </c>
      <c r="F92" t="s">
        <v>103</v>
      </c>
      <c r="G92" t="s">
        <v>104</v>
      </c>
      <c r="H92" t="s">
        <v>16</v>
      </c>
      <c r="I92" t="s">
        <v>16</v>
      </c>
      <c r="J92" t="s">
        <v>105</v>
      </c>
      <c r="K92" s="2">
        <v>154190692</v>
      </c>
      <c r="L92" t="s">
        <v>107</v>
      </c>
      <c r="M92" t="s">
        <v>108</v>
      </c>
      <c r="N92">
        <f>_xlfn.XLOOKUP(Portefeuille_MNT_PPS_Access28[[#This Row],[Numéro projet]], Portefeuille_MNT_PPS_Access20[Numéro projet], Portefeuille_MNT_PPS_Access20[Année DÉBUT Travaux prévu], "")</f>
        <v>2026</v>
      </c>
      <c r="O92" s="2" t="s">
        <v>109</v>
      </c>
      <c r="P92" s="2">
        <f>Portefeuille_MNT_PPS_Access28[[#This Row],[Année DÉBUT Travaux proposé]]-Portefeuille_MNT_PPS_Access28[[#This Row],[Année DÉBUT Travaux Prog actuel]]</f>
        <v>0</v>
      </c>
      <c r="Q92" t="s">
        <v>123</v>
      </c>
      <c r="R92" s="1">
        <v>45014</v>
      </c>
      <c r="S92" s="1">
        <v>45799</v>
      </c>
      <c r="T92" s="1">
        <v>46006</v>
      </c>
      <c r="U9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9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9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26</v>
      </c>
      <c r="Y9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7</v>
      </c>
      <c r="Z92">
        <f>Portefeuille_MNT_PPS_Access28[[#This Row],[Délais PC1 et PC3]]+Portefeuille_MNT_PPS_Access28[[#This Row],[Délais PC3 et PC5]]</f>
        <v>33</v>
      </c>
      <c r="AA92">
        <v>1</v>
      </c>
      <c r="AB92">
        <v>5</v>
      </c>
      <c r="AC92">
        <v>5</v>
      </c>
      <c r="AD92" t="s">
        <v>125</v>
      </c>
      <c r="AE92">
        <v>4</v>
      </c>
      <c r="AF92" s="2">
        <f>_xlfn.XLOOKUP(Portefeuille_MNT_PPS_Access28[[#This Row],[Numéro projet]],Portefeuille_MNT_PPS_Access27[Numéro projet],Portefeuille_MNT_PPS_Access27[Critère Etat Infrastructure])</f>
        <v>4</v>
      </c>
      <c r="AG9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90</v>
      </c>
      <c r="AH92" s="221"/>
      <c r="AI92">
        <v>69</v>
      </c>
      <c r="AK92">
        <v>213</v>
      </c>
      <c r="AL92"/>
      <c r="AM92">
        <v>272</v>
      </c>
      <c r="AO92">
        <v>636</v>
      </c>
      <c r="AP92">
        <v>16507</v>
      </c>
      <c r="AV92"/>
      <c r="BI92" s="14">
        <f>SUM(Portefeuille_MNT_PPS_Access28[[#This Row],[AC ANT]:[TR 2035]])</f>
        <v>17697</v>
      </c>
    </row>
    <row r="93" spans="1:61" x14ac:dyDescent="0.3">
      <c r="A93" t="s">
        <v>286</v>
      </c>
      <c r="B93" t="s">
        <v>662</v>
      </c>
      <c r="D93" t="s">
        <v>118</v>
      </c>
      <c r="E93" t="s">
        <v>102</v>
      </c>
      <c r="F93" t="s">
        <v>177</v>
      </c>
      <c r="G93" t="s">
        <v>113</v>
      </c>
      <c r="H93" t="s">
        <v>16</v>
      </c>
      <c r="I93" t="s">
        <v>20</v>
      </c>
      <c r="J93" t="s">
        <v>131</v>
      </c>
      <c r="K93" s="2">
        <v>154200650</v>
      </c>
      <c r="L93" t="s">
        <v>241</v>
      </c>
      <c r="M93" t="s">
        <v>187</v>
      </c>
      <c r="N93">
        <f>_xlfn.XLOOKUP(Portefeuille_MNT_PPS_Access28[[#This Row],[Numéro projet]], Portefeuille_MNT_PPS_Access20[Numéro projet], Portefeuille_MNT_PPS_Access20[Année DÉBUT Travaux prévu], "")</f>
        <v>2027</v>
      </c>
      <c r="O93" t="s">
        <v>173</v>
      </c>
      <c r="P93">
        <f>Portefeuille_MNT_PPS_Access28[[#This Row],[Année DÉBUT Travaux proposé]]-Portefeuille_MNT_PPS_Access28[[#This Row],[Année DÉBUT Travaux Prog actuel]]</f>
        <v>0</v>
      </c>
      <c r="Q93" t="s">
        <v>110</v>
      </c>
      <c r="R93" s="1">
        <v>45708</v>
      </c>
      <c r="S93" s="1">
        <v>45923</v>
      </c>
      <c r="T93" s="1">
        <v>46296</v>
      </c>
      <c r="U9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3.À risque</v>
      </c>
      <c r="V9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9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7</v>
      </c>
      <c r="Y9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13</v>
      </c>
      <c r="Z93">
        <f>Portefeuille_MNT_PPS_Access28[[#This Row],[Délais PC1 et PC3]]+Portefeuille_MNT_PPS_Access28[[#This Row],[Délais PC3 et PC5]]</f>
        <v>20</v>
      </c>
      <c r="AB93">
        <v>1</v>
      </c>
      <c r="AC93">
        <v>5</v>
      </c>
      <c r="AD93" t="s">
        <v>112</v>
      </c>
      <c r="AE93">
        <v>3</v>
      </c>
      <c r="AF93" s="2">
        <f>_xlfn.XLOOKUP(Portefeuille_MNT_PPS_Access28[[#This Row],[Numéro projet]],Portefeuille_MNT_PPS_Access27[Numéro projet],Portefeuille_MNT_PPS_Access27[Critère Etat Infrastructure])</f>
        <v>5</v>
      </c>
      <c r="AG9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70</v>
      </c>
      <c r="AH93" s="221"/>
      <c r="AL93"/>
      <c r="AM93">
        <v>178</v>
      </c>
      <c r="AO93">
        <v>176</v>
      </c>
      <c r="AQ93">
        <v>212</v>
      </c>
      <c r="AR93">
        <v>4831</v>
      </c>
      <c r="AS93">
        <v>151</v>
      </c>
      <c r="AT93">
        <v>3298</v>
      </c>
      <c r="AV93"/>
      <c r="BI93" s="14">
        <f>SUM(Portefeuille_MNT_PPS_Access28[[#This Row],[AC ANT]:[TR 2035]])</f>
        <v>8846</v>
      </c>
    </row>
    <row r="94" spans="1:61" x14ac:dyDescent="0.3">
      <c r="A94" t="s">
        <v>286</v>
      </c>
      <c r="B94" t="s">
        <v>663</v>
      </c>
      <c r="D94" t="s">
        <v>101</v>
      </c>
      <c r="E94" t="s">
        <v>102</v>
      </c>
      <c r="F94" t="s">
        <v>119</v>
      </c>
      <c r="G94" t="s">
        <v>129</v>
      </c>
      <c r="H94" t="s">
        <v>16</v>
      </c>
      <c r="I94" t="s">
        <v>16</v>
      </c>
      <c r="J94" t="s">
        <v>131</v>
      </c>
      <c r="K94" s="2">
        <v>154200653</v>
      </c>
      <c r="L94" t="s">
        <v>154</v>
      </c>
      <c r="M94" t="s">
        <v>134</v>
      </c>
      <c r="N94">
        <f>_xlfn.XLOOKUP(Portefeuille_MNT_PPS_Access28[[#This Row],[Numéro projet]], Portefeuille_MNT_PPS_Access20[Numéro projet], Portefeuille_MNT_PPS_Access20[Année DÉBUT Travaux prévu], "")</f>
        <v>2026</v>
      </c>
      <c r="O94" t="s">
        <v>109</v>
      </c>
      <c r="P94">
        <f>Portefeuille_MNT_PPS_Access28[[#This Row],[Année DÉBUT Travaux proposé]]-Portefeuille_MNT_PPS_Access28[[#This Row],[Année DÉBUT Travaux Prog actuel]]</f>
        <v>0</v>
      </c>
      <c r="Q94" t="s">
        <v>123</v>
      </c>
      <c r="R94" s="1">
        <v>45601</v>
      </c>
      <c r="S94" s="1">
        <v>45731</v>
      </c>
      <c r="T94" s="1">
        <v>45976</v>
      </c>
      <c r="U9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9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9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4</v>
      </c>
      <c r="Y9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8</v>
      </c>
      <c r="Z94">
        <f>Portefeuille_MNT_PPS_Access28[[#This Row],[Délais PC1 et PC3]]+Portefeuille_MNT_PPS_Access28[[#This Row],[Délais PC3 et PC5]]</f>
        <v>12</v>
      </c>
      <c r="AA94">
        <v>1</v>
      </c>
      <c r="AB94">
        <v>5</v>
      </c>
      <c r="AC94">
        <v>5</v>
      </c>
      <c r="AD94" t="s">
        <v>125</v>
      </c>
      <c r="AE94">
        <v>2.3333333333333335</v>
      </c>
      <c r="AF94" s="2">
        <f>_xlfn.XLOOKUP(Portefeuille_MNT_PPS_Access28[[#This Row],[Numéro projet]],Portefeuille_MNT_PPS_Access27[Numéro projet],Portefeuille_MNT_PPS_Access27[Critère Etat Infrastructure])</f>
        <v>3</v>
      </c>
      <c r="AG9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76.666666666666671</v>
      </c>
      <c r="AH94" s="221"/>
      <c r="AL94"/>
      <c r="AM94">
        <v>20</v>
      </c>
      <c r="AO94">
        <v>55</v>
      </c>
      <c r="AP94">
        <v>543</v>
      </c>
      <c r="AV94"/>
      <c r="BI94" s="14">
        <f>SUM(Portefeuille_MNT_PPS_Access28[[#This Row],[AC ANT]:[TR 2035]])</f>
        <v>618</v>
      </c>
    </row>
    <row r="95" spans="1:61" x14ac:dyDescent="0.3">
      <c r="A95" t="s">
        <v>286</v>
      </c>
      <c r="B95" t="s">
        <v>664</v>
      </c>
      <c r="D95" t="s">
        <v>101</v>
      </c>
      <c r="E95" t="s">
        <v>102</v>
      </c>
      <c r="F95" t="s">
        <v>128</v>
      </c>
      <c r="G95" t="s">
        <v>149</v>
      </c>
      <c r="H95" t="s">
        <v>16</v>
      </c>
      <c r="I95" t="s">
        <v>16</v>
      </c>
      <c r="J95" t="s">
        <v>131</v>
      </c>
      <c r="K95" s="2">
        <v>154200665</v>
      </c>
      <c r="L95" s="86" t="s">
        <v>151</v>
      </c>
      <c r="M95" t="s">
        <v>152</v>
      </c>
      <c r="N95">
        <f>_xlfn.XLOOKUP(Portefeuille_MNT_PPS_Access28[[#This Row],[Numéro projet]], Portefeuille_MNT_PPS_Access20[Numéro projet], Portefeuille_MNT_PPS_Access20[Année DÉBUT Travaux prévu], "")</f>
        <v>2026</v>
      </c>
      <c r="O95" t="s">
        <v>109</v>
      </c>
      <c r="P95">
        <f>Portefeuille_MNT_PPS_Access28[[#This Row],[Année DÉBUT Travaux proposé]]-Portefeuille_MNT_PPS_Access28[[#This Row],[Année DÉBUT Travaux Prog actuel]]</f>
        <v>0</v>
      </c>
      <c r="Q95" t="s">
        <v>123</v>
      </c>
      <c r="R95" s="1">
        <v>45079</v>
      </c>
      <c r="S95" s="1">
        <v>45685</v>
      </c>
      <c r="T95" s="1">
        <v>46142</v>
      </c>
      <c r="U9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9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9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1.Très à risque</v>
      </c>
      <c r="X9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19</v>
      </c>
      <c r="Y9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</v>
      </c>
      <c r="Z95">
        <f>Portefeuille_MNT_PPS_Access28[[#This Row],[Délais PC1 et PC3]]+Portefeuille_MNT_PPS_Access28[[#This Row],[Délais PC3 et PC5]]</f>
        <v>34</v>
      </c>
      <c r="AA95">
        <v>1</v>
      </c>
      <c r="AB95">
        <v>5</v>
      </c>
      <c r="AC95">
        <v>1</v>
      </c>
      <c r="AD95" t="s">
        <v>125</v>
      </c>
      <c r="AE95">
        <v>3.3333333333333335</v>
      </c>
      <c r="AF95" s="2">
        <f>_xlfn.XLOOKUP(Portefeuille_MNT_PPS_Access28[[#This Row],[Numéro projet]],Portefeuille_MNT_PPS_Access27[Numéro projet],Portefeuille_MNT_PPS_Access27[Critère Etat Infrastructure])</f>
        <v>4</v>
      </c>
      <c r="AG9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95" s="221"/>
      <c r="AI95">
        <v>12</v>
      </c>
      <c r="AK95">
        <v>163</v>
      </c>
      <c r="AL95"/>
      <c r="AM95">
        <v>100</v>
      </c>
      <c r="AO95">
        <v>300</v>
      </c>
      <c r="AP95">
        <v>4221</v>
      </c>
      <c r="AQ95">
        <v>42</v>
      </c>
      <c r="AR95">
        <v>4139</v>
      </c>
      <c r="AV95"/>
      <c r="BI95" s="14">
        <f>SUM(Portefeuille_MNT_PPS_Access28[[#This Row],[AC ANT]:[TR 2035]])</f>
        <v>8977</v>
      </c>
    </row>
    <row r="96" spans="1:61" x14ac:dyDescent="0.3">
      <c r="A96" t="s">
        <v>11</v>
      </c>
      <c r="D96" t="s">
        <v>118</v>
      </c>
      <c r="E96" t="s">
        <v>102</v>
      </c>
      <c r="F96" t="s">
        <v>103</v>
      </c>
      <c r="G96" t="s">
        <v>252</v>
      </c>
      <c r="H96" t="s">
        <v>20</v>
      </c>
      <c r="I96" t="s">
        <v>20</v>
      </c>
      <c r="J96" t="s">
        <v>131</v>
      </c>
      <c r="K96" s="2">
        <v>154250200</v>
      </c>
      <c r="L96" t="s">
        <v>607</v>
      </c>
      <c r="M96" t="s">
        <v>180</v>
      </c>
      <c r="N96" t="str">
        <f>_xlfn.XLOOKUP(Portefeuille_MNT_PPS_Access28[[#This Row],[Numéro projet]], Portefeuille_MNT_PPS_Access20[Numéro projet], Portefeuille_MNT_PPS_Access20[Année DÉBUT Travaux prévu], "")</f>
        <v/>
      </c>
      <c r="O96" t="s">
        <v>173</v>
      </c>
      <c r="P96" t="s">
        <v>295</v>
      </c>
      <c r="Q96" t="s">
        <v>291</v>
      </c>
      <c r="R96" s="1"/>
      <c r="S96" s="1"/>
      <c r="T96" s="1"/>
      <c r="U9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9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9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9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9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96">
        <f>Portefeuille_MNT_PPS_Access28[[#This Row],[Délais PC1 et PC3]]+Portefeuille_MNT_PPS_Access28[[#This Row],[Délais PC3 et PC5]]</f>
        <v>0</v>
      </c>
      <c r="AB96">
        <v>1</v>
      </c>
      <c r="AC96">
        <v>3</v>
      </c>
      <c r="AD96" t="s">
        <v>311</v>
      </c>
      <c r="AE96">
        <v>3</v>
      </c>
      <c r="AF96" s="2">
        <f>_xlfn.XLOOKUP(Portefeuille_MNT_PPS_Access28[[#This Row],[Numéro projet]],Portefeuille_MNT_PPS_Access27[Numéro projet],Portefeuille_MNT_PPS_Access27[Critère Etat Infrastructure])</f>
        <v>3</v>
      </c>
      <c r="AG9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49.999999999999993</v>
      </c>
      <c r="AH96" s="221"/>
      <c r="AL96"/>
      <c r="AR96">
        <v>300</v>
      </c>
      <c r="AV96"/>
      <c r="BI96" s="14">
        <f>SUM(Portefeuille_MNT_PPS_Access28[[#This Row],[AC ANT]:[TR 2035]])</f>
        <v>300</v>
      </c>
    </row>
    <row r="97" spans="1:61" x14ac:dyDescent="0.3">
      <c r="A97" t="s">
        <v>11</v>
      </c>
      <c r="D97" t="s">
        <v>118</v>
      </c>
      <c r="E97" t="s">
        <v>102</v>
      </c>
      <c r="F97" t="s">
        <v>103</v>
      </c>
      <c r="G97" t="s">
        <v>252</v>
      </c>
      <c r="H97" t="s">
        <v>20</v>
      </c>
      <c r="I97" t="s">
        <v>20</v>
      </c>
      <c r="J97" t="s">
        <v>131</v>
      </c>
      <c r="K97" s="2">
        <v>154250377</v>
      </c>
      <c r="L97" t="s">
        <v>648</v>
      </c>
      <c r="M97" t="s">
        <v>147</v>
      </c>
      <c r="N97" t="str">
        <f>_xlfn.XLOOKUP(Portefeuille_MNT_PPS_Access28[[#This Row],[Numéro projet]], Portefeuille_MNT_PPS_Access20[Numéro projet], Portefeuille_MNT_PPS_Access20[Année DÉBUT Travaux prévu], "")</f>
        <v/>
      </c>
      <c r="O97" t="s">
        <v>173</v>
      </c>
      <c r="P97" t="s">
        <v>295</v>
      </c>
      <c r="Q97" t="s">
        <v>291</v>
      </c>
      <c r="R97" s="1"/>
      <c r="S97" s="1"/>
      <c r="T97" s="1"/>
      <c r="U9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9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9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9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9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97">
        <f>Portefeuille_MNT_PPS_Access28[[#This Row],[Délais PC1 et PC3]]+Portefeuille_MNT_PPS_Access28[[#This Row],[Délais PC3 et PC5]]</f>
        <v>0</v>
      </c>
      <c r="AB97">
        <v>1</v>
      </c>
      <c r="AC97">
        <v>3</v>
      </c>
      <c r="AD97" t="s">
        <v>311</v>
      </c>
      <c r="AE97">
        <v>2.6666666666666665</v>
      </c>
      <c r="AF97" s="2">
        <f>_xlfn.XLOOKUP(Portefeuille_MNT_PPS_Access28[[#This Row],[Numéro projet]],Portefeuille_MNT_PPS_Access27[Numéro projet],Portefeuille_MNT_PPS_Access27[Critère Etat Infrastructure])</f>
        <v>4</v>
      </c>
      <c r="AG9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53.333333333333336</v>
      </c>
      <c r="AH97" s="221"/>
      <c r="AL97"/>
      <c r="AR97">
        <v>10</v>
      </c>
      <c r="AV97"/>
      <c r="BI97" s="14">
        <f>SUM(Portefeuille_MNT_PPS_Access28[[#This Row],[AC ANT]:[TR 2035]])</f>
        <v>10</v>
      </c>
    </row>
    <row r="98" spans="1:61" x14ac:dyDescent="0.3">
      <c r="A98" t="s">
        <v>11</v>
      </c>
      <c r="D98" t="s">
        <v>118</v>
      </c>
      <c r="E98" t="s">
        <v>102</v>
      </c>
      <c r="F98" t="s">
        <v>242</v>
      </c>
      <c r="G98" t="s">
        <v>252</v>
      </c>
      <c r="H98" t="s">
        <v>20</v>
      </c>
      <c r="I98" t="s">
        <v>20</v>
      </c>
      <c r="J98" t="s">
        <v>131</v>
      </c>
      <c r="K98" s="2">
        <v>154250378</v>
      </c>
      <c r="L98" t="s">
        <v>650</v>
      </c>
      <c r="M98" t="s">
        <v>414</v>
      </c>
      <c r="N98" t="str">
        <f>_xlfn.XLOOKUP(Portefeuille_MNT_PPS_Access28[[#This Row],[Numéro projet]], Portefeuille_MNT_PPS_Access20[Numéro projet], Portefeuille_MNT_PPS_Access20[Année DÉBUT Travaux prévu], "")</f>
        <v/>
      </c>
      <c r="O98" t="s">
        <v>173</v>
      </c>
      <c r="P98" t="s">
        <v>295</v>
      </c>
      <c r="Q98" t="s">
        <v>291</v>
      </c>
      <c r="R98" s="1"/>
      <c r="S98" s="1"/>
      <c r="T98" s="1"/>
      <c r="U9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9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9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9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9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98">
        <f>Portefeuille_MNT_PPS_Access28[[#This Row],[Délais PC1 et PC3]]+Portefeuille_MNT_PPS_Access28[[#This Row],[Délais PC3 et PC5]]</f>
        <v>0</v>
      </c>
      <c r="AB98">
        <v>1</v>
      </c>
      <c r="AC98">
        <v>3</v>
      </c>
      <c r="AD98" t="s">
        <v>311</v>
      </c>
      <c r="AE98">
        <v>1</v>
      </c>
      <c r="AF98" s="2">
        <f>_xlfn.XLOOKUP(Portefeuille_MNT_PPS_Access28[[#This Row],[Numéro projet]],Portefeuille_MNT_PPS_Access27[Numéro projet],Portefeuille_MNT_PPS_Access27[Critère Etat Infrastructure])</f>
        <v>3</v>
      </c>
      <c r="AG9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98" s="221"/>
      <c r="AL98"/>
      <c r="AR98">
        <v>100</v>
      </c>
      <c r="AV98"/>
      <c r="BI98" s="14">
        <f>SUM(Portefeuille_MNT_PPS_Access28[[#This Row],[AC ANT]:[TR 2035]])</f>
        <v>100</v>
      </c>
    </row>
    <row r="99" spans="1:61" x14ac:dyDescent="0.3">
      <c r="A99" t="s">
        <v>286</v>
      </c>
      <c r="B99" t="s">
        <v>662</v>
      </c>
      <c r="D99" t="s">
        <v>118</v>
      </c>
      <c r="E99" t="s">
        <v>102</v>
      </c>
      <c r="F99" t="s">
        <v>242</v>
      </c>
      <c r="G99" t="s">
        <v>113</v>
      </c>
      <c r="H99" t="s">
        <v>16</v>
      </c>
      <c r="I99" t="s">
        <v>20</v>
      </c>
      <c r="J99" t="s">
        <v>131</v>
      </c>
      <c r="K99" s="2">
        <v>154210524</v>
      </c>
      <c r="L99" t="s">
        <v>244</v>
      </c>
      <c r="M99" t="s">
        <v>245</v>
      </c>
      <c r="N99" s="103">
        <f>_xlfn.XLOOKUP(Portefeuille_MNT_PPS_Access28[[#This Row],[Numéro projet]], Portefeuille_MNT_PPS_Access20[Numéro projet], Portefeuille_MNT_PPS_Access20[Année DÉBUT Travaux prévu], "")</f>
        <v>2027</v>
      </c>
      <c r="O99" s="103" t="s">
        <v>197</v>
      </c>
      <c r="P99">
        <f>Portefeuille_MNT_PPS_Access28[[#This Row],[Année DÉBUT Travaux proposé]]-Portefeuille_MNT_PPS_Access28[[#This Row],[Année DÉBUT Travaux Prog actuel]]</f>
        <v>1</v>
      </c>
      <c r="Q99" t="s">
        <v>155</v>
      </c>
      <c r="R99" s="1">
        <v>45976</v>
      </c>
      <c r="S99" s="1">
        <v>46280</v>
      </c>
      <c r="T99" s="1">
        <v>46433</v>
      </c>
      <c r="U9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9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9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9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10</v>
      </c>
      <c r="Y9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5</v>
      </c>
      <c r="Z99">
        <f>Portefeuille_MNT_PPS_Access28[[#This Row],[Délais PC1 et PC3]]+Portefeuille_MNT_PPS_Access28[[#This Row],[Délais PC3 et PC5]]</f>
        <v>15</v>
      </c>
      <c r="AB99">
        <v>1</v>
      </c>
      <c r="AC99">
        <v>5</v>
      </c>
      <c r="AD99" t="s">
        <v>156</v>
      </c>
      <c r="AE99">
        <v>1.6666666666666667</v>
      </c>
      <c r="AF99" s="2">
        <f>_xlfn.XLOOKUP(Portefeuille_MNT_PPS_Access28[[#This Row],[Numéro projet]],Portefeuille_MNT_PPS_Access27[Numéro projet],Portefeuille_MNT_PPS_Access27[Critère Etat Infrastructure])</f>
        <v>4</v>
      </c>
      <c r="AG9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58.333333333333336</v>
      </c>
      <c r="AH99" s="221"/>
      <c r="AL99"/>
      <c r="AM99">
        <v>50</v>
      </c>
      <c r="AO99">
        <v>150</v>
      </c>
      <c r="AQ99">
        <v>150</v>
      </c>
      <c r="AT99">
        <v>2000</v>
      </c>
      <c r="AV99"/>
      <c r="BI99" s="14">
        <f>SUM(Portefeuille_MNT_PPS_Access28[[#This Row],[AC ANT]:[TR 2035]])</f>
        <v>2350</v>
      </c>
    </row>
    <row r="100" spans="1:61" x14ac:dyDescent="0.3">
      <c r="A100" t="s">
        <v>286</v>
      </c>
      <c r="B100" t="s">
        <v>663</v>
      </c>
      <c r="D100" t="s">
        <v>101</v>
      </c>
      <c r="E100" t="s">
        <v>102</v>
      </c>
      <c r="F100" t="s">
        <v>103</v>
      </c>
      <c r="G100" t="s">
        <v>140</v>
      </c>
      <c r="H100" t="s">
        <v>16</v>
      </c>
      <c r="I100" t="s">
        <v>20</v>
      </c>
      <c r="J100" t="s">
        <v>131</v>
      </c>
      <c r="K100" s="2">
        <v>154210528</v>
      </c>
      <c r="L100" t="s">
        <v>515</v>
      </c>
      <c r="M100" t="s">
        <v>180</v>
      </c>
      <c r="N100">
        <f>_xlfn.XLOOKUP(Portefeuille_MNT_PPS_Access28[[#This Row],[Numéro projet]], Portefeuille_MNT_PPS_Access20[Numéro projet], Portefeuille_MNT_PPS_Access20[Année DÉBUT Travaux prévu], "")</f>
        <v>2027</v>
      </c>
      <c r="O100" t="s">
        <v>173</v>
      </c>
      <c r="P100">
        <f>Portefeuille_MNT_PPS_Access28[[#This Row],[Année DÉBUT Travaux proposé]]-Portefeuille_MNT_PPS_Access28[[#This Row],[Année DÉBUT Travaux Prog actuel]]</f>
        <v>0</v>
      </c>
      <c r="Q100" t="s">
        <v>110</v>
      </c>
      <c r="R100" s="1">
        <v>45679</v>
      </c>
      <c r="S100" s="1">
        <v>46096</v>
      </c>
      <c r="T100" s="1">
        <v>46371</v>
      </c>
      <c r="U10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3.À risque</v>
      </c>
      <c r="V10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3.À risque</v>
      </c>
      <c r="W10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</v>
      </c>
      <c r="Y10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100">
        <f>Portefeuille_MNT_PPS_Access28[[#This Row],[Délais PC1 et PC3]]+Portefeuille_MNT_PPS_Access28[[#This Row],[Délais PC3 et PC5]]</f>
        <v>23</v>
      </c>
      <c r="AB100">
        <v>1</v>
      </c>
      <c r="AC100">
        <v>3</v>
      </c>
      <c r="AD100" t="s">
        <v>112</v>
      </c>
      <c r="AE100">
        <v>1.8333333333333335</v>
      </c>
      <c r="AF100" s="2">
        <f>_xlfn.XLOOKUP(Portefeuille_MNT_PPS_Access28[[#This Row],[Numéro projet]],Portefeuille_MNT_PPS_Access27[Numéro projet],Portefeuille_MNT_PPS_Access27[Critère Etat Infrastructure])</f>
        <v>5</v>
      </c>
      <c r="AG10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54.166666666666671</v>
      </c>
      <c r="AH100" s="221"/>
      <c r="AL100"/>
      <c r="AM100">
        <v>130</v>
      </c>
      <c r="AO100">
        <v>60</v>
      </c>
      <c r="AQ100">
        <v>283</v>
      </c>
      <c r="AR100">
        <v>1951</v>
      </c>
      <c r="AT100">
        <v>1951</v>
      </c>
      <c r="AV100"/>
      <c r="BI100" s="14">
        <f>SUM(Portefeuille_MNT_PPS_Access28[[#This Row],[AC ANT]:[TR 2035]])</f>
        <v>4375</v>
      </c>
    </row>
    <row r="101" spans="1:61" x14ac:dyDescent="0.3">
      <c r="A101" t="s">
        <v>286</v>
      </c>
      <c r="B101" t="s">
        <v>662</v>
      </c>
      <c r="D101" t="s">
        <v>118</v>
      </c>
      <c r="E101" t="s">
        <v>102</v>
      </c>
      <c r="F101" t="s">
        <v>136</v>
      </c>
      <c r="G101" t="s">
        <v>113</v>
      </c>
      <c r="H101" t="s">
        <v>16</v>
      </c>
      <c r="I101" t="s">
        <v>20</v>
      </c>
      <c r="J101" t="s">
        <v>105</v>
      </c>
      <c r="K101" s="2">
        <v>154230630</v>
      </c>
      <c r="L101" t="s">
        <v>249</v>
      </c>
      <c r="M101" t="s">
        <v>180</v>
      </c>
      <c r="N101">
        <f>_xlfn.XLOOKUP(Portefeuille_MNT_PPS_Access28[[#This Row],[Numéro projet]], Portefeuille_MNT_PPS_Access20[Numéro projet], Portefeuille_MNT_PPS_Access20[Année DÉBUT Travaux prévu], "")</f>
        <v>2027</v>
      </c>
      <c r="O101" t="s">
        <v>173</v>
      </c>
      <c r="P101">
        <f>Portefeuille_MNT_PPS_Access28[[#This Row],[Année DÉBUT Travaux proposé]]-Portefeuille_MNT_PPS_Access28[[#This Row],[Année DÉBUT Travaux Prog actuel]]</f>
        <v>0</v>
      </c>
      <c r="Q101" t="s">
        <v>110</v>
      </c>
      <c r="R101" s="1">
        <v>45476</v>
      </c>
      <c r="S101" s="1">
        <v>46006</v>
      </c>
      <c r="T101" s="1">
        <v>46006</v>
      </c>
      <c r="U10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0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0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17</v>
      </c>
      <c r="Y10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01">
        <f>Portefeuille_MNT_PPS_Access28[[#This Row],[Délais PC1 et PC3]]+Portefeuille_MNT_PPS_Access28[[#This Row],[Délais PC3 et PC5]]</f>
        <v>17</v>
      </c>
      <c r="AB101">
        <v>1</v>
      </c>
      <c r="AC101">
        <v>5</v>
      </c>
      <c r="AD101" t="s">
        <v>112</v>
      </c>
      <c r="AE101">
        <v>3.1666666666666665</v>
      </c>
      <c r="AF101" s="2">
        <f>_xlfn.XLOOKUP(Portefeuille_MNT_PPS_Access28[[#This Row],[Numéro projet]],Portefeuille_MNT_PPS_Access27[Numéro projet],Portefeuille_MNT_PPS_Access27[Critère Etat Infrastructure])</f>
        <v>5</v>
      </c>
      <c r="AG10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70.833333333333343</v>
      </c>
      <c r="AH101" s="221"/>
      <c r="AL101"/>
      <c r="AM101">
        <v>100</v>
      </c>
      <c r="AO101">
        <v>110</v>
      </c>
      <c r="AQ101">
        <v>110</v>
      </c>
      <c r="AR101">
        <v>3445</v>
      </c>
      <c r="AV101"/>
      <c r="BI101" s="14">
        <f>SUM(Portefeuille_MNT_PPS_Access28[[#This Row],[AC ANT]:[TR 2035]])</f>
        <v>3765</v>
      </c>
    </row>
    <row r="102" spans="1:61" x14ac:dyDescent="0.3">
      <c r="A102" t="s">
        <v>286</v>
      </c>
      <c r="B102" t="s">
        <v>662</v>
      </c>
      <c r="D102" t="s">
        <v>118</v>
      </c>
      <c r="E102" t="s">
        <v>102</v>
      </c>
      <c r="F102" t="s">
        <v>136</v>
      </c>
      <c r="G102" t="s">
        <v>104</v>
      </c>
      <c r="H102" t="s">
        <v>16</v>
      </c>
      <c r="I102" t="s">
        <v>20</v>
      </c>
      <c r="J102" t="s">
        <v>131</v>
      </c>
      <c r="K102" s="2">
        <v>154230792</v>
      </c>
      <c r="L102" t="s">
        <v>158</v>
      </c>
      <c r="M102" t="s">
        <v>159</v>
      </c>
      <c r="N102" s="103">
        <f>_xlfn.XLOOKUP(Portefeuille_MNT_PPS_Access28[[#This Row],[Numéro projet]], Portefeuille_MNT_PPS_Access20[Numéro projet], Portefeuille_MNT_PPS_Access20[Année DÉBUT Travaux prévu], "")</f>
        <v>2027</v>
      </c>
      <c r="O102" s="103">
        <v>2026</v>
      </c>
      <c r="P102">
        <f>Portefeuille_MNT_PPS_Access28[[#This Row],[Année DÉBUT Travaux proposé]]-Portefeuille_MNT_PPS_Access28[[#This Row],[Année DÉBUT Travaux Prog actuel]]</f>
        <v>-1</v>
      </c>
      <c r="Q102" t="s">
        <v>155</v>
      </c>
      <c r="R102" s="1">
        <v>45991</v>
      </c>
      <c r="S102" s="1"/>
      <c r="T102" s="1">
        <v>46249</v>
      </c>
      <c r="U10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10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1.Très à risque</v>
      </c>
      <c r="X10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-1510</v>
      </c>
      <c r="Y10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1519</v>
      </c>
      <c r="Z102">
        <f>Portefeuille_MNT_PPS_Access28[[#This Row],[Délais PC1 et PC3]]+Portefeuille_MNT_PPS_Access28[[#This Row],[Délais PC3 et PC5]]</f>
        <v>9</v>
      </c>
      <c r="AB102">
        <v>1</v>
      </c>
      <c r="AC102">
        <v>3</v>
      </c>
      <c r="AD102" t="s">
        <v>156</v>
      </c>
      <c r="AE102">
        <v>4.333333333333333</v>
      </c>
      <c r="AF102" s="2">
        <f>_xlfn.XLOOKUP(Portefeuille_MNT_PPS_Access28[[#This Row],[Numéro projet]],Portefeuille_MNT_PPS_Access27[Numéro projet],Portefeuille_MNT_PPS_Access27[Critère Etat Infrastructure])</f>
        <v>3</v>
      </c>
      <c r="AG10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56.666666666666664</v>
      </c>
      <c r="AH102" s="221"/>
      <c r="AL102"/>
      <c r="AM102">
        <v>75</v>
      </c>
      <c r="AO102">
        <v>150</v>
      </c>
      <c r="AP102">
        <v>650</v>
      </c>
      <c r="AV102"/>
      <c r="BI102" s="14">
        <f>SUM(Portefeuille_MNT_PPS_Access28[[#This Row],[AC ANT]:[TR 2035]])</f>
        <v>875</v>
      </c>
    </row>
    <row r="103" spans="1:61" x14ac:dyDescent="0.3">
      <c r="A103" t="s">
        <v>286</v>
      </c>
      <c r="B103" t="s">
        <v>662</v>
      </c>
      <c r="D103" t="s">
        <v>118</v>
      </c>
      <c r="E103" t="s">
        <v>102</v>
      </c>
      <c r="F103" t="s">
        <v>119</v>
      </c>
      <c r="G103" t="s">
        <v>113</v>
      </c>
      <c r="H103" t="s">
        <v>16</v>
      </c>
      <c r="I103" t="s">
        <v>16</v>
      </c>
      <c r="J103" t="s">
        <v>105</v>
      </c>
      <c r="K103" s="2">
        <v>154230987</v>
      </c>
      <c r="L103" t="s">
        <v>289</v>
      </c>
      <c r="M103" t="s">
        <v>122</v>
      </c>
      <c r="N103">
        <f>_xlfn.XLOOKUP(Portefeuille_MNT_PPS_Access28[[#This Row],[Numéro projet]], Portefeuille_MNT_PPS_Access20[Numéro projet], Portefeuille_MNT_PPS_Access20[Année DÉBUT Travaux prévu], "")</f>
        <v>2025</v>
      </c>
      <c r="O103" t="s">
        <v>148</v>
      </c>
      <c r="P103">
        <f>Portefeuille_MNT_PPS_Access28[[#This Row],[Année DÉBUT Travaux proposé]]-Portefeuille_MNT_PPS_Access28[[#This Row],[Année DÉBUT Travaux Prog actuel]]</f>
        <v>0</v>
      </c>
      <c r="Q103" t="s">
        <v>164</v>
      </c>
      <c r="R103" s="1"/>
      <c r="S103" s="1"/>
      <c r="T103" s="1">
        <v>45712</v>
      </c>
      <c r="U10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0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10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0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1501</v>
      </c>
      <c r="Z103">
        <f>Portefeuille_MNT_PPS_Access28[[#This Row],[Délais PC1 et PC3]]+Portefeuille_MNT_PPS_Access28[[#This Row],[Délais PC3 et PC5]]</f>
        <v>1501</v>
      </c>
      <c r="AA103">
        <v>1</v>
      </c>
      <c r="AB103">
        <v>5</v>
      </c>
      <c r="AD103" t="s">
        <v>165</v>
      </c>
      <c r="AE103">
        <v>4</v>
      </c>
      <c r="AF103" s="2">
        <f>_xlfn.XLOOKUP(Portefeuille_MNT_PPS_Access28[[#This Row],[Numéro projet]],Portefeuille_MNT_PPS_Access27[Numéro projet],Portefeuille_MNT_PPS_Access27[Critère Etat Infrastructure])</f>
        <v>5</v>
      </c>
      <c r="AG10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105</v>
      </c>
      <c r="AH103" s="221"/>
      <c r="AL103"/>
      <c r="AM103">
        <v>20</v>
      </c>
      <c r="AN103">
        <v>895</v>
      </c>
      <c r="AV103"/>
      <c r="BI103" s="14">
        <f>SUM(Portefeuille_MNT_PPS_Access28[[#This Row],[AC ANT]:[TR 2035]])</f>
        <v>915</v>
      </c>
    </row>
    <row r="104" spans="1:61" x14ac:dyDescent="0.3">
      <c r="A104" t="s">
        <v>286</v>
      </c>
      <c r="B104" t="s">
        <v>664</v>
      </c>
      <c r="D104" t="s">
        <v>101</v>
      </c>
      <c r="E104" t="s">
        <v>102</v>
      </c>
      <c r="F104" t="s">
        <v>128</v>
      </c>
      <c r="G104" t="s">
        <v>129</v>
      </c>
      <c r="H104" t="s">
        <v>16</v>
      </c>
      <c r="I104" t="s">
        <v>20</v>
      </c>
      <c r="J104" t="s">
        <v>131</v>
      </c>
      <c r="K104" s="2">
        <v>154240034</v>
      </c>
      <c r="L104" t="s">
        <v>251</v>
      </c>
      <c r="M104" t="s">
        <v>214</v>
      </c>
      <c r="N104">
        <f>_xlfn.XLOOKUP(Portefeuille_MNT_PPS_Access28[[#This Row],[Numéro projet]], Portefeuille_MNT_PPS_Access20[Numéro projet], Portefeuille_MNT_PPS_Access20[Année DÉBUT Travaux prévu], "")</f>
        <v>2028</v>
      </c>
      <c r="O104" t="s">
        <v>197</v>
      </c>
      <c r="P104">
        <f>Portefeuille_MNT_PPS_Access28[[#This Row],[Année DÉBUT Travaux proposé]]-Portefeuille_MNT_PPS_Access28[[#This Row],[Année DÉBUT Travaux Prog actuel]]</f>
        <v>0</v>
      </c>
      <c r="Q104" t="s">
        <v>110</v>
      </c>
      <c r="R104" s="1">
        <v>45490</v>
      </c>
      <c r="S104" s="1"/>
      <c r="T104" s="1">
        <v>46447</v>
      </c>
      <c r="U10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0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-1494</v>
      </c>
      <c r="Y10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1526</v>
      </c>
      <c r="Z104">
        <f>Portefeuille_MNT_PPS_Access28[[#This Row],[Délais PC1 et PC3]]+Portefeuille_MNT_PPS_Access28[[#This Row],[Délais PC3 et PC5]]</f>
        <v>32</v>
      </c>
      <c r="AB104">
        <v>1</v>
      </c>
      <c r="AC104">
        <v>5</v>
      </c>
      <c r="AD104" t="s">
        <v>112</v>
      </c>
      <c r="AE104">
        <v>3</v>
      </c>
      <c r="AF104" s="2">
        <f>_xlfn.XLOOKUP(Portefeuille_MNT_PPS_Access28[[#This Row],[Numéro projet]],Portefeuille_MNT_PPS_Access27[Numéro projet],Portefeuille_MNT_PPS_Access27[Critère Etat Infrastructure])</f>
        <v>4</v>
      </c>
      <c r="AG10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65</v>
      </c>
      <c r="AH104" s="221"/>
      <c r="AL104"/>
      <c r="AM104">
        <v>37</v>
      </c>
      <c r="AO104">
        <v>10</v>
      </c>
      <c r="AQ104">
        <v>12</v>
      </c>
      <c r="AS104">
        <v>30</v>
      </c>
      <c r="AT104">
        <v>194</v>
      </c>
      <c r="AV104"/>
      <c r="BI104" s="14">
        <f>SUM(Portefeuille_MNT_PPS_Access28[[#This Row],[AC ANT]:[TR 2035]])</f>
        <v>283</v>
      </c>
    </row>
    <row r="105" spans="1:61" x14ac:dyDescent="0.3">
      <c r="A105" t="s">
        <v>286</v>
      </c>
      <c r="B105" t="s">
        <v>295</v>
      </c>
      <c r="D105" t="s">
        <v>126</v>
      </c>
      <c r="E105" t="s">
        <v>127</v>
      </c>
      <c r="F105" t="s">
        <v>128</v>
      </c>
      <c r="G105" t="s">
        <v>252</v>
      </c>
      <c r="H105" t="s">
        <v>16</v>
      </c>
      <c r="I105" t="s">
        <v>16</v>
      </c>
      <c r="J105" t="s">
        <v>131</v>
      </c>
      <c r="K105" s="2">
        <v>154240039</v>
      </c>
      <c r="L105" t="s">
        <v>254</v>
      </c>
      <c r="M105" t="s">
        <v>147</v>
      </c>
      <c r="N105">
        <f>_xlfn.XLOOKUP(Portefeuille_MNT_PPS_Access28[[#This Row],[Numéro projet]], Portefeuille_MNT_PPS_Access20[Numéro projet], Portefeuille_MNT_PPS_Access20[Année DÉBUT Travaux prévu], "")</f>
        <v>2025</v>
      </c>
      <c r="O105" t="s">
        <v>148</v>
      </c>
      <c r="P105">
        <f>Portefeuille_MNT_PPS_Access28[[#This Row],[Année DÉBUT Travaux proposé]]-Portefeuille_MNT_PPS_Access28[[#This Row],[Année DÉBUT Travaux Prog actuel]]</f>
        <v>0</v>
      </c>
      <c r="Q105" t="s">
        <v>291</v>
      </c>
      <c r="R105" s="1"/>
      <c r="S105" s="1"/>
      <c r="T105" s="1"/>
      <c r="U10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0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0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0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05">
        <f>Portefeuille_MNT_PPS_Access28[[#This Row],[Délais PC1 et PC3]]+Portefeuille_MNT_PPS_Access28[[#This Row],[Délais PC3 et PC5]]</f>
        <v>0</v>
      </c>
      <c r="AA105">
        <v>1</v>
      </c>
      <c r="AB105">
        <v>1</v>
      </c>
      <c r="AD105" t="s">
        <v>311</v>
      </c>
      <c r="AE105">
        <v>2.6666666666666665</v>
      </c>
      <c r="AF105" s="2">
        <f>_xlfn.XLOOKUP(Portefeuille_MNT_PPS_Access28[[#This Row],[Numéro projet]],Portefeuille_MNT_PPS_Access27[Numéro projet],Portefeuille_MNT_PPS_Access27[Critère Etat Infrastructure])</f>
        <v>4</v>
      </c>
      <c r="AG10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38.333333333333336</v>
      </c>
      <c r="AH105" s="221"/>
      <c r="AL105"/>
      <c r="AM105">
        <v>10</v>
      </c>
      <c r="AN105">
        <v>39</v>
      </c>
      <c r="AV105"/>
      <c r="BI105" s="14">
        <f>SUM(Portefeuille_MNT_PPS_Access28[[#This Row],[AC ANT]:[TR 2035]])</f>
        <v>49</v>
      </c>
    </row>
    <row r="106" spans="1:61" x14ac:dyDescent="0.3">
      <c r="A106" t="s">
        <v>286</v>
      </c>
      <c r="B106" t="s">
        <v>662</v>
      </c>
      <c r="D106" t="s">
        <v>118</v>
      </c>
      <c r="E106" t="s">
        <v>102</v>
      </c>
      <c r="F106" t="s">
        <v>136</v>
      </c>
      <c r="G106" t="s">
        <v>252</v>
      </c>
      <c r="H106" t="s">
        <v>16</v>
      </c>
      <c r="I106" t="s">
        <v>16</v>
      </c>
      <c r="J106" t="s">
        <v>131</v>
      </c>
      <c r="K106" s="2">
        <v>154240497</v>
      </c>
      <c r="L106" t="s">
        <v>529</v>
      </c>
      <c r="M106" t="s">
        <v>209</v>
      </c>
      <c r="N106">
        <f>_xlfn.XLOOKUP(Portefeuille_MNT_PPS_Access28[[#This Row],[Numéro projet]], Portefeuille_MNT_PPS_Access20[Numéro projet], Portefeuille_MNT_PPS_Access20[Année DÉBUT Travaux prévu], "")</f>
        <v>2026</v>
      </c>
      <c r="O106" t="s">
        <v>109</v>
      </c>
      <c r="P106">
        <f>Portefeuille_MNT_PPS_Access28[[#This Row],[Année DÉBUT Travaux proposé]]-Portefeuille_MNT_PPS_Access28[[#This Row],[Année DÉBUT Travaux Prog actuel]]</f>
        <v>0</v>
      </c>
      <c r="Q106" t="s">
        <v>291</v>
      </c>
      <c r="R106" s="1"/>
      <c r="S106" s="1"/>
      <c r="T106" s="1">
        <v>46006</v>
      </c>
      <c r="U10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0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0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1511</v>
      </c>
      <c r="Z106">
        <f>Portefeuille_MNT_PPS_Access28[[#This Row],[Délais PC1 et PC3]]+Portefeuille_MNT_PPS_Access28[[#This Row],[Délais PC3 et PC5]]</f>
        <v>1511</v>
      </c>
      <c r="AA106">
        <v>1</v>
      </c>
      <c r="AB106">
        <v>1</v>
      </c>
      <c r="AC106">
        <v>5</v>
      </c>
      <c r="AD106" t="s">
        <v>311</v>
      </c>
      <c r="AE106">
        <v>3.3333333333333335</v>
      </c>
      <c r="AF106" s="2">
        <f>_xlfn.XLOOKUP(Portefeuille_MNT_PPS_Access28[[#This Row],[Numéro projet]],Portefeuille_MNT_PPS_Access27[Numéro projet],Portefeuille_MNT_PPS_Access27[Critère Etat Infrastructure])</f>
        <v>4</v>
      </c>
      <c r="AG10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106" s="221"/>
      <c r="AL106"/>
      <c r="AM106">
        <v>60</v>
      </c>
      <c r="AO106">
        <v>20</v>
      </c>
      <c r="AP106">
        <v>540</v>
      </c>
      <c r="AV106"/>
      <c r="BI106" s="14">
        <f>SUM(Portefeuille_MNT_PPS_Access28[[#This Row],[AC ANT]:[TR 2035]])</f>
        <v>620</v>
      </c>
    </row>
    <row r="107" spans="1:61" x14ac:dyDescent="0.3">
      <c r="A107" t="s">
        <v>286</v>
      </c>
      <c r="B107" t="s">
        <v>295</v>
      </c>
      <c r="D107" t="s">
        <v>126</v>
      </c>
      <c r="E107" t="s">
        <v>127</v>
      </c>
      <c r="F107" t="s">
        <v>128</v>
      </c>
      <c r="G107" t="s">
        <v>252</v>
      </c>
      <c r="H107" t="s">
        <v>16</v>
      </c>
      <c r="I107" t="s">
        <v>16</v>
      </c>
      <c r="J107" t="s">
        <v>131</v>
      </c>
      <c r="K107" s="2">
        <v>154240500</v>
      </c>
      <c r="L107" t="s">
        <v>260</v>
      </c>
      <c r="M107" t="s">
        <v>159</v>
      </c>
      <c r="N107">
        <f>_xlfn.XLOOKUP(Portefeuille_MNT_PPS_Access28[[#This Row],[Numéro projet]], Portefeuille_MNT_PPS_Access20[Numéro projet], Portefeuille_MNT_PPS_Access20[Année DÉBUT Travaux prévu], "")</f>
        <v>2025</v>
      </c>
      <c r="O107" t="s">
        <v>148</v>
      </c>
      <c r="P107">
        <f>Portefeuille_MNT_PPS_Access28[[#This Row],[Année DÉBUT Travaux proposé]]-Portefeuille_MNT_PPS_Access28[[#This Row],[Année DÉBUT Travaux Prog actuel]]</f>
        <v>0</v>
      </c>
      <c r="Q107" t="s">
        <v>291</v>
      </c>
      <c r="R107" s="1"/>
      <c r="S107" s="1"/>
      <c r="T107" s="1"/>
      <c r="U10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0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0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0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0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07">
        <f>Portefeuille_MNT_PPS_Access28[[#This Row],[Délais PC1 et PC3]]+Portefeuille_MNT_PPS_Access28[[#This Row],[Délais PC3 et PC5]]</f>
        <v>0</v>
      </c>
      <c r="AA107">
        <v>1</v>
      </c>
      <c r="AB107">
        <v>5</v>
      </c>
      <c r="AD107" t="s">
        <v>311</v>
      </c>
      <c r="AE107">
        <v>4.333333333333333</v>
      </c>
      <c r="AF107" s="2">
        <f>_xlfn.XLOOKUP(Portefeuille_MNT_PPS_Access28[[#This Row],[Numéro projet]],Portefeuille_MNT_PPS_Access27[Numéro projet],Portefeuille_MNT_PPS_Access27[Critère Etat Infrastructure])</f>
        <v>4</v>
      </c>
      <c r="AG10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66.666666666666657</v>
      </c>
      <c r="AH107" s="221"/>
      <c r="AL107"/>
      <c r="AM107">
        <v>15</v>
      </c>
      <c r="AN107">
        <v>85</v>
      </c>
      <c r="AV107"/>
      <c r="BI107" s="14">
        <f>SUM(Portefeuille_MNT_PPS_Access28[[#This Row],[AC ANT]:[TR 2035]])</f>
        <v>100</v>
      </c>
    </row>
    <row r="108" spans="1:61" x14ac:dyDescent="0.3">
      <c r="A108" t="s">
        <v>286</v>
      </c>
      <c r="B108" t="s">
        <v>662</v>
      </c>
      <c r="D108" t="s">
        <v>118</v>
      </c>
      <c r="E108" t="s">
        <v>102</v>
      </c>
      <c r="F108" t="s">
        <v>177</v>
      </c>
      <c r="G108" t="s">
        <v>113</v>
      </c>
      <c r="H108" t="s">
        <v>20</v>
      </c>
      <c r="I108" t="s">
        <v>20</v>
      </c>
      <c r="J108" t="s">
        <v>131</v>
      </c>
      <c r="K108" s="2">
        <v>154240709</v>
      </c>
      <c r="L108" t="s">
        <v>512</v>
      </c>
      <c r="M108" t="s">
        <v>187</v>
      </c>
      <c r="N108">
        <f>_xlfn.XLOOKUP(Portefeuille_MNT_PPS_Access28[[#This Row],[Numéro projet]], Portefeuille_MNT_PPS_Access20[Numéro projet], Portefeuille_MNT_PPS_Access20[Année DÉBUT Travaux prévu], "")</f>
        <v>2028</v>
      </c>
      <c r="O108">
        <v>2028</v>
      </c>
      <c r="P108">
        <f>Portefeuille_MNT_PPS_Access28[[#This Row],[Année DÉBUT Travaux proposé]]-Portefeuille_MNT_PPS_Access28[[#This Row],[Année DÉBUT Travaux Prog actuel]]</f>
        <v>0</v>
      </c>
      <c r="Q108" t="s">
        <v>155</v>
      </c>
      <c r="R108" s="1">
        <v>46006</v>
      </c>
      <c r="S108" s="1">
        <v>46341</v>
      </c>
      <c r="T108" s="1">
        <v>46706</v>
      </c>
      <c r="U10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0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0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10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08">
        <f>Portefeuille_MNT_PPS_Access28[[#This Row],[Délais PC1 et PC3]]+Portefeuille_MNT_PPS_Access28[[#This Row],[Délais PC3 et PC5]]</f>
        <v>23</v>
      </c>
      <c r="AB108">
        <v>1</v>
      </c>
      <c r="AC108">
        <v>5</v>
      </c>
      <c r="AD108" t="s">
        <v>156</v>
      </c>
      <c r="AE108">
        <v>3</v>
      </c>
      <c r="AF108" s="2">
        <f>_xlfn.XLOOKUP(Portefeuille_MNT_PPS_Access28[[#This Row],[Numéro projet]],Portefeuille_MNT_PPS_Access27[Numéro projet],Portefeuille_MNT_PPS_Access27[Critère Etat Infrastructure])</f>
        <v>5</v>
      </c>
      <c r="AG10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70</v>
      </c>
      <c r="AH108" s="221"/>
      <c r="AL108"/>
      <c r="AO108">
        <v>75</v>
      </c>
      <c r="AQ108">
        <v>75</v>
      </c>
      <c r="AS108">
        <v>150</v>
      </c>
      <c r="AT108">
        <v>1000</v>
      </c>
      <c r="BI108" s="14">
        <f>SUM(Portefeuille_MNT_PPS_Access28[[#This Row],[AC ANT]:[TR 2035]])</f>
        <v>1300</v>
      </c>
    </row>
    <row r="109" spans="1:61" x14ac:dyDescent="0.3">
      <c r="A109" t="s">
        <v>286</v>
      </c>
      <c r="B109" t="s">
        <v>664</v>
      </c>
      <c r="D109" t="s">
        <v>101</v>
      </c>
      <c r="E109" t="s">
        <v>102</v>
      </c>
      <c r="F109" t="s">
        <v>103</v>
      </c>
      <c r="G109" t="s">
        <v>129</v>
      </c>
      <c r="H109" t="s">
        <v>20</v>
      </c>
      <c r="I109" t="s">
        <v>20</v>
      </c>
      <c r="J109" t="s">
        <v>105</v>
      </c>
      <c r="K109" s="2">
        <v>154190687</v>
      </c>
      <c r="L109" t="s">
        <v>401</v>
      </c>
      <c r="M109" t="s">
        <v>402</v>
      </c>
      <c r="N109" s="103">
        <f>_xlfn.XLOOKUP(Portefeuille_MNT_PPS_Access28[[#This Row],[Numéro projet]], Portefeuille_MNT_PPS_Access20[Numéro projet], Portefeuille_MNT_PPS_Access20[Année DÉBUT Travaux prévu], "")</f>
        <v>2028</v>
      </c>
      <c r="O109" s="103">
        <v>2029</v>
      </c>
      <c r="P109">
        <f>Portefeuille_MNT_PPS_Access28[[#This Row],[Année DÉBUT Travaux proposé]]-Portefeuille_MNT_PPS_Access28[[#This Row],[Année DÉBUT Travaux Prog actuel]]</f>
        <v>1</v>
      </c>
      <c r="Q109" t="s">
        <v>155</v>
      </c>
      <c r="R109" s="1">
        <v>46002</v>
      </c>
      <c r="S109" s="1">
        <v>46461</v>
      </c>
      <c r="T109" s="1">
        <v>46794</v>
      </c>
      <c r="U10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0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0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0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15</v>
      </c>
      <c r="Y10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11</v>
      </c>
      <c r="Z109">
        <f>Portefeuille_MNT_PPS_Access28[[#This Row],[Délais PC1 et PC3]]+Portefeuille_MNT_PPS_Access28[[#This Row],[Délais PC3 et PC5]]</f>
        <v>26</v>
      </c>
      <c r="AB109">
        <v>1</v>
      </c>
      <c r="AC109">
        <v>5</v>
      </c>
      <c r="AD109" t="s">
        <v>156</v>
      </c>
      <c r="AE109">
        <v>2.6666666666666665</v>
      </c>
      <c r="AF109" s="2">
        <f>_xlfn.XLOOKUP(Portefeuille_MNT_PPS_Access28[[#This Row],[Numéro projet]],Portefeuille_MNT_PPS_Access27[Numéro projet],Portefeuille_MNT_PPS_Access27[Critère Etat Infrastructure])</f>
        <v>4</v>
      </c>
      <c r="AG10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63.333333333333343</v>
      </c>
      <c r="AH109" s="221"/>
      <c r="AL109"/>
      <c r="AQ109">
        <v>200</v>
      </c>
      <c r="AS109">
        <v>200</v>
      </c>
      <c r="AU109">
        <v>800</v>
      </c>
      <c r="AV109">
        <v>16000</v>
      </c>
      <c r="BI109" s="14">
        <f>SUM(Portefeuille_MNT_PPS_Access28[[#This Row],[AC ANT]:[TR 2035]])</f>
        <v>17200</v>
      </c>
    </row>
    <row r="110" spans="1:61" x14ac:dyDescent="0.3">
      <c r="A110" t="s">
        <v>286</v>
      </c>
      <c r="B110" t="s">
        <v>663</v>
      </c>
      <c r="D110" t="s">
        <v>101</v>
      </c>
      <c r="E110" t="s">
        <v>102</v>
      </c>
      <c r="F110" t="s">
        <v>136</v>
      </c>
      <c r="G110" t="s">
        <v>104</v>
      </c>
      <c r="H110" t="s">
        <v>130</v>
      </c>
      <c r="I110" t="s">
        <v>130</v>
      </c>
      <c r="J110" t="s">
        <v>105</v>
      </c>
      <c r="K110" s="2">
        <v>154200684</v>
      </c>
      <c r="L110" t="s">
        <v>514</v>
      </c>
      <c r="M110" t="s">
        <v>108</v>
      </c>
      <c r="N110">
        <f>_xlfn.XLOOKUP(Portefeuille_MNT_PPS_Access28[[#This Row],[Numéro projet]], Portefeuille_MNT_PPS_Access20[Numéro projet], Portefeuille_MNT_PPS_Access20[Année DÉBUT Travaux prévu], "")</f>
        <v>2028</v>
      </c>
      <c r="O110">
        <v>2028</v>
      </c>
      <c r="P110">
        <f>Portefeuille_MNT_PPS_Access28[[#This Row],[Année DÉBUT Travaux proposé]]-Portefeuille_MNT_PPS_Access28[[#This Row],[Année DÉBUT Travaux Prog actuel]]</f>
        <v>0</v>
      </c>
      <c r="Q110" t="s">
        <v>155</v>
      </c>
      <c r="R110" s="1">
        <v>46127</v>
      </c>
      <c r="S110" s="1">
        <v>46492</v>
      </c>
      <c r="T110" s="1">
        <v>46706</v>
      </c>
      <c r="U11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11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11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1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1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7</v>
      </c>
      <c r="Z110">
        <f>Portefeuille_MNT_PPS_Access28[[#This Row],[Délais PC1 et PC3]]+Portefeuille_MNT_PPS_Access28[[#This Row],[Délais PC3 et PC5]]</f>
        <v>19</v>
      </c>
      <c r="AB110">
        <v>1</v>
      </c>
      <c r="AC110">
        <v>1</v>
      </c>
      <c r="AD110" t="s">
        <v>156</v>
      </c>
      <c r="AE110">
        <v>4</v>
      </c>
      <c r="AF110" s="2">
        <f>_xlfn.XLOOKUP(Portefeuille_MNT_PPS_Access28[[#This Row],[Numéro projet]],Portefeuille_MNT_PPS_Access27[Numéro projet],Portefeuille_MNT_PPS_Access27[Critère Etat Infrastructure])</f>
        <v>5</v>
      </c>
      <c r="AG11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55.000000000000007</v>
      </c>
      <c r="AH110" s="221"/>
      <c r="AL110"/>
      <c r="AO110">
        <v>150</v>
      </c>
      <c r="AQ110">
        <v>150</v>
      </c>
      <c r="AS110">
        <v>550</v>
      </c>
      <c r="AT110">
        <v>4000</v>
      </c>
      <c r="AV110"/>
      <c r="BI110" s="14">
        <f>SUM(Portefeuille_MNT_PPS_Access28[[#This Row],[AC ANT]:[TR 2035]])</f>
        <v>4850</v>
      </c>
    </row>
    <row r="111" spans="1:61" x14ac:dyDescent="0.3">
      <c r="A111" t="s">
        <v>286</v>
      </c>
      <c r="B111" t="s">
        <v>663</v>
      </c>
      <c r="D111" t="s">
        <v>101</v>
      </c>
      <c r="E111" t="s">
        <v>102</v>
      </c>
      <c r="F111" t="s">
        <v>136</v>
      </c>
      <c r="G111" t="s">
        <v>206</v>
      </c>
      <c r="H111" t="s">
        <v>130</v>
      </c>
      <c r="I111" t="s">
        <v>20</v>
      </c>
      <c r="J111" t="s">
        <v>131</v>
      </c>
      <c r="K111" s="2">
        <v>154171404</v>
      </c>
      <c r="L111" t="s">
        <v>376</v>
      </c>
      <c r="M111" t="s">
        <v>209</v>
      </c>
      <c r="N111" s="103">
        <f>_xlfn.XLOOKUP(Portefeuille_MNT_PPS_Access28[[#This Row],[Numéro projet]], Portefeuille_MNT_PPS_Access20[Numéro projet], Portefeuille_MNT_PPS_Access20[Année DÉBUT Travaux prévu], "")</f>
        <v>2028</v>
      </c>
      <c r="O111" s="103" t="s">
        <v>169</v>
      </c>
      <c r="P111">
        <f>Portefeuille_MNT_PPS_Access28[[#This Row],[Année DÉBUT Travaux proposé]]-Portefeuille_MNT_PPS_Access28[[#This Row],[Année DÉBUT Travaux Prog actuel]]</f>
        <v>1</v>
      </c>
      <c r="Q111" t="s">
        <v>155</v>
      </c>
      <c r="R111" s="1">
        <v>46068</v>
      </c>
      <c r="S111" s="1">
        <v>46540</v>
      </c>
      <c r="T111" s="1">
        <v>46899</v>
      </c>
      <c r="U11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1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1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1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16</v>
      </c>
      <c r="Y11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11</v>
      </c>
      <c r="Z111">
        <f>Portefeuille_MNT_PPS_Access28[[#This Row],[Délais PC1 et PC3]]+Portefeuille_MNT_PPS_Access28[[#This Row],[Délais PC3 et PC5]]</f>
        <v>27</v>
      </c>
      <c r="AB111">
        <v>1</v>
      </c>
      <c r="AC111">
        <v>3</v>
      </c>
      <c r="AD111" t="s">
        <v>156</v>
      </c>
      <c r="AE111">
        <v>3.3333333333333335</v>
      </c>
      <c r="AF111" s="2">
        <f>_xlfn.XLOOKUP(Portefeuille_MNT_PPS_Access28[[#This Row],[Numéro projet]],Portefeuille_MNT_PPS_Access27[Numéro projet],Portefeuille_MNT_PPS_Access27[Critère Etat Infrastructure])</f>
        <v>4</v>
      </c>
      <c r="AG11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56.666666666666664</v>
      </c>
      <c r="AH111" s="221"/>
      <c r="AL111"/>
      <c r="AO111">
        <v>100</v>
      </c>
      <c r="AQ111">
        <v>250</v>
      </c>
      <c r="AS111">
        <v>350</v>
      </c>
      <c r="AU111">
        <v>500</v>
      </c>
      <c r="AV111">
        <v>5500</v>
      </c>
      <c r="AW111">
        <v>500</v>
      </c>
      <c r="AX111">
        <v>6000</v>
      </c>
      <c r="AY111">
        <v>500</v>
      </c>
      <c r="AZ111">
        <v>6000</v>
      </c>
      <c r="BI111" s="14">
        <f>SUM(Portefeuille_MNT_PPS_Access28[[#This Row],[AC ANT]:[TR 2035]])</f>
        <v>19700</v>
      </c>
    </row>
    <row r="112" spans="1:61" x14ac:dyDescent="0.3">
      <c r="A112" t="s">
        <v>286</v>
      </c>
      <c r="B112" t="s">
        <v>662</v>
      </c>
      <c r="D112" t="s">
        <v>118</v>
      </c>
      <c r="E112" t="s">
        <v>102</v>
      </c>
      <c r="F112" t="s">
        <v>103</v>
      </c>
      <c r="G112" t="s">
        <v>113</v>
      </c>
      <c r="H112" t="s">
        <v>20</v>
      </c>
      <c r="I112" t="s">
        <v>20</v>
      </c>
      <c r="J112" t="s">
        <v>131</v>
      </c>
      <c r="K112" s="2">
        <v>154180766</v>
      </c>
      <c r="L112" t="s">
        <v>378</v>
      </c>
      <c r="M112" t="s">
        <v>191</v>
      </c>
      <c r="N112" s="103">
        <f>_xlfn.XLOOKUP(Portefeuille_MNT_PPS_Access28[[#This Row],[Numéro projet]], Portefeuille_MNT_PPS_Access20[Numéro projet], Portefeuille_MNT_PPS_Access20[Année DÉBUT Travaux prévu], "")</f>
        <v>2028</v>
      </c>
      <c r="O112" s="103" t="s">
        <v>169</v>
      </c>
      <c r="P112">
        <f>Portefeuille_MNT_PPS_Access28[[#This Row],[Année DÉBUT Travaux proposé]]-Portefeuille_MNT_PPS_Access28[[#This Row],[Année DÉBUT Travaux Prog actuel]]</f>
        <v>1</v>
      </c>
      <c r="Q112" t="s">
        <v>155</v>
      </c>
      <c r="R112" s="1">
        <v>46068</v>
      </c>
      <c r="S112" s="1">
        <v>46461</v>
      </c>
      <c r="T112" s="1">
        <v>46888</v>
      </c>
      <c r="U11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1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1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1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13</v>
      </c>
      <c r="Y11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14</v>
      </c>
      <c r="Z112">
        <f>Portefeuille_MNT_PPS_Access28[[#This Row],[Délais PC1 et PC3]]+Portefeuille_MNT_PPS_Access28[[#This Row],[Délais PC3 et PC5]]</f>
        <v>27</v>
      </c>
      <c r="AB112">
        <v>1</v>
      </c>
      <c r="AC112">
        <v>3</v>
      </c>
      <c r="AD112" t="s">
        <v>156</v>
      </c>
      <c r="AE112">
        <v>1.6666666666666667</v>
      </c>
      <c r="AF112" s="2">
        <f>_xlfn.XLOOKUP(Portefeuille_MNT_PPS_Access28[[#This Row],[Numéro projet]],Portefeuille_MNT_PPS_Access27[Numéro projet],Portefeuille_MNT_PPS_Access27[Critère Etat Infrastructure])</f>
        <v>4</v>
      </c>
      <c r="AG11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48.333333333333336</v>
      </c>
      <c r="AH112" s="221"/>
      <c r="AL112"/>
      <c r="AQ112">
        <v>100</v>
      </c>
      <c r="AS112">
        <v>200</v>
      </c>
      <c r="AU112">
        <v>495</v>
      </c>
      <c r="AV112">
        <v>8000</v>
      </c>
      <c r="BI112" s="14">
        <f>SUM(Portefeuille_MNT_PPS_Access28[[#This Row],[AC ANT]:[TR 2035]])</f>
        <v>8795</v>
      </c>
    </row>
    <row r="113" spans="1:61" x14ac:dyDescent="0.3">
      <c r="A113" t="s">
        <v>286</v>
      </c>
      <c r="B113" t="s">
        <v>662</v>
      </c>
      <c r="D113" t="s">
        <v>118</v>
      </c>
      <c r="E113" t="s">
        <v>102</v>
      </c>
      <c r="F113" t="s">
        <v>103</v>
      </c>
      <c r="G113" t="s">
        <v>149</v>
      </c>
      <c r="H113" t="s">
        <v>20</v>
      </c>
      <c r="I113" t="s">
        <v>20</v>
      </c>
      <c r="J113" t="s">
        <v>131</v>
      </c>
      <c r="K113" s="2">
        <v>154220351</v>
      </c>
      <c r="L113" t="s">
        <v>397</v>
      </c>
      <c r="M113" t="s">
        <v>194</v>
      </c>
      <c r="N113" s="103">
        <f>_xlfn.XLOOKUP(Portefeuille_MNT_PPS_Access28[[#This Row],[Numéro projet]], Portefeuille_MNT_PPS_Access20[Numéro projet], Portefeuille_MNT_PPS_Access20[Année DÉBUT Travaux prévu], "")</f>
        <v>2028</v>
      </c>
      <c r="O113" s="103" t="s">
        <v>169</v>
      </c>
      <c r="P113">
        <f>Portefeuille_MNT_PPS_Access28[[#This Row],[Année DÉBUT Travaux proposé]]-Portefeuille_MNT_PPS_Access28[[#This Row],[Année DÉBUT Travaux Prog actuel]]</f>
        <v>1</v>
      </c>
      <c r="Q113" t="s">
        <v>155</v>
      </c>
      <c r="R113" s="1">
        <v>46280</v>
      </c>
      <c r="S113" s="1">
        <v>46645</v>
      </c>
      <c r="T113" s="1">
        <v>47011</v>
      </c>
      <c r="U11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1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1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1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1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13">
        <f>Portefeuille_MNT_PPS_Access28[[#This Row],[Délais PC1 et PC3]]+Portefeuille_MNT_PPS_Access28[[#This Row],[Délais PC3 et PC5]]</f>
        <v>24</v>
      </c>
      <c r="AB113">
        <v>1</v>
      </c>
      <c r="AC113">
        <v>1</v>
      </c>
      <c r="AD113" t="s">
        <v>156</v>
      </c>
      <c r="AE113">
        <v>3.3333333333333335</v>
      </c>
      <c r="AF113" s="2">
        <f>_xlfn.XLOOKUP(Portefeuille_MNT_PPS_Access28[[#This Row],[Numéro projet]],Portefeuille_MNT_PPS_Access27[Numéro projet],Portefeuille_MNT_PPS_Access27[Critère Etat Infrastructure])</f>
        <v>4</v>
      </c>
      <c r="AG11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46.666666666666664</v>
      </c>
      <c r="AH113" s="221"/>
      <c r="AL113"/>
      <c r="AO113">
        <v>75</v>
      </c>
      <c r="AQ113">
        <v>75</v>
      </c>
      <c r="AS113">
        <v>250</v>
      </c>
      <c r="AU113">
        <v>600</v>
      </c>
      <c r="AV113">
        <v>10500</v>
      </c>
      <c r="BI113" s="14">
        <f>SUM(Portefeuille_MNT_PPS_Access28[[#This Row],[AC ANT]:[TR 2035]])</f>
        <v>11500</v>
      </c>
    </row>
    <row r="114" spans="1:61" x14ac:dyDescent="0.3">
      <c r="A114" t="s">
        <v>286</v>
      </c>
      <c r="B114" t="s">
        <v>662</v>
      </c>
      <c r="D114" t="s">
        <v>118</v>
      </c>
      <c r="E114" t="s">
        <v>102</v>
      </c>
      <c r="F114" t="s">
        <v>177</v>
      </c>
      <c r="G114" t="s">
        <v>129</v>
      </c>
      <c r="H114" t="s">
        <v>16</v>
      </c>
      <c r="I114" t="s">
        <v>16</v>
      </c>
      <c r="J114" t="s">
        <v>131</v>
      </c>
      <c r="K114" s="2">
        <v>154240647</v>
      </c>
      <c r="L114" t="s">
        <v>294</v>
      </c>
      <c r="M114" t="s">
        <v>134</v>
      </c>
      <c r="N114">
        <f>_xlfn.XLOOKUP(Portefeuille_MNT_PPS_Access28[[#This Row],[Numéro projet]], Portefeuille_MNT_PPS_Access20[Numéro projet], Portefeuille_MNT_PPS_Access20[Année DÉBUT Travaux prévu], "")</f>
        <v>2025</v>
      </c>
      <c r="O114" t="s">
        <v>148</v>
      </c>
      <c r="P114">
        <f>Portefeuille_MNT_PPS_Access28[[#This Row],[Année DÉBUT Travaux proposé]]-Portefeuille_MNT_PPS_Access28[[#This Row],[Année DÉBUT Travaux Prog actuel]]</f>
        <v>0</v>
      </c>
      <c r="Q114" t="s">
        <v>164</v>
      </c>
      <c r="R114" s="1">
        <v>45702</v>
      </c>
      <c r="S114" s="1">
        <v>45702</v>
      </c>
      <c r="T114" s="1">
        <v>45702</v>
      </c>
      <c r="U11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11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1.Très à risque</v>
      </c>
      <c r="W11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11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1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14">
        <f>Portefeuille_MNT_PPS_Access28[[#This Row],[Délais PC1 et PC3]]+Portefeuille_MNT_PPS_Access28[[#This Row],[Délais PC3 et PC5]]</f>
        <v>0</v>
      </c>
      <c r="AA114">
        <v>1</v>
      </c>
      <c r="AB114">
        <v>1</v>
      </c>
      <c r="AD114" t="s">
        <v>165</v>
      </c>
      <c r="AE114">
        <v>2.3333333333333335</v>
      </c>
      <c r="AF114" s="2" t="e">
        <f>_xlfn.XLOOKUP(Portefeuille_MNT_PPS_Access28[[#This Row],[Numéro projet]],Portefeuille_MNT_PPS_Access27[Numéro projet],Portefeuille_MNT_PPS_Access27[Critère Etat Infrastructure])</f>
        <v>#N/A</v>
      </c>
      <c r="AG114" s="12" t="e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#N/A</v>
      </c>
      <c r="AH114" s="221"/>
      <c r="AL114"/>
      <c r="AM114">
        <v>50</v>
      </c>
      <c r="AN114">
        <v>2894</v>
      </c>
      <c r="AV114"/>
      <c r="BI114" s="14">
        <f>SUM(Portefeuille_MNT_PPS_Access28[[#This Row],[AC ANT]:[TR 2035]])</f>
        <v>2944</v>
      </c>
    </row>
    <row r="115" spans="1:61" x14ac:dyDescent="0.3">
      <c r="A115" t="s">
        <v>286</v>
      </c>
      <c r="B115" t="s">
        <v>662</v>
      </c>
      <c r="D115" t="s">
        <v>118</v>
      </c>
      <c r="E115" t="s">
        <v>102</v>
      </c>
      <c r="F115" t="s">
        <v>242</v>
      </c>
      <c r="G115" t="s">
        <v>129</v>
      </c>
      <c r="H115" t="s">
        <v>20</v>
      </c>
      <c r="I115" t="s">
        <v>20</v>
      </c>
      <c r="J115" t="s">
        <v>131</v>
      </c>
      <c r="K115" s="2">
        <v>154210545</v>
      </c>
      <c r="L115" s="86" t="s">
        <v>410</v>
      </c>
      <c r="M115" t="s">
        <v>411</v>
      </c>
      <c r="N115">
        <f>_xlfn.XLOOKUP(Portefeuille_MNT_PPS_Access28[[#This Row],[Numéro projet]], Portefeuille_MNT_PPS_Access20[Numéro projet], Portefeuille_MNT_PPS_Access20[Année DÉBUT Travaux prévu], "")</f>
        <v>2029</v>
      </c>
      <c r="O115" t="s">
        <v>169</v>
      </c>
      <c r="P115">
        <f>Portefeuille_MNT_PPS_Access28[[#This Row],[Année DÉBUT Travaux proposé]]-Portefeuille_MNT_PPS_Access28[[#This Row],[Année DÉBUT Travaux Prog actuel]]</f>
        <v>0</v>
      </c>
      <c r="Q115" t="s">
        <v>155</v>
      </c>
      <c r="R115" s="1">
        <v>46143</v>
      </c>
      <c r="S115" s="1">
        <v>46508</v>
      </c>
      <c r="T115" s="1">
        <v>46874</v>
      </c>
      <c r="U11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1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1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1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1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15">
        <f>Portefeuille_MNT_PPS_Access28[[#This Row],[Délais PC1 et PC3]]+Portefeuille_MNT_PPS_Access28[[#This Row],[Délais PC3 et PC5]]</f>
        <v>24</v>
      </c>
      <c r="AB115">
        <v>1</v>
      </c>
      <c r="AD115" t="s">
        <v>156</v>
      </c>
      <c r="AE115">
        <v>1.3333333333333333</v>
      </c>
      <c r="AF115" s="2">
        <f>_xlfn.XLOOKUP(Portefeuille_MNT_PPS_Access28[[#This Row],[Numéro projet]],Portefeuille_MNT_PPS_Access27[Numéro projet],Portefeuille_MNT_PPS_Access27[Critère Etat Infrastructure])</f>
        <v>4</v>
      </c>
      <c r="AG11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15" s="221"/>
      <c r="AL115"/>
      <c r="AQ115">
        <v>150</v>
      </c>
      <c r="AS115">
        <v>150</v>
      </c>
      <c r="AU115">
        <v>250</v>
      </c>
      <c r="AV115">
        <v>2000</v>
      </c>
      <c r="BI115" s="14">
        <f>SUM(Portefeuille_MNT_PPS_Access28[[#This Row],[AC ANT]:[TR 2035]])</f>
        <v>2550</v>
      </c>
    </row>
    <row r="116" spans="1:61" x14ac:dyDescent="0.3">
      <c r="A116" t="s">
        <v>286</v>
      </c>
      <c r="B116" t="s">
        <v>664</v>
      </c>
      <c r="D116" t="s">
        <v>101</v>
      </c>
      <c r="E116" t="s">
        <v>102</v>
      </c>
      <c r="F116" t="s">
        <v>200</v>
      </c>
      <c r="G116" t="s">
        <v>113</v>
      </c>
      <c r="H116" t="s">
        <v>20</v>
      </c>
      <c r="I116" t="s">
        <v>20</v>
      </c>
      <c r="J116" t="s">
        <v>131</v>
      </c>
      <c r="K116" s="2">
        <v>154230556</v>
      </c>
      <c r="L116" t="s">
        <v>437</v>
      </c>
      <c r="M116" t="s">
        <v>139</v>
      </c>
      <c r="N116">
        <f>_xlfn.XLOOKUP(Portefeuille_MNT_PPS_Access28[[#This Row],[Numéro projet]], Portefeuille_MNT_PPS_Access20[Numéro projet], Portefeuille_MNT_PPS_Access20[Année DÉBUT Travaux prévu], "")</f>
        <v>2029</v>
      </c>
      <c r="O116" t="s">
        <v>169</v>
      </c>
      <c r="P116">
        <f>Portefeuille_MNT_PPS_Access28[[#This Row],[Année DÉBUT Travaux proposé]]-Portefeuille_MNT_PPS_Access28[[#This Row],[Année DÉBUT Travaux Prog actuel]]</f>
        <v>0</v>
      </c>
      <c r="Q116" t="s">
        <v>291</v>
      </c>
      <c r="R116" s="1"/>
      <c r="S116" s="1"/>
      <c r="T116" s="1"/>
      <c r="U11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1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1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1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1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16">
        <f>Portefeuille_MNT_PPS_Access28[[#This Row],[Délais PC1 et PC3]]+Portefeuille_MNT_PPS_Access28[[#This Row],[Délais PC3 et PC5]]</f>
        <v>0</v>
      </c>
      <c r="AB116">
        <v>1</v>
      </c>
      <c r="AD116" t="s">
        <v>311</v>
      </c>
      <c r="AE116">
        <v>2</v>
      </c>
      <c r="AF116" s="2">
        <f>_xlfn.XLOOKUP(Portefeuille_MNT_PPS_Access28[[#This Row],[Numéro projet]],Portefeuille_MNT_PPS_Access27[Numéro projet],Portefeuille_MNT_PPS_Access27[Critère Etat Infrastructure])</f>
        <v>5</v>
      </c>
      <c r="AG11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16" s="221"/>
      <c r="AL116"/>
      <c r="AO116">
        <v>50</v>
      </c>
      <c r="AQ116">
        <v>50</v>
      </c>
      <c r="AS116">
        <v>150</v>
      </c>
      <c r="AU116">
        <v>300</v>
      </c>
      <c r="AV116">
        <v>3000</v>
      </c>
      <c r="BI116" s="14">
        <f>SUM(Portefeuille_MNT_PPS_Access28[[#This Row],[AC ANT]:[TR 2035]])</f>
        <v>3550</v>
      </c>
    </row>
    <row r="117" spans="1:61" x14ac:dyDescent="0.3">
      <c r="A117" t="s">
        <v>286</v>
      </c>
      <c r="B117" t="s">
        <v>662</v>
      </c>
      <c r="D117" t="s">
        <v>118</v>
      </c>
      <c r="E117" t="s">
        <v>102</v>
      </c>
      <c r="F117" t="s">
        <v>177</v>
      </c>
      <c r="H117" t="s">
        <v>20</v>
      </c>
      <c r="I117" t="s">
        <v>20</v>
      </c>
      <c r="J117" t="s">
        <v>131</v>
      </c>
      <c r="K117" s="2">
        <v>154230555</v>
      </c>
      <c r="L117" t="s">
        <v>639</v>
      </c>
      <c r="M117" t="s">
        <v>147</v>
      </c>
      <c r="N117">
        <f>_xlfn.XLOOKUP(Portefeuille_MNT_PPS_Access28[[#This Row],[Numéro projet]], Portefeuille_MNT_PPS_Access20[Numéro projet], Portefeuille_MNT_PPS_Access20[Année DÉBUT Travaux prévu], "")</f>
        <v>2029</v>
      </c>
      <c r="O117" t="s">
        <v>169</v>
      </c>
      <c r="P117">
        <f>Portefeuille_MNT_PPS_Access28[[#This Row],[Année DÉBUT Travaux proposé]]-Portefeuille_MNT_PPS_Access28[[#This Row],[Année DÉBUT Travaux Prog actuel]]</f>
        <v>0</v>
      </c>
      <c r="Q117" t="s">
        <v>291</v>
      </c>
      <c r="R117" s="1"/>
      <c r="S117" s="1"/>
      <c r="T117" s="1"/>
      <c r="U11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1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1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1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1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17">
        <f>Portefeuille_MNT_PPS_Access28[[#This Row],[Délais PC1 et PC3]]+Portefeuille_MNT_PPS_Access28[[#This Row],[Délais PC3 et PC5]]</f>
        <v>0</v>
      </c>
      <c r="AB117">
        <v>1</v>
      </c>
      <c r="AD117" t="s">
        <v>311</v>
      </c>
      <c r="AE117">
        <v>2.6666666666666665</v>
      </c>
      <c r="AF117" s="2">
        <f>_xlfn.XLOOKUP(Portefeuille_MNT_PPS_Access28[[#This Row],[Numéro projet]],Portefeuille_MNT_PPS_Access27[Numéro projet],Portefeuille_MNT_PPS_Access27[Critère Etat Infrastructure])</f>
        <v>3</v>
      </c>
      <c r="AG11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33.333333333333329</v>
      </c>
      <c r="AH117" s="221"/>
      <c r="AL117"/>
      <c r="AS117">
        <v>50</v>
      </c>
      <c r="AU117">
        <v>100</v>
      </c>
      <c r="AV117">
        <v>1000</v>
      </c>
      <c r="BI117" s="14">
        <f>SUM(Portefeuille_MNT_PPS_Access28[[#This Row],[AC ANT]:[TR 2035]])</f>
        <v>1150</v>
      </c>
    </row>
    <row r="118" spans="1:61" x14ac:dyDescent="0.3">
      <c r="A118" t="s">
        <v>286</v>
      </c>
      <c r="B118" t="s">
        <v>664</v>
      </c>
      <c r="D118" t="s">
        <v>101</v>
      </c>
      <c r="E118" t="s">
        <v>102</v>
      </c>
      <c r="F118" t="s">
        <v>103</v>
      </c>
      <c r="H118" t="s">
        <v>20</v>
      </c>
      <c r="I118" t="s">
        <v>20</v>
      </c>
      <c r="J118" t="s">
        <v>105</v>
      </c>
      <c r="K118" s="2">
        <v>154240284</v>
      </c>
      <c r="L118" t="s">
        <v>666</v>
      </c>
      <c r="M118" t="s">
        <v>302</v>
      </c>
      <c r="N118" s="103">
        <f>_xlfn.XLOOKUP(Portefeuille_MNT_PPS_Access28[[#This Row],[Numéro projet]], Portefeuille_MNT_PPS_Access20[Numéro projet], Portefeuille_MNT_PPS_Access20[Année DÉBUT Travaux prévu], "")</f>
        <v>2032</v>
      </c>
      <c r="O118" s="103" t="s">
        <v>169</v>
      </c>
      <c r="P118">
        <f>Portefeuille_MNT_PPS_Access28[[#This Row],[Année DÉBUT Travaux proposé]]-Portefeuille_MNT_PPS_Access28[[#This Row],[Année DÉBUT Travaux Prog actuel]]</f>
        <v>-3</v>
      </c>
      <c r="Q118" t="s">
        <v>291</v>
      </c>
      <c r="R118" s="1"/>
      <c r="S118" s="1"/>
      <c r="T118" s="1"/>
      <c r="U11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1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1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1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1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18">
        <f>Portefeuille_MNT_PPS_Access28[[#This Row],[Délais PC1 et PC3]]+Portefeuille_MNT_PPS_Access28[[#This Row],[Délais PC3 et PC5]]</f>
        <v>0</v>
      </c>
      <c r="AB118">
        <v>1</v>
      </c>
      <c r="AD118" t="s">
        <v>311</v>
      </c>
      <c r="AE118">
        <v>4</v>
      </c>
      <c r="AF118" s="2">
        <f>_xlfn.XLOOKUP(Portefeuille_MNT_PPS_Access28[[#This Row],[Numéro projet]],Portefeuille_MNT_PPS_Access27[Numéro projet],Portefeuille_MNT_PPS_Access27[Critère Etat Infrastructure])</f>
        <v>5</v>
      </c>
      <c r="AG11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50</v>
      </c>
      <c r="AH118" s="221"/>
      <c r="AL118"/>
      <c r="AQ118">
        <v>150</v>
      </c>
      <c r="AS118">
        <v>150</v>
      </c>
      <c r="AU118">
        <v>600</v>
      </c>
      <c r="AV118">
        <v>12000</v>
      </c>
      <c r="BI118" s="14">
        <f>SUM(Portefeuille_MNT_PPS_Access28[[#This Row],[AC ANT]:[TR 2035]])</f>
        <v>12900</v>
      </c>
    </row>
    <row r="119" spans="1:61" x14ac:dyDescent="0.3">
      <c r="A119" t="s">
        <v>286</v>
      </c>
      <c r="B119" t="s">
        <v>664</v>
      </c>
      <c r="D119" t="s">
        <v>101</v>
      </c>
      <c r="E119" t="s">
        <v>102</v>
      </c>
      <c r="F119" t="s">
        <v>103</v>
      </c>
      <c r="G119" t="s">
        <v>129</v>
      </c>
      <c r="H119" t="s">
        <v>20</v>
      </c>
      <c r="I119" t="s">
        <v>20</v>
      </c>
      <c r="J119" t="s">
        <v>131</v>
      </c>
      <c r="K119" s="2">
        <v>154250401</v>
      </c>
      <c r="L119" t="s">
        <v>654</v>
      </c>
      <c r="M119" t="s">
        <v>134</v>
      </c>
      <c r="N119" t="str">
        <f>_xlfn.XLOOKUP(Portefeuille_MNT_PPS_Access28[[#This Row],[Numéro projet]], Portefeuille_MNT_PPS_Access20[Numéro projet], Portefeuille_MNT_PPS_Access20[Année DÉBUT Travaux prévu], "")</f>
        <v/>
      </c>
      <c r="O119" t="s">
        <v>169</v>
      </c>
      <c r="P119" t="s">
        <v>295</v>
      </c>
      <c r="Q119" t="s">
        <v>291</v>
      </c>
      <c r="R119" s="1"/>
      <c r="S119" s="1"/>
      <c r="T119" s="1"/>
      <c r="U11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1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1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1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1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19">
        <f>Portefeuille_MNT_PPS_Access28[[#This Row],[Délais PC1 et PC3]]+Portefeuille_MNT_PPS_Access28[[#This Row],[Délais PC3 et PC5]]</f>
        <v>0</v>
      </c>
      <c r="AB119">
        <v>1</v>
      </c>
      <c r="AD119" t="s">
        <v>311</v>
      </c>
      <c r="AE119">
        <v>1.3333333333333333</v>
      </c>
      <c r="AF119" s="2">
        <f>_xlfn.XLOOKUP(Portefeuille_MNT_PPS_Access28[[#This Row],[Numéro projet]],Portefeuille_MNT_PPS_Access27[Numéro projet],Portefeuille_MNT_PPS_Access27[Critère Etat Infrastructure])</f>
        <v>5</v>
      </c>
      <c r="AG11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19" s="221"/>
      <c r="AL119"/>
      <c r="AQ119">
        <v>125</v>
      </c>
      <c r="AS119">
        <v>125</v>
      </c>
      <c r="AU119">
        <v>250</v>
      </c>
      <c r="AV119">
        <v>1000</v>
      </c>
      <c r="BI119" s="14">
        <f>SUM(Portefeuille_MNT_PPS_Access28[[#This Row],[AC ANT]:[TR 2035]])</f>
        <v>1500</v>
      </c>
    </row>
    <row r="120" spans="1:61" x14ac:dyDescent="0.3">
      <c r="A120" t="s">
        <v>286</v>
      </c>
      <c r="B120" t="s">
        <v>662</v>
      </c>
      <c r="D120" t="s">
        <v>118</v>
      </c>
      <c r="E120" t="s">
        <v>102</v>
      </c>
      <c r="F120" t="s">
        <v>103</v>
      </c>
      <c r="G120" t="s">
        <v>113</v>
      </c>
      <c r="H120" t="s">
        <v>20</v>
      </c>
      <c r="I120" t="s">
        <v>20</v>
      </c>
      <c r="J120" t="s">
        <v>105</v>
      </c>
      <c r="K120" s="2">
        <v>154220487</v>
      </c>
      <c r="L120" t="s">
        <v>527</v>
      </c>
      <c r="M120" t="s">
        <v>122</v>
      </c>
      <c r="N120">
        <f>_xlfn.XLOOKUP(Portefeuille_MNT_PPS_Access28[[#This Row],[Numéro projet]], Portefeuille_MNT_PPS_Access20[Numéro projet], Portefeuille_MNT_PPS_Access20[Année DÉBUT Travaux prévu], "")</f>
        <v>2029</v>
      </c>
      <c r="O120">
        <v>2029</v>
      </c>
      <c r="P120">
        <f>Portefeuille_MNT_PPS_Access28[[#This Row],[Année DÉBUT Travaux proposé]]-Portefeuille_MNT_PPS_Access28[[#This Row],[Année DÉBUT Travaux Prog actuel]]</f>
        <v>0</v>
      </c>
      <c r="Q120" t="s">
        <v>155</v>
      </c>
      <c r="R120" s="1">
        <v>46249</v>
      </c>
      <c r="S120" s="1">
        <v>46675</v>
      </c>
      <c r="T120" s="1">
        <v>47041</v>
      </c>
      <c r="U12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14</v>
      </c>
      <c r="Y12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20">
        <f>Portefeuille_MNT_PPS_Access28[[#This Row],[Délais PC1 et PC3]]+Portefeuille_MNT_PPS_Access28[[#This Row],[Délais PC3 et PC5]]</f>
        <v>26</v>
      </c>
      <c r="AB120">
        <v>1</v>
      </c>
      <c r="AD120" t="s">
        <v>156</v>
      </c>
      <c r="AE120">
        <v>4</v>
      </c>
      <c r="AF120" s="2">
        <f>_xlfn.XLOOKUP(Portefeuille_MNT_PPS_Access28[[#This Row],[Numéro projet]],Portefeuille_MNT_PPS_Access27[Numéro projet],Portefeuille_MNT_PPS_Access27[Critère Etat Infrastructure])</f>
        <v>3</v>
      </c>
      <c r="AG12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20" s="221"/>
      <c r="AL120"/>
      <c r="AQ120">
        <v>100</v>
      </c>
      <c r="AS120">
        <v>150</v>
      </c>
      <c r="AU120">
        <v>500</v>
      </c>
      <c r="AV120">
        <v>7000</v>
      </c>
      <c r="BI120" s="14">
        <f>SUM(Portefeuille_MNT_PPS_Access28[[#This Row],[AC ANT]:[TR 2035]])</f>
        <v>7750</v>
      </c>
    </row>
    <row r="121" spans="1:61" x14ac:dyDescent="0.3">
      <c r="A121" t="s">
        <v>286</v>
      </c>
      <c r="B121" t="s">
        <v>664</v>
      </c>
      <c r="D121" t="s">
        <v>101</v>
      </c>
      <c r="E121" t="s">
        <v>102</v>
      </c>
      <c r="F121" t="s">
        <v>136</v>
      </c>
      <c r="G121" t="s">
        <v>104</v>
      </c>
      <c r="H121" t="s">
        <v>130</v>
      </c>
      <c r="I121" t="s">
        <v>20</v>
      </c>
      <c r="J121" t="s">
        <v>131</v>
      </c>
      <c r="K121" s="2">
        <v>154190597</v>
      </c>
      <c r="L121" s="86" t="s">
        <v>374</v>
      </c>
      <c r="M121" t="s">
        <v>159</v>
      </c>
      <c r="N121" s="103">
        <f>_xlfn.XLOOKUP(Portefeuille_MNT_PPS_Access28[[#This Row],[Numéro projet]], Portefeuille_MNT_PPS_Access20[Numéro projet], Portefeuille_MNT_PPS_Access20[Année DÉBUT Travaux prévu], "")</f>
        <v>2029</v>
      </c>
      <c r="O121" s="103" t="s">
        <v>184</v>
      </c>
      <c r="P121">
        <f>Portefeuille_MNT_PPS_Access28[[#This Row],[Année DÉBUT Travaux proposé]]-Portefeuille_MNT_PPS_Access28[[#This Row],[Année DÉBUT Travaux Prog actuel]]</f>
        <v>1</v>
      </c>
      <c r="Q121" t="s">
        <v>155</v>
      </c>
      <c r="R121" s="1">
        <v>45960</v>
      </c>
      <c r="S121" s="1">
        <v>46280</v>
      </c>
      <c r="T121" s="1">
        <v>46645</v>
      </c>
      <c r="U12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11</v>
      </c>
      <c r="Y12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21">
        <f>Portefeuille_MNT_PPS_Access28[[#This Row],[Délais PC1 et PC3]]+Portefeuille_MNT_PPS_Access28[[#This Row],[Délais PC3 et PC5]]</f>
        <v>23</v>
      </c>
      <c r="AB121">
        <v>1</v>
      </c>
      <c r="AD121" t="s">
        <v>156</v>
      </c>
      <c r="AE121">
        <v>4.333333333333333</v>
      </c>
      <c r="AF121" s="2">
        <f>_xlfn.XLOOKUP(Portefeuille_MNT_PPS_Access28[[#This Row],[Numéro projet]],Portefeuille_MNT_PPS_Access27[Numéro projet],Portefeuille_MNT_PPS_Access27[Critère Etat Infrastructure])</f>
        <v>4</v>
      </c>
      <c r="AG12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51.666666666666671</v>
      </c>
      <c r="AH121" s="221"/>
      <c r="AL121"/>
      <c r="AO121">
        <v>100</v>
      </c>
      <c r="AQ121">
        <v>250</v>
      </c>
      <c r="AS121">
        <v>350</v>
      </c>
      <c r="AU121">
        <v>500</v>
      </c>
      <c r="AV121"/>
      <c r="AW121">
        <v>500</v>
      </c>
      <c r="AX121">
        <v>8000</v>
      </c>
      <c r="AY121">
        <v>500</v>
      </c>
      <c r="AZ121">
        <v>8000</v>
      </c>
      <c r="BI121" s="14">
        <f>SUM(Portefeuille_MNT_PPS_Access28[[#This Row],[AC ANT]:[TR 2035]])</f>
        <v>18200</v>
      </c>
    </row>
    <row r="122" spans="1:61" x14ac:dyDescent="0.3">
      <c r="A122" t="s">
        <v>286</v>
      </c>
      <c r="B122" t="s">
        <v>664</v>
      </c>
      <c r="D122" t="s">
        <v>101</v>
      </c>
      <c r="E122" t="s">
        <v>102</v>
      </c>
      <c r="F122" t="s">
        <v>136</v>
      </c>
      <c r="G122" t="s">
        <v>129</v>
      </c>
      <c r="H122" t="s">
        <v>130</v>
      </c>
      <c r="I122" t="s">
        <v>20</v>
      </c>
      <c r="J122" t="s">
        <v>131</v>
      </c>
      <c r="K122" s="2">
        <v>154210517</v>
      </c>
      <c r="L122" t="s">
        <v>406</v>
      </c>
      <c r="M122" t="s">
        <v>152</v>
      </c>
      <c r="N122" s="103">
        <f>_xlfn.XLOOKUP(Portefeuille_MNT_PPS_Access28[[#This Row],[Numéro projet]], Portefeuille_MNT_PPS_Access20[Numéro projet], Portefeuille_MNT_PPS_Access20[Année DÉBUT Travaux prévu], "")</f>
        <v>2029</v>
      </c>
      <c r="O122" s="103" t="s">
        <v>184</v>
      </c>
      <c r="P122">
        <f>Portefeuille_MNT_PPS_Access28[[#This Row],[Année DÉBUT Travaux proposé]]-Portefeuille_MNT_PPS_Access28[[#This Row],[Année DÉBUT Travaux Prog actuel]]</f>
        <v>1</v>
      </c>
      <c r="Q122" t="s">
        <v>155</v>
      </c>
      <c r="R122" s="1">
        <v>46054</v>
      </c>
      <c r="S122" s="1">
        <v>46427</v>
      </c>
      <c r="T122" s="1">
        <v>46813</v>
      </c>
      <c r="U12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2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13</v>
      </c>
      <c r="Z122">
        <f>Portefeuille_MNT_PPS_Access28[[#This Row],[Délais PC1 et PC3]]+Portefeuille_MNT_PPS_Access28[[#This Row],[Délais PC3 et PC5]]</f>
        <v>25</v>
      </c>
      <c r="AB122">
        <v>1</v>
      </c>
      <c r="AD122" t="s">
        <v>156</v>
      </c>
      <c r="AE122">
        <v>3.3333333333333335</v>
      </c>
      <c r="AF122" s="2">
        <f>_xlfn.XLOOKUP(Portefeuille_MNT_PPS_Access28[[#This Row],[Numéro projet]],Portefeuille_MNT_PPS_Access27[Numéro projet],Portefeuille_MNT_PPS_Access27[Critère Etat Infrastructure])</f>
        <v>4</v>
      </c>
      <c r="AG12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46.666666666666664</v>
      </c>
      <c r="AH122" s="221"/>
      <c r="AL122"/>
      <c r="AO122">
        <v>100</v>
      </c>
      <c r="AQ122">
        <v>250</v>
      </c>
      <c r="AS122">
        <v>350</v>
      </c>
      <c r="AU122">
        <v>200</v>
      </c>
      <c r="AV122"/>
      <c r="AW122">
        <v>600</v>
      </c>
      <c r="AX122">
        <v>5500</v>
      </c>
      <c r="AY122">
        <v>600</v>
      </c>
      <c r="AZ122">
        <v>6000</v>
      </c>
      <c r="BA122">
        <v>600</v>
      </c>
      <c r="BB122">
        <v>6000</v>
      </c>
      <c r="BI122" s="14">
        <f>SUM(Portefeuille_MNT_PPS_Access28[[#This Row],[AC ANT]:[TR 2035]])</f>
        <v>20200</v>
      </c>
    </row>
    <row r="123" spans="1:61" x14ac:dyDescent="0.3">
      <c r="A123" t="s">
        <v>286</v>
      </c>
      <c r="B123" t="s">
        <v>662</v>
      </c>
      <c r="D123" t="s">
        <v>118</v>
      </c>
      <c r="E123" t="s">
        <v>102</v>
      </c>
      <c r="F123" t="s">
        <v>242</v>
      </c>
      <c r="G123" t="s">
        <v>129</v>
      </c>
      <c r="H123" t="s">
        <v>20</v>
      </c>
      <c r="I123" t="s">
        <v>20</v>
      </c>
      <c r="J123" t="s">
        <v>131</v>
      </c>
      <c r="K123" s="2">
        <v>154210548</v>
      </c>
      <c r="L123" s="86" t="s">
        <v>416</v>
      </c>
      <c r="M123" t="s">
        <v>417</v>
      </c>
      <c r="N123" s="103">
        <f>_xlfn.XLOOKUP(Portefeuille_MNT_PPS_Access28[[#This Row],[Numéro projet]], Portefeuille_MNT_PPS_Access20[Numéro projet], Portefeuille_MNT_PPS_Access20[Année DÉBUT Travaux prévu], "")</f>
        <v>2029</v>
      </c>
      <c r="O123" s="103" t="s">
        <v>184</v>
      </c>
      <c r="P123">
        <f>Portefeuille_MNT_PPS_Access28[[#This Row],[Année DÉBUT Travaux proposé]]-Portefeuille_MNT_PPS_Access28[[#This Row],[Année DÉBUT Travaux Prog actuel]]</f>
        <v>1</v>
      </c>
      <c r="Q123" t="s">
        <v>155</v>
      </c>
      <c r="R123" s="1">
        <v>46143</v>
      </c>
      <c r="S123" s="1">
        <v>46508</v>
      </c>
      <c r="T123" s="1">
        <v>46874</v>
      </c>
      <c r="U12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2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23">
        <f>Portefeuille_MNT_PPS_Access28[[#This Row],[Délais PC1 et PC3]]+Portefeuille_MNT_PPS_Access28[[#This Row],[Délais PC3 et PC5]]</f>
        <v>24</v>
      </c>
      <c r="AB123">
        <v>1</v>
      </c>
      <c r="AD123" t="s">
        <v>156</v>
      </c>
      <c r="AE123">
        <v>1.3333333333333333</v>
      </c>
      <c r="AF123" s="2">
        <f>_xlfn.XLOOKUP(Portefeuille_MNT_PPS_Access28[[#This Row],[Numéro projet]],Portefeuille_MNT_PPS_Access27[Numéro projet],Portefeuille_MNT_PPS_Access27[Critère Etat Infrastructure])</f>
        <v>4</v>
      </c>
      <c r="AG12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23" s="221"/>
      <c r="AL123"/>
      <c r="AS123">
        <v>150</v>
      </c>
      <c r="AU123">
        <v>150</v>
      </c>
      <c r="AV123"/>
      <c r="AW123">
        <v>250</v>
      </c>
      <c r="AX123">
        <v>2000</v>
      </c>
      <c r="BI123" s="14">
        <f>SUM(Portefeuille_MNT_PPS_Access28[[#This Row],[AC ANT]:[TR 2035]])</f>
        <v>2550</v>
      </c>
    </row>
    <row r="124" spans="1:61" x14ac:dyDescent="0.3">
      <c r="A124" t="s">
        <v>286</v>
      </c>
      <c r="B124" t="s">
        <v>662</v>
      </c>
      <c r="D124" t="s">
        <v>118</v>
      </c>
      <c r="E124" t="s">
        <v>102</v>
      </c>
      <c r="F124" t="s">
        <v>103</v>
      </c>
      <c r="G124" t="s">
        <v>129</v>
      </c>
      <c r="H124" t="s">
        <v>20</v>
      </c>
      <c r="I124" t="s">
        <v>20</v>
      </c>
      <c r="J124" t="s">
        <v>131</v>
      </c>
      <c r="K124" s="2">
        <v>154200654</v>
      </c>
      <c r="L124" t="s">
        <v>643</v>
      </c>
      <c r="M124" t="s">
        <v>214</v>
      </c>
      <c r="N124" s="103">
        <f>_xlfn.XLOOKUP(Portefeuille_MNT_PPS_Access28[[#This Row],[Numéro projet]], Portefeuille_MNT_PPS_Access20[Numéro projet], Portefeuille_MNT_PPS_Access20[Année DÉBUT Travaux prévu], "")</f>
        <v>2029</v>
      </c>
      <c r="O124" s="103" t="s">
        <v>184</v>
      </c>
      <c r="P124">
        <f>Portefeuille_MNT_PPS_Access28[[#This Row],[Année DÉBUT Travaux proposé]]-Portefeuille_MNT_PPS_Access28[[#This Row],[Année DÉBUT Travaux Prog actuel]]</f>
        <v>1</v>
      </c>
      <c r="Q124" t="s">
        <v>155</v>
      </c>
      <c r="R124" s="1">
        <v>46218</v>
      </c>
      <c r="S124" s="1">
        <v>46722</v>
      </c>
      <c r="T124" s="1">
        <v>47011</v>
      </c>
      <c r="U12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17</v>
      </c>
      <c r="Y12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9</v>
      </c>
      <c r="Z124">
        <f>Portefeuille_MNT_PPS_Access28[[#This Row],[Délais PC1 et PC3]]+Portefeuille_MNT_PPS_Access28[[#This Row],[Délais PC3 et PC5]]</f>
        <v>26</v>
      </c>
      <c r="AB124">
        <v>1</v>
      </c>
      <c r="AD124" t="s">
        <v>156</v>
      </c>
      <c r="AE124">
        <v>3</v>
      </c>
      <c r="AF124" s="2">
        <f>_xlfn.XLOOKUP(Portefeuille_MNT_PPS_Access28[[#This Row],[Numéro projet]],Portefeuille_MNT_PPS_Access27[Numéro projet],Portefeuille_MNT_PPS_Access27[Critère Etat Infrastructure])</f>
        <v>4</v>
      </c>
      <c r="AG12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24" s="221"/>
      <c r="AL124"/>
      <c r="AS124">
        <v>100</v>
      </c>
      <c r="AU124">
        <v>200</v>
      </c>
      <c r="AV124"/>
      <c r="AW124">
        <v>200</v>
      </c>
      <c r="AX124">
        <v>10500</v>
      </c>
      <c r="BI124" s="14">
        <f>SUM(Portefeuille_MNT_PPS_Access28[[#This Row],[AC ANT]:[TR 2035]])</f>
        <v>11000</v>
      </c>
    </row>
    <row r="125" spans="1:61" x14ac:dyDescent="0.3">
      <c r="A125" t="s">
        <v>286</v>
      </c>
      <c r="B125" t="s">
        <v>664</v>
      </c>
      <c r="D125" t="s">
        <v>101</v>
      </c>
      <c r="E125" t="s">
        <v>102</v>
      </c>
      <c r="F125" t="s">
        <v>103</v>
      </c>
      <c r="G125" t="s">
        <v>104</v>
      </c>
      <c r="H125" t="s">
        <v>20</v>
      </c>
      <c r="I125" t="s">
        <v>20</v>
      </c>
      <c r="J125" t="s">
        <v>105</v>
      </c>
      <c r="K125" s="2">
        <v>154190685</v>
      </c>
      <c r="L125" t="s">
        <v>541</v>
      </c>
      <c r="M125" t="s">
        <v>172</v>
      </c>
      <c r="N125" s="103">
        <f>_xlfn.XLOOKUP(Portefeuille_MNT_PPS_Access28[[#This Row],[Numéro projet]], Portefeuille_MNT_PPS_Access20[Numéro projet], Portefeuille_MNT_PPS_Access20[Année DÉBUT Travaux prévu], "")</f>
        <v>2029</v>
      </c>
      <c r="O125" s="103">
        <v>2030</v>
      </c>
      <c r="P125">
        <f>Portefeuille_MNT_PPS_Access28[[#This Row],[Année DÉBUT Travaux proposé]]-Portefeuille_MNT_PPS_Access28[[#This Row],[Année DÉBUT Travaux Prog actuel]]</f>
        <v>1</v>
      </c>
      <c r="Q125" t="s">
        <v>291</v>
      </c>
      <c r="R125" s="1"/>
      <c r="S125" s="1"/>
      <c r="T125" s="1"/>
      <c r="U12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2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2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2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2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25">
        <f>Portefeuille_MNT_PPS_Access28[[#This Row],[Délais PC1 et PC3]]+Portefeuille_MNT_PPS_Access28[[#This Row],[Délais PC3 et PC5]]</f>
        <v>0</v>
      </c>
      <c r="AB125">
        <v>1</v>
      </c>
      <c r="AD125" t="s">
        <v>311</v>
      </c>
      <c r="AE125">
        <v>3.6666666666666665</v>
      </c>
      <c r="AF125" s="2">
        <f>_xlfn.XLOOKUP(Portefeuille_MNT_PPS_Access28[[#This Row],[Numéro projet]],Portefeuille_MNT_PPS_Access27[Numéro projet],Portefeuille_MNT_PPS_Access27[Critère Etat Infrastructure])</f>
        <v>4</v>
      </c>
      <c r="AG12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43.333333333333329</v>
      </c>
      <c r="AH125" s="221"/>
      <c r="AL125"/>
      <c r="AS125">
        <v>100</v>
      </c>
      <c r="AU125">
        <v>100</v>
      </c>
      <c r="AV125"/>
      <c r="AW125">
        <v>700</v>
      </c>
      <c r="AX125">
        <v>15000</v>
      </c>
      <c r="BI125" s="14">
        <f>SUM(Portefeuille_MNT_PPS_Access28[[#This Row],[AC ANT]:[TR 2035]])</f>
        <v>15900</v>
      </c>
    </row>
    <row r="126" spans="1:61" x14ac:dyDescent="0.3">
      <c r="A126" t="s">
        <v>286</v>
      </c>
      <c r="B126" t="s">
        <v>663</v>
      </c>
      <c r="D126" t="s">
        <v>101</v>
      </c>
      <c r="E126" t="s">
        <v>102</v>
      </c>
      <c r="F126" t="s">
        <v>177</v>
      </c>
      <c r="G126" t="s">
        <v>129</v>
      </c>
      <c r="H126" t="s">
        <v>20</v>
      </c>
      <c r="I126" t="s">
        <v>20</v>
      </c>
      <c r="J126" t="s">
        <v>131</v>
      </c>
      <c r="K126" s="2">
        <v>154230631</v>
      </c>
      <c r="L126" t="s">
        <v>439</v>
      </c>
      <c r="M126" t="s">
        <v>180</v>
      </c>
      <c r="N126" s="103">
        <f>_xlfn.XLOOKUP(Portefeuille_MNT_PPS_Access28[[#This Row],[Numéro projet]], Portefeuille_MNT_PPS_Access20[Numéro projet], Portefeuille_MNT_PPS_Access20[Année DÉBUT Travaux prévu], "")</f>
        <v>2029</v>
      </c>
      <c r="O126" s="213" t="s">
        <v>184</v>
      </c>
      <c r="P126" s="2">
        <f>Portefeuille_MNT_PPS_Access28[[#This Row],[Année DÉBUT Travaux proposé]]-Portefeuille_MNT_PPS_Access28[[#This Row],[Année DÉBUT Travaux Prog actuel]]</f>
        <v>1</v>
      </c>
      <c r="Q126" t="s">
        <v>291</v>
      </c>
      <c r="R126" s="1"/>
      <c r="S126" s="1"/>
      <c r="T126" s="1"/>
      <c r="U12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2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2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2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2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26">
        <f>Portefeuille_MNT_PPS_Access28[[#This Row],[Délais PC1 et PC3]]+Portefeuille_MNT_PPS_Access28[[#This Row],[Délais PC3 et PC5]]</f>
        <v>0</v>
      </c>
      <c r="AB126">
        <v>1</v>
      </c>
      <c r="AD126" t="s">
        <v>311</v>
      </c>
      <c r="AE126">
        <v>3.1428571428571428</v>
      </c>
      <c r="AF126" s="2">
        <f>_xlfn.XLOOKUP(Portefeuille_MNT_PPS_Access28[[#This Row],[Numéro projet]],Portefeuille_MNT_PPS_Access27[Numéro projet],Portefeuille_MNT_PPS_Access27[Critère Etat Infrastructure])</f>
        <v>4</v>
      </c>
      <c r="AG12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40.714285714285715</v>
      </c>
      <c r="AH126" s="221"/>
      <c r="AL126"/>
      <c r="AU126">
        <v>100.00000000000001</v>
      </c>
      <c r="AV126"/>
      <c r="AW126">
        <v>175</v>
      </c>
      <c r="AX126">
        <v>1500</v>
      </c>
      <c r="BI126" s="14">
        <f>SUM(Portefeuille_MNT_PPS_Access28[[#This Row],[AC ANT]:[TR 2035]])</f>
        <v>1775</v>
      </c>
    </row>
    <row r="127" spans="1:61" x14ac:dyDescent="0.3">
      <c r="A127" t="s">
        <v>286</v>
      </c>
      <c r="B127" t="s">
        <v>663</v>
      </c>
      <c r="D127" t="s">
        <v>101</v>
      </c>
      <c r="E127" t="s">
        <v>102</v>
      </c>
      <c r="F127" t="s">
        <v>136</v>
      </c>
      <c r="G127" t="s">
        <v>149</v>
      </c>
      <c r="H127" t="s">
        <v>130</v>
      </c>
      <c r="I127" t="s">
        <v>20</v>
      </c>
      <c r="J127" t="s">
        <v>105</v>
      </c>
      <c r="K127" s="2">
        <v>154061995</v>
      </c>
      <c r="L127" t="s">
        <v>367</v>
      </c>
      <c r="M127" t="s">
        <v>316</v>
      </c>
      <c r="N127">
        <f>_xlfn.XLOOKUP(Portefeuille_MNT_PPS_Access28[[#This Row],[Numéro projet]], Portefeuille_MNT_PPS_Access20[Numéro projet], Portefeuille_MNT_PPS_Access20[Année DÉBUT Travaux prévu], "")</f>
        <v>2030</v>
      </c>
      <c r="O127" t="s">
        <v>184</v>
      </c>
      <c r="P127">
        <f>Portefeuille_MNT_PPS_Access28[[#This Row],[Année DÉBUT Travaux proposé]]-Portefeuille_MNT_PPS_Access28[[#This Row],[Année DÉBUT Travaux Prog actuel]]</f>
        <v>0</v>
      </c>
      <c r="Q127" t="s">
        <v>155</v>
      </c>
      <c r="R127" s="1">
        <v>46157</v>
      </c>
      <c r="S127" s="1">
        <v>46645</v>
      </c>
      <c r="T127" s="1">
        <v>47011</v>
      </c>
      <c r="U12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2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2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2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16</v>
      </c>
      <c r="Y12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27">
        <f>Portefeuille_MNT_PPS_Access28[[#This Row],[Délais PC1 et PC3]]+Portefeuille_MNT_PPS_Access28[[#This Row],[Délais PC3 et PC5]]</f>
        <v>28</v>
      </c>
      <c r="AB127">
        <v>1</v>
      </c>
      <c r="AD127" t="s">
        <v>156</v>
      </c>
      <c r="AE127">
        <v>3</v>
      </c>
      <c r="AF127" s="2">
        <f>_xlfn.XLOOKUP(Portefeuille_MNT_PPS_Access28[[#This Row],[Numéro projet]],Portefeuille_MNT_PPS_Access27[Numéro projet],Portefeuille_MNT_PPS_Access27[Critère Etat Infrastructure])</f>
        <v>4</v>
      </c>
      <c r="AG12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27" s="221"/>
      <c r="AL127"/>
      <c r="AQ127">
        <v>430</v>
      </c>
      <c r="AS127">
        <v>600</v>
      </c>
      <c r="AU127">
        <v>670</v>
      </c>
      <c r="AV127"/>
      <c r="AW127">
        <v>600</v>
      </c>
      <c r="AX127">
        <v>5000</v>
      </c>
      <c r="BA127">
        <v>500</v>
      </c>
      <c r="BB127">
        <v>4700</v>
      </c>
      <c r="BC127">
        <v>600</v>
      </c>
      <c r="BD127">
        <v>5000</v>
      </c>
      <c r="BE127">
        <v>600</v>
      </c>
      <c r="BF127">
        <v>5000</v>
      </c>
      <c r="BI127" s="14">
        <f>SUM(Portefeuille_MNT_PPS_Access28[[#This Row],[AC ANT]:[TR 2035]])</f>
        <v>23700</v>
      </c>
    </row>
    <row r="128" spans="1:61" x14ac:dyDescent="0.3">
      <c r="A128" t="s">
        <v>286</v>
      </c>
      <c r="B128" t="s">
        <v>662</v>
      </c>
      <c r="D128" t="s">
        <v>118</v>
      </c>
      <c r="E128" t="s">
        <v>102</v>
      </c>
      <c r="F128" t="s">
        <v>136</v>
      </c>
      <c r="G128" t="s">
        <v>104</v>
      </c>
      <c r="H128" t="s">
        <v>16</v>
      </c>
      <c r="I128" t="s">
        <v>20</v>
      </c>
      <c r="J128" t="s">
        <v>105</v>
      </c>
      <c r="K128" s="2">
        <v>154240756</v>
      </c>
      <c r="L128" t="s">
        <v>517</v>
      </c>
      <c r="M128" t="s">
        <v>302</v>
      </c>
      <c r="N128" s="103">
        <f>_xlfn.XLOOKUP(Portefeuille_MNT_PPS_Access28[[#This Row],[Numéro projet]], Portefeuille_MNT_PPS_Access20[Numéro projet], Portefeuille_MNT_PPS_Access20[Année DÉBUT Travaux prévu], "")</f>
        <v>2027</v>
      </c>
      <c r="O128" s="103" t="s">
        <v>109</v>
      </c>
      <c r="P128">
        <f>Portefeuille_MNT_PPS_Access28[[#This Row],[Année DÉBUT Travaux proposé]]-Portefeuille_MNT_PPS_Access28[[#This Row],[Année DÉBUT Travaux Prog actuel]]</f>
        <v>-1</v>
      </c>
      <c r="Q128" t="s">
        <v>110</v>
      </c>
      <c r="R128" s="1">
        <v>45904</v>
      </c>
      <c r="S128" s="1"/>
      <c r="T128" s="1">
        <v>46096</v>
      </c>
      <c r="U12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12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2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3.À risque</v>
      </c>
      <c r="X12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-1508</v>
      </c>
      <c r="Y12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1514</v>
      </c>
      <c r="Z128">
        <f>Portefeuille_MNT_PPS_Access28[[#This Row],[Délais PC1 et PC3]]+Portefeuille_MNT_PPS_Access28[[#This Row],[Délais PC3 et PC5]]</f>
        <v>6</v>
      </c>
      <c r="AA128">
        <v>1</v>
      </c>
      <c r="AB128">
        <v>1</v>
      </c>
      <c r="AC128">
        <v>3</v>
      </c>
      <c r="AD128" t="s">
        <v>112</v>
      </c>
      <c r="AE128">
        <v>4</v>
      </c>
      <c r="AF128" s="2">
        <f>_xlfn.XLOOKUP(Portefeuille_MNT_PPS_Access28[[#This Row],[Numéro projet]],Portefeuille_MNT_PPS_Access27[Numéro projet],Portefeuille_MNT_PPS_Access27[Critère Etat Infrastructure])</f>
        <v>5</v>
      </c>
      <c r="AG12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65.000000000000014</v>
      </c>
      <c r="AH128" s="221"/>
      <c r="AL128"/>
      <c r="AM128">
        <v>59</v>
      </c>
      <c r="AO128">
        <v>131</v>
      </c>
      <c r="AP128">
        <v>478</v>
      </c>
      <c r="AV128"/>
      <c r="BI128" s="14">
        <f>SUM(Portefeuille_MNT_PPS_Access28[[#This Row],[AC ANT]:[TR 2035]])</f>
        <v>668</v>
      </c>
    </row>
    <row r="129" spans="1:61" x14ac:dyDescent="0.3">
      <c r="A129" t="s">
        <v>286</v>
      </c>
      <c r="B129" t="s">
        <v>662</v>
      </c>
      <c r="D129" t="s">
        <v>118</v>
      </c>
      <c r="E129" t="s">
        <v>102</v>
      </c>
      <c r="F129" t="s">
        <v>136</v>
      </c>
      <c r="G129" t="s">
        <v>104</v>
      </c>
      <c r="H129" t="s">
        <v>16</v>
      </c>
      <c r="I129" t="s">
        <v>20</v>
      </c>
      <c r="J129" t="s">
        <v>105</v>
      </c>
      <c r="K129" s="2">
        <v>154240757</v>
      </c>
      <c r="L129" t="s">
        <v>519</v>
      </c>
      <c r="M129" t="s">
        <v>143</v>
      </c>
      <c r="N129">
        <f>_xlfn.XLOOKUP(Portefeuille_MNT_PPS_Access28[[#This Row],[Numéro projet]], Portefeuille_MNT_PPS_Access20[Numéro projet], Portefeuille_MNT_PPS_Access20[Année DÉBUT Travaux prévu], "")</f>
        <v>2027</v>
      </c>
      <c r="O129" t="s">
        <v>173</v>
      </c>
      <c r="P129">
        <f>Portefeuille_MNT_PPS_Access28[[#This Row],[Année DÉBUT Travaux proposé]]-Portefeuille_MNT_PPS_Access28[[#This Row],[Année DÉBUT Travaux Prog actuel]]</f>
        <v>0</v>
      </c>
      <c r="Q129" t="s">
        <v>155</v>
      </c>
      <c r="R129" s="1">
        <v>46127</v>
      </c>
      <c r="S129" s="1"/>
      <c r="T129" s="1"/>
      <c r="U12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1.Très à risque</v>
      </c>
      <c r="V12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2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2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-1515</v>
      </c>
      <c r="Y12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29">
        <f>Portefeuille_MNT_PPS_Access28[[#This Row],[Délais PC1 et PC3]]+Portefeuille_MNT_PPS_Access28[[#This Row],[Délais PC3 et PC5]]</f>
        <v>-1515</v>
      </c>
      <c r="AB129">
        <v>1</v>
      </c>
      <c r="AC129">
        <v>3</v>
      </c>
      <c r="AD129" t="s">
        <v>156</v>
      </c>
      <c r="AE129">
        <v>4.333333333333333</v>
      </c>
      <c r="AF129" s="2">
        <f>_xlfn.XLOOKUP(Portefeuille_MNT_PPS_Access28[[#This Row],[Numéro projet]],Portefeuille_MNT_PPS_Access27[Numéro projet],Portefeuille_MNT_PPS_Access27[Critère Etat Infrastructure])</f>
        <v>5</v>
      </c>
      <c r="AG12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66.666666666666671</v>
      </c>
      <c r="AH129" s="221"/>
      <c r="AL129"/>
      <c r="AM129">
        <v>25</v>
      </c>
      <c r="AO129">
        <v>25</v>
      </c>
      <c r="AR129">
        <v>150</v>
      </c>
      <c r="AV129"/>
      <c r="BI129" s="14">
        <f>SUM(Portefeuille_MNT_PPS_Access28[[#This Row],[AC ANT]:[TR 2035]])</f>
        <v>200</v>
      </c>
    </row>
    <row r="130" spans="1:61" x14ac:dyDescent="0.3">
      <c r="A130" t="s">
        <v>286</v>
      </c>
      <c r="B130" t="s">
        <v>662</v>
      </c>
      <c r="D130" t="s">
        <v>118</v>
      </c>
      <c r="E130" t="s">
        <v>102</v>
      </c>
      <c r="F130" t="s">
        <v>242</v>
      </c>
      <c r="G130" t="s">
        <v>129</v>
      </c>
      <c r="H130" t="s">
        <v>20</v>
      </c>
      <c r="I130" t="s">
        <v>20</v>
      </c>
      <c r="J130" t="s">
        <v>131</v>
      </c>
      <c r="K130" s="2">
        <v>154210546</v>
      </c>
      <c r="L130" t="s">
        <v>644</v>
      </c>
      <c r="M130" t="s">
        <v>414</v>
      </c>
      <c r="N130">
        <f>_xlfn.XLOOKUP(Portefeuille_MNT_PPS_Access28[[#This Row],[Numéro projet]], Portefeuille_MNT_PPS_Access20[Numéro projet], Portefeuille_MNT_PPS_Access20[Année DÉBUT Travaux prévu], "")</f>
        <v>2030</v>
      </c>
      <c r="O130" t="s">
        <v>184</v>
      </c>
      <c r="P130">
        <f>Portefeuille_MNT_PPS_Access28[[#This Row],[Année DÉBUT Travaux proposé]]-Portefeuille_MNT_PPS_Access28[[#This Row],[Année DÉBUT Travaux Prog actuel]]</f>
        <v>0</v>
      </c>
      <c r="Q130" t="s">
        <v>291</v>
      </c>
      <c r="R130" s="1"/>
      <c r="S130" s="1"/>
      <c r="T130" s="1"/>
      <c r="U13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0">
        <f>Portefeuille_MNT_PPS_Access28[[#This Row],[Délais PC1 et PC3]]+Portefeuille_MNT_PPS_Access28[[#This Row],[Délais PC3 et PC5]]</f>
        <v>0</v>
      </c>
      <c r="AB130">
        <v>1</v>
      </c>
      <c r="AD130" t="s">
        <v>311</v>
      </c>
      <c r="AE130">
        <v>1</v>
      </c>
      <c r="AF130" s="2">
        <f>_xlfn.XLOOKUP(Portefeuille_MNT_PPS_Access28[[#This Row],[Numéro projet]],Portefeuille_MNT_PPS_Access27[Numéro projet],Portefeuille_MNT_PPS_Access27[Critère Etat Infrastructure])</f>
        <v>4</v>
      </c>
      <c r="AG13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30</v>
      </c>
      <c r="AH130" s="221"/>
      <c r="AL130"/>
      <c r="AS130">
        <v>150</v>
      </c>
      <c r="AU130">
        <v>150</v>
      </c>
      <c r="AV130"/>
      <c r="AW130">
        <v>250</v>
      </c>
      <c r="AX130">
        <v>2000</v>
      </c>
      <c r="BI130" s="14">
        <f>SUM(Portefeuille_MNT_PPS_Access28[[#This Row],[AC ANT]:[TR 2035]])</f>
        <v>2550</v>
      </c>
    </row>
    <row r="131" spans="1:61" x14ac:dyDescent="0.3">
      <c r="A131" t="s">
        <v>286</v>
      </c>
      <c r="B131" t="s">
        <v>295</v>
      </c>
      <c r="D131" t="s">
        <v>126</v>
      </c>
      <c r="E131" t="s">
        <v>127</v>
      </c>
      <c r="F131" t="s">
        <v>103</v>
      </c>
      <c r="G131" t="s">
        <v>140</v>
      </c>
      <c r="H131" t="s">
        <v>20</v>
      </c>
      <c r="I131" t="s">
        <v>20</v>
      </c>
      <c r="J131" t="s">
        <v>105</v>
      </c>
      <c r="K131" s="2">
        <v>154220338</v>
      </c>
      <c r="L131" t="s">
        <v>636</v>
      </c>
      <c r="M131" t="s">
        <v>143</v>
      </c>
      <c r="N131" t="str">
        <f>_xlfn.XLOOKUP(Portefeuille_MNT_PPS_Access28[[#This Row],[Numéro projet]], Portefeuille_MNT_PPS_Access20[Numéro projet], Portefeuille_MNT_PPS_Access20[Année DÉBUT Travaux prévu], "")</f>
        <v/>
      </c>
      <c r="O131" t="s">
        <v>184</v>
      </c>
      <c r="P131" t="s">
        <v>295</v>
      </c>
      <c r="Q131" t="s">
        <v>155</v>
      </c>
      <c r="R131" s="1">
        <v>46266</v>
      </c>
      <c r="S131" s="1">
        <v>46631</v>
      </c>
      <c r="T131" s="1">
        <v>46997</v>
      </c>
      <c r="U13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5.Respect OPC</v>
      </c>
      <c r="V13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5.Respect OPC</v>
      </c>
      <c r="W13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5.Respect OPC</v>
      </c>
      <c r="X13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12</v>
      </c>
      <c r="Y13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12</v>
      </c>
      <c r="Z131">
        <f>Portefeuille_MNT_PPS_Access28[[#This Row],[Délais PC1 et PC3]]+Portefeuille_MNT_PPS_Access28[[#This Row],[Délais PC3 et PC5]]</f>
        <v>24</v>
      </c>
      <c r="AB131">
        <v>1</v>
      </c>
      <c r="AD131" t="s">
        <v>156</v>
      </c>
      <c r="AE131">
        <v>4.333333333333333</v>
      </c>
      <c r="AF131" s="2">
        <f>_xlfn.XLOOKUP(Portefeuille_MNT_PPS_Access28[[#This Row],[Numéro projet]],Portefeuille_MNT_PPS_Access27[Numéro projet],Portefeuille_MNT_PPS_Access27[Critère Etat Infrastructure])</f>
        <v>3</v>
      </c>
      <c r="AG13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46.666666666666664</v>
      </c>
      <c r="AH131" s="221"/>
      <c r="AL131"/>
      <c r="AS131">
        <v>375</v>
      </c>
      <c r="AU131">
        <v>375</v>
      </c>
      <c r="AV131"/>
      <c r="AW131">
        <v>750</v>
      </c>
      <c r="AX131">
        <v>10000</v>
      </c>
      <c r="AY131">
        <v>875</v>
      </c>
      <c r="AZ131">
        <v>10000</v>
      </c>
      <c r="BA131">
        <v>1250</v>
      </c>
      <c r="BB131">
        <v>15000</v>
      </c>
      <c r="BC131">
        <v>500</v>
      </c>
      <c r="BD131">
        <v>17000</v>
      </c>
      <c r="BE131">
        <v>1000</v>
      </c>
      <c r="BF131">
        <v>59000</v>
      </c>
      <c r="BI131" s="14">
        <f>SUM(Portefeuille_MNT_PPS_Access28[[#This Row],[AC ANT]:[TR 2035]])</f>
        <v>116125</v>
      </c>
    </row>
    <row r="132" spans="1:61" x14ac:dyDescent="0.3">
      <c r="A132" t="s">
        <v>286</v>
      </c>
      <c r="B132" t="s">
        <v>662</v>
      </c>
      <c r="D132" t="s">
        <v>118</v>
      </c>
      <c r="E132" t="s">
        <v>102</v>
      </c>
      <c r="F132" t="s">
        <v>177</v>
      </c>
      <c r="H132" t="s">
        <v>20</v>
      </c>
      <c r="I132" t="s">
        <v>20</v>
      </c>
      <c r="J132" t="s">
        <v>131</v>
      </c>
      <c r="K132" s="2">
        <v>154240787</v>
      </c>
      <c r="L132" t="s">
        <v>523</v>
      </c>
      <c r="M132" t="s">
        <v>187</v>
      </c>
      <c r="N132" s="103">
        <f>_xlfn.XLOOKUP(Portefeuille_MNT_PPS_Access28[[#This Row],[Numéro projet]], Portefeuille_MNT_PPS_Access20[Numéro projet], Portefeuille_MNT_PPS_Access20[Année DÉBUT Travaux prévu], "")</f>
        <v>2029</v>
      </c>
      <c r="O132" s="103" t="s">
        <v>370</v>
      </c>
      <c r="P132">
        <f>Portefeuille_MNT_PPS_Access28[[#This Row],[Année DÉBUT Travaux proposé]]-Portefeuille_MNT_PPS_Access28[[#This Row],[Année DÉBUT Travaux Prog actuel]]</f>
        <v>2</v>
      </c>
      <c r="Q132" t="s">
        <v>291</v>
      </c>
      <c r="R132" s="1"/>
      <c r="S132" s="1"/>
      <c r="T132" s="1"/>
      <c r="U13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2">
        <f>Portefeuille_MNT_PPS_Access28[[#This Row],[Délais PC1 et PC3]]+Portefeuille_MNT_PPS_Access28[[#This Row],[Délais PC3 et PC5]]</f>
        <v>0</v>
      </c>
      <c r="AB132">
        <v>1</v>
      </c>
      <c r="AD132" t="s">
        <v>311</v>
      </c>
      <c r="AE132">
        <v>3</v>
      </c>
      <c r="AF132" s="2">
        <f>_xlfn.XLOOKUP(Portefeuille_MNT_PPS_Access28[[#This Row],[Numéro projet]],Portefeuille_MNT_PPS_Access27[Numéro projet],Portefeuille_MNT_PPS_Access27[Critère Etat Infrastructure])</f>
        <v>5</v>
      </c>
      <c r="AG13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32" s="221"/>
      <c r="AL132"/>
      <c r="AU132">
        <v>50</v>
      </c>
      <c r="AV132"/>
      <c r="AW132">
        <v>50</v>
      </c>
      <c r="AY132">
        <v>100</v>
      </c>
      <c r="AZ132">
        <v>2000</v>
      </c>
      <c r="BI132" s="14">
        <f>SUM(Portefeuille_MNT_PPS_Access28[[#This Row],[AC ANT]:[TR 2035]])</f>
        <v>2200</v>
      </c>
    </row>
    <row r="133" spans="1:61" x14ac:dyDescent="0.3">
      <c r="A133" t="s">
        <v>286</v>
      </c>
      <c r="B133" t="s">
        <v>662</v>
      </c>
      <c r="D133" t="s">
        <v>118</v>
      </c>
      <c r="E133" t="s">
        <v>102</v>
      </c>
      <c r="F133" t="s">
        <v>136</v>
      </c>
      <c r="G133" t="s">
        <v>104</v>
      </c>
      <c r="H133" t="s">
        <v>130</v>
      </c>
      <c r="I133" t="s">
        <v>20</v>
      </c>
      <c r="J133" t="s">
        <v>105</v>
      </c>
      <c r="K133" s="2">
        <v>154061990</v>
      </c>
      <c r="L133" t="s">
        <v>365</v>
      </c>
      <c r="M133" t="s">
        <v>205</v>
      </c>
      <c r="N133" s="103">
        <f>_xlfn.XLOOKUP(Portefeuille_MNT_PPS_Access28[[#This Row],[Numéro projet]], Portefeuille_MNT_PPS_Access20[Numéro projet], Portefeuille_MNT_PPS_Access20[Année DÉBUT Travaux prévu], "")</f>
        <v>2030</v>
      </c>
      <c r="O133" s="213" t="s">
        <v>370</v>
      </c>
      <c r="P133" s="2">
        <f>Portefeuille_MNT_PPS_Access28[[#This Row],[Année DÉBUT Travaux proposé]]-Portefeuille_MNT_PPS_Access28[[#This Row],[Année DÉBUT Travaux Prog actuel]]</f>
        <v>1</v>
      </c>
      <c r="Q133" t="s">
        <v>291</v>
      </c>
      <c r="R133" s="1"/>
      <c r="S133" s="1"/>
      <c r="T133" s="1"/>
      <c r="U13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3">
        <f>Portefeuille_MNT_PPS_Access28[[#This Row],[Délais PC1 et PC3]]+Portefeuille_MNT_PPS_Access28[[#This Row],[Délais PC3 et PC5]]</f>
        <v>0</v>
      </c>
      <c r="AB133">
        <v>1</v>
      </c>
      <c r="AD133" t="s">
        <v>311</v>
      </c>
      <c r="AE133">
        <v>3</v>
      </c>
      <c r="AF133" s="2">
        <f>_xlfn.XLOOKUP(Portefeuille_MNT_PPS_Access28[[#This Row],[Numéro projet]],Portefeuille_MNT_PPS_Access27[Numéro projet],Portefeuille_MNT_PPS_Access27[Critère Etat Infrastructure])</f>
        <v>4</v>
      </c>
      <c r="AG13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33" s="221"/>
      <c r="AL133"/>
      <c r="AS133">
        <v>200</v>
      </c>
      <c r="AU133">
        <v>200</v>
      </c>
      <c r="AV133"/>
      <c r="AW133">
        <v>400</v>
      </c>
      <c r="AY133">
        <v>400</v>
      </c>
      <c r="AZ133">
        <v>4500</v>
      </c>
      <c r="BA133">
        <v>400</v>
      </c>
      <c r="BB133">
        <v>7000</v>
      </c>
      <c r="BC133">
        <v>400</v>
      </c>
      <c r="BD133">
        <v>7000</v>
      </c>
      <c r="BI133" s="14">
        <f>SUM(Portefeuille_MNT_PPS_Access28[[#This Row],[AC ANT]:[TR 2035]])</f>
        <v>20500</v>
      </c>
    </row>
    <row r="134" spans="1:61" x14ac:dyDescent="0.3">
      <c r="A134" t="s">
        <v>286</v>
      </c>
      <c r="B134" t="s">
        <v>662</v>
      </c>
      <c r="D134" t="s">
        <v>118</v>
      </c>
      <c r="E134" t="s">
        <v>102</v>
      </c>
      <c r="F134" t="s">
        <v>103</v>
      </c>
      <c r="H134" t="s">
        <v>20</v>
      </c>
      <c r="I134" t="s">
        <v>20</v>
      </c>
      <c r="J134" t="s">
        <v>131</v>
      </c>
      <c r="K134" s="2">
        <v>154171401</v>
      </c>
      <c r="L134" t="s">
        <v>372</v>
      </c>
      <c r="M134" t="s">
        <v>152</v>
      </c>
      <c r="N134" s="103">
        <f>_xlfn.XLOOKUP(Portefeuille_MNT_PPS_Access28[[#This Row],[Numéro projet]], Portefeuille_MNT_PPS_Access20[Numéro projet], Portefeuille_MNT_PPS_Access20[Année DÉBUT Travaux prévu], "")</f>
        <v>2030</v>
      </c>
      <c r="O134" s="103" t="s">
        <v>370</v>
      </c>
      <c r="P134">
        <f>Portefeuille_MNT_PPS_Access28[[#This Row],[Année DÉBUT Travaux proposé]]-Portefeuille_MNT_PPS_Access28[[#This Row],[Année DÉBUT Travaux Prog actuel]]</f>
        <v>1</v>
      </c>
      <c r="Q134" t="s">
        <v>291</v>
      </c>
      <c r="R134" s="1"/>
      <c r="S134" s="1"/>
      <c r="T134" s="1"/>
      <c r="U13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4">
        <f>Portefeuille_MNT_PPS_Access28[[#This Row],[Délais PC1 et PC3]]+Portefeuille_MNT_PPS_Access28[[#This Row],[Délais PC3 et PC5]]</f>
        <v>0</v>
      </c>
      <c r="AB134">
        <v>1</v>
      </c>
      <c r="AD134" t="s">
        <v>311</v>
      </c>
      <c r="AE134">
        <v>3.3333333333333335</v>
      </c>
      <c r="AF134" s="2">
        <f>_xlfn.XLOOKUP(Portefeuille_MNT_PPS_Access28[[#This Row],[Numéro projet]],Portefeuille_MNT_PPS_Access27[Numéro projet],Portefeuille_MNT_PPS_Access27[Critère Etat Infrastructure])</f>
        <v>4</v>
      </c>
      <c r="AG13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41.666666666666671</v>
      </c>
      <c r="AH134" s="221"/>
      <c r="AL134"/>
      <c r="AU134">
        <v>100</v>
      </c>
      <c r="AV134"/>
      <c r="AW134">
        <v>200</v>
      </c>
      <c r="AY134">
        <v>450</v>
      </c>
      <c r="AZ134">
        <v>7500</v>
      </c>
      <c r="BI134" s="14">
        <f>SUM(Portefeuille_MNT_PPS_Access28[[#This Row],[AC ANT]:[TR 2035]])</f>
        <v>8250</v>
      </c>
    </row>
    <row r="135" spans="1:61" x14ac:dyDescent="0.3">
      <c r="A135" t="s">
        <v>286</v>
      </c>
      <c r="B135" t="s">
        <v>663</v>
      </c>
      <c r="D135" t="s">
        <v>101</v>
      </c>
      <c r="E135" t="s">
        <v>102</v>
      </c>
      <c r="F135" t="s">
        <v>136</v>
      </c>
      <c r="G135" t="s">
        <v>104</v>
      </c>
      <c r="H135" t="s">
        <v>20</v>
      </c>
      <c r="I135" t="s">
        <v>20</v>
      </c>
      <c r="J135" t="s">
        <v>105</v>
      </c>
      <c r="K135" s="2">
        <v>154160749</v>
      </c>
      <c r="L135" t="s">
        <v>369</v>
      </c>
      <c r="M135" t="s">
        <v>217</v>
      </c>
      <c r="N135">
        <f>_xlfn.XLOOKUP(Portefeuille_MNT_PPS_Access28[[#This Row],[Numéro projet]], Portefeuille_MNT_PPS_Access20[Numéro projet], Portefeuille_MNT_PPS_Access20[Année DÉBUT Travaux prévu], "")</f>
        <v>2031</v>
      </c>
      <c r="O135" t="s">
        <v>370</v>
      </c>
      <c r="P135">
        <f>Portefeuille_MNT_PPS_Access28[[#This Row],[Année DÉBUT Travaux proposé]]-Portefeuille_MNT_PPS_Access28[[#This Row],[Année DÉBUT Travaux Prog actuel]]</f>
        <v>0</v>
      </c>
      <c r="Q135" t="s">
        <v>291</v>
      </c>
      <c r="R135" s="1"/>
      <c r="S135" s="1"/>
      <c r="T135" s="1"/>
      <c r="U13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5">
        <f>Portefeuille_MNT_PPS_Access28[[#This Row],[Délais PC1 et PC3]]+Portefeuille_MNT_PPS_Access28[[#This Row],[Délais PC3 et PC5]]</f>
        <v>0</v>
      </c>
      <c r="AB135">
        <v>1</v>
      </c>
      <c r="AD135" t="s">
        <v>311</v>
      </c>
      <c r="AE135">
        <v>2.6666666666666665</v>
      </c>
      <c r="AF135" s="2">
        <f>_xlfn.XLOOKUP(Portefeuille_MNT_PPS_Access28[[#This Row],[Numéro projet]],Portefeuille_MNT_PPS_Access27[Numéro projet],Portefeuille_MNT_PPS_Access27[Critère Etat Infrastructure])</f>
        <v>4</v>
      </c>
      <c r="AG13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38.333333333333336</v>
      </c>
      <c r="AH135" s="221"/>
      <c r="AL135"/>
      <c r="AQ135">
        <v>250</v>
      </c>
      <c r="AS135">
        <v>250</v>
      </c>
      <c r="AU135">
        <v>200</v>
      </c>
      <c r="AV135"/>
      <c r="AW135">
        <v>200</v>
      </c>
      <c r="AY135">
        <v>500</v>
      </c>
      <c r="AZ135">
        <v>5700</v>
      </c>
      <c r="BA135">
        <v>500</v>
      </c>
      <c r="BB135">
        <v>5500</v>
      </c>
      <c r="BC135">
        <v>500</v>
      </c>
      <c r="BD135">
        <v>6700</v>
      </c>
      <c r="BI135" s="14">
        <f>SUM(Portefeuille_MNT_PPS_Access28[[#This Row],[AC ANT]:[TR 2035]])</f>
        <v>20300</v>
      </c>
    </row>
    <row r="136" spans="1:61" x14ac:dyDescent="0.3">
      <c r="A136" t="s">
        <v>286</v>
      </c>
      <c r="B136" t="s">
        <v>664</v>
      </c>
      <c r="D136" t="s">
        <v>101</v>
      </c>
      <c r="E136" t="s">
        <v>102</v>
      </c>
      <c r="F136" t="s">
        <v>389</v>
      </c>
      <c r="H136" t="s">
        <v>20</v>
      </c>
      <c r="I136" t="s">
        <v>20</v>
      </c>
      <c r="J136" t="s">
        <v>105</v>
      </c>
      <c r="K136" s="2">
        <v>154220360</v>
      </c>
      <c r="L136" t="s">
        <v>433</v>
      </c>
      <c r="M136" t="s">
        <v>143</v>
      </c>
      <c r="N136">
        <f>_xlfn.XLOOKUP(Portefeuille_MNT_PPS_Access28[[#This Row],[Numéro projet]], Portefeuille_MNT_PPS_Access20[Numéro projet], Portefeuille_MNT_PPS_Access20[Année DÉBUT Travaux prévu], "")</f>
        <v>2031</v>
      </c>
      <c r="O136" t="s">
        <v>370</v>
      </c>
      <c r="P136">
        <f>Portefeuille_MNT_PPS_Access28[[#This Row],[Année DÉBUT Travaux proposé]]-Portefeuille_MNT_PPS_Access28[[#This Row],[Année DÉBUT Travaux Prog actuel]]</f>
        <v>0</v>
      </c>
      <c r="Q136" t="s">
        <v>291</v>
      </c>
      <c r="R136" s="1"/>
      <c r="S136" s="1"/>
      <c r="T136" s="1"/>
      <c r="U13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6">
        <f>Portefeuille_MNT_PPS_Access28[[#This Row],[Délais PC1 et PC3]]+Portefeuille_MNT_PPS_Access28[[#This Row],[Délais PC3 et PC5]]</f>
        <v>0</v>
      </c>
      <c r="AB136">
        <v>1</v>
      </c>
      <c r="AD136" t="s">
        <v>311</v>
      </c>
      <c r="AE136">
        <v>4.333333333333333</v>
      </c>
      <c r="AF136" s="2">
        <f>_xlfn.XLOOKUP(Portefeuille_MNT_PPS_Access28[[#This Row],[Numéro projet]],Portefeuille_MNT_PPS_Access27[Numéro projet],Portefeuille_MNT_PPS_Access27[Critère Etat Infrastructure])</f>
        <v>4</v>
      </c>
      <c r="AG13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46.666666666666664</v>
      </c>
      <c r="AH136" s="221"/>
      <c r="AL136"/>
      <c r="AV136"/>
      <c r="AW136">
        <v>100</v>
      </c>
      <c r="AY136">
        <v>200</v>
      </c>
      <c r="AZ136">
        <v>5000</v>
      </c>
      <c r="BI136" s="14">
        <f>SUM(Portefeuille_MNT_PPS_Access28[[#This Row],[AC ANT]:[TR 2035]])</f>
        <v>5300</v>
      </c>
    </row>
    <row r="137" spans="1:61" x14ac:dyDescent="0.3">
      <c r="A137" t="s">
        <v>286</v>
      </c>
      <c r="B137" t="s">
        <v>295</v>
      </c>
      <c r="D137" t="s">
        <v>126</v>
      </c>
      <c r="E137" t="s">
        <v>127</v>
      </c>
      <c r="F137" t="s">
        <v>103</v>
      </c>
      <c r="G137" t="s">
        <v>113</v>
      </c>
      <c r="H137" t="s">
        <v>20</v>
      </c>
      <c r="I137" t="s">
        <v>20</v>
      </c>
      <c r="J137" t="s">
        <v>105</v>
      </c>
      <c r="K137" s="2">
        <v>154230840</v>
      </c>
      <c r="L137" t="s">
        <v>526</v>
      </c>
      <c r="M137" t="s">
        <v>168</v>
      </c>
      <c r="N137" s="103">
        <f>_xlfn.XLOOKUP(Portefeuille_MNT_PPS_Access28[[#This Row],[Numéro projet]], Portefeuille_MNT_PPS_Access20[Numéro projet], Portefeuille_MNT_PPS_Access20[Année DÉBUT Travaux prévu], "")</f>
        <v>2030</v>
      </c>
      <c r="O137" s="103" t="s">
        <v>421</v>
      </c>
      <c r="P137">
        <f>Portefeuille_MNT_PPS_Access28[[#This Row],[Année DÉBUT Travaux proposé]]-Portefeuille_MNT_PPS_Access28[[#This Row],[Année DÉBUT Travaux Prog actuel]]</f>
        <v>2</v>
      </c>
      <c r="Q137" t="s">
        <v>291</v>
      </c>
      <c r="R137" s="1"/>
      <c r="S137" s="1"/>
      <c r="T137" s="1"/>
      <c r="U13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7">
        <f>Portefeuille_MNT_PPS_Access28[[#This Row],[Délais PC1 et PC3]]+Portefeuille_MNT_PPS_Access28[[#This Row],[Délais PC3 et PC5]]</f>
        <v>0</v>
      </c>
      <c r="AB137">
        <v>1</v>
      </c>
      <c r="AD137" t="s">
        <v>311</v>
      </c>
      <c r="AE137">
        <v>3.3333333333333335</v>
      </c>
      <c r="AF137" s="2">
        <f>_xlfn.XLOOKUP(Portefeuille_MNT_PPS_Access28[[#This Row],[Numéro projet]],Portefeuille_MNT_PPS_Access27[Numéro projet],Portefeuille_MNT_PPS_Access27[Critère Etat Infrastructure])</f>
        <v>3</v>
      </c>
      <c r="AG13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37" s="221"/>
      <c r="AL137"/>
      <c r="AV137"/>
      <c r="AW137">
        <v>200</v>
      </c>
      <c r="AY137">
        <v>200</v>
      </c>
      <c r="BA137">
        <v>500</v>
      </c>
      <c r="BB137">
        <v>7500</v>
      </c>
      <c r="BC137">
        <v>500</v>
      </c>
      <c r="BD137">
        <v>7500</v>
      </c>
      <c r="BI137" s="14">
        <f>SUM(Portefeuille_MNT_PPS_Access28[[#This Row],[AC ANT]:[TR 2035]])</f>
        <v>16400</v>
      </c>
    </row>
    <row r="138" spans="1:61" x14ac:dyDescent="0.3">
      <c r="A138" t="s">
        <v>286</v>
      </c>
      <c r="B138" t="s">
        <v>663</v>
      </c>
      <c r="D138" t="s">
        <v>101</v>
      </c>
      <c r="E138" t="s">
        <v>102</v>
      </c>
      <c r="F138" t="s">
        <v>136</v>
      </c>
      <c r="H138" t="s">
        <v>20</v>
      </c>
      <c r="I138" t="s">
        <v>20</v>
      </c>
      <c r="J138" t="s">
        <v>105</v>
      </c>
      <c r="K138" s="2">
        <v>154240501</v>
      </c>
      <c r="L138" t="s">
        <v>455</v>
      </c>
      <c r="M138" t="s">
        <v>143</v>
      </c>
      <c r="N138" s="103">
        <f>_xlfn.XLOOKUP(Portefeuille_MNT_PPS_Access28[[#This Row],[Numéro projet]], Portefeuille_MNT_PPS_Access20[Numéro projet], Portefeuille_MNT_PPS_Access20[Année DÉBUT Travaux prévu], "")</f>
        <v>2031</v>
      </c>
      <c r="O138" s="103" t="s">
        <v>421</v>
      </c>
      <c r="P138">
        <f>Portefeuille_MNT_PPS_Access28[[#This Row],[Année DÉBUT Travaux proposé]]-Portefeuille_MNT_PPS_Access28[[#This Row],[Année DÉBUT Travaux Prog actuel]]</f>
        <v>1</v>
      </c>
      <c r="Q138" t="s">
        <v>291</v>
      </c>
      <c r="R138" s="1"/>
      <c r="S138" s="1"/>
      <c r="T138" s="1"/>
      <c r="U13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8">
        <f>Portefeuille_MNT_PPS_Access28[[#This Row],[Délais PC1 et PC3]]+Portefeuille_MNT_PPS_Access28[[#This Row],[Délais PC3 et PC5]]</f>
        <v>0</v>
      </c>
      <c r="AB138">
        <v>1</v>
      </c>
      <c r="AD138" t="s">
        <v>311</v>
      </c>
      <c r="AE138">
        <v>4.333333333333333</v>
      </c>
      <c r="AF138" s="2">
        <f>_xlfn.XLOOKUP(Portefeuille_MNT_PPS_Access28[[#This Row],[Numéro projet]],Portefeuille_MNT_PPS_Access27[Numéro projet],Portefeuille_MNT_PPS_Access27[Critère Etat Infrastructure])</f>
        <v>3</v>
      </c>
      <c r="AG13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41.666666666666664</v>
      </c>
      <c r="AH138" s="221"/>
      <c r="AL138"/>
      <c r="AU138">
        <v>150</v>
      </c>
      <c r="AV138"/>
      <c r="AW138">
        <v>150</v>
      </c>
      <c r="AY138">
        <v>500</v>
      </c>
      <c r="BA138">
        <v>500</v>
      </c>
      <c r="BB138">
        <v>5000</v>
      </c>
      <c r="BC138">
        <v>500</v>
      </c>
      <c r="BD138">
        <v>5000</v>
      </c>
      <c r="BI138" s="14">
        <f>SUM(Portefeuille_MNT_PPS_Access28[[#This Row],[AC ANT]:[TR 2035]])</f>
        <v>11800</v>
      </c>
    </row>
    <row r="139" spans="1:61" x14ac:dyDescent="0.3">
      <c r="A139" t="s">
        <v>286</v>
      </c>
      <c r="B139" t="s">
        <v>662</v>
      </c>
      <c r="D139" t="s">
        <v>118</v>
      </c>
      <c r="E139" t="s">
        <v>102</v>
      </c>
      <c r="F139" t="s">
        <v>136</v>
      </c>
      <c r="H139" t="s">
        <v>20</v>
      </c>
      <c r="I139" t="s">
        <v>20</v>
      </c>
      <c r="J139" t="s">
        <v>131</v>
      </c>
      <c r="K139" s="2">
        <v>154240509</v>
      </c>
      <c r="L139" t="s">
        <v>471</v>
      </c>
      <c r="M139" t="s">
        <v>191</v>
      </c>
      <c r="N139" s="103">
        <f>_xlfn.XLOOKUP(Portefeuille_MNT_PPS_Access28[[#This Row],[Numéro projet]], Portefeuille_MNT_PPS_Access20[Numéro projet], Portefeuille_MNT_PPS_Access20[Année DÉBUT Travaux prévu], "")</f>
        <v>2031</v>
      </c>
      <c r="O139" s="103" t="s">
        <v>421</v>
      </c>
      <c r="P139">
        <f>Portefeuille_MNT_PPS_Access28[[#This Row],[Année DÉBUT Travaux proposé]]-Portefeuille_MNT_PPS_Access28[[#This Row],[Année DÉBUT Travaux Prog actuel]]</f>
        <v>1</v>
      </c>
      <c r="Q139" t="s">
        <v>291</v>
      </c>
      <c r="R139" s="1"/>
      <c r="S139" s="1"/>
      <c r="T139" s="1"/>
      <c r="U13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3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3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3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3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39">
        <f>Portefeuille_MNT_PPS_Access28[[#This Row],[Délais PC1 et PC3]]+Portefeuille_MNT_PPS_Access28[[#This Row],[Délais PC3 et PC5]]</f>
        <v>0</v>
      </c>
      <c r="AB139">
        <v>1</v>
      </c>
      <c r="AD139" t="s">
        <v>311</v>
      </c>
      <c r="AE139">
        <v>1.6666666666666667</v>
      </c>
      <c r="AF139" s="2">
        <f>_xlfn.XLOOKUP(Portefeuille_MNT_PPS_Access28[[#This Row],[Numéro projet]],Portefeuille_MNT_PPS_Access27[Numéro projet],Portefeuille_MNT_PPS_Access27[Critère Etat Infrastructure])</f>
        <v>4</v>
      </c>
      <c r="AG13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33.333333333333329</v>
      </c>
      <c r="AH139" s="221"/>
      <c r="AL139"/>
      <c r="AU139">
        <v>100</v>
      </c>
      <c r="AV139"/>
      <c r="AW139">
        <v>100</v>
      </c>
      <c r="AY139">
        <v>200</v>
      </c>
      <c r="BA139">
        <v>500</v>
      </c>
      <c r="BB139">
        <v>3000</v>
      </c>
      <c r="BC139">
        <v>500</v>
      </c>
      <c r="BD139">
        <v>3000</v>
      </c>
      <c r="BI139" s="14">
        <f>SUM(Portefeuille_MNT_PPS_Access28[[#This Row],[AC ANT]:[TR 2035]])</f>
        <v>7400</v>
      </c>
    </row>
    <row r="140" spans="1:61" x14ac:dyDescent="0.3">
      <c r="A140" t="s">
        <v>286</v>
      </c>
      <c r="B140" t="s">
        <v>662</v>
      </c>
      <c r="D140" t="s">
        <v>118</v>
      </c>
      <c r="E140" t="s">
        <v>102</v>
      </c>
      <c r="F140" t="s">
        <v>103</v>
      </c>
      <c r="H140" t="s">
        <v>20</v>
      </c>
      <c r="I140" t="s">
        <v>20</v>
      </c>
      <c r="J140" t="s">
        <v>131</v>
      </c>
      <c r="K140" s="2">
        <v>154220352</v>
      </c>
      <c r="L140" t="s">
        <v>530</v>
      </c>
      <c r="M140" t="s">
        <v>420</v>
      </c>
      <c r="N140">
        <f>_xlfn.XLOOKUP(Portefeuille_MNT_PPS_Access28[[#This Row],[Numéro projet]], Portefeuille_MNT_PPS_Access20[Numéro projet], Portefeuille_MNT_PPS_Access20[Année DÉBUT Travaux prévu], "")</f>
        <v>2032</v>
      </c>
      <c r="O140" t="s">
        <v>421</v>
      </c>
      <c r="P140">
        <f>Portefeuille_MNT_PPS_Access28[[#This Row],[Année DÉBUT Travaux proposé]]-Portefeuille_MNT_PPS_Access28[[#This Row],[Année DÉBUT Travaux Prog actuel]]</f>
        <v>0</v>
      </c>
      <c r="Q140" t="s">
        <v>291</v>
      </c>
      <c r="R140" s="1"/>
      <c r="S140" s="1"/>
      <c r="T140" s="1"/>
      <c r="U14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0">
        <f>Portefeuille_MNT_PPS_Access28[[#This Row],[Délais PC1 et PC3]]+Portefeuille_MNT_PPS_Access28[[#This Row],[Délais PC3 et PC5]]</f>
        <v>0</v>
      </c>
      <c r="AB140">
        <v>1</v>
      </c>
      <c r="AD140" t="s">
        <v>311</v>
      </c>
      <c r="AE140">
        <v>3.6666666666666665</v>
      </c>
      <c r="AF140" s="2">
        <f>_xlfn.XLOOKUP(Portefeuille_MNT_PPS_Access28[[#This Row],[Numéro projet]],Portefeuille_MNT_PPS_Access27[Numéro projet],Portefeuille_MNT_PPS_Access27[Critère Etat Infrastructure])</f>
        <v>4</v>
      </c>
      <c r="AG14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43.333333333333329</v>
      </c>
      <c r="AH140" s="221"/>
      <c r="AL140"/>
      <c r="AV140"/>
      <c r="AW140">
        <v>100</v>
      </c>
      <c r="AY140">
        <v>200</v>
      </c>
      <c r="BA140">
        <v>450</v>
      </c>
      <c r="BB140">
        <v>7500</v>
      </c>
      <c r="BI140" s="14">
        <f>SUM(Portefeuille_MNT_PPS_Access28[[#This Row],[AC ANT]:[TR 2035]])</f>
        <v>8250</v>
      </c>
    </row>
    <row r="141" spans="1:61" x14ac:dyDescent="0.3">
      <c r="A141" t="s">
        <v>286</v>
      </c>
      <c r="B141" t="s">
        <v>662</v>
      </c>
      <c r="D141" t="s">
        <v>118</v>
      </c>
      <c r="E141" t="s">
        <v>102</v>
      </c>
      <c r="F141" t="s">
        <v>103</v>
      </c>
      <c r="G141" t="s">
        <v>113</v>
      </c>
      <c r="H141" t="s">
        <v>20</v>
      </c>
      <c r="I141" t="s">
        <v>20</v>
      </c>
      <c r="J141" t="s">
        <v>131</v>
      </c>
      <c r="K141" s="2">
        <v>154220353</v>
      </c>
      <c r="L141" t="s">
        <v>423</v>
      </c>
      <c r="M141" t="s">
        <v>139</v>
      </c>
      <c r="N141" s="103">
        <f>_xlfn.XLOOKUP(Portefeuille_MNT_PPS_Access28[[#This Row],[Numéro projet]], Portefeuille_MNT_PPS_Access20[Numéro projet], Portefeuille_MNT_PPS_Access20[Année DÉBUT Travaux prévu], "")</f>
        <v>2029</v>
      </c>
      <c r="O141" s="213" t="s">
        <v>392</v>
      </c>
      <c r="P141" s="2">
        <f>Portefeuille_MNT_PPS_Access28[[#This Row],[Année DÉBUT Travaux proposé]]-Portefeuille_MNT_PPS_Access28[[#This Row],[Année DÉBUT Travaux Prog actuel]]</f>
        <v>4</v>
      </c>
      <c r="Q141" t="s">
        <v>291</v>
      </c>
      <c r="R141" s="1"/>
      <c r="S141" s="1"/>
      <c r="T141" s="1"/>
      <c r="U14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1">
        <f>Portefeuille_MNT_PPS_Access28[[#This Row],[Délais PC1 et PC3]]+Portefeuille_MNT_PPS_Access28[[#This Row],[Délais PC3 et PC5]]</f>
        <v>0</v>
      </c>
      <c r="AB141">
        <v>1</v>
      </c>
      <c r="AD141" t="s">
        <v>311</v>
      </c>
      <c r="AE141">
        <v>2</v>
      </c>
      <c r="AF141" s="2">
        <f>_xlfn.XLOOKUP(Portefeuille_MNT_PPS_Access28[[#This Row],[Numéro projet]],Portefeuille_MNT_PPS_Access27[Numéro projet],Portefeuille_MNT_PPS_Access27[Critère Etat Infrastructure])</f>
        <v>4</v>
      </c>
      <c r="AG14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35</v>
      </c>
      <c r="AH141" s="221"/>
      <c r="AL141"/>
      <c r="AV141"/>
      <c r="AY141">
        <v>100</v>
      </c>
      <c r="BA141">
        <v>200</v>
      </c>
      <c r="BC141">
        <v>250</v>
      </c>
      <c r="BD141">
        <v>7500</v>
      </c>
      <c r="BI141" s="14">
        <f>SUM(Portefeuille_MNT_PPS_Access28[[#This Row],[AC ANT]:[TR 2035]])</f>
        <v>8050</v>
      </c>
    </row>
    <row r="142" spans="1:61" x14ac:dyDescent="0.3">
      <c r="A142" t="s">
        <v>286</v>
      </c>
      <c r="B142" t="s">
        <v>664</v>
      </c>
      <c r="D142" t="s">
        <v>101</v>
      </c>
      <c r="E142" t="s">
        <v>102</v>
      </c>
      <c r="F142" t="s">
        <v>389</v>
      </c>
      <c r="H142" t="s">
        <v>20</v>
      </c>
      <c r="I142" t="s">
        <v>20</v>
      </c>
      <c r="J142" t="s">
        <v>105</v>
      </c>
      <c r="K142" s="2">
        <v>154220359</v>
      </c>
      <c r="L142" t="s">
        <v>429</v>
      </c>
      <c r="M142" t="s">
        <v>302</v>
      </c>
      <c r="N142" s="103">
        <f>_xlfn.XLOOKUP(Portefeuille_MNT_PPS_Access28[[#This Row],[Numéro projet]], Portefeuille_MNT_PPS_Access20[Numéro projet], Portefeuille_MNT_PPS_Access20[Année DÉBUT Travaux prévu], "")</f>
        <v>2032</v>
      </c>
      <c r="O142" s="103" t="s">
        <v>392</v>
      </c>
      <c r="P142">
        <f>Portefeuille_MNT_PPS_Access28[[#This Row],[Année DÉBUT Travaux proposé]]-Portefeuille_MNT_PPS_Access28[[#This Row],[Année DÉBUT Travaux Prog actuel]]</f>
        <v>1</v>
      </c>
      <c r="Q142" t="s">
        <v>291</v>
      </c>
      <c r="R142" s="1"/>
      <c r="S142" s="1"/>
      <c r="T142" s="1"/>
      <c r="U14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2">
        <f>Portefeuille_MNT_PPS_Access28[[#This Row],[Délais PC1 et PC3]]+Portefeuille_MNT_PPS_Access28[[#This Row],[Délais PC3 et PC5]]</f>
        <v>0</v>
      </c>
      <c r="AB142">
        <v>1</v>
      </c>
      <c r="AD142" t="s">
        <v>311</v>
      </c>
      <c r="AE142">
        <v>4</v>
      </c>
      <c r="AF142" s="2">
        <f>_xlfn.XLOOKUP(Portefeuille_MNT_PPS_Access28[[#This Row],[Numéro projet]],Portefeuille_MNT_PPS_Access27[Numéro projet],Portefeuille_MNT_PPS_Access27[Critère Etat Infrastructure])</f>
        <v>4</v>
      </c>
      <c r="AG14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42" s="221"/>
      <c r="AL142"/>
      <c r="AV142"/>
      <c r="BA142">
        <v>100</v>
      </c>
      <c r="BC142">
        <v>200</v>
      </c>
      <c r="BD142">
        <v>5000</v>
      </c>
      <c r="BI142" s="14">
        <f>SUM(Portefeuille_MNT_PPS_Access28[[#This Row],[AC ANT]:[TR 2035]])</f>
        <v>5300</v>
      </c>
    </row>
    <row r="143" spans="1:61" x14ac:dyDescent="0.3">
      <c r="A143" t="s">
        <v>286</v>
      </c>
      <c r="B143" t="s">
        <v>662</v>
      </c>
      <c r="D143" t="s">
        <v>118</v>
      </c>
      <c r="E143" t="s">
        <v>102</v>
      </c>
      <c r="F143" t="s">
        <v>389</v>
      </c>
      <c r="H143" t="s">
        <v>20</v>
      </c>
      <c r="I143" t="s">
        <v>20</v>
      </c>
      <c r="J143" t="s">
        <v>105</v>
      </c>
      <c r="K143" s="2">
        <v>154220358</v>
      </c>
      <c r="L143" t="s">
        <v>425</v>
      </c>
      <c r="M143" t="s">
        <v>205</v>
      </c>
      <c r="N143">
        <f>_xlfn.XLOOKUP(Portefeuille_MNT_PPS_Access28[[#This Row],[Numéro projet]], Portefeuille_MNT_PPS_Access20[Numéro projet], Portefeuille_MNT_PPS_Access20[Année DÉBUT Travaux prévu], "")</f>
        <v>2033</v>
      </c>
      <c r="O143" t="s">
        <v>392</v>
      </c>
      <c r="P143">
        <f>Portefeuille_MNT_PPS_Access28[[#This Row],[Année DÉBUT Travaux proposé]]-Portefeuille_MNT_PPS_Access28[[#This Row],[Année DÉBUT Travaux Prog actuel]]</f>
        <v>0</v>
      </c>
      <c r="Q143" t="s">
        <v>291</v>
      </c>
      <c r="R143" s="1"/>
      <c r="S143" s="1"/>
      <c r="T143" s="1"/>
      <c r="U14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3">
        <f>Portefeuille_MNT_PPS_Access28[[#This Row],[Délais PC1 et PC3]]+Portefeuille_MNT_PPS_Access28[[#This Row],[Délais PC3 et PC5]]</f>
        <v>0</v>
      </c>
      <c r="AB143">
        <v>1</v>
      </c>
      <c r="AD143" t="s">
        <v>311</v>
      </c>
      <c r="AE143">
        <v>3</v>
      </c>
      <c r="AF143" s="2">
        <f>_xlfn.XLOOKUP(Portefeuille_MNT_PPS_Access28[[#This Row],[Numéro projet]],Portefeuille_MNT_PPS_Access27[Numéro projet],Portefeuille_MNT_PPS_Access27[Critère Etat Infrastructure])</f>
        <v>4</v>
      </c>
      <c r="AG14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43" s="221"/>
      <c r="AL143"/>
      <c r="AV143"/>
      <c r="AY143">
        <v>100</v>
      </c>
      <c r="BA143">
        <v>100</v>
      </c>
      <c r="BC143">
        <v>200</v>
      </c>
      <c r="BD143">
        <v>5000</v>
      </c>
      <c r="BI143" s="14">
        <f>SUM(Portefeuille_MNT_PPS_Access28[[#This Row],[AC ANT]:[TR 2035]])</f>
        <v>5400</v>
      </c>
    </row>
    <row r="144" spans="1:61" x14ac:dyDescent="0.3">
      <c r="A144" t="s">
        <v>286</v>
      </c>
      <c r="B144" t="s">
        <v>663</v>
      </c>
      <c r="D144" t="s">
        <v>101</v>
      </c>
      <c r="E144" t="s">
        <v>102</v>
      </c>
      <c r="F144" t="s">
        <v>136</v>
      </c>
      <c r="H144" t="s">
        <v>20</v>
      </c>
      <c r="I144" t="s">
        <v>20</v>
      </c>
      <c r="J144" t="s">
        <v>105</v>
      </c>
      <c r="K144" s="2">
        <v>154240503</v>
      </c>
      <c r="L144" t="s">
        <v>459</v>
      </c>
      <c r="M144" t="s">
        <v>239</v>
      </c>
      <c r="N144">
        <f>_xlfn.XLOOKUP(Portefeuille_MNT_PPS_Access28[[#This Row],[Numéro projet]], Portefeuille_MNT_PPS_Access20[Numéro projet], Portefeuille_MNT_PPS_Access20[Année DÉBUT Travaux prévu], "")</f>
        <v>2033</v>
      </c>
      <c r="O144" t="s">
        <v>392</v>
      </c>
      <c r="P144">
        <f>Portefeuille_MNT_PPS_Access28[[#This Row],[Année DÉBUT Travaux proposé]]-Portefeuille_MNT_PPS_Access28[[#This Row],[Année DÉBUT Travaux Prog actuel]]</f>
        <v>0</v>
      </c>
      <c r="Q144" t="s">
        <v>291</v>
      </c>
      <c r="R144" s="1"/>
      <c r="S144" s="1"/>
      <c r="T144" s="1"/>
      <c r="U14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4">
        <f>Portefeuille_MNT_PPS_Access28[[#This Row],[Délais PC1 et PC3]]+Portefeuille_MNT_PPS_Access28[[#This Row],[Délais PC3 et PC5]]</f>
        <v>0</v>
      </c>
      <c r="AB144">
        <v>1</v>
      </c>
      <c r="AD144" t="s">
        <v>311</v>
      </c>
      <c r="AE144">
        <v>3.3333333333333335</v>
      </c>
      <c r="AF144" s="2">
        <f>_xlfn.XLOOKUP(Portefeuille_MNT_PPS_Access28[[#This Row],[Numéro projet]],Portefeuille_MNT_PPS_Access27[Numéro projet],Portefeuille_MNT_PPS_Access27[Critère Etat Infrastructure])</f>
        <v>3</v>
      </c>
      <c r="AG14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44" s="221"/>
      <c r="AL144"/>
      <c r="AV144"/>
      <c r="AY144">
        <v>150</v>
      </c>
      <c r="BA144">
        <v>150</v>
      </c>
      <c r="BC144">
        <v>500</v>
      </c>
      <c r="BD144">
        <v>6500</v>
      </c>
      <c r="BI144" s="14">
        <f>SUM(Portefeuille_MNT_PPS_Access28[[#This Row],[AC ANT]:[TR 2035]])</f>
        <v>7300</v>
      </c>
    </row>
    <row r="145" spans="1:63" x14ac:dyDescent="0.3">
      <c r="A145" t="s">
        <v>286</v>
      </c>
      <c r="B145" t="s">
        <v>663</v>
      </c>
      <c r="D145" t="s">
        <v>101</v>
      </c>
      <c r="E145" t="s">
        <v>102</v>
      </c>
      <c r="F145" t="s">
        <v>136</v>
      </c>
      <c r="H145" t="s">
        <v>20</v>
      </c>
      <c r="I145" t="s">
        <v>20</v>
      </c>
      <c r="J145" t="s">
        <v>105</v>
      </c>
      <c r="K145" s="2">
        <v>154240505</v>
      </c>
      <c r="L145" t="s">
        <v>463</v>
      </c>
      <c r="M145" t="s">
        <v>230</v>
      </c>
      <c r="N145">
        <f>_xlfn.XLOOKUP(Portefeuille_MNT_PPS_Access28[[#This Row],[Numéro projet]], Portefeuille_MNT_PPS_Access20[Numéro projet], Portefeuille_MNT_PPS_Access20[Année DÉBUT Travaux prévu], "")</f>
        <v>2033</v>
      </c>
      <c r="O145" t="s">
        <v>392</v>
      </c>
      <c r="P145">
        <f>Portefeuille_MNT_PPS_Access28[[#This Row],[Année DÉBUT Travaux proposé]]-Portefeuille_MNT_PPS_Access28[[#This Row],[Année DÉBUT Travaux Prog actuel]]</f>
        <v>0</v>
      </c>
      <c r="Q145" t="s">
        <v>291</v>
      </c>
      <c r="R145" s="1"/>
      <c r="S145" s="1"/>
      <c r="T145" s="1"/>
      <c r="U14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5">
        <f>Portefeuille_MNT_PPS_Access28[[#This Row],[Délais PC1 et PC3]]+Portefeuille_MNT_PPS_Access28[[#This Row],[Délais PC3 et PC5]]</f>
        <v>0</v>
      </c>
      <c r="AB145">
        <v>1</v>
      </c>
      <c r="AD145" t="s">
        <v>311</v>
      </c>
      <c r="AE145">
        <v>3</v>
      </c>
      <c r="AF145" s="2">
        <f>_xlfn.XLOOKUP(Portefeuille_MNT_PPS_Access28[[#This Row],[Numéro projet]],Portefeuille_MNT_PPS_Access27[Numéro projet],Portefeuille_MNT_PPS_Access27[Critère Etat Infrastructure])</f>
        <v>3</v>
      </c>
      <c r="AG14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35</v>
      </c>
      <c r="AH145" s="221"/>
      <c r="AL145"/>
      <c r="AV145"/>
      <c r="AY145">
        <v>150</v>
      </c>
      <c r="BA145">
        <v>150</v>
      </c>
      <c r="BC145">
        <v>500</v>
      </c>
      <c r="BD145">
        <v>6800</v>
      </c>
      <c r="BI145" s="14">
        <f>SUM(Portefeuille_MNT_PPS_Access28[[#This Row],[AC ANT]:[TR 2035]])</f>
        <v>7600</v>
      </c>
    </row>
    <row r="146" spans="1:63" x14ac:dyDescent="0.3">
      <c r="A146" t="s">
        <v>286</v>
      </c>
      <c r="B146" t="s">
        <v>663</v>
      </c>
      <c r="D146" t="s">
        <v>101</v>
      </c>
      <c r="E146" t="s">
        <v>102</v>
      </c>
      <c r="F146" t="s">
        <v>136</v>
      </c>
      <c r="H146" t="s">
        <v>20</v>
      </c>
      <c r="I146" t="s">
        <v>20</v>
      </c>
      <c r="J146" t="s">
        <v>105</v>
      </c>
      <c r="K146" s="2">
        <v>154240502</v>
      </c>
      <c r="L146" t="s">
        <v>457</v>
      </c>
      <c r="M146" t="s">
        <v>402</v>
      </c>
      <c r="N146" s="103">
        <f>_xlfn.XLOOKUP(Portefeuille_MNT_PPS_Access28[[#This Row],[Numéro projet]], Portefeuille_MNT_PPS_Access20[Numéro projet], Portefeuille_MNT_PPS_Access20[Année DÉBUT Travaux prévu], "")</f>
        <v>2033</v>
      </c>
      <c r="O146" s="103" t="s">
        <v>395</v>
      </c>
      <c r="P146">
        <f>Portefeuille_MNT_PPS_Access28[[#This Row],[Année DÉBUT Travaux proposé]]-Portefeuille_MNT_PPS_Access28[[#This Row],[Année DÉBUT Travaux Prog actuel]]</f>
        <v>1</v>
      </c>
      <c r="Q146" t="s">
        <v>291</v>
      </c>
      <c r="R146" s="1"/>
      <c r="S146" s="1"/>
      <c r="T146" s="1"/>
      <c r="U14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6">
        <f>Portefeuille_MNT_PPS_Access28[[#This Row],[Délais PC1 et PC3]]+Portefeuille_MNT_PPS_Access28[[#This Row],[Délais PC3 et PC5]]</f>
        <v>0</v>
      </c>
      <c r="AB146">
        <v>1</v>
      </c>
      <c r="AD146" t="s">
        <v>311</v>
      </c>
      <c r="AE146">
        <v>2.6666666666666665</v>
      </c>
      <c r="AF146" s="2">
        <f>_xlfn.XLOOKUP(Portefeuille_MNT_PPS_Access28[[#This Row],[Numéro projet]],Portefeuille_MNT_PPS_Access27[Numéro projet],Portefeuille_MNT_PPS_Access27[Critère Etat Infrastructure])</f>
        <v>3</v>
      </c>
      <c r="AG14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33.333333333333329</v>
      </c>
      <c r="AH146" s="221"/>
      <c r="AL146"/>
      <c r="AV146"/>
      <c r="BA146">
        <v>150</v>
      </c>
      <c r="BC146">
        <v>150</v>
      </c>
      <c r="BE146">
        <v>500</v>
      </c>
      <c r="BF146">
        <v>6800</v>
      </c>
      <c r="BI146" s="14">
        <f>SUM(Portefeuille_MNT_PPS_Access28[[#This Row],[AC ANT]:[TR 2035]])</f>
        <v>7600</v>
      </c>
    </row>
    <row r="147" spans="1:63" x14ac:dyDescent="0.3">
      <c r="A147" t="s">
        <v>286</v>
      </c>
      <c r="B147" t="s">
        <v>663</v>
      </c>
      <c r="D147" t="s">
        <v>101</v>
      </c>
      <c r="E147" t="s">
        <v>102</v>
      </c>
      <c r="F147" t="s">
        <v>136</v>
      </c>
      <c r="H147" t="s">
        <v>20</v>
      </c>
      <c r="I147" t="s">
        <v>20</v>
      </c>
      <c r="J147" t="s">
        <v>105</v>
      </c>
      <c r="K147" s="2">
        <v>154240506</v>
      </c>
      <c r="L147" t="s">
        <v>465</v>
      </c>
      <c r="M147" t="s">
        <v>116</v>
      </c>
      <c r="N147" s="103">
        <f>_xlfn.XLOOKUP(Portefeuille_MNT_PPS_Access28[[#This Row],[Numéro projet]], Portefeuille_MNT_PPS_Access20[Numéro projet], Portefeuille_MNT_PPS_Access20[Année DÉBUT Travaux prévu], "")</f>
        <v>2033</v>
      </c>
      <c r="O147" s="103" t="s">
        <v>395</v>
      </c>
      <c r="P147">
        <f>Portefeuille_MNT_PPS_Access28[[#This Row],[Année DÉBUT Travaux proposé]]-Portefeuille_MNT_PPS_Access28[[#This Row],[Année DÉBUT Travaux Prog actuel]]</f>
        <v>1</v>
      </c>
      <c r="Q147" t="s">
        <v>291</v>
      </c>
      <c r="R147" s="1"/>
      <c r="S147" s="1"/>
      <c r="T147" s="1"/>
      <c r="U147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7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7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7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7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7">
        <f>Portefeuille_MNT_PPS_Access28[[#This Row],[Délais PC1 et PC3]]+Portefeuille_MNT_PPS_Access28[[#This Row],[Délais PC3 et PC5]]</f>
        <v>0</v>
      </c>
      <c r="AB147">
        <v>1</v>
      </c>
      <c r="AD147" t="s">
        <v>311</v>
      </c>
      <c r="AE147">
        <v>3.3333333333333335</v>
      </c>
      <c r="AF147" s="2">
        <f>_xlfn.XLOOKUP(Portefeuille_MNT_PPS_Access28[[#This Row],[Numéro projet]],Portefeuille_MNT_PPS_Access27[Numéro projet],Portefeuille_MNT_PPS_Access27[Critère Etat Infrastructure])</f>
        <v>3</v>
      </c>
      <c r="AG147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47" s="221"/>
      <c r="AL147"/>
      <c r="AV147"/>
      <c r="AY147">
        <v>150</v>
      </c>
      <c r="BA147">
        <v>150</v>
      </c>
      <c r="BC147">
        <v>150</v>
      </c>
      <c r="BE147">
        <v>500</v>
      </c>
      <c r="BF147">
        <v>6800</v>
      </c>
      <c r="BI147" s="14">
        <f>SUM(Portefeuille_MNT_PPS_Access28[[#This Row],[AC ANT]:[TR 2035]])</f>
        <v>7750</v>
      </c>
    </row>
    <row r="148" spans="1:63" x14ac:dyDescent="0.3">
      <c r="A148" t="s">
        <v>286</v>
      </c>
      <c r="B148" t="s">
        <v>662</v>
      </c>
      <c r="D148" t="s">
        <v>118</v>
      </c>
      <c r="E148" t="s">
        <v>102</v>
      </c>
      <c r="F148" t="s">
        <v>103</v>
      </c>
      <c r="H148" t="s">
        <v>20</v>
      </c>
      <c r="I148" t="s">
        <v>20</v>
      </c>
      <c r="J148" t="s">
        <v>131</v>
      </c>
      <c r="K148" s="2">
        <v>154240816</v>
      </c>
      <c r="L148" t="s">
        <v>532</v>
      </c>
      <c r="M148" t="s">
        <v>187</v>
      </c>
      <c r="N148" s="103">
        <f>_xlfn.XLOOKUP(Portefeuille_MNT_PPS_Access28[[#This Row],[Numéro projet]], Portefeuille_MNT_PPS_Access20[Numéro projet], Portefeuille_MNT_PPS_Access20[Année DÉBUT Travaux prévu], "")</f>
        <v>2033</v>
      </c>
      <c r="O148" s="103" t="s">
        <v>395</v>
      </c>
      <c r="P148">
        <f>Portefeuille_MNT_PPS_Access28[[#This Row],[Année DÉBUT Travaux proposé]]-Portefeuille_MNT_PPS_Access28[[#This Row],[Année DÉBUT Travaux Prog actuel]]</f>
        <v>1</v>
      </c>
      <c r="Q148" t="s">
        <v>291</v>
      </c>
      <c r="R148" s="1"/>
      <c r="S148" s="1"/>
      <c r="T148" s="1"/>
      <c r="U148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8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8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8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8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8">
        <f>Portefeuille_MNT_PPS_Access28[[#This Row],[Délais PC1 et PC3]]+Portefeuille_MNT_PPS_Access28[[#This Row],[Délais PC3 et PC5]]</f>
        <v>0</v>
      </c>
      <c r="AB148">
        <v>1</v>
      </c>
      <c r="AD148" t="s">
        <v>311</v>
      </c>
      <c r="AE148">
        <v>3</v>
      </c>
      <c r="AF148" s="2">
        <f>_xlfn.XLOOKUP(Portefeuille_MNT_PPS_Access28[[#This Row],[Numéro projet]],Portefeuille_MNT_PPS_Access27[Numéro projet],Portefeuille_MNT_PPS_Access27[Critère Etat Infrastructure])</f>
        <v>4</v>
      </c>
      <c r="AG148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48" s="221"/>
      <c r="AL148"/>
      <c r="AV148"/>
      <c r="BA148">
        <v>150</v>
      </c>
      <c r="BC148">
        <v>150</v>
      </c>
      <c r="BE148">
        <v>500</v>
      </c>
      <c r="BF148">
        <v>8000</v>
      </c>
      <c r="BI148" s="14">
        <f>SUM(Portefeuille_MNT_PPS_Access28[[#This Row],[AC ANT]:[TR 2035]])</f>
        <v>8800</v>
      </c>
      <c r="BJ148" s="57"/>
      <c r="BK148" s="57"/>
    </row>
    <row r="149" spans="1:63" x14ac:dyDescent="0.3">
      <c r="A149" t="s">
        <v>286</v>
      </c>
      <c r="B149" t="s">
        <v>663</v>
      </c>
      <c r="D149" t="s">
        <v>101</v>
      </c>
      <c r="E149" t="s">
        <v>102</v>
      </c>
      <c r="F149" t="s">
        <v>136</v>
      </c>
      <c r="H149" t="s">
        <v>20</v>
      </c>
      <c r="I149" t="s">
        <v>20</v>
      </c>
      <c r="J149" t="s">
        <v>105</v>
      </c>
      <c r="K149" s="2">
        <v>154240504</v>
      </c>
      <c r="L149" t="s">
        <v>461</v>
      </c>
      <c r="M149" t="s">
        <v>108</v>
      </c>
      <c r="N149">
        <f>_xlfn.XLOOKUP(Portefeuille_MNT_PPS_Access28[[#This Row],[Numéro projet]], Portefeuille_MNT_PPS_Access20[Numéro projet], Portefeuille_MNT_PPS_Access20[Année DÉBUT Travaux prévu], "")</f>
        <v>2034</v>
      </c>
      <c r="O149" t="s">
        <v>395</v>
      </c>
      <c r="P149">
        <f>Portefeuille_MNT_PPS_Access28[[#This Row],[Année DÉBUT Travaux proposé]]-Portefeuille_MNT_PPS_Access28[[#This Row],[Année DÉBUT Travaux Prog actuel]]</f>
        <v>0</v>
      </c>
      <c r="Q149" t="s">
        <v>291</v>
      </c>
      <c r="R149" s="1"/>
      <c r="S149" s="1"/>
      <c r="T149" s="1"/>
      <c r="U149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49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49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49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49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49">
        <f>Portefeuille_MNT_PPS_Access28[[#This Row],[Délais PC1 et PC3]]+Portefeuille_MNT_PPS_Access28[[#This Row],[Délais PC3 et PC5]]</f>
        <v>0</v>
      </c>
      <c r="AB149">
        <v>1</v>
      </c>
      <c r="AD149" t="s">
        <v>311</v>
      </c>
      <c r="AE149">
        <v>4</v>
      </c>
      <c r="AF149" s="2">
        <f>_xlfn.XLOOKUP(Portefeuille_MNT_PPS_Access28[[#This Row],[Numéro projet]],Portefeuille_MNT_PPS_Access27[Numéro projet],Portefeuille_MNT_PPS_Access27[Critère Etat Infrastructure])</f>
        <v>3</v>
      </c>
      <c r="AG149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49" s="221"/>
      <c r="AL149"/>
      <c r="AV149"/>
      <c r="BA149">
        <v>150</v>
      </c>
      <c r="BC149">
        <v>150</v>
      </c>
      <c r="BE149">
        <v>500</v>
      </c>
      <c r="BF149">
        <v>7400</v>
      </c>
      <c r="BI149" s="14">
        <f>SUM(Portefeuille_MNT_PPS_Access28[[#This Row],[AC ANT]:[TR 2035]])</f>
        <v>8200</v>
      </c>
    </row>
    <row r="150" spans="1:63" x14ac:dyDescent="0.3">
      <c r="A150" t="s">
        <v>286</v>
      </c>
      <c r="B150" t="s">
        <v>295</v>
      </c>
      <c r="D150" t="s">
        <v>126</v>
      </c>
      <c r="E150" t="s">
        <v>127</v>
      </c>
      <c r="F150" t="s">
        <v>103</v>
      </c>
      <c r="H150" t="s">
        <v>20</v>
      </c>
      <c r="I150" t="s">
        <v>20</v>
      </c>
      <c r="J150" t="s">
        <v>105</v>
      </c>
      <c r="K150" s="2">
        <v>154240511</v>
      </c>
      <c r="L150" t="s">
        <v>637</v>
      </c>
      <c r="M150" t="s">
        <v>108</v>
      </c>
      <c r="N150">
        <f>_xlfn.XLOOKUP(Portefeuille_MNT_PPS_Access28[[#This Row],[Numéro projet]], Portefeuille_MNT_PPS_Access20[Numéro projet], Portefeuille_MNT_PPS_Access20[Année DÉBUT Travaux prévu], "")</f>
        <v>2034</v>
      </c>
      <c r="O150" t="s">
        <v>395</v>
      </c>
      <c r="P150">
        <f>Portefeuille_MNT_PPS_Access28[[#This Row],[Année DÉBUT Travaux proposé]]-Portefeuille_MNT_PPS_Access28[[#This Row],[Année DÉBUT Travaux Prog actuel]]</f>
        <v>0</v>
      </c>
      <c r="Q150" t="s">
        <v>291</v>
      </c>
      <c r="R150" s="1"/>
      <c r="S150" s="1"/>
      <c r="T150" s="1"/>
      <c r="U150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0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0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0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0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0">
        <f>Portefeuille_MNT_PPS_Access28[[#This Row],[Délais PC1 et PC3]]+Portefeuille_MNT_PPS_Access28[[#This Row],[Délais PC3 et PC5]]</f>
        <v>0</v>
      </c>
      <c r="AB150">
        <v>1</v>
      </c>
      <c r="AD150" t="s">
        <v>311</v>
      </c>
      <c r="AE150">
        <v>4</v>
      </c>
      <c r="AF150" s="2">
        <f>_xlfn.XLOOKUP(Portefeuille_MNT_PPS_Access28[[#This Row],[Numéro projet]],Portefeuille_MNT_PPS_Access27[Numéro projet],Portefeuille_MNT_PPS_Access27[Critère Etat Infrastructure])</f>
        <v>3</v>
      </c>
      <c r="AG150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50" s="221"/>
      <c r="AL150"/>
      <c r="AV150"/>
      <c r="AY150">
        <v>375</v>
      </c>
      <c r="BA150">
        <v>750</v>
      </c>
      <c r="BC150">
        <v>1125</v>
      </c>
      <c r="BE150">
        <v>875</v>
      </c>
      <c r="BF150">
        <v>9000</v>
      </c>
      <c r="BG150">
        <v>1250</v>
      </c>
      <c r="BH150">
        <v>73000</v>
      </c>
      <c r="BI150" s="14">
        <f>SUM(Portefeuille_MNT_PPS_Access28[[#This Row],[AC ANT]:[TR 2035]])</f>
        <v>86375</v>
      </c>
    </row>
    <row r="151" spans="1:63" x14ac:dyDescent="0.3">
      <c r="A151" t="s">
        <v>286</v>
      </c>
      <c r="D151" t="s">
        <v>126</v>
      </c>
      <c r="E151" t="s">
        <v>127</v>
      </c>
      <c r="F151" t="s">
        <v>200</v>
      </c>
      <c r="G151" t="s">
        <v>252</v>
      </c>
      <c r="H151" t="s">
        <v>20</v>
      </c>
      <c r="I151" t="s">
        <v>20</v>
      </c>
      <c r="J151" t="s">
        <v>131</v>
      </c>
      <c r="K151" s="2">
        <v>154250379</v>
      </c>
      <c r="L151" t="s">
        <v>652</v>
      </c>
      <c r="M151" t="s">
        <v>139</v>
      </c>
      <c r="N151" t="str">
        <f>_xlfn.XLOOKUP(Portefeuille_MNT_PPS_Access28[[#This Row],[Numéro projet]], Portefeuille_MNT_PPS_Access20[Numéro projet], Portefeuille_MNT_PPS_Access20[Année DÉBUT Travaux prévu], "")</f>
        <v/>
      </c>
      <c r="O151" t="s">
        <v>109</v>
      </c>
      <c r="P151" t="s">
        <v>295</v>
      </c>
      <c r="Q151" t="s">
        <v>291</v>
      </c>
      <c r="R151" s="1"/>
      <c r="S151" s="1"/>
      <c r="T151" s="1"/>
      <c r="U151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1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1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1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1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1">
        <f>Portefeuille_MNT_PPS_Access28[[#This Row],[Délais PC1 et PC3]]+Portefeuille_MNT_PPS_Access28[[#This Row],[Délais PC3 et PC5]]</f>
        <v>0</v>
      </c>
      <c r="AA151">
        <v>1</v>
      </c>
      <c r="AB151">
        <v>1</v>
      </c>
      <c r="AC151">
        <v>3</v>
      </c>
      <c r="AD151" t="s">
        <v>311</v>
      </c>
      <c r="AE151">
        <v>2</v>
      </c>
      <c r="AF151" s="2">
        <f>_xlfn.XLOOKUP(Portefeuille_MNT_PPS_Access28[[#This Row],[Numéro projet]],Portefeuille_MNT_PPS_Access27[Numéro projet],Portefeuille_MNT_PPS_Access27[Critère Etat Infrastructure])</f>
        <v>2</v>
      </c>
      <c r="AG151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40</v>
      </c>
      <c r="AH151" s="221"/>
      <c r="AL151"/>
      <c r="AP151">
        <v>15</v>
      </c>
      <c r="AV151"/>
      <c r="BI151" s="14">
        <f>SUM(Portefeuille_MNT_PPS_Access28[[#This Row],[AC ANT]:[TR 2035]])</f>
        <v>15</v>
      </c>
    </row>
    <row r="152" spans="1:63" x14ac:dyDescent="0.3">
      <c r="A152" t="s">
        <v>286</v>
      </c>
      <c r="B152" t="s">
        <v>664</v>
      </c>
      <c r="D152" t="s">
        <v>101</v>
      </c>
      <c r="E152" t="s">
        <v>102</v>
      </c>
      <c r="F152" t="s">
        <v>103</v>
      </c>
      <c r="H152" t="s">
        <v>20</v>
      </c>
      <c r="I152" t="s">
        <v>20</v>
      </c>
      <c r="J152" t="s">
        <v>131</v>
      </c>
      <c r="K152" s="2">
        <v>154180771</v>
      </c>
      <c r="L152" t="s">
        <v>384</v>
      </c>
      <c r="M152" t="s">
        <v>183</v>
      </c>
      <c r="N152" s="103">
        <f>_xlfn.XLOOKUP(Portefeuille_MNT_PPS_Access28[[#This Row],[Numéro projet]], Portefeuille_MNT_PPS_Access20[Numéro projet], Portefeuille_MNT_PPS_Access20[Année DÉBUT Travaux prévu], "")</f>
        <v>2030</v>
      </c>
      <c r="O152" s="103" t="s">
        <v>533</v>
      </c>
      <c r="P152">
        <f>Portefeuille_MNT_PPS_Access28[[#This Row],[Année DÉBUT Travaux proposé]]-Portefeuille_MNT_PPS_Access28[[#This Row],[Année DÉBUT Travaux Prog actuel]]</f>
        <v>5</v>
      </c>
      <c r="Q152" t="s">
        <v>291</v>
      </c>
      <c r="R152" s="1"/>
      <c r="S152" s="1"/>
      <c r="T152" s="1"/>
      <c r="U152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2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2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2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2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2">
        <f>Portefeuille_MNT_PPS_Access28[[#This Row],[Délais PC1 et PC3]]+Portefeuille_MNT_PPS_Access28[[#This Row],[Délais PC3 et PC5]]</f>
        <v>0</v>
      </c>
      <c r="AB152">
        <v>1</v>
      </c>
      <c r="AD152" t="s">
        <v>311</v>
      </c>
      <c r="AE152">
        <v>2.3333333333333335</v>
      </c>
      <c r="AF152" s="2">
        <f>_xlfn.XLOOKUP(Portefeuille_MNT_PPS_Access28[[#This Row],[Numéro projet]],Portefeuille_MNT_PPS_Access27[Numéro projet],Portefeuille_MNT_PPS_Access27[Critère Etat Infrastructure])</f>
        <v>4</v>
      </c>
      <c r="AG152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52" s="221"/>
      <c r="AL152"/>
      <c r="AV152"/>
      <c r="BE152">
        <v>150</v>
      </c>
      <c r="BG152">
        <v>250</v>
      </c>
      <c r="BH152">
        <v>5000</v>
      </c>
      <c r="BI152" s="14">
        <f>SUM(Portefeuille_MNT_PPS_Access28[[#This Row],[AC ANT]:[TR 2035]])</f>
        <v>5400</v>
      </c>
      <c r="BJ152" s="57"/>
      <c r="BK152" s="57"/>
    </row>
    <row r="153" spans="1:63" x14ac:dyDescent="0.3">
      <c r="A153" t="s">
        <v>286</v>
      </c>
      <c r="B153" t="s">
        <v>664</v>
      </c>
      <c r="D153" t="s">
        <v>101</v>
      </c>
      <c r="E153" t="s">
        <v>102</v>
      </c>
      <c r="F153" t="s">
        <v>103</v>
      </c>
      <c r="H153" t="s">
        <v>20</v>
      </c>
      <c r="I153" t="s">
        <v>20</v>
      </c>
      <c r="J153" t="s">
        <v>131</v>
      </c>
      <c r="K153" s="2">
        <v>154180769</v>
      </c>
      <c r="L153" t="s">
        <v>380</v>
      </c>
      <c r="M153" t="s">
        <v>134</v>
      </c>
      <c r="N153">
        <f>_xlfn.XLOOKUP(Portefeuille_MNT_PPS_Access28[[#This Row],[Numéro projet]], Portefeuille_MNT_PPS_Access20[Numéro projet], Portefeuille_MNT_PPS_Access20[Année DÉBUT Travaux prévu], "")</f>
        <v>2035</v>
      </c>
      <c r="O153" t="s">
        <v>533</v>
      </c>
      <c r="P153">
        <f>Portefeuille_MNT_PPS_Access28[[#This Row],[Année DÉBUT Travaux proposé]]-Portefeuille_MNT_PPS_Access28[[#This Row],[Année DÉBUT Travaux Prog actuel]]</f>
        <v>0</v>
      </c>
      <c r="Q153" t="s">
        <v>291</v>
      </c>
      <c r="R153" s="1"/>
      <c r="S153" s="1"/>
      <c r="T153" s="1"/>
      <c r="U153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3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3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3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3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3">
        <f>Portefeuille_MNT_PPS_Access28[[#This Row],[Délais PC1 et PC3]]+Portefeuille_MNT_PPS_Access28[[#This Row],[Délais PC3 et PC5]]</f>
        <v>0</v>
      </c>
      <c r="AB153">
        <v>1</v>
      </c>
      <c r="AD153" t="s">
        <v>311</v>
      </c>
      <c r="AE153">
        <v>2.3333333333333335</v>
      </c>
      <c r="AF153" s="2">
        <f>_xlfn.XLOOKUP(Portefeuille_MNT_PPS_Access28[[#This Row],[Numéro projet]],Portefeuille_MNT_PPS_Access27[Numéro projet],Portefeuille_MNT_PPS_Access27[Critère Etat Infrastructure])</f>
        <v>4</v>
      </c>
      <c r="AG153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36.666666666666664</v>
      </c>
      <c r="AH153" s="221"/>
      <c r="AL153"/>
      <c r="AV153"/>
      <c r="BE153">
        <v>150</v>
      </c>
      <c r="BG153">
        <v>250</v>
      </c>
      <c r="BH153">
        <v>5000</v>
      </c>
      <c r="BI153" s="14">
        <f>SUM(Portefeuille_MNT_PPS_Access28[[#This Row],[AC ANT]:[TR 2035]])</f>
        <v>5400</v>
      </c>
    </row>
    <row r="154" spans="1:63" x14ac:dyDescent="0.3">
      <c r="A154" t="s">
        <v>286</v>
      </c>
      <c r="B154" t="s">
        <v>664</v>
      </c>
      <c r="D154" t="s">
        <v>101</v>
      </c>
      <c r="E154" t="s">
        <v>102</v>
      </c>
      <c r="F154" t="s">
        <v>103</v>
      </c>
      <c r="H154" t="s">
        <v>20</v>
      </c>
      <c r="I154" t="s">
        <v>20</v>
      </c>
      <c r="J154" t="s">
        <v>105</v>
      </c>
      <c r="K154" s="2">
        <v>154220344</v>
      </c>
      <c r="L154" t="s">
        <v>394</v>
      </c>
      <c r="M154" t="s">
        <v>122</v>
      </c>
      <c r="N154">
        <f>_xlfn.XLOOKUP(Portefeuille_MNT_PPS_Access28[[#This Row],[Numéro projet]], Portefeuille_MNT_PPS_Access20[Numéro projet], Portefeuille_MNT_PPS_Access20[Année DÉBUT Travaux prévu], "")</f>
        <v>2035</v>
      </c>
      <c r="O154" t="s">
        <v>533</v>
      </c>
      <c r="P154">
        <f>Portefeuille_MNT_PPS_Access28[[#This Row],[Année DÉBUT Travaux proposé]]-Portefeuille_MNT_PPS_Access28[[#This Row],[Année DÉBUT Travaux Prog actuel]]</f>
        <v>0</v>
      </c>
      <c r="Q154" t="s">
        <v>291</v>
      </c>
      <c r="R154" s="1"/>
      <c r="S154" s="1"/>
      <c r="T154" s="1"/>
      <c r="U154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4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4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4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4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4">
        <f>Portefeuille_MNT_PPS_Access28[[#This Row],[Délais PC1 et PC3]]+Portefeuille_MNT_PPS_Access28[[#This Row],[Délais PC3 et PC5]]</f>
        <v>0</v>
      </c>
      <c r="AB154">
        <v>1</v>
      </c>
      <c r="AD154" t="s">
        <v>311</v>
      </c>
      <c r="AE154">
        <v>4</v>
      </c>
      <c r="AF154" s="2">
        <f>_xlfn.XLOOKUP(Portefeuille_MNT_PPS_Access28[[#This Row],[Numéro projet]],Portefeuille_MNT_PPS_Access27[Numéro projet],Portefeuille_MNT_PPS_Access27[Critère Etat Infrastructure])</f>
        <v>4</v>
      </c>
      <c r="AG154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45</v>
      </c>
      <c r="AH154" s="221"/>
      <c r="AL154"/>
      <c r="AV154"/>
      <c r="BC154">
        <v>100</v>
      </c>
      <c r="BE154">
        <v>100</v>
      </c>
      <c r="BG154">
        <v>500</v>
      </c>
      <c r="BH154">
        <v>12000</v>
      </c>
      <c r="BI154" s="14">
        <f>SUM(Portefeuille_MNT_PPS_Access28[[#This Row],[AC ANT]:[TR 2035]])</f>
        <v>12700</v>
      </c>
    </row>
    <row r="155" spans="1:63" x14ac:dyDescent="0.3">
      <c r="A155" t="s">
        <v>286</v>
      </c>
      <c r="B155" t="s">
        <v>664</v>
      </c>
      <c r="D155" t="s">
        <v>101</v>
      </c>
      <c r="E155" t="s">
        <v>102</v>
      </c>
      <c r="F155" t="s">
        <v>103</v>
      </c>
      <c r="H155" t="s">
        <v>20</v>
      </c>
      <c r="I155" t="s">
        <v>20</v>
      </c>
      <c r="J155" t="s">
        <v>105</v>
      </c>
      <c r="K155" s="2">
        <v>154240285</v>
      </c>
      <c r="L155" t="s">
        <v>447</v>
      </c>
      <c r="M155" t="s">
        <v>168</v>
      </c>
      <c r="N155">
        <f>_xlfn.XLOOKUP(Portefeuille_MNT_PPS_Access28[[#This Row],[Numéro projet]], Portefeuille_MNT_PPS_Access20[Numéro projet], Portefeuille_MNT_PPS_Access20[Année DÉBUT Travaux prévu], "")</f>
        <v>2035</v>
      </c>
      <c r="O155" t="s">
        <v>533</v>
      </c>
      <c r="P155">
        <f>Portefeuille_MNT_PPS_Access28[[#This Row],[Année DÉBUT Travaux proposé]]-Portefeuille_MNT_PPS_Access28[[#This Row],[Année DÉBUT Travaux Prog actuel]]</f>
        <v>0</v>
      </c>
      <c r="Q155" t="s">
        <v>291</v>
      </c>
      <c r="R155" s="1"/>
      <c r="S155" s="1"/>
      <c r="T155" s="1"/>
      <c r="U155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5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5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5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5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5">
        <f>Portefeuille_MNT_PPS_Access28[[#This Row],[Délais PC1 et PC3]]+Portefeuille_MNT_PPS_Access28[[#This Row],[Délais PC3 et PC5]]</f>
        <v>0</v>
      </c>
      <c r="AB155">
        <v>1</v>
      </c>
      <c r="AD155" t="s">
        <v>311</v>
      </c>
      <c r="AE155">
        <v>3.3333333333333335</v>
      </c>
      <c r="AF155" s="2">
        <f>_xlfn.XLOOKUP(Portefeuille_MNT_PPS_Access28[[#This Row],[Numéro projet]],Portefeuille_MNT_PPS_Access27[Numéro projet],Portefeuille_MNT_PPS_Access27[Critère Etat Infrastructure])</f>
        <v>4</v>
      </c>
      <c r="AG155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41.666666666666671</v>
      </c>
      <c r="AH155" s="221"/>
      <c r="AL155"/>
      <c r="AV155"/>
      <c r="BC155">
        <v>150</v>
      </c>
      <c r="BE155">
        <v>150</v>
      </c>
      <c r="BG155">
        <v>600</v>
      </c>
      <c r="BH155">
        <v>12000</v>
      </c>
      <c r="BI155" s="14">
        <f>SUM(Portefeuille_MNT_PPS_Access28[[#This Row],[AC ANT]:[TR 2035]])</f>
        <v>12900</v>
      </c>
    </row>
    <row r="156" spans="1:63" x14ac:dyDescent="0.3">
      <c r="A156" t="s">
        <v>286</v>
      </c>
      <c r="B156" t="s">
        <v>664</v>
      </c>
      <c r="D156" t="s">
        <v>101</v>
      </c>
      <c r="E156" t="s">
        <v>102</v>
      </c>
      <c r="F156" t="s">
        <v>389</v>
      </c>
      <c r="H156" t="s">
        <v>20</v>
      </c>
      <c r="I156" t="s">
        <v>20</v>
      </c>
      <c r="J156" t="s">
        <v>105</v>
      </c>
      <c r="K156" s="2">
        <v>154250181</v>
      </c>
      <c r="L156" t="s">
        <v>602</v>
      </c>
      <c r="M156" t="s">
        <v>239</v>
      </c>
      <c r="N156">
        <f>_xlfn.XLOOKUP(Portefeuille_MNT_PPS_Access28[[#This Row],[Numéro projet]], Portefeuille_MNT_PPS_Access20[Numéro projet], Portefeuille_MNT_PPS_Access20[Année DÉBUT Travaux prévu], "")</f>
        <v>2035</v>
      </c>
      <c r="O156" t="s">
        <v>533</v>
      </c>
      <c r="P156">
        <f>Portefeuille_MNT_PPS_Access28[[#This Row],[Année DÉBUT Travaux proposé]]-Portefeuille_MNT_PPS_Access28[[#This Row],[Année DÉBUT Travaux Prog actuel]]</f>
        <v>0</v>
      </c>
      <c r="Q156" t="s">
        <v>291</v>
      </c>
      <c r="R156" s="1"/>
      <c r="S156" s="1"/>
      <c r="T156" s="1"/>
      <c r="U156" s="1" t="str">
        <f xml:space="preserve"> IF(Portefeuille_MNT_PPS_Access28[[#This Row],[PC-1]] = "", "X",IF(Portefeuille_MNT_PPS_Access28[[#This Row],[PC-1]] &lt;= DATE(Portefeuille_MNT_PPS_Access28[[#This Row],[Année DÉBUT Travaux proposé]]- 3, 12, 15),"5.Respect OPC",IF(Portefeuille_MNT_PPS_Access28[[#This Row],[PC-1]] &lt;= DATE(Portefeuille_MNT_PPS_Access28[[#This Row],[Année DÉBUT Travaux proposé]]-2, 4, 1),"3.À risque","1.Très à risque")))</f>
        <v>X</v>
      </c>
      <c r="V156" s="1" t="str">
        <f xml:space="preserve"> IF(Portefeuille_MNT_PPS_Access28[[#This Row],[PC-3]] = "", "X",IF(Portefeuille_MNT_PPS_Access28[[#This Row],[PC-3]] &lt;= DATE(Portefeuille_MNT_PPS_Access28[[#This Row],[Année DÉBUT Travaux proposé]]- 2, 12, 15),"5.Respect OPC",IF(Portefeuille_MNT_PPS_Access28[[#This Row],[PC-3]] &lt;= DATE(Portefeuille_MNT_PPS_Access28[[#This Row],[Année DÉBUT Travaux proposé]]-1, 4, 1),"3.À risque","1.Très à risque")))</f>
        <v>X</v>
      </c>
      <c r="W156" s="1" t="str">
        <f xml:space="preserve"> IF(Portefeuille_MNT_PPS_Access28[[#This Row],[PC-5]] = "", "X",IF(Portefeuille_MNT_PPS_Access28[[#This Row],[PC-5]] &lt;= DATE(Portefeuille_MNT_PPS_Access28[[#This Row],[Année DÉBUT Travaux proposé]]- 1, 12, 15),"5.Respect OPC",IF(Portefeuille_MNT_PPS_Access28[[#This Row],[PC-5]] &lt;= DATE(Portefeuille_MNT_PPS_Access28[[#This Row],[Année DÉBUT Travaux proposé]], 4, 1),"3.À risque","1.Très à risque")))</f>
        <v>X</v>
      </c>
      <c r="X156">
        <f xml:space="preserve"> (YEAR(Portefeuille_MNT_PPS_Access28[[#This Row],[PC-3]]) - YEAR(Portefeuille_MNT_PPS_Access28[[#This Row],[PC-1]])) * 12 + MONTH(Portefeuille_MNT_PPS_Access28[[#This Row],[PC-3]]) - MONTH(Portefeuille_MNT_PPS_Access28[[#This Row],[PC-1]])</f>
        <v>0</v>
      </c>
      <c r="Y156">
        <f xml:space="preserve"> (YEAR(Portefeuille_MNT_PPS_Access28[[#This Row],[PC-5]]) - YEAR(Portefeuille_MNT_PPS_Access28[[#This Row],[PC-3]])) * 12 + MONTH(Portefeuille_MNT_PPS_Access28[[#This Row],[PC-5]]) - MONTH(Portefeuille_MNT_PPS_Access28[[#This Row],[PC-3]])</f>
        <v>0</v>
      </c>
      <c r="Z156">
        <f>Portefeuille_MNT_PPS_Access28[[#This Row],[Délais PC1 et PC3]]+Portefeuille_MNT_PPS_Access28[[#This Row],[Délais PC3 et PC5]]</f>
        <v>0</v>
      </c>
      <c r="AB156">
        <v>1</v>
      </c>
      <c r="AD156" t="s">
        <v>311</v>
      </c>
      <c r="AE156">
        <v>3.3333333333333335</v>
      </c>
      <c r="AF156" s="2">
        <f>_xlfn.XLOOKUP(Portefeuille_MNT_PPS_Access28[[#This Row],[Numéro projet]],Portefeuille_MNT_PPS_Access27[Numéro projet],Portefeuille_MNT_PPS_Access27[Critère Etat Infrastructure])</f>
        <v>4</v>
      </c>
      <c r="AG156" s="12">
        <f>IF(Portefeuille_MNT_PPS_Access28[[#This Row],[IND_PARA_25-26]]=5,100, SUM(IF(Portefeuille_MNT_PPS_Access28[[#This Row],[INDICE OPC]]="",Portefeuille_MNT_PPS_Access28[[#This Row],[IND_Etat_avancement]]*$AF$8/5,Portefeuille_MNT_PPS_Access28[[#This Row],[INDICE OPC]]*$AF$8/5),Portefeuille_MNT_PPS_Access28[[#This Row],[Critère Etat Infrastructure]]* $AF$10/5,Portefeuille_MNT_PPS_Access28[[#This Row],[IND_SITE_PRIO_2024]]* $AF$9/5,Portefeuille_MNT_PPS_Access28[[#This Row],[IND_PROJT_ANNONCE_25-27]]* $AF$7/5)*100)</f>
        <v>41.666666666666671</v>
      </c>
      <c r="AH156" s="221"/>
      <c r="AL156"/>
      <c r="AV156"/>
      <c r="BC156">
        <v>100</v>
      </c>
      <c r="BE156">
        <v>100</v>
      </c>
      <c r="BG156">
        <v>500</v>
      </c>
      <c r="BH156">
        <v>5000</v>
      </c>
      <c r="BI156" s="14">
        <f>SUM(Portefeuille_MNT_PPS_Access28[[#This Row],[AC ANT]:[TR 2035]])</f>
        <v>5700</v>
      </c>
    </row>
    <row r="157" spans="1:63" x14ac:dyDescent="0.3">
      <c r="K157">
        <f>SUBTOTAL(103,Portefeuille_MNT_PPS_Access28[Numéro projet])</f>
        <v>138</v>
      </c>
      <c r="AH157" s="25"/>
      <c r="AI157" s="14">
        <f>SUBTOTAL(109,Portefeuille_MNT_PPS_Access28[AC ANT])</f>
        <v>24010</v>
      </c>
      <c r="AJ157" s="14">
        <f>SUBTOTAL(109,Portefeuille_MNT_PPS_Access28[TR ANT])</f>
        <v>153191</v>
      </c>
      <c r="AK157" s="14">
        <f>SUBTOTAL(109,Portefeuille_MNT_PPS_Access28[AC 2024])</f>
        <v>4500</v>
      </c>
      <c r="AL157" s="14">
        <f>SUBTOTAL(109,Portefeuille_MNT_PPS_Access28[TR 2024])</f>
        <v>70599</v>
      </c>
      <c r="AM157" s="14">
        <f>SUBTOTAL(109,Portefeuille_MNT_PPS_Access28[AC 2025])</f>
        <v>11807</v>
      </c>
      <c r="AN157" s="14">
        <f>SUBTOTAL(109,Portefeuille_MNT_PPS_Access28[TR 2025])</f>
        <v>55714</v>
      </c>
      <c r="AO157" s="14">
        <f>SUBTOTAL(109,Portefeuille_MNT_PPS_Access28[AC 2026])</f>
        <v>11346</v>
      </c>
      <c r="AP157" s="14">
        <f>SUBTOTAL(109,Portefeuille_MNT_PPS_Access28[TR 2026])</f>
        <v>62699</v>
      </c>
      <c r="AQ157" s="14">
        <f>SUBTOTAL(109,Portefeuille_MNT_PPS_Access28[AC 2027])</f>
        <v>13361</v>
      </c>
      <c r="AR157" s="14">
        <f>SUBTOTAL(109,Portefeuille_MNT_PPS_Access28[TR 2027])</f>
        <v>64267</v>
      </c>
      <c r="AS157" s="14">
        <f>SUBTOTAL(109,Portefeuille_MNT_PPS_Access28[AC 2028])</f>
        <v>11215</v>
      </c>
      <c r="AT157" s="14">
        <f>SUBTOTAL(109,Portefeuille_MNT_PPS_Access28[TR 2028])</f>
        <v>73499</v>
      </c>
      <c r="AU157" s="14">
        <f>SUBTOTAL(109,Portefeuille_MNT_PPS_Access28[AC 2029])</f>
        <v>10702</v>
      </c>
      <c r="AV157" s="14">
        <f>SUBTOTAL(109,Portefeuille_MNT_PPS_Access28[TR 2029])</f>
        <v>121251</v>
      </c>
      <c r="AW157" s="14">
        <f>SUBTOTAL(109,Portefeuille_MNT_PPS_Access28[AC 2030])</f>
        <v>8420</v>
      </c>
      <c r="AX157" s="14">
        <f>SUBTOTAL(109,Portefeuille_MNT_PPS_Access28[TR 2030])</f>
        <v>101708</v>
      </c>
      <c r="AY157" s="14">
        <f>SUBTOTAL(109,Portefeuille_MNT_PPS_Access28[AC 2031])</f>
        <v>8168</v>
      </c>
      <c r="AZ157" s="14">
        <f>SUBTOTAL(109,Portefeuille_MNT_PPS_Access28[TR 2031])</f>
        <v>95819</v>
      </c>
      <c r="BA157" s="14">
        <f>SUBTOTAL(109,Portefeuille_MNT_PPS_Access28[AC 2032])</f>
        <v>7250</v>
      </c>
      <c r="BB157" s="14">
        <f>SUBTOTAL(109,Portefeuille_MNT_PPS_Access28[TR 2032])</f>
        <v>61200</v>
      </c>
      <c r="BC157" s="14">
        <f>SUBTOTAL(109,Portefeuille_MNT_PPS_Access28[AC 2033])</f>
        <v>7225</v>
      </c>
      <c r="BD157" s="14">
        <f>SUBTOTAL(109,Portefeuille_MNT_PPS_Access28[TR 2033])</f>
        <v>82000</v>
      </c>
      <c r="BE157" s="14">
        <f>SUBTOTAL(109,Portefeuille_MNT_PPS_Access28[AC 2034])</f>
        <v>5125</v>
      </c>
      <c r="BF157" s="14">
        <f>SUBTOTAL(109,Portefeuille_MNT_PPS_Access28[TR 2034])</f>
        <v>102000</v>
      </c>
      <c r="BG157" s="14">
        <f>SUBTOTAL(109,Portefeuille_MNT_PPS_Access28[AC 2035])</f>
        <v>3350</v>
      </c>
      <c r="BH157" s="14">
        <f>SUBTOTAL(109,Portefeuille_MNT_PPS_Access28[TR 2035])</f>
        <v>112000</v>
      </c>
      <c r="BI157" s="14">
        <f>SUBTOTAL(109,Portefeuille_MNT_PPS_Access28[Total Projet])</f>
        <v>1282426</v>
      </c>
    </row>
    <row r="159" spans="1:63" x14ac:dyDescent="0.3"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</row>
    <row r="169" spans="62:64" x14ac:dyDescent="0.3">
      <c r="BJ169" s="57"/>
      <c r="BK169" s="57"/>
      <c r="BL169" s="57"/>
    </row>
  </sheetData>
  <mergeCells count="186">
    <mergeCell ref="BA16:BB16"/>
    <mergeCell ref="BC16:BD16"/>
    <mergeCell ref="BE16:BF16"/>
    <mergeCell ref="BG16:BH16"/>
    <mergeCell ref="BG15:BH15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AU15:AV15"/>
    <mergeCell ref="AW15:AX15"/>
    <mergeCell ref="AY15:AZ15"/>
    <mergeCell ref="BA15:BB15"/>
    <mergeCell ref="BC15:BD15"/>
    <mergeCell ref="BE15:BF15"/>
    <mergeCell ref="AI15:AJ15"/>
    <mergeCell ref="AK15:AL15"/>
    <mergeCell ref="AM15:AN15"/>
    <mergeCell ref="AO15:AP15"/>
    <mergeCell ref="AQ15:AR15"/>
    <mergeCell ref="AS15:AT15"/>
    <mergeCell ref="AW14:AX14"/>
    <mergeCell ref="AY14:AZ14"/>
    <mergeCell ref="BA14:BB14"/>
    <mergeCell ref="BC14:BD14"/>
    <mergeCell ref="BE14:BF14"/>
    <mergeCell ref="BG14:BH14"/>
    <mergeCell ref="BC13:BD13"/>
    <mergeCell ref="BE13:BF13"/>
    <mergeCell ref="BG13:BH13"/>
    <mergeCell ref="AW13:AX13"/>
    <mergeCell ref="AY13:AZ13"/>
    <mergeCell ref="BA13:BB13"/>
    <mergeCell ref="AI14:AJ14"/>
    <mergeCell ref="AK14:AL14"/>
    <mergeCell ref="AM14:AN14"/>
    <mergeCell ref="AO14:AP14"/>
    <mergeCell ref="AQ14:AR14"/>
    <mergeCell ref="AS14:AT14"/>
    <mergeCell ref="AU14:AV14"/>
    <mergeCell ref="AQ13:AR13"/>
    <mergeCell ref="AS13:AT13"/>
    <mergeCell ref="AU13:AV13"/>
    <mergeCell ref="AY12:AZ12"/>
    <mergeCell ref="BA12:BB12"/>
    <mergeCell ref="BC12:BD12"/>
    <mergeCell ref="BE12:BF12"/>
    <mergeCell ref="BG12:BH12"/>
    <mergeCell ref="AG13:AH13"/>
    <mergeCell ref="AI13:AJ13"/>
    <mergeCell ref="AK13:AL13"/>
    <mergeCell ref="AM13:AN13"/>
    <mergeCell ref="AO13:AP13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S11:AT11"/>
    <mergeCell ref="AU11:AV11"/>
    <mergeCell ref="AW11:AX11"/>
    <mergeCell ref="BA10:BB10"/>
    <mergeCell ref="BC10:BD10"/>
    <mergeCell ref="BE10:BF10"/>
    <mergeCell ref="BG10:BH10"/>
    <mergeCell ref="AG11:AH11"/>
    <mergeCell ref="AI11:AJ11"/>
    <mergeCell ref="AK11:AL11"/>
    <mergeCell ref="AM11:AN11"/>
    <mergeCell ref="AO11:AP11"/>
    <mergeCell ref="AQ11:AR11"/>
    <mergeCell ref="BE11:BF11"/>
    <mergeCell ref="BG11:BH11"/>
    <mergeCell ref="AY11:AZ11"/>
    <mergeCell ref="BA11:BB11"/>
    <mergeCell ref="BC11:BD11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8:BB8"/>
    <mergeCell ref="BC8:BD8"/>
    <mergeCell ref="BE8:BF8"/>
    <mergeCell ref="BG8:BH8"/>
    <mergeCell ref="AI9:AJ9"/>
    <mergeCell ref="AK9:AL9"/>
    <mergeCell ref="AM9:AN9"/>
    <mergeCell ref="AO9:AP9"/>
    <mergeCell ref="AQ9:AR9"/>
    <mergeCell ref="AS9:AT9"/>
    <mergeCell ref="BG9:BH9"/>
    <mergeCell ref="AU9:AV9"/>
    <mergeCell ref="AW9:AX9"/>
    <mergeCell ref="AY9:AZ9"/>
    <mergeCell ref="BA9:BB9"/>
    <mergeCell ref="BC9:BD9"/>
    <mergeCell ref="BE9:BF9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E6:BF6"/>
    <mergeCell ref="BG6:BH6"/>
    <mergeCell ref="AI7:AJ7"/>
    <mergeCell ref="AK7:AL7"/>
    <mergeCell ref="AM7:AN7"/>
    <mergeCell ref="AO7:AP7"/>
    <mergeCell ref="AQ7:AR7"/>
    <mergeCell ref="AS7:AT7"/>
    <mergeCell ref="BG7:BH7"/>
    <mergeCell ref="AU7:AV7"/>
    <mergeCell ref="AW7:AX7"/>
    <mergeCell ref="AY7:AZ7"/>
    <mergeCell ref="BA7:BB7"/>
    <mergeCell ref="BC7:BD7"/>
    <mergeCell ref="BE7:BF7"/>
    <mergeCell ref="BG5:BH5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BA6:BB6"/>
    <mergeCell ref="BC6:BD6"/>
    <mergeCell ref="BC4:BD4"/>
    <mergeCell ref="BE4:BF4"/>
    <mergeCell ref="BG4:BH4"/>
    <mergeCell ref="BC3:BD3"/>
    <mergeCell ref="BE3:BF3"/>
    <mergeCell ref="BG3:BH3"/>
    <mergeCell ref="AW3:AX3"/>
    <mergeCell ref="AY3:AZ3"/>
    <mergeCell ref="BA3:BB3"/>
    <mergeCell ref="AQ4:AR4"/>
    <mergeCell ref="AS4:AT4"/>
    <mergeCell ref="AU4:AV4"/>
    <mergeCell ref="AQ3:AR3"/>
    <mergeCell ref="AS3:AT3"/>
    <mergeCell ref="AU3:AV3"/>
    <mergeCell ref="AW4:AX4"/>
    <mergeCell ref="AY4:AZ4"/>
    <mergeCell ref="BA4:BB4"/>
    <mergeCell ref="I3:J3"/>
    <mergeCell ref="AG3:AH3"/>
    <mergeCell ref="AI3:AJ3"/>
    <mergeCell ref="AK3:AL3"/>
    <mergeCell ref="AM3:AN3"/>
    <mergeCell ref="AO3:AP3"/>
    <mergeCell ref="AI4:AJ4"/>
    <mergeCell ref="AK4:AL4"/>
    <mergeCell ref="AM4:AN4"/>
    <mergeCell ref="AO4:AP4"/>
  </mergeCells>
  <conditionalFormatting sqref="U19:AA156">
    <cfRule type="containsText" dxfId="96" priority="1" operator="containsText" text="1.Très à risque">
      <formula>NOT(ISERROR(SEARCH("1.Très à risque",U19)))</formula>
    </cfRule>
    <cfRule type="containsText" dxfId="95" priority="2" operator="containsText" text="3.À risque">
      <formula>NOT(ISERROR(SEARCH("3.À risque",U19)))</formula>
    </cfRule>
    <cfRule type="containsText" dxfId="94" priority="3" operator="containsText" text="5.Respect OPC">
      <formula>NOT(ISERROR(SEARCH("5.Respect OPC",U19)))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4089CEF7-3869-49C3-A33D-BC23A830858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AF19:AH156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B55E-05F1-46F0-911D-AF06720950C2}">
  <dimension ref="A1:BV169"/>
  <sheetViews>
    <sheetView topLeftCell="F8" zoomScale="70" zoomScaleNormal="70" workbookViewId="0">
      <selection activeCell="N27" sqref="N27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8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1.33203125" customWidth="1" outlineLevel="1"/>
    <col min="8" max="8" width="12.44140625" customWidth="1" outlineLevel="1"/>
    <col min="9" max="9" width="17" customWidth="1" outlineLevel="1"/>
    <col min="10" max="10" width="14.33203125" customWidth="1"/>
    <col min="11" max="11" width="19.33203125" bestFit="1" customWidth="1"/>
    <col min="12" max="12" width="80.6640625" customWidth="1" collapsed="1"/>
    <col min="13" max="13" width="29.88671875" bestFit="1" customWidth="1"/>
    <col min="14" max="14" width="15.109375" customWidth="1"/>
    <col min="15" max="15" width="12.88671875" customWidth="1"/>
    <col min="16" max="16" width="10" hidden="1" customWidth="1"/>
    <col min="17" max="17" width="23" customWidth="1"/>
    <col min="18" max="18" width="12.5546875" customWidth="1" outlineLevel="1"/>
    <col min="19" max="19" width="16.88671875" customWidth="1" outlineLevel="1"/>
    <col min="20" max="20" width="15.109375" customWidth="1" outlineLevel="1"/>
    <col min="21" max="21" width="14" bestFit="1" customWidth="1"/>
    <col min="22" max="23" width="14.33203125" bestFit="1" customWidth="1"/>
    <col min="24" max="25" width="15" customWidth="1" outlineLevel="1"/>
    <col min="26" max="26" width="12.33203125" customWidth="1" outlineLevel="1"/>
    <col min="27" max="28" width="11.44140625" customWidth="1" outlineLevel="1"/>
    <col min="29" max="29" width="11.33203125" customWidth="1" outlineLevel="1"/>
    <col min="30" max="30" width="9.88671875" customWidth="1" outlineLevel="1"/>
    <col min="31" max="31" width="14.6640625" customWidth="1" outlineLevel="1"/>
    <col min="32" max="32" width="13.88671875" customWidth="1" outlineLevel="1"/>
    <col min="33" max="33" width="13.5546875" customWidth="1"/>
    <col min="34" max="34" width="6.33203125" customWidth="1"/>
    <col min="35" max="35" width="9.33203125" customWidth="1" outlineLevel="1"/>
    <col min="36" max="36" width="10.44140625" customWidth="1" outlineLevel="1"/>
    <col min="37" max="37" width="9.88671875" customWidth="1" outlineLevel="1"/>
    <col min="38" max="38" width="9.88671875" style="25" customWidth="1" outlineLevel="1"/>
    <col min="39" max="40" width="9.88671875" customWidth="1" outlineLevel="1"/>
    <col min="41" max="41" width="11.109375" customWidth="1"/>
    <col min="42" max="42" width="12.33203125" customWidth="1"/>
    <col min="43" max="43" width="11" customWidth="1"/>
    <col min="44" max="47" width="9.88671875" customWidth="1"/>
    <col min="48" max="48" width="9.88671875" style="8" customWidth="1"/>
    <col min="49" max="60" width="9.88671875" customWidth="1"/>
    <col min="61" max="61" width="14.44140625" bestFit="1" customWidth="1"/>
    <col min="62" max="62" width="12.6640625" bestFit="1" customWidth="1"/>
    <col min="63" max="65" width="9.88671875" customWidth="1"/>
    <col min="66" max="66" width="13.44140625" customWidth="1"/>
    <col min="67" max="67" width="13.5546875" customWidth="1"/>
    <col min="68" max="68" width="18" customWidth="1"/>
    <col min="69" max="69" width="17" customWidth="1"/>
    <col min="70" max="70" width="16.6640625" bestFit="1" customWidth="1"/>
    <col min="71" max="80" width="11.33203125" customWidth="1"/>
    <col min="81" max="81" width="12.5546875" customWidth="1"/>
    <col min="82" max="82" width="13.44140625" customWidth="1"/>
    <col min="83" max="83" width="13.109375" customWidth="1"/>
    <col min="84" max="84" width="14" customWidth="1"/>
    <col min="85" max="90" width="17.33203125" customWidth="1"/>
    <col min="91" max="91" width="18.109375" customWidth="1"/>
    <col min="92" max="92" width="17.5546875" customWidth="1"/>
  </cols>
  <sheetData>
    <row r="1" spans="1:74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7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85"/>
      <c r="BS1" s="85"/>
      <c r="BT1" s="85"/>
      <c r="BU1" s="85"/>
      <c r="BV1" s="85"/>
    </row>
    <row r="2" spans="1:74" x14ac:dyDescent="0.3">
      <c r="AC2" s="25"/>
      <c r="AD2" s="25"/>
      <c r="AE2" s="25"/>
      <c r="AF2" s="25"/>
      <c r="AG2" s="25"/>
      <c r="AH2" s="25"/>
      <c r="AI2" s="25"/>
      <c r="AJ2" s="25"/>
      <c r="AK2" s="25"/>
      <c r="AM2" s="8"/>
      <c r="AV2"/>
    </row>
    <row r="3" spans="1:74" ht="26.4" customHeight="1" x14ac:dyDescent="0.3">
      <c r="I3" s="306" t="s">
        <v>2</v>
      </c>
      <c r="J3" s="307"/>
      <c r="O3" s="65"/>
      <c r="P3" s="65"/>
      <c r="Q3" s="65"/>
      <c r="R3" s="65"/>
      <c r="S3" s="65"/>
      <c r="T3" s="65"/>
      <c r="U3" s="65"/>
      <c r="V3" s="65"/>
      <c r="W3" s="65"/>
      <c r="X3" s="65"/>
      <c r="AE3" s="4" t="s">
        <v>3</v>
      </c>
      <c r="AF3" s="80" t="s">
        <v>4</v>
      </c>
      <c r="AG3" s="342" t="s">
        <v>5</v>
      </c>
      <c r="AH3" s="342"/>
      <c r="AI3" s="265" t="s">
        <v>6</v>
      </c>
      <c r="AJ3" s="264"/>
      <c r="AK3" s="263">
        <v>2024</v>
      </c>
      <c r="AL3" s="264"/>
      <c r="AM3" s="263">
        <v>2025</v>
      </c>
      <c r="AN3" s="264"/>
      <c r="AO3" s="263">
        <v>2026</v>
      </c>
      <c r="AP3" s="264"/>
      <c r="AQ3" s="263">
        <v>2027</v>
      </c>
      <c r="AR3" s="264"/>
      <c r="AS3" s="263">
        <v>2028</v>
      </c>
      <c r="AT3" s="264"/>
      <c r="AU3" s="263">
        <v>2029</v>
      </c>
      <c r="AV3" s="264"/>
      <c r="AW3" s="263">
        <v>2030</v>
      </c>
      <c r="AX3" s="264"/>
      <c r="AY3" s="263">
        <v>2031</v>
      </c>
      <c r="AZ3" s="264"/>
      <c r="BA3" s="263">
        <v>2032</v>
      </c>
      <c r="BB3" s="264"/>
      <c r="BC3" s="263">
        <v>2033</v>
      </c>
      <c r="BD3" s="264"/>
      <c r="BE3" s="263">
        <v>2034</v>
      </c>
      <c r="BF3" s="264"/>
      <c r="BG3" s="263">
        <v>2035</v>
      </c>
      <c r="BH3" s="264"/>
      <c r="BI3" s="26" t="s">
        <v>560</v>
      </c>
      <c r="BJ3" s="26" t="s">
        <v>595</v>
      </c>
    </row>
    <row r="4" spans="1:74" x14ac:dyDescent="0.3">
      <c r="I4" s="27" t="s">
        <v>9</v>
      </c>
      <c r="J4" s="28" t="s">
        <v>10</v>
      </c>
      <c r="O4" s="65"/>
      <c r="P4" s="65"/>
      <c r="Q4" s="65"/>
      <c r="R4" s="65"/>
      <c r="S4" s="65"/>
      <c r="T4" s="65"/>
      <c r="U4" s="65"/>
      <c r="V4" s="65"/>
      <c r="W4" s="65"/>
      <c r="X4" s="65"/>
      <c r="AE4" s="66"/>
      <c r="AF4" s="138"/>
      <c r="AH4" s="104" t="s">
        <v>11</v>
      </c>
      <c r="AI4" s="260"/>
      <c r="AJ4" s="260"/>
      <c r="AK4" s="260">
        <f>SUMIFS(Portefeuille_MNT_PPS_Access29[AC 2024],Portefeuille_MNT_PPS_Access29[DES_COMPL_NATR_COMPB],"=Fonctionnement")+SUMIFS(Portefeuille_MNT_PPS_Access29[TR 2024],Portefeuille_MNT_PPS_Access29[DES_COMPL_NATR_COMPB],"=Fonctionnement")</f>
        <v>339</v>
      </c>
      <c r="AL4" s="260"/>
      <c r="AM4" s="260">
        <f>SUMIFS(Portefeuille_MNT_PPS_Access29[AC 2025],Portefeuille_MNT_PPS_Access29[DES_COMPL_NATR_COMPB],"=Fonctionnement")+SUMIFS(Portefeuille_MNT_PPS_Access29[TR 2025],Portefeuille_MNT_PPS_Access29[DES_COMPL_NATR_COMPB],"=Fonctionnement")</f>
        <v>300</v>
      </c>
      <c r="AN4" s="260"/>
      <c r="AO4" s="260">
        <f>SUMIFS(Portefeuille_MNT_PPS_Access29[AC 2026],Portefeuille_MNT_PPS_Access29[DES_COMPL_NATR_COMPB],"=Fonctionnement")+SUMIFS(Portefeuille_MNT_PPS_Access29[TR 2026],Portefeuille_MNT_PPS_Access29[DES_COMPL_NATR_COMPB],"=Fonctionnement")</f>
        <v>300</v>
      </c>
      <c r="AP4" s="260"/>
      <c r="AQ4" s="260">
        <f>SUMIFS(Portefeuille_MNT_PPS_Access29[AC 2027],Portefeuille_MNT_PPS_Access29[DES_COMPL_NATR_COMPB],"=Fonctionnement")+SUMIFS(Portefeuille_MNT_PPS_Access29[TR 2027],Portefeuille_MNT_PPS_Access29[DES_COMPL_NATR_COMPB],"=Fonctionnement")</f>
        <v>510</v>
      </c>
      <c r="AR4" s="260"/>
      <c r="AS4" s="260">
        <f>SUMIFS(Portefeuille_MNT_PPS_Access29[AC 2028],Portefeuille_MNT_PPS_Access29[DES_COMPL_NATR_COMPB],"=Fonctionnement")+SUMIFS(Portefeuille_MNT_PPS_Access29[TR 2028],Portefeuille_MNT_PPS_Access29[DES_COMPL_NATR_COMPB],"=Fonctionnement")</f>
        <v>0</v>
      </c>
      <c r="AT4" s="260"/>
      <c r="AU4" s="260">
        <f>SUMIFS(Portefeuille_MNT_PPS_Access29[AC 2029],Portefeuille_MNT_PPS_Access29[DES_COMPL_NATR_COMPB],"=Fonctionnement")+SUMIFS(Portefeuille_MNT_PPS_Access29[TR 2029],Portefeuille_MNT_PPS_Access29[DES_COMPL_NATR_COMPB],"=Fonctionnement")</f>
        <v>0</v>
      </c>
      <c r="AV4" s="260"/>
      <c r="AW4" s="260">
        <f>SUMIFS(Portefeuille_MNT_PPS_Access29[AC 2030],Portefeuille_MNT_PPS_Access29[DES_COMPL_NATR_COMPB],"=Fonctionnement")+SUMIFS(Portefeuille_MNT_PPS_Access29[TR 2030],Portefeuille_MNT_PPS_Access29[DES_COMPL_NATR_COMPB],"=Fonctionnement")</f>
        <v>0</v>
      </c>
      <c r="AX4" s="260"/>
      <c r="AY4" s="260">
        <f>SUMIFS(Portefeuille_MNT_PPS_Access29[AC 2031],Portefeuille_MNT_PPS_Access29[DES_COMPL_NATR_COMPB],"=Fonctionnement")+SUMIFS(Portefeuille_MNT_PPS_Access29[TR 2031],Portefeuille_MNT_PPS_Access29[DES_COMPL_NATR_COMPB],"=Fonctionnement")</f>
        <v>0</v>
      </c>
      <c r="AZ4" s="260"/>
      <c r="BA4" s="260">
        <f>SUMIFS(Portefeuille_MNT_PPS_Access29[AC 2032],Portefeuille_MNT_PPS_Access29[DES_COMPL_NATR_COMPB],"=Fonctionnement")+SUMIFS(Portefeuille_MNT_PPS_Access29[TR 2032],Portefeuille_MNT_PPS_Access29[DES_COMPL_NATR_COMPB],"=Fonctionnement")</f>
        <v>0</v>
      </c>
      <c r="BB4" s="260"/>
      <c r="BC4" s="260">
        <f>SUMIFS(Portefeuille_MNT_PPS_Access29[AC 2033],Portefeuille_MNT_PPS_Access29[DES_COMPL_NATR_COMPB],"=Fonctionnement")+SUMIFS(Portefeuille_MNT_PPS_Access29[TR 2033],Portefeuille_MNT_PPS_Access29[DES_COMPL_NATR_COMPB],"=Fonctionnement")</f>
        <v>0</v>
      </c>
      <c r="BD4" s="260"/>
      <c r="BE4" s="260">
        <f>SUMIFS(Portefeuille_MNT_PPS_Access29[AC 2034],Portefeuille_MNT_PPS_Access29[DES_COMPL_NATR_COMPB],"=Fonctionnement")+SUMIFS(Portefeuille_MNT_PPS_Access29[TR 2034],Portefeuille_MNT_PPS_Access29[DES_COMPL_NATR_COMPB],"=Fonctionnement")</f>
        <v>0</v>
      </c>
      <c r="BF4" s="260"/>
      <c r="BG4" s="260">
        <f>SUMIFS(Portefeuille_MNT_PPS_Access29[AC 2035],Portefeuille_MNT_PPS_Access29[DES_COMPL_NATR_COMPB],"=Fonctionnement")+SUMIFS(Portefeuille_MNT_PPS_Access29[TR 2035],Portefeuille_MNT_PPS_Access29[DES_COMPL_NATR_COMPB],"=Fonctionnement")</f>
        <v>0</v>
      </c>
      <c r="BH4" s="260"/>
      <c r="BI4" s="16">
        <f>SUM(AO4:AX4)</f>
        <v>810</v>
      </c>
      <c r="BJ4" s="16">
        <f>SUM(AO4:BH4)</f>
        <v>810</v>
      </c>
    </row>
    <row r="5" spans="1:74" x14ac:dyDescent="0.3">
      <c r="I5" s="27" t="s">
        <v>12</v>
      </c>
      <c r="J5" s="28" t="s">
        <v>13</v>
      </c>
      <c r="AE5" s="67"/>
      <c r="AF5" s="139" t="s">
        <v>299</v>
      </c>
      <c r="AH5" s="104" t="s">
        <v>15</v>
      </c>
      <c r="AI5" s="260">
        <f>SUMIFS(Portefeuille_MNT_PPS_Access29[AC ANT],Portefeuille_MNT_PPS_Access29[État Composante AC],"=PR")</f>
        <v>24010</v>
      </c>
      <c r="AJ5" s="260"/>
      <c r="AK5" s="260">
        <f>SUMIFS(Portefeuille_MNT_PPS_Access29[AC 2024],Portefeuille_MNT_PPS_Access29[État Composante AC],"=PR")</f>
        <v>4500</v>
      </c>
      <c r="AL5" s="260"/>
      <c r="AM5" s="260">
        <f>SUMIFS(Portefeuille_MNT_PPS_Access29[AC 2025],Portefeuille_MNT_PPS_Access29[État Composante AC],"=PR")</f>
        <v>11717</v>
      </c>
      <c r="AN5" s="260"/>
      <c r="AO5" s="260">
        <f>SUMIFS(Portefeuille_MNT_PPS_Access29[AC 2026],Portefeuille_MNT_PPS_Access29[État Composante AC],"=PR")</f>
        <v>10807</v>
      </c>
      <c r="AP5" s="260"/>
      <c r="AQ5" s="260">
        <f>SUMIFS(Portefeuille_MNT_PPS_Access29[AC 2027],Portefeuille_MNT_PPS_Access29[État Composante AC],"=PR")</f>
        <v>10654</v>
      </c>
      <c r="AR5" s="260"/>
      <c r="AS5" s="260">
        <f>SUMIFS(Portefeuille_MNT_PPS_Access29[AC 2028],Portefeuille_MNT_PPS_Access29[État Composante AC],"=PR")</f>
        <v>6115</v>
      </c>
      <c r="AT5" s="260"/>
      <c r="AU5" s="260">
        <f>SUMIFS(Portefeuille_MNT_PPS_Access29[AC 2029],Portefeuille_MNT_PPS_Access29[État Composante AC],"=PR")</f>
        <v>3062</v>
      </c>
      <c r="AV5" s="260"/>
      <c r="AW5" s="260">
        <f>SUMIFS(Portefeuille_MNT_PPS_Access29[AC 2030],Portefeuille_MNT_PPS_Access29[État Composante AC],"=PR")</f>
        <v>2395</v>
      </c>
      <c r="AX5" s="260"/>
      <c r="AY5" s="260">
        <f>SUMIFS(Portefeuille_MNT_PPS_Access29[AC 2031],Portefeuille_MNT_PPS_Access29[État Composante AC],"=PR")</f>
        <v>1918</v>
      </c>
      <c r="AZ5" s="260"/>
      <c r="BA5" s="260">
        <f>SUMIFS(Portefeuille_MNT_PPS_Access29[AC 2032],Portefeuille_MNT_PPS_Access29[État Composante AC],"=PR")</f>
        <v>0</v>
      </c>
      <c r="BB5" s="260"/>
      <c r="BC5" s="260">
        <f>SUMIFS(Portefeuille_MNT_PPS_Access29[AC 2033],Portefeuille_MNT_PPS_Access29[État Composante AC],"=PR")</f>
        <v>0</v>
      </c>
      <c r="BD5" s="260"/>
      <c r="BE5" s="260">
        <f>SUMIFS(Portefeuille_MNT_PPS_Access29[AC 2034],Portefeuille_MNT_PPS_Access29[État Composante AC],"=PR")</f>
        <v>0</v>
      </c>
      <c r="BF5" s="260"/>
      <c r="BG5" s="260">
        <f>SUMIFS(Portefeuille_MNT_PPS_Access29[AC 2035],Portefeuille_MNT_PPS_Access29[État Composante TR],"=PR")</f>
        <v>0</v>
      </c>
      <c r="BH5" s="260"/>
      <c r="BI5" s="16">
        <f>SUM(AO5:AX5)</f>
        <v>33033</v>
      </c>
      <c r="BJ5" s="16">
        <f>SUM(AO5:BH5)</f>
        <v>34951</v>
      </c>
    </row>
    <row r="6" spans="1:74" x14ac:dyDescent="0.3">
      <c r="I6" s="29" t="s">
        <v>16</v>
      </c>
      <c r="J6" s="28" t="s">
        <v>17</v>
      </c>
      <c r="AE6" s="35" t="s">
        <v>18</v>
      </c>
      <c r="AF6" s="140">
        <v>1</v>
      </c>
      <c r="AH6" s="83" t="s">
        <v>19</v>
      </c>
      <c r="AI6" s="260">
        <f>SUMIFS(Portefeuille_MNT_PPS_Access29[TR ANT],Portefeuille_MNT_PPS_Access29[État Composante TR],"=PR")</f>
        <v>133660</v>
      </c>
      <c r="AJ6" s="260"/>
      <c r="AK6" s="260">
        <f>SUMIFS(Portefeuille_MNT_PPS_Access29[TR 2024],Portefeuille_MNT_PPS_Access29[État Composante TR],"=PR")</f>
        <v>70599</v>
      </c>
      <c r="AL6" s="260"/>
      <c r="AM6" s="260">
        <f>SUMIFS(Portefeuille_MNT_PPS_Access29[TR 2025],Portefeuille_MNT_PPS_Access29[État Composante TR],"=PR")</f>
        <v>55714</v>
      </c>
      <c r="AN6" s="260"/>
      <c r="AO6" s="260">
        <f>SUMIFS(Portefeuille_MNT_PPS_Access29[TR 2026],Portefeuille_MNT_PPS_Access29[État Composante TR],"=PR")</f>
        <v>66913</v>
      </c>
      <c r="AP6" s="260"/>
      <c r="AQ6" s="260">
        <f>SUMIFS(Portefeuille_MNT_PPS_Access29[TR 2027],Portefeuille_MNT_PPS_Access29[État Composante TR],"=PR")</f>
        <v>5749</v>
      </c>
      <c r="AR6" s="260"/>
      <c r="AS6" s="260">
        <f>SUMIFS(Portefeuille_MNT_PPS_Access29[TR 2028],Portefeuille_MNT_PPS_Access29[État Composante TR],"=PR")</f>
        <v>4929</v>
      </c>
      <c r="AT6" s="260"/>
      <c r="AU6" s="260">
        <f>SUMIFS(Portefeuille_MNT_PPS_Access29[TR 2029],Portefeuille_MNT_PPS_Access29[État Composante TR],"=PR")</f>
        <v>6707.0000000000018</v>
      </c>
      <c r="AV6" s="260"/>
      <c r="AW6" s="260">
        <f>SUMIFS(Portefeuille_MNT_PPS_Access29[TR 2030],Portefeuille_MNT_PPS_Access29[État Composante TR],"=PR")</f>
        <v>6846.0000000000018</v>
      </c>
      <c r="AX6" s="260"/>
      <c r="AY6" s="260">
        <f>SUMIFS(Portefeuille_MNT_PPS_Access29[TR 2031],Portefeuille_MNT_PPS_Access29[État Composante TR],"=PR")</f>
        <v>0</v>
      </c>
      <c r="AZ6" s="260"/>
      <c r="BA6" s="260">
        <f>SUMIFS(Portefeuille_MNT_PPS_Access29[TR 2032],Portefeuille_MNT_PPS_Access29[État Composante TR],"=PR")</f>
        <v>0</v>
      </c>
      <c r="BB6" s="260"/>
      <c r="BC6" s="260">
        <f>SUMIFS(Portefeuille_MNT_PPS_Access29[TR 2033],Portefeuille_MNT_PPS_Access29[État Composante TR],"=PR")</f>
        <v>0</v>
      </c>
      <c r="BD6" s="260"/>
      <c r="BE6" s="260">
        <f>SUMIFS(Portefeuille_MNT_PPS_Access29[TR 2034],Portefeuille_MNT_PPS_Access29[État Composante TR],"=PR")</f>
        <v>0</v>
      </c>
      <c r="BF6" s="260"/>
      <c r="BG6" s="260">
        <f>SUMIFS(Portefeuille_MNT_PPS_Access29[TR 2035],Portefeuille_MNT_PPS_Access29[Région],"=PR")</f>
        <v>0</v>
      </c>
      <c r="BH6" s="260"/>
      <c r="BI6" s="16">
        <f>SUM(AO6:AX6)</f>
        <v>91144</v>
      </c>
      <c r="BJ6" s="16">
        <f>SUM(AO6:BH6)</f>
        <v>91144</v>
      </c>
    </row>
    <row r="7" spans="1:74" x14ac:dyDescent="0.3">
      <c r="I7" s="30" t="s">
        <v>20</v>
      </c>
      <c r="J7" s="31" t="s">
        <v>21</v>
      </c>
      <c r="AE7" s="35" t="s">
        <v>22</v>
      </c>
      <c r="AF7" s="140">
        <v>0.25</v>
      </c>
      <c r="AH7" s="83" t="s">
        <v>23</v>
      </c>
      <c r="AI7" s="262">
        <f>AI5+AI6</f>
        <v>157670</v>
      </c>
      <c r="AJ7" s="262"/>
      <c r="AK7" s="262">
        <f>AK5+AK6</f>
        <v>75099</v>
      </c>
      <c r="AL7" s="262"/>
      <c r="AM7" s="262">
        <f>AM5+AM6</f>
        <v>67431</v>
      </c>
      <c r="AN7" s="262"/>
      <c r="AO7" s="262">
        <f>AO5+AO6</f>
        <v>77720</v>
      </c>
      <c r="AP7" s="262"/>
      <c r="AQ7" s="262">
        <f>AQ5+AQ6</f>
        <v>16403</v>
      </c>
      <c r="AR7" s="262"/>
      <c r="AS7" s="262">
        <f>AS5+AS6</f>
        <v>11044</v>
      </c>
      <c r="AT7" s="262"/>
      <c r="AU7" s="262">
        <f>AU5+AU6</f>
        <v>9769.0000000000018</v>
      </c>
      <c r="AV7" s="262"/>
      <c r="AW7" s="262">
        <f>AW5+AW6</f>
        <v>9241.0000000000018</v>
      </c>
      <c r="AX7" s="262"/>
      <c r="AY7" s="262">
        <f>AY5+AY6</f>
        <v>1918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62">
        <f>BG5+BG6</f>
        <v>0</v>
      </c>
      <c r="BH7" s="262"/>
      <c r="BI7" s="20">
        <f>BI6+BI5+BI4</f>
        <v>124987</v>
      </c>
      <c r="BJ7" s="20">
        <f>BJ6+BJ5+BJ4</f>
        <v>126905</v>
      </c>
    </row>
    <row r="8" spans="1:74" x14ac:dyDescent="0.3">
      <c r="I8" s="131"/>
      <c r="J8" s="28" t="s">
        <v>270</v>
      </c>
      <c r="AE8" s="35" t="s">
        <v>24</v>
      </c>
      <c r="AF8" s="140">
        <v>0.25</v>
      </c>
      <c r="AH8" s="83" t="s">
        <v>25</v>
      </c>
      <c r="AI8" s="260">
        <f>SUMIFS(Portefeuille_MNT_PPS_Access29[AC ANT],Portefeuille_MNT_PPS_Access29[État Composante AC],"&lt;&gt;PR")</f>
        <v>0</v>
      </c>
      <c r="AJ8" s="260"/>
      <c r="AK8" s="260">
        <f>SUMIFS(Portefeuille_MNT_PPS_Access29[AC 2024],Portefeuille_MNT_PPS_Access29[État Composante AC],"&lt;&gt;PR")</f>
        <v>0</v>
      </c>
      <c r="AL8" s="260"/>
      <c r="AM8" s="260">
        <f>SUMIFS(Portefeuille_MNT_PPS_Access29[AC 2025],Portefeuille_MNT_PPS_Access29[État Composante AC],"&lt;&gt;PR")</f>
        <v>0</v>
      </c>
      <c r="AN8" s="260"/>
      <c r="AO8" s="260">
        <f>SUMIFS(Portefeuille_MNT_PPS_Access29[AC 2026],Portefeuille_MNT_PPS_Access29[État Composante AC],"&lt;&gt;PR")</f>
        <v>756</v>
      </c>
      <c r="AP8" s="260"/>
      <c r="AQ8" s="260">
        <f>SUMIFS(Portefeuille_MNT_PPS_Access29[AC 2027],Portefeuille_MNT_PPS_Access29[État Composante AC],"&lt;&gt;PR")</f>
        <v>2605</v>
      </c>
      <c r="AR8" s="260"/>
      <c r="AS8" s="260">
        <f>SUMIFS(Portefeuille_MNT_PPS_Access29[AC 2028],Portefeuille_MNT_PPS_Access29[État Composante AC],"&lt;&gt;PR")</f>
        <v>4950</v>
      </c>
      <c r="AT8" s="260"/>
      <c r="AU8" s="260">
        <f>SUMIFS(Portefeuille_MNT_PPS_Access29[AC 2029],Portefeuille_MNT_PPS_Access29[État Composante AC],"&lt;&gt;PR")</f>
        <v>7640</v>
      </c>
      <c r="AV8" s="260"/>
      <c r="AW8" s="260">
        <f>SUMIFS(Portefeuille_MNT_PPS_Access29[AC 2030],Portefeuille_MNT_PPS_Access29[État Composante AC],"&lt;&gt;PR")</f>
        <v>6025</v>
      </c>
      <c r="AX8" s="260"/>
      <c r="AY8" s="260">
        <f>SUMIFS(Portefeuille_MNT_PPS_Access29[AC 2031],Portefeuille_MNT_PPS_Access29[État Composante AC],"&lt;&gt;PR")</f>
        <v>6150</v>
      </c>
      <c r="AZ8" s="260"/>
      <c r="BA8" s="260">
        <f>SUMIFS(Portefeuille_MNT_PPS_Access29[AC 2032],Portefeuille_MNT_PPS_Access29[État Composante AC],"&lt;&gt;PR")</f>
        <v>7250</v>
      </c>
      <c r="BB8" s="260"/>
      <c r="BC8" s="260">
        <f>SUMIFS(Portefeuille_MNT_PPS_Access29[AC 2033],Portefeuille_MNT_PPS_Access29[État Composante AC],"&lt;&gt;PR")</f>
        <v>7225</v>
      </c>
      <c r="BD8" s="260"/>
      <c r="BE8" s="260">
        <f>SUMIFS(Portefeuille_MNT_PPS_Access29[AC 2034],Portefeuille_MNT_PPS_Access29[État Composante AC],"&lt;&gt;PR")</f>
        <v>5125</v>
      </c>
      <c r="BF8" s="260"/>
      <c r="BG8" s="260">
        <f>SUMIFS(Portefeuille_MNT_PPS_Access29[AC 2035],Portefeuille_MNT_PPS_Access29[État Composante TR],"&lt;&gt;PR")</f>
        <v>3350</v>
      </c>
      <c r="BH8" s="260"/>
      <c r="BI8" s="16">
        <f>SUM(AO8:AX8)</f>
        <v>21976</v>
      </c>
      <c r="BJ8" s="16">
        <f>SUM(AO8:BH8)</f>
        <v>51076</v>
      </c>
    </row>
    <row r="9" spans="1:74" x14ac:dyDescent="0.3">
      <c r="I9" s="176"/>
      <c r="J9" s="28" t="s">
        <v>271</v>
      </c>
      <c r="AE9" s="35" t="s">
        <v>26</v>
      </c>
      <c r="AF9" s="140">
        <v>0.25</v>
      </c>
      <c r="AH9" s="83" t="s">
        <v>27</v>
      </c>
      <c r="AI9" s="260">
        <f>SUMIFS(Portefeuille_MNT_PPS_Access29[TR ANT],Portefeuille_MNT_PPS_Access29[État Composante TR],"&lt;&gt;PR")</f>
        <v>19531</v>
      </c>
      <c r="AJ9" s="260"/>
      <c r="AK9" s="260">
        <f>SUMIFS(Portefeuille_MNT_PPS_Access29[TR 2024],Portefeuille_MNT_PPS_Access29[État Composante TR],"&lt;&gt;PR")</f>
        <v>0</v>
      </c>
      <c r="AL9" s="260"/>
      <c r="AM9" s="260">
        <f>SUMIFS(Portefeuille_MNT_PPS_Access29[TR 2025],Portefeuille_MNT_PPS_Access29[État Composante TR],"&lt;&gt;PR")</f>
        <v>0</v>
      </c>
      <c r="AN9" s="260"/>
      <c r="AO9" s="260">
        <f>SUMIFS(Portefeuille_MNT_PPS_Access29[TR 2026],Portefeuille_MNT_PPS_Access29[État Composante TR],"&lt;&gt;PR")</f>
        <v>3049</v>
      </c>
      <c r="AP9" s="260"/>
      <c r="AQ9" s="260">
        <f>SUMIFS(Portefeuille_MNT_PPS_Access29[TR 2027],Portefeuille_MNT_PPS_Access29[État Composante TR],"&lt;&gt;PR")</f>
        <v>51255</v>
      </c>
      <c r="AR9" s="260"/>
      <c r="AS9" s="260">
        <f>SUMIFS(Portefeuille_MNT_PPS_Access29[TR 2028],Portefeuille_MNT_PPS_Access29[État Composante TR],"&lt;&gt;PR")</f>
        <v>68570</v>
      </c>
      <c r="AT9" s="260"/>
      <c r="AU9" s="260">
        <f>SUMIFS(Portefeuille_MNT_PPS_Access29[TR 2029],Portefeuille_MNT_PPS_Access29[État Composante TR],"&lt;&gt;PR")</f>
        <v>113544</v>
      </c>
      <c r="AV9" s="260"/>
      <c r="AW9" s="260">
        <f>SUMIFS(Portefeuille_MNT_PPS_Access29[TR 2030],Portefeuille_MNT_PPS_Access29[État Composante TR],"&lt;&gt;PR")</f>
        <v>95862</v>
      </c>
      <c r="AX9" s="260"/>
      <c r="AY9" s="260">
        <f>SUMIFS(Portefeuille_MNT_PPS_Access29[TR 2031],Portefeuille_MNT_PPS_Access29[État Composante TR],"&lt;&gt;PR")</f>
        <v>93819</v>
      </c>
      <c r="AZ9" s="260"/>
      <c r="BA9" s="260">
        <f>SUMIFS(Portefeuille_MNT_PPS_Access29[TR 2032],Portefeuille_MNT_PPS_Access29[État Composante TR],"&lt;&gt;PR")</f>
        <v>61200</v>
      </c>
      <c r="BB9" s="260"/>
      <c r="BC9" s="260">
        <f>SUMIFS(Portefeuille_MNT_PPS_Access29[TR 2033],Portefeuille_MNT_PPS_Access29[État Composante TR],"&lt;&gt;PR")</f>
        <v>82000</v>
      </c>
      <c r="BD9" s="260"/>
      <c r="BE9" s="260">
        <f>SUMIFS(Portefeuille_MNT_PPS_Access29[TR 2034],Portefeuille_MNT_PPS_Access29[État Composante TR],"&lt;&gt;PR")</f>
        <v>102000</v>
      </c>
      <c r="BF9" s="260"/>
      <c r="BG9" s="260">
        <f>SUMIFS(Portefeuille_MNT_PPS_Access29[TR 2035],Portefeuille_MNT_PPS_Access29[Région],"&lt;&gt;PR")</f>
        <v>112000</v>
      </c>
      <c r="BH9" s="260"/>
      <c r="BI9" s="16">
        <f>SUM(AO9:AX9)</f>
        <v>332280</v>
      </c>
      <c r="BJ9" s="16">
        <f>SUM(AO9:BH9)</f>
        <v>783299</v>
      </c>
    </row>
    <row r="10" spans="1:74" x14ac:dyDescent="0.3">
      <c r="I10" s="175"/>
      <c r="J10" s="31" t="s">
        <v>521</v>
      </c>
      <c r="AE10" s="35" t="s">
        <v>28</v>
      </c>
      <c r="AF10" s="140">
        <v>0.25</v>
      </c>
      <c r="AH10" s="83" t="s">
        <v>29</v>
      </c>
      <c r="AI10" s="262">
        <f>AI8+AI9</f>
        <v>19531</v>
      </c>
      <c r="AJ10" s="262"/>
      <c r="AK10" s="262">
        <f>AK8+AK9</f>
        <v>0</v>
      </c>
      <c r="AL10" s="262"/>
      <c r="AM10" s="262">
        <f>AM8+AM9</f>
        <v>0</v>
      </c>
      <c r="AN10" s="262"/>
      <c r="AO10" s="262">
        <f>AO8+AO9</f>
        <v>3805</v>
      </c>
      <c r="AP10" s="262"/>
      <c r="AQ10" s="262">
        <f>AQ8+AQ9</f>
        <v>53860</v>
      </c>
      <c r="AR10" s="262"/>
      <c r="AS10" s="262">
        <f>AS8+AS9</f>
        <v>73520</v>
      </c>
      <c r="AT10" s="262"/>
      <c r="AU10" s="262">
        <f>AU8+AU9</f>
        <v>121184</v>
      </c>
      <c r="AV10" s="262"/>
      <c r="AW10" s="262">
        <f>AW8+AW9</f>
        <v>101887</v>
      </c>
      <c r="AX10" s="262"/>
      <c r="AY10" s="262">
        <f>AY8+AY9</f>
        <v>99969</v>
      </c>
      <c r="AZ10" s="262"/>
      <c r="BA10" s="262">
        <f>BA8+BA9</f>
        <v>68450</v>
      </c>
      <c r="BB10" s="262"/>
      <c r="BC10" s="262">
        <f>BC8+BC9</f>
        <v>89225</v>
      </c>
      <c r="BD10" s="262"/>
      <c r="BE10" s="262">
        <f>BE8+BE9</f>
        <v>107125</v>
      </c>
      <c r="BF10" s="262"/>
      <c r="BG10" s="262">
        <f>BG8+BG9</f>
        <v>115350</v>
      </c>
      <c r="BH10" s="262"/>
      <c r="BI10" s="20">
        <f>BI9+BI8</f>
        <v>354256</v>
      </c>
      <c r="BJ10" s="20">
        <f>BJ9+BJ8</f>
        <v>834375</v>
      </c>
    </row>
    <row r="11" spans="1:74" ht="15.6" x14ac:dyDescent="0.3">
      <c r="AE11" s="24" t="s">
        <v>30</v>
      </c>
      <c r="AF11" s="212">
        <f>SUM(AF7:AF10)</f>
        <v>1</v>
      </c>
      <c r="AG11" s="343" t="s">
        <v>31</v>
      </c>
      <c r="AH11" s="344"/>
      <c r="AI11" s="261">
        <f>AI10+AI7</f>
        <v>177201</v>
      </c>
      <c r="AJ11" s="259"/>
      <c r="AK11" s="258">
        <f>AK10+AK7</f>
        <v>75099</v>
      </c>
      <c r="AL11" s="259"/>
      <c r="AM11" s="258">
        <f>AM10+AM7</f>
        <v>67431</v>
      </c>
      <c r="AN11" s="259"/>
      <c r="AO11" s="258">
        <f>AO10+AO7</f>
        <v>81525</v>
      </c>
      <c r="AP11" s="259"/>
      <c r="AQ11" s="258">
        <f>AQ10+AQ7</f>
        <v>70263</v>
      </c>
      <c r="AR11" s="259"/>
      <c r="AS11" s="258">
        <f>AS10+AS7</f>
        <v>84564</v>
      </c>
      <c r="AT11" s="259"/>
      <c r="AU11" s="258">
        <f>AU10+AU7</f>
        <v>130953</v>
      </c>
      <c r="AV11" s="259"/>
      <c r="AW11" s="258">
        <f>AW10+AW7</f>
        <v>111128</v>
      </c>
      <c r="AX11" s="259"/>
      <c r="AY11" s="258">
        <f t="shared" ref="AY11" si="0">AY10+AY7</f>
        <v>101887</v>
      </c>
      <c r="AZ11" s="259"/>
      <c r="BA11" s="258">
        <f t="shared" ref="BA11" si="1">BA10+BA7</f>
        <v>68450</v>
      </c>
      <c r="BB11" s="259"/>
      <c r="BC11" s="258">
        <f t="shared" ref="BC11" si="2">BC10+BC7</f>
        <v>89225</v>
      </c>
      <c r="BD11" s="259"/>
      <c r="BE11" s="258">
        <f t="shared" ref="BE11" si="3">BE10+BE7</f>
        <v>107125</v>
      </c>
      <c r="BF11" s="259"/>
      <c r="BG11" s="258">
        <f>BG10+BG7</f>
        <v>115350</v>
      </c>
      <c r="BH11" s="259"/>
      <c r="BI11" s="21">
        <f>BI7+BI10</f>
        <v>479243</v>
      </c>
      <c r="BJ11" s="21">
        <f>BJ7+BJ10</f>
        <v>961280</v>
      </c>
    </row>
    <row r="12" spans="1:74" ht="15.6" x14ac:dyDescent="0.3">
      <c r="AG12" s="209"/>
      <c r="AH12" s="83" t="s">
        <v>591</v>
      </c>
      <c r="AI12" s="260"/>
      <c r="AJ12" s="260"/>
      <c r="AK12" s="260"/>
      <c r="AL12" s="280"/>
      <c r="AM12" s="260">
        <v>28</v>
      </c>
      <c r="AN12" s="260"/>
      <c r="AO12" s="260">
        <v>-9673</v>
      </c>
      <c r="AP12" s="260"/>
      <c r="AQ12" s="260">
        <v>9000</v>
      </c>
      <c r="AR12" s="260"/>
      <c r="AS12" s="260">
        <v>968</v>
      </c>
      <c r="AT12" s="260"/>
      <c r="AU12" s="260">
        <v>70</v>
      </c>
      <c r="AV12" s="260"/>
      <c r="AW12" s="260"/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76">
        <v>0</v>
      </c>
      <c r="BJ12" s="76">
        <v>0</v>
      </c>
    </row>
    <row r="13" spans="1:74" ht="15.6" x14ac:dyDescent="0.3">
      <c r="AG13" s="345" t="s">
        <v>592</v>
      </c>
      <c r="AH13" s="346"/>
      <c r="AI13" s="258">
        <f>AI12+AI11</f>
        <v>177201</v>
      </c>
      <c r="AJ13" s="259"/>
      <c r="AK13" s="258">
        <v>75021</v>
      </c>
      <c r="AL13" s="259"/>
      <c r="AM13" s="258">
        <f>AM12+AM11</f>
        <v>67459</v>
      </c>
      <c r="AN13" s="259"/>
      <c r="AO13" s="258">
        <f>AO12+AO11</f>
        <v>71852</v>
      </c>
      <c r="AP13" s="259"/>
      <c r="AQ13" s="258">
        <f>AQ12+AQ11</f>
        <v>79263</v>
      </c>
      <c r="AR13" s="259"/>
      <c r="AS13" s="258">
        <f>AS12+AS11</f>
        <v>85532</v>
      </c>
      <c r="AT13" s="259"/>
      <c r="AU13" s="258">
        <f>AU12+AU11</f>
        <v>131023</v>
      </c>
      <c r="AV13" s="259"/>
      <c r="AW13" s="258">
        <f>AW12+AW11</f>
        <v>111128</v>
      </c>
      <c r="AX13" s="259"/>
      <c r="AY13" s="258">
        <f>AY12+AY11</f>
        <v>101887</v>
      </c>
      <c r="AZ13" s="259"/>
      <c r="BA13" s="258">
        <f>BA12+BA11</f>
        <v>68450</v>
      </c>
      <c r="BB13" s="259"/>
      <c r="BC13" s="258">
        <f>BC12+BC11</f>
        <v>89225</v>
      </c>
      <c r="BD13" s="259"/>
      <c r="BE13" s="258">
        <f>BE12+BE11</f>
        <v>107125</v>
      </c>
      <c r="BF13" s="259"/>
      <c r="BG13" s="258">
        <f>BG12+BG11</f>
        <v>115350</v>
      </c>
      <c r="BH13" s="259"/>
      <c r="BI13" s="21">
        <f>BI12+BI11</f>
        <v>479243</v>
      </c>
      <c r="BJ13" s="21">
        <f>BJ12+BJ11</f>
        <v>961280</v>
      </c>
    </row>
    <row r="14" spans="1:74" ht="15.6" x14ac:dyDescent="0.3">
      <c r="AG14" s="210"/>
      <c r="AH14" s="144" t="s">
        <v>539</v>
      </c>
      <c r="AI14" s="256"/>
      <c r="AJ14" s="257"/>
      <c r="AK14" s="256">
        <v>64600</v>
      </c>
      <c r="AL14" s="257"/>
      <c r="AM14" s="256">
        <v>75500</v>
      </c>
      <c r="AN14" s="257"/>
      <c r="AO14" s="256">
        <v>75500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80500</v>
      </c>
      <c r="AX14" s="257"/>
      <c r="AY14" s="256">
        <v>80500</v>
      </c>
      <c r="AZ14" s="257"/>
      <c r="BA14" s="256">
        <v>80500</v>
      </c>
      <c r="BB14" s="257"/>
      <c r="BC14" s="256">
        <v>80500</v>
      </c>
      <c r="BD14" s="257"/>
      <c r="BE14" s="256">
        <v>80500</v>
      </c>
      <c r="BF14" s="257"/>
      <c r="BG14" s="256">
        <v>80500</v>
      </c>
      <c r="BH14" s="257"/>
      <c r="BI14" s="17">
        <f>SUM(AM14:AV14)</f>
        <v>392500</v>
      </c>
      <c r="BJ14" s="17">
        <f>SUM(AN14:AW14)</f>
        <v>397500</v>
      </c>
    </row>
    <row r="15" spans="1:74" ht="15.6" x14ac:dyDescent="0.3">
      <c r="AG15" s="210"/>
      <c r="AH15" s="84" t="s">
        <v>555</v>
      </c>
      <c r="AI15" s="252">
        <f>AI14-AI13</f>
        <v>-177201</v>
      </c>
      <c r="AJ15" s="348"/>
      <c r="AK15" s="252">
        <f>AK14-AK13</f>
        <v>-10421</v>
      </c>
      <c r="AL15" s="253"/>
      <c r="AM15" s="252">
        <f>AM14-AM13</f>
        <v>8041</v>
      </c>
      <c r="AN15" s="253"/>
      <c r="AO15" s="252">
        <f>AO14-AO13</f>
        <v>3648</v>
      </c>
      <c r="AP15" s="253"/>
      <c r="AQ15" s="252">
        <f t="shared" ref="AQ15" si="4">AQ14-AQ13</f>
        <v>1237</v>
      </c>
      <c r="AR15" s="253"/>
      <c r="AS15" s="252">
        <f t="shared" ref="AS15" si="5">AS14-AS13</f>
        <v>-5032</v>
      </c>
      <c r="AT15" s="253"/>
      <c r="AU15" s="252">
        <f t="shared" ref="AU15" si="6">AU14-AU13</f>
        <v>-50523</v>
      </c>
      <c r="AV15" s="253"/>
      <c r="AW15" s="252">
        <f t="shared" ref="AW15" si="7">AW14-AW13</f>
        <v>-30628</v>
      </c>
      <c r="AX15" s="253"/>
      <c r="AY15" s="252">
        <f t="shared" ref="AY15" si="8">AY14-AY13</f>
        <v>-21387</v>
      </c>
      <c r="AZ15" s="253"/>
      <c r="BA15" s="252">
        <f t="shared" ref="BA15" si="9">BA14-BA13</f>
        <v>12050</v>
      </c>
      <c r="BB15" s="253"/>
      <c r="BC15" s="252">
        <f>BC14-BC13</f>
        <v>-8725</v>
      </c>
      <c r="BD15" s="253"/>
      <c r="BE15" s="252">
        <f>BE14-BE13</f>
        <v>-26625</v>
      </c>
      <c r="BF15" s="253"/>
      <c r="BG15" s="252">
        <f>BG14-BG13</f>
        <v>-34850</v>
      </c>
      <c r="BH15" s="253"/>
      <c r="BI15" s="23">
        <f>BI14-BI13</f>
        <v>-86743</v>
      </c>
      <c r="BJ15" s="23">
        <f>BJ14-BJ13</f>
        <v>-563780</v>
      </c>
    </row>
    <row r="16" spans="1:74" ht="15.6" x14ac:dyDescent="0.3">
      <c r="AG16" s="211"/>
      <c r="AH16" s="145" t="s">
        <v>556</v>
      </c>
      <c r="AI16" s="254" t="e">
        <f>(AI13-AI14)/AI14</f>
        <v>#DIV/0!</v>
      </c>
      <c r="AJ16" s="347"/>
      <c r="AK16" s="254">
        <f t="shared" ref="AK16" si="10">(AK13-AK14)/AK14</f>
        <v>0.16131578947368422</v>
      </c>
      <c r="AL16" s="255"/>
      <c r="AM16" s="254">
        <f>(AM14-AM13)/AM14</f>
        <v>0.10650331125827815</v>
      </c>
      <c r="AN16" s="255"/>
      <c r="AO16" s="254">
        <f>(AO14-AO13)/AO14</f>
        <v>4.8317880794701985E-2</v>
      </c>
      <c r="AP16" s="255"/>
      <c r="AQ16" s="254">
        <f t="shared" ref="AQ16" si="11">(AQ14-AQ13)/AQ14</f>
        <v>1.5366459627329193E-2</v>
      </c>
      <c r="AR16" s="255"/>
      <c r="AS16" s="254">
        <f t="shared" ref="AS16" si="12">(AS14-AS13)/AS14</f>
        <v>-6.2509316770186341E-2</v>
      </c>
      <c r="AT16" s="255"/>
      <c r="AU16" s="254">
        <f t="shared" ref="AU16" si="13">(AU14-AU13)/AU14</f>
        <v>-0.62761490683229815</v>
      </c>
      <c r="AV16" s="255"/>
      <c r="AW16" s="254">
        <f t="shared" ref="AW16" si="14">(AW14-AW13)/AW14</f>
        <v>-0.38047204968944098</v>
      </c>
      <c r="AX16" s="255"/>
      <c r="AY16" s="254">
        <f t="shared" ref="AY16" si="15">(AY14-AY13)/AY14</f>
        <v>-0.26567701863354037</v>
      </c>
      <c r="AZ16" s="255"/>
      <c r="BA16" s="254">
        <f t="shared" ref="BA16" si="16">(BA14-BA13)/BA14</f>
        <v>0.14968944099378881</v>
      </c>
      <c r="BB16" s="255"/>
      <c r="BC16" s="254">
        <f>(BC14-BC13)/BC14</f>
        <v>-0.10838509316770187</v>
      </c>
      <c r="BD16" s="255"/>
      <c r="BE16" s="254">
        <f>(BE14-BE13)/BE14</f>
        <v>-0.33074534161490682</v>
      </c>
      <c r="BF16" s="255"/>
      <c r="BG16" s="254">
        <f>(BG14-BG13)/BG14</f>
        <v>-0.4329192546583851</v>
      </c>
      <c r="BH16" s="255"/>
      <c r="BI16" s="22">
        <f>(BI14-BI13)/BI14</f>
        <v>-0.22100127388535032</v>
      </c>
      <c r="BJ16" s="22">
        <f>(BJ14-BJ13)/BJ14</f>
        <v>-1.4183144654088051</v>
      </c>
    </row>
    <row r="17" spans="1:61" ht="13.95" customHeight="1" thickBot="1" x14ac:dyDescent="0.35">
      <c r="AK17" s="8"/>
      <c r="AL17"/>
      <c r="AV17"/>
    </row>
    <row r="18" spans="1:61" s="11" customFormat="1" ht="78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684</v>
      </c>
      <c r="O18" s="11" t="s">
        <v>681</v>
      </c>
      <c r="P18" s="11" t="s">
        <v>685</v>
      </c>
      <c r="Q18" s="11" t="s">
        <v>49</v>
      </c>
      <c r="R18" s="11" t="s">
        <v>50</v>
      </c>
      <c r="S18" s="11" t="s">
        <v>51</v>
      </c>
      <c r="T18" s="11" t="s">
        <v>52</v>
      </c>
      <c r="U18" s="11" t="s">
        <v>548</v>
      </c>
      <c r="V18" s="11" t="s">
        <v>538</v>
      </c>
      <c r="W18" s="11" t="s">
        <v>537</v>
      </c>
      <c r="X18" s="11" t="s">
        <v>535</v>
      </c>
      <c r="Y18" s="11" t="s">
        <v>534</v>
      </c>
      <c r="Z18" s="11" t="s">
        <v>536</v>
      </c>
      <c r="AA18" s="11" t="s">
        <v>657</v>
      </c>
      <c r="AB18" s="11" t="s">
        <v>658</v>
      </c>
      <c r="AC18" s="11" t="s">
        <v>659</v>
      </c>
      <c r="AD18" s="11" t="s">
        <v>69</v>
      </c>
      <c r="AE18" s="11" t="s">
        <v>660</v>
      </c>
      <c r="AF18" s="9" t="s">
        <v>73</v>
      </c>
      <c r="AG18" s="9" t="s">
        <v>74</v>
      </c>
      <c r="AH18" s="10" t="s">
        <v>75</v>
      </c>
      <c r="AI18" s="9" t="s">
        <v>76</v>
      </c>
      <c r="AJ18" s="9" t="s">
        <v>77</v>
      </c>
      <c r="AK18" s="9" t="s">
        <v>78</v>
      </c>
      <c r="AL18" s="9" t="s">
        <v>79</v>
      </c>
      <c r="AM18" s="9" t="s">
        <v>80</v>
      </c>
      <c r="AN18" s="9" t="s">
        <v>81</v>
      </c>
      <c r="AO18" s="9" t="s">
        <v>82</v>
      </c>
      <c r="AP18" s="9" t="s">
        <v>83</v>
      </c>
      <c r="AQ18" s="9" t="s">
        <v>84</v>
      </c>
      <c r="AR18" s="9" t="s">
        <v>85</v>
      </c>
      <c r="AS18" s="9" t="s">
        <v>86</v>
      </c>
      <c r="AT18" s="9" t="s">
        <v>87</v>
      </c>
      <c r="AU18" s="9" t="s">
        <v>88</v>
      </c>
      <c r="AV18" s="9" t="s">
        <v>89</v>
      </c>
      <c r="AW18" s="9" t="s">
        <v>90</v>
      </c>
      <c r="AX18" s="9" t="s">
        <v>91</v>
      </c>
      <c r="AY18" s="9" t="s">
        <v>92</v>
      </c>
      <c r="AZ18" s="9" t="s">
        <v>93</v>
      </c>
      <c r="BA18" s="9" t="s">
        <v>94</v>
      </c>
      <c r="BB18" s="9" t="s">
        <v>95</v>
      </c>
      <c r="BC18" s="9" t="s">
        <v>96</v>
      </c>
      <c r="BD18" s="9" t="s">
        <v>97</v>
      </c>
      <c r="BE18" s="9" t="s">
        <v>98</v>
      </c>
      <c r="BF18" s="9" t="s">
        <v>99</v>
      </c>
      <c r="BG18" s="9" t="s">
        <v>593</v>
      </c>
      <c r="BH18" s="9" t="s">
        <v>594</v>
      </c>
      <c r="BI18" s="9" t="s">
        <v>100</v>
      </c>
    </row>
    <row r="19" spans="1:61" hidden="1" x14ac:dyDescent="0.3">
      <c r="A19" t="s">
        <v>286</v>
      </c>
      <c r="B19" t="s">
        <v>295</v>
      </c>
      <c r="D19" t="s">
        <v>126</v>
      </c>
      <c r="E19" t="s">
        <v>127</v>
      </c>
      <c r="F19" t="s">
        <v>136</v>
      </c>
      <c r="G19" t="s">
        <v>104</v>
      </c>
      <c r="H19" t="s">
        <v>16</v>
      </c>
      <c r="I19" t="s">
        <v>16</v>
      </c>
      <c r="J19" t="s">
        <v>105</v>
      </c>
      <c r="K19" s="2">
        <v>154061996</v>
      </c>
      <c r="L19" t="s">
        <v>163</v>
      </c>
      <c r="M19" t="s">
        <v>122</v>
      </c>
      <c r="N19" s="8">
        <f>_xlfn.XLOOKUP(Portefeuille_MNT_PPS_Access29[[#This Row],[Numéro projet]], Portefeuille_MNT_PPS_Access20[Numéro projet], Portefeuille_MNT_PPS_Access20[Année DÉBUT Travaux prévu], "")</f>
        <v>2025</v>
      </c>
      <c r="O19">
        <v>2025</v>
      </c>
      <c r="P19">
        <f>Portefeuille_MNT_PPS_Access29[[#This Row],[Année DÉBUT Travaux proposé]]-Portefeuille_MNT_PPS_Access29[[#This Row],[Année DÉBUT Travaux prog actuelle]]</f>
        <v>0</v>
      </c>
      <c r="Q19" t="s">
        <v>164</v>
      </c>
      <c r="R19" s="1"/>
      <c r="S19" s="1"/>
      <c r="T19" s="1"/>
      <c r="U1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9">
        <f>Portefeuille_MNT_PPS_Access29[[#This Row],[Délais PC1 et PC3]]+Portefeuille_MNT_PPS_Access29[[#This Row],[Délais PC3 et PC5]]</f>
        <v>0</v>
      </c>
      <c r="AA19">
        <v>1</v>
      </c>
      <c r="AB19">
        <v>1</v>
      </c>
      <c r="AD19" t="s">
        <v>165</v>
      </c>
      <c r="AE19">
        <v>4</v>
      </c>
      <c r="AF19" s="2">
        <f>_xlfn.XLOOKUP(Portefeuille_MNT_PPS_Access29[[#This Row],[Numéro projet]],Portefeuille_MNT_PPS_Access27[Numéro projet],Portefeuille_MNT_PPS_Access27[Critère Etat Infrastructure])</f>
        <v>0</v>
      </c>
      <c r="AG1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60.000000000000007</v>
      </c>
      <c r="AH19" s="221"/>
      <c r="AI19">
        <v>5398</v>
      </c>
      <c r="AJ19">
        <v>28152</v>
      </c>
      <c r="AK19">
        <v>46</v>
      </c>
      <c r="AL19">
        <v>891</v>
      </c>
      <c r="AM19">
        <v>399</v>
      </c>
      <c r="AN19">
        <v>67</v>
      </c>
      <c r="AO19">
        <v>93</v>
      </c>
      <c r="AV19"/>
      <c r="BI19" s="14">
        <f>SUM(Portefeuille_MNT_PPS_Access29[[#This Row],[AC ANT]:[TR 2035]])</f>
        <v>35046</v>
      </c>
    </row>
    <row r="20" spans="1:61" hidden="1" x14ac:dyDescent="0.3">
      <c r="A20" t="s">
        <v>286</v>
      </c>
      <c r="B20" t="s">
        <v>295</v>
      </c>
      <c r="D20" t="s">
        <v>126</v>
      </c>
      <c r="E20" t="s">
        <v>127</v>
      </c>
      <c r="F20" t="s">
        <v>128</v>
      </c>
      <c r="G20" t="s">
        <v>252</v>
      </c>
      <c r="H20" t="s">
        <v>16</v>
      </c>
      <c r="I20" t="s">
        <v>16</v>
      </c>
      <c r="J20" t="s">
        <v>131</v>
      </c>
      <c r="K20" s="2">
        <v>154240039</v>
      </c>
      <c r="L20" t="s">
        <v>254</v>
      </c>
      <c r="M20" t="s">
        <v>147</v>
      </c>
      <c r="N20" s="8">
        <f>_xlfn.XLOOKUP(Portefeuille_MNT_PPS_Access29[[#This Row],[Numéro projet]], Portefeuille_MNT_PPS_Access20[Numéro projet], Portefeuille_MNT_PPS_Access20[Année DÉBUT Travaux prévu], "")</f>
        <v>2025</v>
      </c>
      <c r="O20">
        <v>2025</v>
      </c>
      <c r="P20">
        <f>Portefeuille_MNT_PPS_Access29[[#This Row],[Année DÉBUT Travaux proposé]]-Portefeuille_MNT_PPS_Access29[[#This Row],[Année DÉBUT Travaux prog actuelle]]</f>
        <v>0</v>
      </c>
      <c r="Q20" t="s">
        <v>291</v>
      </c>
      <c r="R20" s="1"/>
      <c r="S20" s="1"/>
      <c r="T20" s="1"/>
      <c r="U2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0">
        <f>Portefeuille_MNT_PPS_Access29[[#This Row],[Délais PC1 et PC3]]+Portefeuille_MNT_PPS_Access29[[#This Row],[Délais PC3 et PC5]]</f>
        <v>0</v>
      </c>
      <c r="AA20">
        <v>1</v>
      </c>
      <c r="AB20">
        <v>1</v>
      </c>
      <c r="AD20" t="s">
        <v>311</v>
      </c>
      <c r="AE20">
        <v>2.6666666666666665</v>
      </c>
      <c r="AF20" s="2">
        <f>_xlfn.XLOOKUP(Portefeuille_MNT_PPS_Access29[[#This Row],[Numéro projet]],Portefeuille_MNT_PPS_Access27[Numéro projet],Portefeuille_MNT_PPS_Access27[Critère Etat Infrastructure])</f>
        <v>4</v>
      </c>
      <c r="AG2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38.333333333333336</v>
      </c>
      <c r="AH20" s="221"/>
      <c r="AL20"/>
      <c r="AM20">
        <v>10</v>
      </c>
      <c r="AN20">
        <v>39</v>
      </c>
      <c r="AV20"/>
      <c r="BI20" s="14">
        <f>SUM(Portefeuille_MNT_PPS_Access29[[#This Row],[AC ANT]:[TR 2035]])</f>
        <v>49</v>
      </c>
    </row>
    <row r="21" spans="1:61" x14ac:dyDescent="0.3">
      <c r="A21" t="s">
        <v>286</v>
      </c>
      <c r="B21" t="s">
        <v>662</v>
      </c>
      <c r="D21" t="s">
        <v>118</v>
      </c>
      <c r="E21" t="s">
        <v>102</v>
      </c>
      <c r="F21" t="s">
        <v>136</v>
      </c>
      <c r="G21" t="s">
        <v>129</v>
      </c>
      <c r="H21" t="s">
        <v>16</v>
      </c>
      <c r="I21" t="s">
        <v>16</v>
      </c>
      <c r="J21" t="s">
        <v>131</v>
      </c>
      <c r="K21" s="2">
        <v>154101520</v>
      </c>
      <c r="L21" t="s">
        <v>219</v>
      </c>
      <c r="M21" t="s">
        <v>152</v>
      </c>
      <c r="N21" s="8">
        <f>_xlfn.XLOOKUP(Portefeuille_MNT_PPS_Access29[[#This Row],[Numéro projet]], Portefeuille_MNT_PPS_Access20[Numéro projet], Portefeuille_MNT_PPS_Access20[Année DÉBUT Travaux prévu], "")</f>
        <v>2025</v>
      </c>
      <c r="O21">
        <v>2025</v>
      </c>
      <c r="P21">
        <f>Portefeuille_MNT_PPS_Access29[[#This Row],[Année DÉBUT Travaux proposé]]-Portefeuille_MNT_PPS_Access29[[#This Row],[Année DÉBUT Travaux prog actuelle]]</f>
        <v>0</v>
      </c>
      <c r="Q21" t="s">
        <v>164</v>
      </c>
      <c r="R21" s="1">
        <v>45370</v>
      </c>
      <c r="S21" s="1"/>
      <c r="T21" s="1">
        <v>45706</v>
      </c>
      <c r="U2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2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2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-1490</v>
      </c>
      <c r="Y2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1501</v>
      </c>
      <c r="Z21">
        <f>Portefeuille_MNT_PPS_Access29[[#This Row],[Délais PC1 et PC3]]+Portefeuille_MNT_PPS_Access29[[#This Row],[Délais PC3 et PC5]]</f>
        <v>11</v>
      </c>
      <c r="AA21">
        <v>1</v>
      </c>
      <c r="AB21">
        <v>5</v>
      </c>
      <c r="AD21" t="s">
        <v>165</v>
      </c>
      <c r="AE21">
        <v>3.3333333333333335</v>
      </c>
      <c r="AF21" s="2">
        <f>_xlfn.XLOOKUP(Portefeuille_MNT_PPS_Access29[[#This Row],[Numéro projet]],Portefeuille_MNT_PPS_Access27[Numéro projet],Portefeuille_MNT_PPS_Access27[Critère Etat Infrastructure])</f>
        <v>5</v>
      </c>
      <c r="AG2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101.66666666666666</v>
      </c>
      <c r="AH21" s="221"/>
      <c r="AI21">
        <v>6</v>
      </c>
      <c r="AK21">
        <v>45</v>
      </c>
      <c r="AL21"/>
      <c r="AM21">
        <v>38</v>
      </c>
      <c r="AN21">
        <v>605</v>
      </c>
      <c r="AV21"/>
      <c r="BI21" s="14">
        <f>SUM(Portefeuille_MNT_PPS_Access29[[#This Row],[AC ANT]:[TR 2035]])</f>
        <v>694</v>
      </c>
    </row>
    <row r="22" spans="1:61" hidden="1" x14ac:dyDescent="0.3">
      <c r="A22" t="s">
        <v>11</v>
      </c>
      <c r="D22" t="s">
        <v>118</v>
      </c>
      <c r="E22" t="s">
        <v>102</v>
      </c>
      <c r="F22" t="s">
        <v>103</v>
      </c>
      <c r="G22" t="s">
        <v>252</v>
      </c>
      <c r="H22" t="s">
        <v>20</v>
      </c>
      <c r="I22" t="s">
        <v>16</v>
      </c>
      <c r="J22" t="s">
        <v>131</v>
      </c>
      <c r="K22" s="2">
        <v>154240498</v>
      </c>
      <c r="L22" t="s">
        <v>258</v>
      </c>
      <c r="M22" t="s">
        <v>180</v>
      </c>
      <c r="N22" s="8">
        <f>_xlfn.XLOOKUP(Portefeuille_MNT_PPS_Access29[[#This Row],[Numéro projet]], Portefeuille_MNT_PPS_Access20[Numéro projet], Portefeuille_MNT_PPS_Access20[Année DÉBUT Travaux prévu], "")</f>
        <v>2025</v>
      </c>
      <c r="O22">
        <v>2025</v>
      </c>
      <c r="P22">
        <f>Portefeuille_MNT_PPS_Access29[[#This Row],[Année DÉBUT Travaux proposé]]-Portefeuille_MNT_PPS_Access29[[#This Row],[Année DÉBUT Travaux prog actuelle]]</f>
        <v>0</v>
      </c>
      <c r="Q22" t="s">
        <v>291</v>
      </c>
      <c r="R22" s="1"/>
      <c r="S22" s="1"/>
      <c r="T22" s="1"/>
      <c r="U2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2">
        <f>Portefeuille_MNT_PPS_Access29[[#This Row],[Délais PC1 et PC3]]+Portefeuille_MNT_PPS_Access29[[#This Row],[Délais PC3 et PC5]]</f>
        <v>0</v>
      </c>
      <c r="AA22">
        <v>1</v>
      </c>
      <c r="AB22">
        <v>1</v>
      </c>
      <c r="AD22" t="s">
        <v>311</v>
      </c>
      <c r="AE22">
        <v>2.8787878787878789</v>
      </c>
      <c r="AF22" s="2">
        <f>_xlfn.XLOOKUP(Portefeuille_MNT_PPS_Access29[[#This Row],[Numéro projet]],Portefeuille_MNT_PPS_Access27[Numéro projet],Portefeuille_MNT_PPS_Access27[Critère Etat Infrastructure])</f>
        <v>3</v>
      </c>
      <c r="AG2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34.393939393939391</v>
      </c>
      <c r="AH22" s="221"/>
      <c r="AL22"/>
      <c r="AN22">
        <v>300</v>
      </c>
      <c r="AV22"/>
      <c r="BI22" s="14">
        <f>SUM(Portefeuille_MNT_PPS_Access29[[#This Row],[AC ANT]:[TR 2035]])</f>
        <v>300</v>
      </c>
    </row>
    <row r="23" spans="1:61" hidden="1" x14ac:dyDescent="0.3">
      <c r="A23" t="s">
        <v>286</v>
      </c>
      <c r="B23" t="s">
        <v>295</v>
      </c>
      <c r="D23" t="s">
        <v>126</v>
      </c>
      <c r="E23" t="s">
        <v>127</v>
      </c>
      <c r="F23" t="s">
        <v>128</v>
      </c>
      <c r="G23" t="s">
        <v>252</v>
      </c>
      <c r="H23" t="s">
        <v>16</v>
      </c>
      <c r="I23" t="s">
        <v>16</v>
      </c>
      <c r="J23" t="s">
        <v>131</v>
      </c>
      <c r="K23" s="2">
        <v>154240500</v>
      </c>
      <c r="L23" t="s">
        <v>260</v>
      </c>
      <c r="M23" t="s">
        <v>159</v>
      </c>
      <c r="N23" s="8">
        <f>_xlfn.XLOOKUP(Portefeuille_MNT_PPS_Access29[[#This Row],[Numéro projet]], Portefeuille_MNT_PPS_Access20[Numéro projet], Portefeuille_MNT_PPS_Access20[Année DÉBUT Travaux prévu], "")</f>
        <v>2025</v>
      </c>
      <c r="O23">
        <v>2025</v>
      </c>
      <c r="P23">
        <f>Portefeuille_MNT_PPS_Access29[[#This Row],[Année DÉBUT Travaux proposé]]-Portefeuille_MNT_PPS_Access29[[#This Row],[Année DÉBUT Travaux prog actuelle]]</f>
        <v>0</v>
      </c>
      <c r="Q23" t="s">
        <v>291</v>
      </c>
      <c r="R23" s="1"/>
      <c r="S23" s="1"/>
      <c r="T23" s="1"/>
      <c r="U2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3">
        <f>Portefeuille_MNT_PPS_Access29[[#This Row],[Délais PC1 et PC3]]+Portefeuille_MNT_PPS_Access29[[#This Row],[Délais PC3 et PC5]]</f>
        <v>0</v>
      </c>
      <c r="AA23">
        <v>1</v>
      </c>
      <c r="AB23">
        <v>5</v>
      </c>
      <c r="AD23" t="s">
        <v>311</v>
      </c>
      <c r="AE23">
        <v>4.333333333333333</v>
      </c>
      <c r="AF23" s="2">
        <f>_xlfn.XLOOKUP(Portefeuille_MNT_PPS_Access29[[#This Row],[Numéro projet]],Portefeuille_MNT_PPS_Access27[Numéro projet],Portefeuille_MNT_PPS_Access27[Critère Etat Infrastructure])</f>
        <v>4</v>
      </c>
      <c r="AG2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66.666666666666657</v>
      </c>
      <c r="AH23" s="221"/>
      <c r="AL23"/>
      <c r="AM23">
        <v>15</v>
      </c>
      <c r="AN23">
        <v>85</v>
      </c>
      <c r="AV23"/>
      <c r="BI23" s="14">
        <f>SUM(Portefeuille_MNT_PPS_Access29[[#This Row],[AC ANT]:[TR 2035]])</f>
        <v>100</v>
      </c>
    </row>
    <row r="24" spans="1:61" hidden="1" x14ac:dyDescent="0.3">
      <c r="A24" t="s">
        <v>286</v>
      </c>
      <c r="D24" t="s">
        <v>118</v>
      </c>
      <c r="E24" t="s">
        <v>102</v>
      </c>
      <c r="F24" t="s">
        <v>136</v>
      </c>
      <c r="G24" t="s">
        <v>252</v>
      </c>
      <c r="H24" t="s">
        <v>20</v>
      </c>
      <c r="I24" t="s">
        <v>16</v>
      </c>
      <c r="J24" t="s">
        <v>131</v>
      </c>
      <c r="K24" s="2">
        <v>154250180</v>
      </c>
      <c r="L24" t="s">
        <v>638</v>
      </c>
      <c r="M24" t="s">
        <v>139</v>
      </c>
      <c r="N24" s="8">
        <f>_xlfn.XLOOKUP(Portefeuille_MNT_PPS_Access29[[#This Row],[Numéro projet]], Portefeuille_MNT_PPS_Access20[Numéro projet], Portefeuille_MNT_PPS_Access20[Année DÉBUT Travaux prévu], "")</f>
        <v>2025</v>
      </c>
      <c r="O24">
        <v>2025</v>
      </c>
      <c r="P24">
        <f>Portefeuille_MNT_PPS_Access29[[#This Row],[Année DÉBUT Travaux proposé]]-Portefeuille_MNT_PPS_Access29[[#This Row],[Année DÉBUT Travaux prog actuelle]]</f>
        <v>0</v>
      </c>
      <c r="Q24" t="s">
        <v>291</v>
      </c>
      <c r="R24" s="1"/>
      <c r="S24" s="1"/>
      <c r="T24" s="1"/>
      <c r="U2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4">
        <f>Portefeuille_MNT_PPS_Access29[[#This Row],[Délais PC1 et PC3]]+Portefeuille_MNT_PPS_Access29[[#This Row],[Délais PC3 et PC5]]</f>
        <v>0</v>
      </c>
      <c r="AA24">
        <v>1</v>
      </c>
      <c r="AB24">
        <v>1</v>
      </c>
      <c r="AD24" t="s">
        <v>311</v>
      </c>
      <c r="AE24">
        <v>2</v>
      </c>
      <c r="AF24" s="2">
        <f>_xlfn.XLOOKUP(Portefeuille_MNT_PPS_Access29[[#This Row],[Numéro projet]],Portefeuille_MNT_PPS_Access27[Numéro projet],Portefeuille_MNT_PPS_Access27[Critère Etat Infrastructure])</f>
        <v>5</v>
      </c>
      <c r="AG2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24" s="221"/>
      <c r="AL24"/>
      <c r="AN24">
        <v>35</v>
      </c>
      <c r="AV24"/>
      <c r="BI24" s="14">
        <f>SUM(Portefeuille_MNT_PPS_Access29[[#This Row],[AC ANT]:[TR 2035]])</f>
        <v>35</v>
      </c>
    </row>
    <row r="25" spans="1:61" hidden="1" x14ac:dyDescent="0.3">
      <c r="A25" t="s">
        <v>286</v>
      </c>
      <c r="D25" t="s">
        <v>126</v>
      </c>
      <c r="E25" t="s">
        <v>127</v>
      </c>
      <c r="F25" t="s">
        <v>136</v>
      </c>
      <c r="G25" t="s">
        <v>252</v>
      </c>
      <c r="H25" t="s">
        <v>20</v>
      </c>
      <c r="I25" t="s">
        <v>16</v>
      </c>
      <c r="J25" t="s">
        <v>131</v>
      </c>
      <c r="K25" s="2">
        <v>154250374</v>
      </c>
      <c r="L25" t="s">
        <v>646</v>
      </c>
      <c r="M25" t="s">
        <v>139</v>
      </c>
      <c r="N25" s="8"/>
      <c r="O25">
        <v>2025</v>
      </c>
      <c r="P25" t="s">
        <v>295</v>
      </c>
      <c r="Q25" t="s">
        <v>291</v>
      </c>
      <c r="R25" s="1"/>
      <c r="S25" s="1"/>
      <c r="T25" s="1"/>
      <c r="U2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5">
        <f>Portefeuille_MNT_PPS_Access29[[#This Row],[Délais PC1 et PC3]]+Portefeuille_MNT_PPS_Access29[[#This Row],[Délais PC3 et PC5]]</f>
        <v>0</v>
      </c>
      <c r="AA25">
        <v>1</v>
      </c>
      <c r="AB25">
        <v>1</v>
      </c>
      <c r="AD25" t="s">
        <v>311</v>
      </c>
      <c r="AE25">
        <v>2</v>
      </c>
      <c r="AF25" s="2">
        <f>_xlfn.XLOOKUP(Portefeuille_MNT_PPS_Access29[[#This Row],[Numéro projet]],Portefeuille_MNT_PPS_Access27[Numéro projet],Portefeuille_MNT_PPS_Access27[Critère Etat Infrastructure])</f>
        <v>4</v>
      </c>
      <c r="AG2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35</v>
      </c>
      <c r="AH25" s="221"/>
      <c r="AL25"/>
      <c r="AN25">
        <v>100</v>
      </c>
      <c r="AV25"/>
      <c r="BI25" s="14">
        <f>SUM(Portefeuille_MNT_PPS_Access29[[#This Row],[AC ANT]:[TR 2035]])</f>
        <v>100</v>
      </c>
    </row>
    <row r="26" spans="1:61" hidden="1" x14ac:dyDescent="0.3">
      <c r="A26" t="s">
        <v>286</v>
      </c>
      <c r="B26" t="s">
        <v>664</v>
      </c>
      <c r="D26" t="s">
        <v>101</v>
      </c>
      <c r="E26" t="s">
        <v>102</v>
      </c>
      <c r="F26" t="s">
        <v>103</v>
      </c>
      <c r="H26" t="s">
        <v>16</v>
      </c>
      <c r="I26" t="s">
        <v>16</v>
      </c>
      <c r="J26" t="s">
        <v>105</v>
      </c>
      <c r="K26" s="2">
        <v>154150340</v>
      </c>
      <c r="L26" t="s">
        <v>310</v>
      </c>
      <c r="M26" t="s">
        <v>108</v>
      </c>
      <c r="N26" s="8">
        <f>_xlfn.XLOOKUP(Portefeuille_MNT_PPS_Access29[[#This Row],[Numéro projet]], Portefeuille_MNT_PPS_Access20[Numéro projet], Portefeuille_MNT_PPS_Access20[Année DÉBUT Travaux prévu], "")</f>
        <v>2025</v>
      </c>
      <c r="O26">
        <v>2025</v>
      </c>
      <c r="P26">
        <f>Portefeuille_MNT_PPS_Access29[[#This Row],[Année DÉBUT Travaux proposé]]-Portefeuille_MNT_PPS_Access29[[#This Row],[Année DÉBUT Travaux prog actuelle]]</f>
        <v>0</v>
      </c>
      <c r="Q26" t="s">
        <v>291</v>
      </c>
      <c r="R26" s="1"/>
      <c r="S26" s="1"/>
      <c r="T26" s="1"/>
      <c r="U2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2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2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2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2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26">
        <f>Portefeuille_MNT_PPS_Access29[[#This Row],[Délais PC1 et PC3]]+Portefeuille_MNT_PPS_Access29[[#This Row],[Délais PC3 et PC5]]</f>
        <v>0</v>
      </c>
      <c r="AA26">
        <v>1</v>
      </c>
      <c r="AB26">
        <v>1</v>
      </c>
      <c r="AD26" t="s">
        <v>311</v>
      </c>
      <c r="AE26">
        <v>4</v>
      </c>
      <c r="AF26" s="2">
        <f>_xlfn.XLOOKUP(Portefeuille_MNT_PPS_Access29[[#This Row],[Numéro projet]],Portefeuille_MNT_PPS_Access27[Numéro projet],Portefeuille_MNT_PPS_Access27[Critère Etat Infrastructure])</f>
        <v>0</v>
      </c>
      <c r="AG2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25</v>
      </c>
      <c r="AH26" s="221"/>
      <c r="AI26">
        <v>467</v>
      </c>
      <c r="AJ26">
        <v>5053</v>
      </c>
      <c r="AL26"/>
      <c r="AM26">
        <v>27</v>
      </c>
      <c r="AN26">
        <v>135</v>
      </c>
      <c r="AV26"/>
      <c r="BI26" s="14">
        <f>SUM(Portefeuille_MNT_PPS_Access29[[#This Row],[AC ANT]:[TR 2035]])</f>
        <v>5682</v>
      </c>
    </row>
    <row r="27" spans="1:61" hidden="1" x14ac:dyDescent="0.3">
      <c r="A27" t="s">
        <v>286</v>
      </c>
      <c r="B27" t="s">
        <v>664</v>
      </c>
      <c r="D27" t="s">
        <v>101</v>
      </c>
      <c r="E27" t="s">
        <v>102</v>
      </c>
      <c r="F27" t="s">
        <v>103</v>
      </c>
      <c r="G27" t="s">
        <v>113</v>
      </c>
      <c r="H27" t="s">
        <v>16</v>
      </c>
      <c r="I27" t="s">
        <v>16</v>
      </c>
      <c r="J27" t="s">
        <v>105</v>
      </c>
      <c r="K27" s="2">
        <v>154180736</v>
      </c>
      <c r="L27" t="s">
        <v>115</v>
      </c>
      <c r="M27" t="s">
        <v>116</v>
      </c>
      <c r="N27" s="8">
        <f>_xlfn.XLOOKUP(Portefeuille_MNT_PPS_Access29[[#This Row],[Numéro projet]], Portefeuille_MNT_PPS_Access20[Numéro projet], Portefeuille_MNT_PPS_Access20[Année DÉBUT Travaux prévu], "")</f>
        <v>2026</v>
      </c>
      <c r="O27">
        <v>2026</v>
      </c>
      <c r="P27">
        <f>Portefeuille_MNT_PPS_Access29[[#This Row],[Année DÉBUT Travaux proposé]]-Portefeuille_MNT_PPS_Access29[[#This Row],[Année DÉBUT Travaux prog actuelle]]</f>
        <v>0</v>
      </c>
      <c r="Q27" t="s">
        <v>123</v>
      </c>
      <c r="R27" s="1">
        <v>45105</v>
      </c>
      <c r="S27" s="1">
        <v>45789</v>
      </c>
      <c r="T27" s="1">
        <v>45932</v>
      </c>
      <c r="U2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2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2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2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23</v>
      </c>
      <c r="Y2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5</v>
      </c>
      <c r="Z27">
        <f>Portefeuille_MNT_PPS_Access29[[#This Row],[Délais PC1 et PC3]]+Portefeuille_MNT_PPS_Access29[[#This Row],[Délais PC3 et PC5]]</f>
        <v>28</v>
      </c>
      <c r="AA27">
        <v>1</v>
      </c>
      <c r="AB27">
        <v>5</v>
      </c>
      <c r="AC27">
        <v>5</v>
      </c>
      <c r="AD27" t="s">
        <v>125</v>
      </c>
      <c r="AE27">
        <v>3.3333333333333335</v>
      </c>
      <c r="AF27" s="2">
        <f>_xlfn.XLOOKUP(Portefeuille_MNT_PPS_Access29[[#This Row],[Numéro projet]],Portefeuille_MNT_PPS_Access27[Numéro projet],Portefeuille_MNT_PPS_Access27[Critère Etat Infrastructure])</f>
        <v>4</v>
      </c>
      <c r="AG2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86.666666666666671</v>
      </c>
      <c r="AH27" s="221"/>
      <c r="AI27">
        <v>25</v>
      </c>
      <c r="AK27">
        <v>17</v>
      </c>
      <c r="AL27"/>
      <c r="AM27">
        <v>48</v>
      </c>
      <c r="AO27">
        <v>520</v>
      </c>
      <c r="AP27">
        <v>19125</v>
      </c>
      <c r="AV27"/>
      <c r="BI27" s="14">
        <f>SUM(Portefeuille_MNT_PPS_Access29[[#This Row],[AC ANT]:[TR 2035]])</f>
        <v>19735</v>
      </c>
    </row>
    <row r="28" spans="1:61" hidden="1" x14ac:dyDescent="0.3">
      <c r="A28" t="s">
        <v>286</v>
      </c>
      <c r="B28" t="s">
        <v>664</v>
      </c>
      <c r="D28" t="s">
        <v>101</v>
      </c>
      <c r="E28" t="s">
        <v>102</v>
      </c>
      <c r="F28" t="s">
        <v>103</v>
      </c>
      <c r="G28" t="s">
        <v>104</v>
      </c>
      <c r="H28" t="s">
        <v>16</v>
      </c>
      <c r="I28" t="s">
        <v>16</v>
      </c>
      <c r="J28" t="s">
        <v>105</v>
      </c>
      <c r="K28" s="2">
        <v>154190692</v>
      </c>
      <c r="L28" t="s">
        <v>107</v>
      </c>
      <c r="M28" t="s">
        <v>108</v>
      </c>
      <c r="N28" s="8">
        <f>_xlfn.XLOOKUP(Portefeuille_MNT_PPS_Access29[[#This Row],[Numéro projet]], Portefeuille_MNT_PPS_Access20[Numéro projet], Portefeuille_MNT_PPS_Access20[Année DÉBUT Travaux prévu], "")</f>
        <v>2026</v>
      </c>
      <c r="O28" s="2">
        <v>2026</v>
      </c>
      <c r="P28" s="2">
        <f>Portefeuille_MNT_PPS_Access29[[#This Row],[Année DÉBUT Travaux proposé]]-Portefeuille_MNT_PPS_Access29[[#This Row],[Année DÉBUT Travaux prog actuelle]]</f>
        <v>0</v>
      </c>
      <c r="Q28" t="s">
        <v>123</v>
      </c>
      <c r="R28" s="1">
        <v>45014</v>
      </c>
      <c r="S28" s="1">
        <v>45799</v>
      </c>
      <c r="T28" s="1">
        <v>46006</v>
      </c>
      <c r="U2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2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2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2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26</v>
      </c>
      <c r="Y2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7</v>
      </c>
      <c r="Z28">
        <f>Portefeuille_MNT_PPS_Access29[[#This Row],[Délais PC1 et PC3]]+Portefeuille_MNT_PPS_Access29[[#This Row],[Délais PC3 et PC5]]</f>
        <v>33</v>
      </c>
      <c r="AA28">
        <v>1</v>
      </c>
      <c r="AB28">
        <v>5</v>
      </c>
      <c r="AC28">
        <v>5</v>
      </c>
      <c r="AD28" t="s">
        <v>125</v>
      </c>
      <c r="AE28">
        <v>4</v>
      </c>
      <c r="AF28" s="2">
        <f>_xlfn.XLOOKUP(Portefeuille_MNT_PPS_Access29[[#This Row],[Numéro projet]],Portefeuille_MNT_PPS_Access27[Numéro projet],Portefeuille_MNT_PPS_Access27[Critère Etat Infrastructure])</f>
        <v>4</v>
      </c>
      <c r="AG2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90</v>
      </c>
      <c r="AH28" s="221"/>
      <c r="AI28">
        <v>69</v>
      </c>
      <c r="AK28">
        <v>213</v>
      </c>
      <c r="AL28"/>
      <c r="AM28">
        <v>272</v>
      </c>
      <c r="AO28">
        <v>636</v>
      </c>
      <c r="AP28">
        <v>16507</v>
      </c>
      <c r="AV28"/>
      <c r="BI28" s="14">
        <f>SUM(Portefeuille_MNT_PPS_Access29[[#This Row],[AC ANT]:[TR 2035]])</f>
        <v>17697</v>
      </c>
    </row>
    <row r="29" spans="1:61" hidden="1" x14ac:dyDescent="0.3">
      <c r="A29" t="s">
        <v>286</v>
      </c>
      <c r="B29" t="s">
        <v>295</v>
      </c>
      <c r="D29" t="s">
        <v>126</v>
      </c>
      <c r="E29" t="s">
        <v>127</v>
      </c>
      <c r="F29" t="s">
        <v>103</v>
      </c>
      <c r="G29" t="s">
        <v>144</v>
      </c>
      <c r="H29" t="s">
        <v>16</v>
      </c>
      <c r="I29" t="s">
        <v>16</v>
      </c>
      <c r="J29" t="s">
        <v>131</v>
      </c>
      <c r="K29" s="2">
        <v>154190674</v>
      </c>
      <c r="L29" t="s">
        <v>146</v>
      </c>
      <c r="M29" t="s">
        <v>147</v>
      </c>
      <c r="N29" s="8">
        <f>_xlfn.XLOOKUP(Portefeuille_MNT_PPS_Access29[[#This Row],[Numéro projet]], Portefeuille_MNT_PPS_Access20[Numéro projet], Portefeuille_MNT_PPS_Access20[Année DÉBUT Travaux prévu], "")</f>
        <v>2026</v>
      </c>
      <c r="O29">
        <v>2026</v>
      </c>
      <c r="P29">
        <f>Portefeuille_MNT_PPS_Access29[[#This Row],[Année DÉBUT Travaux proposé]]-Portefeuille_MNT_PPS_Access29[[#This Row],[Année DÉBUT Travaux prog actuelle]]</f>
        <v>0</v>
      </c>
      <c r="Q29" t="s">
        <v>110</v>
      </c>
      <c r="R29" s="1">
        <v>44609</v>
      </c>
      <c r="S29" s="1">
        <v>45996</v>
      </c>
      <c r="T29" s="1">
        <v>46310</v>
      </c>
      <c r="U2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2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2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1.Très à risque</v>
      </c>
      <c r="X2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46</v>
      </c>
      <c r="Y2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10</v>
      </c>
      <c r="Z29">
        <f>Portefeuille_MNT_PPS_Access29[[#This Row],[Délais PC1 et PC3]]+Portefeuille_MNT_PPS_Access29[[#This Row],[Délais PC3 et PC5]]</f>
        <v>56</v>
      </c>
      <c r="AA29">
        <v>1</v>
      </c>
      <c r="AB29">
        <v>5</v>
      </c>
      <c r="AC29">
        <v>1</v>
      </c>
      <c r="AD29" t="s">
        <v>112</v>
      </c>
      <c r="AE29">
        <v>2.6666666666666665</v>
      </c>
      <c r="AF29" s="2">
        <f>_xlfn.XLOOKUP(Portefeuille_MNT_PPS_Access29[[#This Row],[Numéro projet]],Portefeuille_MNT_PPS_Access27[Numéro projet],Portefeuille_MNT_PPS_Access27[Critère Etat Infrastructure])</f>
        <v>3</v>
      </c>
      <c r="AG2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58.333333333333336</v>
      </c>
      <c r="AH29" s="221"/>
      <c r="AI29">
        <v>117</v>
      </c>
      <c r="AK29">
        <v>84</v>
      </c>
      <c r="AL29"/>
      <c r="AM29">
        <v>105</v>
      </c>
      <c r="AO29">
        <v>417</v>
      </c>
      <c r="AP29">
        <v>9684</v>
      </c>
      <c r="AV29"/>
      <c r="BI29" s="14">
        <f>SUM(Portefeuille_MNT_PPS_Access29[[#This Row],[AC ANT]:[TR 2035]])</f>
        <v>10407</v>
      </c>
    </row>
    <row r="30" spans="1:61" hidden="1" x14ac:dyDescent="0.3">
      <c r="A30" t="s">
        <v>286</v>
      </c>
      <c r="B30" t="s">
        <v>663</v>
      </c>
      <c r="D30" t="s">
        <v>101</v>
      </c>
      <c r="E30" t="s">
        <v>102</v>
      </c>
      <c r="F30" t="s">
        <v>136</v>
      </c>
      <c r="G30" t="s">
        <v>113</v>
      </c>
      <c r="H30" t="s">
        <v>16</v>
      </c>
      <c r="I30" t="s">
        <v>16</v>
      </c>
      <c r="J30" t="s">
        <v>131</v>
      </c>
      <c r="K30" s="2">
        <v>154081840</v>
      </c>
      <c r="L30" t="s">
        <v>138</v>
      </c>
      <c r="M30" t="s">
        <v>139</v>
      </c>
      <c r="N30" s="8">
        <f>_xlfn.XLOOKUP(Portefeuille_MNT_PPS_Access29[[#This Row],[Numéro projet]], Portefeuille_MNT_PPS_Access20[Numéro projet], Portefeuille_MNT_PPS_Access20[Année DÉBUT Travaux prévu], "")</f>
        <v>2026</v>
      </c>
      <c r="O30">
        <v>2026</v>
      </c>
      <c r="P30">
        <f>Portefeuille_MNT_PPS_Access29[[#This Row],[Année DÉBUT Travaux proposé]]-Portefeuille_MNT_PPS_Access29[[#This Row],[Année DÉBUT Travaux prog actuelle]]</f>
        <v>0</v>
      </c>
      <c r="Q30" t="s">
        <v>123</v>
      </c>
      <c r="R30" s="1">
        <v>45062</v>
      </c>
      <c r="S30" s="1">
        <v>45754</v>
      </c>
      <c r="T30" s="1">
        <v>45945</v>
      </c>
      <c r="U3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3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3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23</v>
      </c>
      <c r="Y3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6</v>
      </c>
      <c r="Z30">
        <f>Portefeuille_MNT_PPS_Access29[[#This Row],[Délais PC1 et PC3]]+Portefeuille_MNT_PPS_Access29[[#This Row],[Délais PC3 et PC5]]</f>
        <v>29</v>
      </c>
      <c r="AA30">
        <v>1</v>
      </c>
      <c r="AB30">
        <v>5</v>
      </c>
      <c r="AC30">
        <v>5</v>
      </c>
      <c r="AD30" t="s">
        <v>125</v>
      </c>
      <c r="AE30">
        <v>2</v>
      </c>
      <c r="AF30" s="2">
        <f>_xlfn.XLOOKUP(Portefeuille_MNT_PPS_Access29[[#This Row],[Numéro projet]],Portefeuille_MNT_PPS_Access27[Numéro projet],Portefeuille_MNT_PPS_Access27[Critère Etat Infrastructure])</f>
        <v>4</v>
      </c>
      <c r="AG3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80</v>
      </c>
      <c r="AH30" s="221"/>
      <c r="AI30">
        <v>337</v>
      </c>
      <c r="AJ30">
        <v>41</v>
      </c>
      <c r="AK30">
        <v>327</v>
      </c>
      <c r="AL30"/>
      <c r="AM30">
        <v>363</v>
      </c>
      <c r="AO30">
        <v>1006</v>
      </c>
      <c r="AP30">
        <v>5870</v>
      </c>
      <c r="AV30"/>
      <c r="BI30" s="14">
        <f>SUM(Portefeuille_MNT_PPS_Access29[[#This Row],[AC ANT]:[TR 2035]])</f>
        <v>7944</v>
      </c>
    </row>
    <row r="31" spans="1:61" hidden="1" x14ac:dyDescent="0.3">
      <c r="A31" t="s">
        <v>286</v>
      </c>
      <c r="B31" t="s">
        <v>664</v>
      </c>
      <c r="D31" t="s">
        <v>101</v>
      </c>
      <c r="E31" t="s">
        <v>102</v>
      </c>
      <c r="F31" t="s">
        <v>128</v>
      </c>
      <c r="G31" t="s">
        <v>140</v>
      </c>
      <c r="H31" t="s">
        <v>16</v>
      </c>
      <c r="I31" t="s">
        <v>16</v>
      </c>
      <c r="J31" t="s">
        <v>105</v>
      </c>
      <c r="K31" s="2">
        <v>154160008</v>
      </c>
      <c r="L31" t="s">
        <v>142</v>
      </c>
      <c r="M31" t="s">
        <v>143</v>
      </c>
      <c r="N31" s="8">
        <f>_xlfn.XLOOKUP(Portefeuille_MNT_PPS_Access29[[#This Row],[Numéro projet]], Portefeuille_MNT_PPS_Access20[Numéro projet], Portefeuille_MNT_PPS_Access20[Année DÉBUT Travaux prévu], "")</f>
        <v>2026</v>
      </c>
      <c r="O31">
        <v>2026</v>
      </c>
      <c r="P31">
        <f>Portefeuille_MNT_PPS_Access29[[#This Row],[Année DÉBUT Travaux proposé]]-Portefeuille_MNT_PPS_Access29[[#This Row],[Année DÉBUT Travaux prog actuelle]]</f>
        <v>0</v>
      </c>
      <c r="Q31" t="s">
        <v>123</v>
      </c>
      <c r="R31" s="1">
        <v>42900</v>
      </c>
      <c r="S31" s="1">
        <v>45323</v>
      </c>
      <c r="T31" s="1">
        <v>45889</v>
      </c>
      <c r="U3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3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3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80</v>
      </c>
      <c r="Y3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18</v>
      </c>
      <c r="Z31">
        <f>Portefeuille_MNT_PPS_Access29[[#This Row],[Délais PC1 et PC3]]+Portefeuille_MNT_PPS_Access29[[#This Row],[Délais PC3 et PC5]]</f>
        <v>98</v>
      </c>
      <c r="AA31">
        <v>1</v>
      </c>
      <c r="AB31">
        <v>5</v>
      </c>
      <c r="AC31">
        <v>5</v>
      </c>
      <c r="AD31" t="s">
        <v>125</v>
      </c>
      <c r="AE31">
        <v>4.333333333333333</v>
      </c>
      <c r="AF31" s="2">
        <f>_xlfn.XLOOKUP(Portefeuille_MNT_PPS_Access29[[#This Row],[Numéro projet]],Portefeuille_MNT_PPS_Access27[Numéro projet],Portefeuille_MNT_PPS_Access27[Critère Etat Infrastructure])</f>
        <v>5</v>
      </c>
      <c r="AG3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96.666666666666671</v>
      </c>
      <c r="AH31" s="221"/>
      <c r="AI31">
        <v>61</v>
      </c>
      <c r="AL31"/>
      <c r="AO31">
        <v>400</v>
      </c>
      <c r="AP31">
        <v>5399</v>
      </c>
      <c r="AV31"/>
      <c r="BI31" s="14">
        <f>SUM(Portefeuille_MNT_PPS_Access29[[#This Row],[AC ANT]:[TR 2035]])</f>
        <v>5860</v>
      </c>
    </row>
    <row r="32" spans="1:61" hidden="1" x14ac:dyDescent="0.3">
      <c r="A32" t="s">
        <v>286</v>
      </c>
      <c r="B32" t="s">
        <v>662</v>
      </c>
      <c r="D32" t="s">
        <v>118</v>
      </c>
      <c r="E32" t="s">
        <v>102</v>
      </c>
      <c r="F32" t="s">
        <v>103</v>
      </c>
      <c r="G32" t="s">
        <v>149</v>
      </c>
      <c r="H32" t="s">
        <v>16</v>
      </c>
      <c r="I32" t="s">
        <v>16</v>
      </c>
      <c r="J32" t="s">
        <v>131</v>
      </c>
      <c r="K32" s="2">
        <v>154190478</v>
      </c>
      <c r="L32" t="s">
        <v>193</v>
      </c>
      <c r="M32" t="s">
        <v>194</v>
      </c>
      <c r="N32" s="8">
        <f>_xlfn.XLOOKUP(Portefeuille_MNT_PPS_Access29[[#This Row],[Numéro projet]], Portefeuille_MNT_PPS_Access20[Numéro projet], Portefeuille_MNT_PPS_Access20[Année DÉBUT Travaux prévu], "")</f>
        <v>2025</v>
      </c>
      <c r="O32">
        <v>2025</v>
      </c>
      <c r="P32">
        <f>Portefeuille_MNT_PPS_Access29[[#This Row],[Année DÉBUT Travaux proposé]]-Portefeuille_MNT_PPS_Access29[[#This Row],[Année DÉBUT Travaux prog actuelle]]</f>
        <v>0</v>
      </c>
      <c r="Q32" t="s">
        <v>164</v>
      </c>
      <c r="R32" s="1">
        <v>44547</v>
      </c>
      <c r="S32" s="1">
        <v>45091</v>
      </c>
      <c r="T32" s="1">
        <v>45375</v>
      </c>
      <c r="U3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3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3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18</v>
      </c>
      <c r="Y3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32">
        <f>Portefeuille_MNT_PPS_Access29[[#This Row],[Délais PC1 et PC3]]+Portefeuille_MNT_PPS_Access29[[#This Row],[Délais PC3 et PC5]]</f>
        <v>27</v>
      </c>
      <c r="AA32">
        <v>1</v>
      </c>
      <c r="AB32">
        <v>5</v>
      </c>
      <c r="AD32" t="s">
        <v>165</v>
      </c>
      <c r="AE32">
        <v>3.3333333333333335</v>
      </c>
      <c r="AF32" s="2">
        <f>_xlfn.XLOOKUP(Portefeuille_MNT_PPS_Access29[[#This Row],[Numéro projet]],Portefeuille_MNT_PPS_Access27[Numéro projet],Portefeuille_MNT_PPS_Access27[Critère Etat Infrastructure])</f>
        <v>5</v>
      </c>
      <c r="AG3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101.66666666666666</v>
      </c>
      <c r="AH32" s="221"/>
      <c r="AI32">
        <v>7</v>
      </c>
      <c r="AK32">
        <v>45</v>
      </c>
      <c r="AL32">
        <v>1057</v>
      </c>
      <c r="AM32">
        <v>221</v>
      </c>
      <c r="AN32">
        <v>4691</v>
      </c>
      <c r="AV32"/>
      <c r="BI32" s="14">
        <f>SUM(Portefeuille_MNT_PPS_Access29[[#This Row],[AC ANT]:[TR 2035]])</f>
        <v>6021</v>
      </c>
    </row>
    <row r="33" spans="1:61" hidden="1" x14ac:dyDescent="0.3">
      <c r="A33" t="s">
        <v>286</v>
      </c>
      <c r="B33" t="s">
        <v>664</v>
      </c>
      <c r="D33" t="s">
        <v>101</v>
      </c>
      <c r="E33" t="s">
        <v>102</v>
      </c>
      <c r="F33" t="s">
        <v>103</v>
      </c>
      <c r="G33" t="s">
        <v>129</v>
      </c>
      <c r="H33" t="s">
        <v>16</v>
      </c>
      <c r="I33" t="s">
        <v>16</v>
      </c>
      <c r="J33" t="s">
        <v>131</v>
      </c>
      <c r="K33" s="2">
        <v>154151060</v>
      </c>
      <c r="L33" t="s">
        <v>288</v>
      </c>
      <c r="M33" t="s">
        <v>134</v>
      </c>
      <c r="N33" s="8">
        <f>_xlfn.XLOOKUP(Portefeuille_MNT_PPS_Access29[[#This Row],[Numéro projet]], Portefeuille_MNT_PPS_Access20[Numéro projet], Portefeuille_MNT_PPS_Access20[Année DÉBUT Travaux prévu], "")</f>
        <v>2026</v>
      </c>
      <c r="O33">
        <v>2026</v>
      </c>
      <c r="P33">
        <f>Portefeuille_MNT_PPS_Access29[[#This Row],[Année DÉBUT Travaux proposé]]-Portefeuille_MNT_PPS_Access29[[#This Row],[Année DÉBUT Travaux prog actuelle]]</f>
        <v>0</v>
      </c>
      <c r="Q33" t="s">
        <v>123</v>
      </c>
      <c r="R33" s="1">
        <v>45218</v>
      </c>
      <c r="S33" s="1">
        <v>45722</v>
      </c>
      <c r="T33" s="1">
        <v>45976</v>
      </c>
      <c r="U3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3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3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17</v>
      </c>
      <c r="Y3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8</v>
      </c>
      <c r="Z33">
        <f>Portefeuille_MNT_PPS_Access29[[#This Row],[Délais PC1 et PC3]]+Portefeuille_MNT_PPS_Access29[[#This Row],[Délais PC3 et PC5]]</f>
        <v>25</v>
      </c>
      <c r="AA33">
        <v>1</v>
      </c>
      <c r="AB33">
        <v>5</v>
      </c>
      <c r="AC33">
        <v>5</v>
      </c>
      <c r="AD33" t="s">
        <v>125</v>
      </c>
      <c r="AE33">
        <v>2.3333333333333335</v>
      </c>
      <c r="AF33" s="2">
        <f>_xlfn.XLOOKUP(Portefeuille_MNT_PPS_Access29[[#This Row],[Numéro projet]],Portefeuille_MNT_PPS_Access27[Numéro projet],Portefeuille_MNT_PPS_Access27[Critère Etat Infrastructure])</f>
        <v>5</v>
      </c>
      <c r="AG3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86.666666666666671</v>
      </c>
      <c r="AH33" s="221"/>
      <c r="AK33">
        <v>12</v>
      </c>
      <c r="AL33"/>
      <c r="AM33">
        <v>10</v>
      </c>
      <c r="AO33">
        <v>350</v>
      </c>
      <c r="AP33">
        <v>4669</v>
      </c>
      <c r="AV33"/>
      <c r="BI33" s="14">
        <f>SUM(Portefeuille_MNT_PPS_Access29[[#This Row],[AC ANT]:[TR 2035]])</f>
        <v>5041</v>
      </c>
    </row>
    <row r="34" spans="1:61" hidden="1" x14ac:dyDescent="0.3">
      <c r="A34" t="s">
        <v>286</v>
      </c>
      <c r="B34" t="s">
        <v>662</v>
      </c>
      <c r="D34" t="s">
        <v>118</v>
      </c>
      <c r="E34" t="s">
        <v>102</v>
      </c>
      <c r="F34" t="s">
        <v>119</v>
      </c>
      <c r="G34" t="s">
        <v>113</v>
      </c>
      <c r="H34" t="s">
        <v>16</v>
      </c>
      <c r="I34" t="s">
        <v>16</v>
      </c>
      <c r="J34" t="s">
        <v>105</v>
      </c>
      <c r="K34" s="2">
        <v>154230987</v>
      </c>
      <c r="L34" t="s">
        <v>289</v>
      </c>
      <c r="M34" t="s">
        <v>122</v>
      </c>
      <c r="N34" s="8">
        <f>_xlfn.XLOOKUP(Portefeuille_MNT_PPS_Access29[[#This Row],[Numéro projet]], Portefeuille_MNT_PPS_Access20[Numéro projet], Portefeuille_MNT_PPS_Access20[Année DÉBUT Travaux prévu], "")</f>
        <v>2025</v>
      </c>
      <c r="O34">
        <v>2025</v>
      </c>
      <c r="P34">
        <f>Portefeuille_MNT_PPS_Access29[[#This Row],[Année DÉBUT Travaux proposé]]-Portefeuille_MNT_PPS_Access29[[#This Row],[Année DÉBUT Travaux prog actuelle]]</f>
        <v>0</v>
      </c>
      <c r="Q34" t="s">
        <v>164</v>
      </c>
      <c r="R34" s="1"/>
      <c r="S34" s="1"/>
      <c r="T34" s="1">
        <v>45712</v>
      </c>
      <c r="U3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3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3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3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3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1501</v>
      </c>
      <c r="Z34">
        <f>Portefeuille_MNT_PPS_Access29[[#This Row],[Délais PC1 et PC3]]+Portefeuille_MNT_PPS_Access29[[#This Row],[Délais PC3 et PC5]]</f>
        <v>1501</v>
      </c>
      <c r="AA34">
        <v>1</v>
      </c>
      <c r="AB34">
        <v>5</v>
      </c>
      <c r="AD34" t="s">
        <v>165</v>
      </c>
      <c r="AE34">
        <v>4</v>
      </c>
      <c r="AF34" s="2">
        <f>_xlfn.XLOOKUP(Portefeuille_MNT_PPS_Access29[[#This Row],[Numéro projet]],Portefeuille_MNT_PPS_Access27[Numéro projet],Portefeuille_MNT_PPS_Access27[Critère Etat Infrastructure])</f>
        <v>5</v>
      </c>
      <c r="AG3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105</v>
      </c>
      <c r="AH34" s="221"/>
      <c r="AL34"/>
      <c r="AM34">
        <v>20</v>
      </c>
      <c r="AN34">
        <v>895</v>
      </c>
      <c r="AV34"/>
      <c r="BI34" s="14">
        <f>SUM(Portefeuille_MNT_PPS_Access29[[#This Row],[AC ANT]:[TR 2035]])</f>
        <v>915</v>
      </c>
    </row>
    <row r="35" spans="1:61" x14ac:dyDescent="0.3">
      <c r="A35" t="s">
        <v>286</v>
      </c>
      <c r="B35" t="s">
        <v>664</v>
      </c>
      <c r="D35" t="s">
        <v>101</v>
      </c>
      <c r="E35" t="s">
        <v>102</v>
      </c>
      <c r="F35" t="s">
        <v>128</v>
      </c>
      <c r="G35" t="s">
        <v>149</v>
      </c>
      <c r="H35" t="s">
        <v>16</v>
      </c>
      <c r="I35" t="s">
        <v>16</v>
      </c>
      <c r="J35" t="s">
        <v>131</v>
      </c>
      <c r="K35" s="2">
        <v>154200665</v>
      </c>
      <c r="L35" t="s">
        <v>151</v>
      </c>
      <c r="M35" t="s">
        <v>152</v>
      </c>
      <c r="N35" s="8">
        <f>_xlfn.XLOOKUP(Portefeuille_MNT_PPS_Access29[[#This Row],[Numéro projet]], Portefeuille_MNT_PPS_Access20[Numéro projet], Portefeuille_MNT_PPS_Access20[Année DÉBUT Travaux prévu], "")</f>
        <v>2026</v>
      </c>
      <c r="O35">
        <v>2026</v>
      </c>
      <c r="P35">
        <f>Portefeuille_MNT_PPS_Access29[[#This Row],[Année DÉBUT Travaux proposé]]-Portefeuille_MNT_PPS_Access29[[#This Row],[Année DÉBUT Travaux prog actuelle]]</f>
        <v>0</v>
      </c>
      <c r="Q35" t="s">
        <v>123</v>
      </c>
      <c r="R35" s="1">
        <v>45079</v>
      </c>
      <c r="S35" s="1">
        <v>45685</v>
      </c>
      <c r="T35" s="1">
        <v>46142</v>
      </c>
      <c r="U3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3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3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1.Très à risque</v>
      </c>
      <c r="X3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19</v>
      </c>
      <c r="Y3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</v>
      </c>
      <c r="Z35">
        <f>Portefeuille_MNT_PPS_Access29[[#This Row],[Délais PC1 et PC3]]+Portefeuille_MNT_PPS_Access29[[#This Row],[Délais PC3 et PC5]]</f>
        <v>34</v>
      </c>
      <c r="AA35">
        <v>1</v>
      </c>
      <c r="AB35">
        <v>5</v>
      </c>
      <c r="AC35">
        <v>1</v>
      </c>
      <c r="AD35" t="s">
        <v>125</v>
      </c>
      <c r="AE35">
        <v>3.3333333333333335</v>
      </c>
      <c r="AF35" s="2">
        <f>_xlfn.XLOOKUP(Portefeuille_MNT_PPS_Access29[[#This Row],[Numéro projet]],Portefeuille_MNT_PPS_Access27[Numéro projet],Portefeuille_MNT_PPS_Access27[Critère Etat Infrastructure])</f>
        <v>4</v>
      </c>
      <c r="AG3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35" s="221"/>
      <c r="AI35">
        <v>12</v>
      </c>
      <c r="AK35">
        <v>163</v>
      </c>
      <c r="AL35"/>
      <c r="AM35">
        <v>100</v>
      </c>
      <c r="AO35">
        <v>300</v>
      </c>
      <c r="AP35">
        <v>4221</v>
      </c>
      <c r="AQ35">
        <v>42</v>
      </c>
      <c r="AR35">
        <v>4139</v>
      </c>
      <c r="AV35"/>
      <c r="BI35" s="14">
        <f>SUM(Portefeuille_MNT_PPS_Access29[[#This Row],[AC ANT]:[TR 2035]])</f>
        <v>8977</v>
      </c>
    </row>
    <row r="36" spans="1:61" hidden="1" x14ac:dyDescent="0.3">
      <c r="A36" t="s">
        <v>286</v>
      </c>
      <c r="B36" t="s">
        <v>662</v>
      </c>
      <c r="D36" t="s">
        <v>118</v>
      </c>
      <c r="E36" t="s">
        <v>102</v>
      </c>
      <c r="F36" t="s">
        <v>188</v>
      </c>
      <c r="G36" t="s">
        <v>113</v>
      </c>
      <c r="H36" t="s">
        <v>16</v>
      </c>
      <c r="I36" t="s">
        <v>130</v>
      </c>
      <c r="J36" t="s">
        <v>131</v>
      </c>
      <c r="K36" s="2">
        <v>154151031</v>
      </c>
      <c r="L36" t="s">
        <v>190</v>
      </c>
      <c r="M36" t="s">
        <v>191</v>
      </c>
      <c r="N36" s="229">
        <f>_xlfn.XLOOKUP(Portefeuille_MNT_PPS_Access29[[#This Row],[Numéro projet]], Portefeuille_MNT_PPS_Access20[Numéro projet], Portefeuille_MNT_PPS_Access20[Année DÉBUT Travaux prévu], "")</f>
        <v>2027</v>
      </c>
      <c r="O36" s="227">
        <v>2026</v>
      </c>
      <c r="P36">
        <f>Portefeuille_MNT_PPS_Access29[[#This Row],[Année DÉBUT Travaux proposé]]-Portefeuille_MNT_PPS_Access29[[#This Row],[Année DÉBUT Travaux prog actuelle]]</f>
        <v>-1</v>
      </c>
      <c r="Q36" t="s">
        <v>123</v>
      </c>
      <c r="R36" s="1">
        <v>45684</v>
      </c>
      <c r="S36" s="1"/>
      <c r="T36" s="1">
        <v>46006</v>
      </c>
      <c r="U3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3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3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-1500</v>
      </c>
      <c r="Y3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1511</v>
      </c>
      <c r="Z36">
        <f>Portefeuille_MNT_PPS_Access29[[#This Row],[Délais PC1 et PC3]]+Portefeuille_MNT_PPS_Access29[[#This Row],[Délais PC3 et PC5]]</f>
        <v>11</v>
      </c>
      <c r="AA36">
        <v>1</v>
      </c>
      <c r="AB36">
        <v>1</v>
      </c>
      <c r="AC36">
        <v>5</v>
      </c>
      <c r="AD36" t="s">
        <v>125</v>
      </c>
      <c r="AE36">
        <v>1.6666666666666667</v>
      </c>
      <c r="AF36" s="2">
        <f>_xlfn.XLOOKUP(Portefeuille_MNT_PPS_Access29[[#This Row],[Numéro projet]],Portefeuille_MNT_PPS_Access27[Numéro projet],Portefeuille_MNT_PPS_Access27[Critère Etat Infrastructure])</f>
        <v>5</v>
      </c>
      <c r="AG3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63.333333333333343</v>
      </c>
      <c r="AH36" s="221"/>
      <c r="AL36"/>
      <c r="AM36">
        <v>80</v>
      </c>
      <c r="AO36">
        <v>87</v>
      </c>
      <c r="AP36">
        <v>899</v>
      </c>
      <c r="AQ36">
        <v>227</v>
      </c>
      <c r="AV36"/>
      <c r="BI36" s="14">
        <f>SUM(Portefeuille_MNT_PPS_Access29[[#This Row],[AC ANT]:[TR 2035]])</f>
        <v>1293</v>
      </c>
    </row>
    <row r="37" spans="1:61" hidden="1" x14ac:dyDescent="0.3">
      <c r="A37" t="s">
        <v>286</v>
      </c>
      <c r="B37" t="s">
        <v>662</v>
      </c>
      <c r="D37" t="s">
        <v>118</v>
      </c>
      <c r="E37" t="s">
        <v>102</v>
      </c>
      <c r="F37" t="s">
        <v>136</v>
      </c>
      <c r="G37" t="s">
        <v>104</v>
      </c>
      <c r="H37" t="s">
        <v>16</v>
      </c>
      <c r="I37" t="s">
        <v>20</v>
      </c>
      <c r="J37" t="s">
        <v>131</v>
      </c>
      <c r="K37" s="2">
        <v>154230792</v>
      </c>
      <c r="L37" t="s">
        <v>158</v>
      </c>
      <c r="M37" t="s">
        <v>159</v>
      </c>
      <c r="N37" s="229">
        <f>_xlfn.XLOOKUP(Portefeuille_MNT_PPS_Access29[[#This Row],[Numéro projet]], Portefeuille_MNT_PPS_Access20[Numéro projet], Portefeuille_MNT_PPS_Access20[Année DÉBUT Travaux prévu], "")</f>
        <v>2027</v>
      </c>
      <c r="O37" s="227">
        <v>2026</v>
      </c>
      <c r="P37">
        <f>Portefeuille_MNT_PPS_Access29[[#This Row],[Année DÉBUT Travaux proposé]]-Portefeuille_MNT_PPS_Access29[[#This Row],[Année DÉBUT Travaux prog actuelle]]</f>
        <v>-1</v>
      </c>
      <c r="Q37" t="s">
        <v>155</v>
      </c>
      <c r="R37" s="1">
        <v>45991</v>
      </c>
      <c r="S37" s="1"/>
      <c r="T37" s="1">
        <v>46249</v>
      </c>
      <c r="U3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3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3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1.Très à risque</v>
      </c>
      <c r="X3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-1510</v>
      </c>
      <c r="Y3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1519</v>
      </c>
      <c r="Z37">
        <f>Portefeuille_MNT_PPS_Access29[[#This Row],[Délais PC1 et PC3]]+Portefeuille_MNT_PPS_Access29[[#This Row],[Délais PC3 et PC5]]</f>
        <v>9</v>
      </c>
      <c r="AA37">
        <v>1</v>
      </c>
      <c r="AB37">
        <v>1</v>
      </c>
      <c r="AC37">
        <v>1</v>
      </c>
      <c r="AD37" t="s">
        <v>156</v>
      </c>
      <c r="AE37">
        <v>4.333333333333333</v>
      </c>
      <c r="AF37" s="2">
        <f>_xlfn.XLOOKUP(Portefeuille_MNT_PPS_Access29[[#This Row],[Numéro projet]],Portefeuille_MNT_PPS_Access27[Numéro projet],Portefeuille_MNT_PPS_Access27[Critère Etat Infrastructure])</f>
        <v>3</v>
      </c>
      <c r="AG3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37" s="221"/>
      <c r="AL37"/>
      <c r="AM37">
        <v>75</v>
      </c>
      <c r="AO37">
        <v>75</v>
      </c>
      <c r="AP37">
        <v>650</v>
      </c>
      <c r="AQ37">
        <v>150</v>
      </c>
      <c r="AV37"/>
      <c r="BI37" s="14">
        <f>SUM(Portefeuille_MNT_PPS_Access29[[#This Row],[AC ANT]:[TR 2035]])</f>
        <v>950</v>
      </c>
    </row>
    <row r="38" spans="1:61" hidden="1" x14ac:dyDescent="0.3">
      <c r="A38" t="s">
        <v>286</v>
      </c>
      <c r="B38" t="s">
        <v>662</v>
      </c>
      <c r="D38" t="s">
        <v>118</v>
      </c>
      <c r="E38" t="s">
        <v>102</v>
      </c>
      <c r="F38" t="s">
        <v>177</v>
      </c>
      <c r="G38" t="s">
        <v>129</v>
      </c>
      <c r="H38" t="s">
        <v>16</v>
      </c>
      <c r="I38" t="s">
        <v>16</v>
      </c>
      <c r="J38" t="s">
        <v>131</v>
      </c>
      <c r="K38" s="2">
        <v>154240647</v>
      </c>
      <c r="L38" t="s">
        <v>294</v>
      </c>
      <c r="M38" t="s">
        <v>134</v>
      </c>
      <c r="N38" s="8">
        <f>_xlfn.XLOOKUP(Portefeuille_MNT_PPS_Access29[[#This Row],[Numéro projet]], Portefeuille_MNT_PPS_Access20[Numéro projet], Portefeuille_MNT_PPS_Access20[Année DÉBUT Travaux prévu], "")</f>
        <v>2025</v>
      </c>
      <c r="O38">
        <v>2025</v>
      </c>
      <c r="P38">
        <f>Portefeuille_MNT_PPS_Access29[[#This Row],[Année DÉBUT Travaux proposé]]-Portefeuille_MNT_PPS_Access29[[#This Row],[Année DÉBUT Travaux prog actuelle]]</f>
        <v>0</v>
      </c>
      <c r="Q38" t="s">
        <v>164</v>
      </c>
      <c r="R38" s="1">
        <v>45702</v>
      </c>
      <c r="S38" s="1">
        <v>45702</v>
      </c>
      <c r="T38" s="1">
        <v>45702</v>
      </c>
      <c r="U3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3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3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3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3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38">
        <f>Portefeuille_MNT_PPS_Access29[[#This Row],[Délais PC1 et PC3]]+Portefeuille_MNT_PPS_Access29[[#This Row],[Délais PC3 et PC5]]</f>
        <v>0</v>
      </c>
      <c r="AA38">
        <v>1</v>
      </c>
      <c r="AB38">
        <v>1</v>
      </c>
      <c r="AD38" t="s">
        <v>165</v>
      </c>
      <c r="AE38">
        <v>2.3333333333333335</v>
      </c>
      <c r="AF38" s="2" t="e">
        <f>_xlfn.XLOOKUP(Portefeuille_MNT_PPS_Access29[[#This Row],[Numéro projet]],Portefeuille_MNT_PPS_Access27[Numéro projet],Portefeuille_MNT_PPS_Access27[Critère Etat Infrastructure])</f>
        <v>#N/A</v>
      </c>
      <c r="AG38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38" s="221"/>
      <c r="AL38"/>
      <c r="AM38">
        <v>50</v>
      </c>
      <c r="AN38">
        <v>2894</v>
      </c>
      <c r="AV38"/>
      <c r="BI38" s="14">
        <f>SUM(Portefeuille_MNT_PPS_Access29[[#This Row],[AC ANT]:[TR 2035]])</f>
        <v>2944</v>
      </c>
    </row>
    <row r="39" spans="1:61" x14ac:dyDescent="0.3">
      <c r="A39" t="s">
        <v>286</v>
      </c>
      <c r="B39" t="s">
        <v>663</v>
      </c>
      <c r="D39" t="s">
        <v>101</v>
      </c>
      <c r="E39" t="s">
        <v>102</v>
      </c>
      <c r="F39" t="s">
        <v>119</v>
      </c>
      <c r="G39" t="s">
        <v>129</v>
      </c>
      <c r="H39" t="s">
        <v>20</v>
      </c>
      <c r="I39" t="s">
        <v>20</v>
      </c>
      <c r="J39" t="s">
        <v>131</v>
      </c>
      <c r="K39" s="2">
        <v>154230793</v>
      </c>
      <c r="L39" t="s">
        <v>441</v>
      </c>
      <c r="M39" t="s">
        <v>152</v>
      </c>
      <c r="N39" s="8">
        <f>_xlfn.XLOOKUP(Portefeuille_MNT_PPS_Access29[[#This Row],[Numéro projet]], Portefeuille_MNT_PPS_Access20[Numéro projet], Portefeuille_MNT_PPS_Access20[Année DÉBUT Travaux prévu], "")</f>
        <v>2026</v>
      </c>
      <c r="O39">
        <v>2026</v>
      </c>
      <c r="P39">
        <f>Portefeuille_MNT_PPS_Access29[[#This Row],[Année DÉBUT Travaux proposé]]-Portefeuille_MNT_PPS_Access29[[#This Row],[Année DÉBUT Travaux prog actuelle]]</f>
        <v>0</v>
      </c>
      <c r="Q39" t="s">
        <v>155</v>
      </c>
      <c r="R39" s="1">
        <v>45992</v>
      </c>
      <c r="S39" s="1"/>
      <c r="T39" s="1">
        <v>45992</v>
      </c>
      <c r="U3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3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3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3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-1511</v>
      </c>
      <c r="Y3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1511</v>
      </c>
      <c r="Z39">
        <f>Portefeuille_MNT_PPS_Access29[[#This Row],[Délais PC1 et PC3]]+Portefeuille_MNT_PPS_Access29[[#This Row],[Délais PC3 et PC5]]</f>
        <v>0</v>
      </c>
      <c r="AA39">
        <v>1</v>
      </c>
      <c r="AB39">
        <v>1</v>
      </c>
      <c r="AC39">
        <v>5</v>
      </c>
      <c r="AD39" t="s">
        <v>156</v>
      </c>
      <c r="AE39">
        <v>3.3333333333333335</v>
      </c>
      <c r="AF39" s="2">
        <f>_xlfn.XLOOKUP(Portefeuille_MNT_PPS_Access29[[#This Row],[Numéro projet]],Portefeuille_MNT_PPS_Access27[Numéro projet],Portefeuille_MNT_PPS_Access27[Critère Etat Infrastructure])</f>
        <v>3</v>
      </c>
      <c r="AG3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61.666666666666671</v>
      </c>
      <c r="AH39" s="221"/>
      <c r="AL39"/>
      <c r="AO39">
        <v>55</v>
      </c>
      <c r="AP39">
        <v>543</v>
      </c>
      <c r="AV39"/>
      <c r="BI39" s="14">
        <f>SUM(Portefeuille_MNT_PPS_Access29[[#This Row],[AC ANT]:[TR 2035]])</f>
        <v>598</v>
      </c>
    </row>
    <row r="40" spans="1:61" hidden="1" x14ac:dyDescent="0.3">
      <c r="A40" t="s">
        <v>286</v>
      </c>
      <c r="B40" t="s">
        <v>663</v>
      </c>
      <c r="D40" t="s">
        <v>101</v>
      </c>
      <c r="E40" t="s">
        <v>102</v>
      </c>
      <c r="F40" t="s">
        <v>119</v>
      </c>
      <c r="G40" t="s">
        <v>129</v>
      </c>
      <c r="H40" t="s">
        <v>16</v>
      </c>
      <c r="I40" t="s">
        <v>16</v>
      </c>
      <c r="J40" t="s">
        <v>131</v>
      </c>
      <c r="K40" s="2">
        <v>154200653</v>
      </c>
      <c r="L40" t="s">
        <v>154</v>
      </c>
      <c r="M40" t="s">
        <v>134</v>
      </c>
      <c r="N40" s="8">
        <f>_xlfn.XLOOKUP(Portefeuille_MNT_PPS_Access29[[#This Row],[Numéro projet]], Portefeuille_MNT_PPS_Access20[Numéro projet], Portefeuille_MNT_PPS_Access20[Année DÉBUT Travaux prévu], "")</f>
        <v>2026</v>
      </c>
      <c r="O40">
        <v>2026</v>
      </c>
      <c r="P40">
        <f>Portefeuille_MNT_PPS_Access29[[#This Row],[Année DÉBUT Travaux proposé]]-Portefeuille_MNT_PPS_Access29[[#This Row],[Année DÉBUT Travaux prog actuelle]]</f>
        <v>0</v>
      </c>
      <c r="Q40" t="s">
        <v>123</v>
      </c>
      <c r="R40" s="1">
        <v>45601</v>
      </c>
      <c r="S40" s="1">
        <v>45731</v>
      </c>
      <c r="T40" s="1">
        <v>45976</v>
      </c>
      <c r="U4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4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4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</v>
      </c>
      <c r="Y4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8</v>
      </c>
      <c r="Z40">
        <f>Portefeuille_MNT_PPS_Access29[[#This Row],[Délais PC1 et PC3]]+Portefeuille_MNT_PPS_Access29[[#This Row],[Délais PC3 et PC5]]</f>
        <v>12</v>
      </c>
      <c r="AA40">
        <v>1</v>
      </c>
      <c r="AB40">
        <v>5</v>
      </c>
      <c r="AC40">
        <v>5</v>
      </c>
      <c r="AD40" t="s">
        <v>125</v>
      </c>
      <c r="AE40">
        <v>2.3333333333333335</v>
      </c>
      <c r="AF40" s="2">
        <f>_xlfn.XLOOKUP(Portefeuille_MNT_PPS_Access29[[#This Row],[Numéro projet]],Portefeuille_MNT_PPS_Access27[Numéro projet],Portefeuille_MNT_PPS_Access27[Critère Etat Infrastructure])</f>
        <v>3</v>
      </c>
      <c r="AG4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76.666666666666671</v>
      </c>
      <c r="AH40" s="221"/>
      <c r="AL40"/>
      <c r="AM40">
        <v>20</v>
      </c>
      <c r="AO40">
        <v>55</v>
      </c>
      <c r="AP40">
        <v>543</v>
      </c>
      <c r="AV40"/>
      <c r="BI40" s="14">
        <f>SUM(Portefeuille_MNT_PPS_Access29[[#This Row],[AC ANT]:[TR 2035]])</f>
        <v>618</v>
      </c>
    </row>
    <row r="41" spans="1:61" hidden="1" x14ac:dyDescent="0.3">
      <c r="A41" t="s">
        <v>286</v>
      </c>
      <c r="B41" t="s">
        <v>662</v>
      </c>
      <c r="D41" t="s">
        <v>118</v>
      </c>
      <c r="E41" t="s">
        <v>102</v>
      </c>
      <c r="F41" t="s">
        <v>136</v>
      </c>
      <c r="G41" t="s">
        <v>252</v>
      </c>
      <c r="H41" t="s">
        <v>16</v>
      </c>
      <c r="I41" t="s">
        <v>16</v>
      </c>
      <c r="J41" t="s">
        <v>131</v>
      </c>
      <c r="K41" s="2">
        <v>154240497</v>
      </c>
      <c r="L41" t="s">
        <v>529</v>
      </c>
      <c r="M41" t="s">
        <v>209</v>
      </c>
      <c r="N41" s="8">
        <f>_xlfn.XLOOKUP(Portefeuille_MNT_PPS_Access29[[#This Row],[Numéro projet]], Portefeuille_MNT_PPS_Access20[Numéro projet], Portefeuille_MNT_PPS_Access20[Année DÉBUT Travaux prévu], "")</f>
        <v>2026</v>
      </c>
      <c r="O41">
        <v>2026</v>
      </c>
      <c r="P41">
        <f>Portefeuille_MNT_PPS_Access29[[#This Row],[Année DÉBUT Travaux proposé]]-Portefeuille_MNT_PPS_Access29[[#This Row],[Année DÉBUT Travaux prog actuelle]]</f>
        <v>0</v>
      </c>
      <c r="Q41" t="s">
        <v>291</v>
      </c>
      <c r="R41" s="1"/>
      <c r="S41" s="1"/>
      <c r="T41" s="1">
        <v>46006</v>
      </c>
      <c r="U4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4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4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4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1511</v>
      </c>
      <c r="Z41">
        <f>Portefeuille_MNT_PPS_Access29[[#This Row],[Délais PC1 et PC3]]+Portefeuille_MNT_PPS_Access29[[#This Row],[Délais PC3 et PC5]]</f>
        <v>1511</v>
      </c>
      <c r="AA41">
        <v>1</v>
      </c>
      <c r="AB41">
        <v>1</v>
      </c>
      <c r="AC41">
        <v>5</v>
      </c>
      <c r="AD41" t="s">
        <v>311</v>
      </c>
      <c r="AE41">
        <v>3.3333333333333335</v>
      </c>
      <c r="AF41" s="2">
        <f>_xlfn.XLOOKUP(Portefeuille_MNT_PPS_Access29[[#This Row],[Numéro projet]],Portefeuille_MNT_PPS_Access27[Numéro projet],Portefeuille_MNT_PPS_Access27[Critère Etat Infrastructure])</f>
        <v>4</v>
      </c>
      <c r="AG4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41" s="221"/>
      <c r="AL41"/>
      <c r="AM41">
        <v>60</v>
      </c>
      <c r="AO41">
        <v>20</v>
      </c>
      <c r="AP41">
        <v>540</v>
      </c>
      <c r="AV41"/>
      <c r="BI41" s="14">
        <f>SUM(Portefeuille_MNT_PPS_Access29[[#This Row],[AC ANT]:[TR 2035]])</f>
        <v>620</v>
      </c>
    </row>
    <row r="42" spans="1:61" hidden="1" x14ac:dyDescent="0.3">
      <c r="A42" t="s">
        <v>286</v>
      </c>
      <c r="B42" t="s">
        <v>662</v>
      </c>
      <c r="D42" t="s">
        <v>118</v>
      </c>
      <c r="E42" t="s">
        <v>102</v>
      </c>
      <c r="F42" t="s">
        <v>136</v>
      </c>
      <c r="G42" t="s">
        <v>104</v>
      </c>
      <c r="H42" t="s">
        <v>16</v>
      </c>
      <c r="I42" t="s">
        <v>20</v>
      </c>
      <c r="J42" t="s">
        <v>105</v>
      </c>
      <c r="K42" s="2">
        <v>154240756</v>
      </c>
      <c r="L42" t="s">
        <v>517</v>
      </c>
      <c r="M42" t="s">
        <v>302</v>
      </c>
      <c r="N42" s="229">
        <f>_xlfn.XLOOKUP(Portefeuille_MNT_PPS_Access29[[#This Row],[Numéro projet]], Portefeuille_MNT_PPS_Access20[Numéro projet], Portefeuille_MNT_PPS_Access20[Année DÉBUT Travaux prévu], "")</f>
        <v>2027</v>
      </c>
      <c r="O42" s="227">
        <v>2026</v>
      </c>
      <c r="P42">
        <f>Portefeuille_MNT_PPS_Access29[[#This Row],[Année DÉBUT Travaux proposé]]-Portefeuille_MNT_PPS_Access29[[#This Row],[Année DÉBUT Travaux prog actuelle]]</f>
        <v>-1</v>
      </c>
      <c r="Q42" t="s">
        <v>110</v>
      </c>
      <c r="R42" s="1">
        <v>45904</v>
      </c>
      <c r="S42" s="1"/>
      <c r="T42" s="1">
        <v>46096</v>
      </c>
      <c r="U4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4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4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4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-1508</v>
      </c>
      <c r="Y4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1514</v>
      </c>
      <c r="Z42">
        <f>Portefeuille_MNT_PPS_Access29[[#This Row],[Délais PC1 et PC3]]+Portefeuille_MNT_PPS_Access29[[#This Row],[Délais PC3 et PC5]]</f>
        <v>6</v>
      </c>
      <c r="AA42">
        <v>1</v>
      </c>
      <c r="AB42">
        <v>1</v>
      </c>
      <c r="AC42">
        <v>3</v>
      </c>
      <c r="AD42" t="s">
        <v>112</v>
      </c>
      <c r="AE42">
        <v>4</v>
      </c>
      <c r="AF42" s="2">
        <f>_xlfn.XLOOKUP(Portefeuille_MNT_PPS_Access29[[#This Row],[Numéro projet]],Portefeuille_MNT_PPS_Access27[Numéro projet],Portefeuille_MNT_PPS_Access27[Critère Etat Infrastructure])</f>
        <v>5</v>
      </c>
      <c r="AG4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65.000000000000014</v>
      </c>
      <c r="AH42" s="221"/>
      <c r="AL42"/>
      <c r="AM42">
        <v>59</v>
      </c>
      <c r="AO42">
        <v>131</v>
      </c>
      <c r="AP42">
        <v>478</v>
      </c>
      <c r="AV42"/>
      <c r="BI42" s="14">
        <f>SUM(Portefeuille_MNT_PPS_Access29[[#This Row],[AC ANT]:[TR 2035]])</f>
        <v>668</v>
      </c>
    </row>
    <row r="43" spans="1:61" hidden="1" x14ac:dyDescent="0.3">
      <c r="A43" t="s">
        <v>286</v>
      </c>
      <c r="B43" t="s">
        <v>295</v>
      </c>
      <c r="D43" t="s">
        <v>126</v>
      </c>
      <c r="E43" t="s">
        <v>127</v>
      </c>
      <c r="F43" t="s">
        <v>177</v>
      </c>
      <c r="G43" t="s">
        <v>206</v>
      </c>
      <c r="H43" t="s">
        <v>16</v>
      </c>
      <c r="I43" t="s">
        <v>16</v>
      </c>
      <c r="J43" t="s">
        <v>223</v>
      </c>
      <c r="K43" s="2">
        <v>154190529</v>
      </c>
      <c r="L43" t="s">
        <v>520</v>
      </c>
      <c r="M43" t="s">
        <v>180</v>
      </c>
      <c r="N43" s="8">
        <f>_xlfn.XLOOKUP(Portefeuille_MNT_PPS_Access29[[#This Row],[Numéro projet]], Portefeuille_MNT_PPS_Access20[Numéro projet], Portefeuille_MNT_PPS_Access20[Année DÉBUT Travaux prévu], "")</f>
        <v>2026</v>
      </c>
      <c r="O43">
        <v>2026</v>
      </c>
      <c r="P43">
        <f>Portefeuille_MNT_PPS_Access29[[#This Row],[Année DÉBUT Travaux proposé]]-Portefeuille_MNT_PPS_Access29[[#This Row],[Année DÉBUT Travaux prog actuelle]]</f>
        <v>0</v>
      </c>
      <c r="Q43" t="s">
        <v>123</v>
      </c>
      <c r="R43" s="1">
        <v>44623</v>
      </c>
      <c r="S43" s="1">
        <v>45698</v>
      </c>
      <c r="T43" s="1">
        <v>46218</v>
      </c>
      <c r="U4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4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1.Très à risque</v>
      </c>
      <c r="X4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35</v>
      </c>
      <c r="Y4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17</v>
      </c>
      <c r="Z43">
        <f>Portefeuille_MNT_PPS_Access29[[#This Row],[Délais PC1 et PC3]]+Portefeuille_MNT_PPS_Access29[[#This Row],[Délais PC3 et PC5]]</f>
        <v>52</v>
      </c>
      <c r="AA43">
        <v>1</v>
      </c>
      <c r="AB43">
        <v>1</v>
      </c>
      <c r="AC43">
        <v>1</v>
      </c>
      <c r="AD43" t="s">
        <v>125</v>
      </c>
      <c r="AE43">
        <v>3.35</v>
      </c>
      <c r="AF43" s="2">
        <f>_xlfn.XLOOKUP(Portefeuille_MNT_PPS_Access29[[#This Row],[Numéro projet]],Portefeuille_MNT_PPS_Access27[Numéro projet],Portefeuille_MNT_PPS_Access27[Critère Etat Infrastructure])</f>
        <v>5</v>
      </c>
      <c r="AG4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51.750000000000007</v>
      </c>
      <c r="AH43" s="221"/>
      <c r="AI43">
        <v>180.00000000000003</v>
      </c>
      <c r="AK43">
        <v>53</v>
      </c>
      <c r="AL43"/>
      <c r="AM43">
        <v>150</v>
      </c>
      <c r="AO43">
        <v>133</v>
      </c>
      <c r="AP43">
        <v>354.99999999999994</v>
      </c>
      <c r="AQ43">
        <v>53.000000000000007</v>
      </c>
      <c r="AR43">
        <v>1610</v>
      </c>
      <c r="AS43">
        <v>159</v>
      </c>
      <c r="AT43">
        <v>4929</v>
      </c>
      <c r="AU43">
        <v>212</v>
      </c>
      <c r="AV43">
        <v>6707.0000000000018</v>
      </c>
      <c r="AW43">
        <v>261</v>
      </c>
      <c r="AX43">
        <v>6846.0000000000018</v>
      </c>
      <c r="BI43" s="14">
        <f>SUM(Portefeuille_MNT_PPS_Access29[[#This Row],[AC ANT]:[TR 2035]])</f>
        <v>21648.000000000004</v>
      </c>
    </row>
    <row r="44" spans="1:61" hidden="1" x14ac:dyDescent="0.3">
      <c r="A44" t="s">
        <v>286</v>
      </c>
      <c r="B44" t="s">
        <v>295</v>
      </c>
      <c r="D44" t="s">
        <v>126</v>
      </c>
      <c r="E44" t="s">
        <v>127</v>
      </c>
      <c r="F44" t="s">
        <v>103</v>
      </c>
      <c r="G44" t="s">
        <v>104</v>
      </c>
      <c r="H44" t="s">
        <v>16</v>
      </c>
      <c r="I44" t="s">
        <v>130</v>
      </c>
      <c r="J44" t="s">
        <v>131</v>
      </c>
      <c r="K44" s="2">
        <v>154190517</v>
      </c>
      <c r="L44" t="s">
        <v>221</v>
      </c>
      <c r="M44" t="s">
        <v>159</v>
      </c>
      <c r="N44" s="229">
        <f>_xlfn.XLOOKUP(Portefeuille_MNT_PPS_Access29[[#This Row],[Numéro projet]], Portefeuille_MNT_PPS_Access20[Numéro projet], Portefeuille_MNT_PPS_Access20[Année DÉBUT Travaux prévu], "")</f>
        <v>2027</v>
      </c>
      <c r="O44" s="227">
        <v>2028</v>
      </c>
      <c r="P44">
        <f>Portefeuille_MNT_PPS_Access29[[#This Row],[Année DÉBUT Travaux proposé]]-Portefeuille_MNT_PPS_Access29[[#This Row],[Année DÉBUT Travaux prog actuelle]]</f>
        <v>1</v>
      </c>
      <c r="Q44" t="s">
        <v>155</v>
      </c>
      <c r="R44" s="1">
        <v>45976</v>
      </c>
      <c r="S44" s="1">
        <v>46264</v>
      </c>
      <c r="T44" s="1">
        <v>46553</v>
      </c>
      <c r="U4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4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9</v>
      </c>
      <c r="Y4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10</v>
      </c>
      <c r="Z44">
        <f>Portefeuille_MNT_PPS_Access29[[#This Row],[Délais PC1 et PC3]]+Portefeuille_MNT_PPS_Access29[[#This Row],[Délais PC3 et PC5]]</f>
        <v>19</v>
      </c>
      <c r="AB44">
        <v>1</v>
      </c>
      <c r="AC44">
        <v>5</v>
      </c>
      <c r="AD44" t="s">
        <v>156</v>
      </c>
      <c r="AE44">
        <v>4.333333333333333</v>
      </c>
      <c r="AF44" s="2">
        <f>_xlfn.XLOOKUP(Portefeuille_MNT_PPS_Access29[[#This Row],[Numéro projet]],Portefeuille_MNT_PPS_Access27[Numéro projet],Portefeuille_MNT_PPS_Access27[Critère Etat Infrastructure])</f>
        <v>3</v>
      </c>
      <c r="AG4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44" s="221"/>
      <c r="AL44"/>
      <c r="AM44">
        <v>130</v>
      </c>
      <c r="AO44">
        <v>125</v>
      </c>
      <c r="AQ44">
        <v>100</v>
      </c>
      <c r="AS44">
        <v>70</v>
      </c>
      <c r="AT44">
        <v>14000</v>
      </c>
      <c r="AU44">
        <v>55</v>
      </c>
      <c r="AV44">
        <v>16662</v>
      </c>
      <c r="BI44" s="14">
        <f>SUM(Portefeuille_MNT_PPS_Access29[[#This Row],[AC ANT]:[TR 2035]])</f>
        <v>31142</v>
      </c>
    </row>
    <row r="45" spans="1:61" x14ac:dyDescent="0.3">
      <c r="A45" t="s">
        <v>286</v>
      </c>
      <c r="B45" t="s">
        <v>295</v>
      </c>
      <c r="D45" t="s">
        <v>126</v>
      </c>
      <c r="E45" t="s">
        <v>127</v>
      </c>
      <c r="F45" t="s">
        <v>103</v>
      </c>
      <c r="G45" t="s">
        <v>149</v>
      </c>
      <c r="H45" t="s">
        <v>16</v>
      </c>
      <c r="I45" t="s">
        <v>20</v>
      </c>
      <c r="J45" t="s">
        <v>131</v>
      </c>
      <c r="K45" s="2">
        <v>154190681</v>
      </c>
      <c r="L45" t="s">
        <v>542</v>
      </c>
      <c r="M45" t="s">
        <v>152</v>
      </c>
      <c r="N45" s="229">
        <f>_xlfn.XLOOKUP(Portefeuille_MNT_PPS_Access29[[#This Row],[Numéro projet]], Portefeuille_MNT_PPS_Access20[Numéro projet], Portefeuille_MNT_PPS_Access20[Année DÉBUT Travaux prévu], "")</f>
        <v>2027</v>
      </c>
      <c r="O45" s="227">
        <v>2028</v>
      </c>
      <c r="P45">
        <f>Portefeuille_MNT_PPS_Access29[[#This Row],[Année DÉBUT Travaux proposé]]-Portefeuille_MNT_PPS_Access29[[#This Row],[Année DÉBUT Travaux prog actuelle]]</f>
        <v>1</v>
      </c>
      <c r="Q45" t="s">
        <v>155</v>
      </c>
      <c r="R45" s="1">
        <v>45976</v>
      </c>
      <c r="S45" s="1">
        <v>46310</v>
      </c>
      <c r="T45" s="1">
        <v>46645</v>
      </c>
      <c r="U4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4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4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11</v>
      </c>
      <c r="Z45">
        <f>Portefeuille_MNT_PPS_Access29[[#This Row],[Délais PC1 et PC3]]+Portefeuille_MNT_PPS_Access29[[#This Row],[Délais PC3 et PC5]]</f>
        <v>22</v>
      </c>
      <c r="AB45">
        <v>1</v>
      </c>
      <c r="AC45">
        <v>5</v>
      </c>
      <c r="AD45" t="s">
        <v>156</v>
      </c>
      <c r="AE45">
        <v>3.3333333333333335</v>
      </c>
      <c r="AF45" s="2">
        <f>_xlfn.XLOOKUP(Portefeuille_MNT_PPS_Access29[[#This Row],[Numéro projet]],Portefeuille_MNT_PPS_Access27[Numéro projet],Portefeuille_MNT_PPS_Access27[Critère Etat Infrastructure])</f>
        <v>3</v>
      </c>
      <c r="AG4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61.666666666666671</v>
      </c>
      <c r="AH45" s="221"/>
      <c r="AL45"/>
      <c r="AM45">
        <v>100</v>
      </c>
      <c r="AO45">
        <v>267</v>
      </c>
      <c r="AQ45">
        <v>588</v>
      </c>
      <c r="AT45">
        <v>4500</v>
      </c>
      <c r="AV45">
        <v>3000</v>
      </c>
      <c r="BI45" s="14">
        <f>SUM(Portefeuille_MNT_PPS_Access29[[#This Row],[AC ANT]:[TR 2035]])</f>
        <v>8455</v>
      </c>
    </row>
    <row r="46" spans="1:61" hidden="1" x14ac:dyDescent="0.3">
      <c r="A46" t="s">
        <v>286</v>
      </c>
      <c r="B46" t="s">
        <v>662</v>
      </c>
      <c r="D46" t="s">
        <v>118</v>
      </c>
      <c r="E46" t="s">
        <v>102</v>
      </c>
      <c r="F46" t="s">
        <v>242</v>
      </c>
      <c r="G46" t="s">
        <v>129</v>
      </c>
      <c r="H46" t="s">
        <v>16</v>
      </c>
      <c r="I46" t="s">
        <v>20</v>
      </c>
      <c r="J46" t="s">
        <v>131</v>
      </c>
      <c r="K46" s="2">
        <v>154180774</v>
      </c>
      <c r="L46" t="s">
        <v>386</v>
      </c>
      <c r="M46" t="s">
        <v>134</v>
      </c>
      <c r="N46" s="8">
        <f>_xlfn.XLOOKUP(Portefeuille_MNT_PPS_Access29[[#This Row],[Numéro projet]], Portefeuille_MNT_PPS_Access20[Numéro projet], Portefeuille_MNT_PPS_Access20[Année DÉBUT Travaux prévu], "")</f>
        <v>2028</v>
      </c>
      <c r="O46">
        <v>2028</v>
      </c>
      <c r="P46">
        <f>Portefeuille_MNT_PPS_Access29[[#This Row],[Année DÉBUT Travaux proposé]]-Portefeuille_MNT_PPS_Access29[[#This Row],[Année DÉBUT Travaux prog actuelle]]</f>
        <v>0</v>
      </c>
      <c r="Q46" t="s">
        <v>155</v>
      </c>
      <c r="R46" s="1">
        <v>45960</v>
      </c>
      <c r="S46" s="1">
        <v>46266</v>
      </c>
      <c r="T46" s="1">
        <v>46631</v>
      </c>
      <c r="U4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4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4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46">
        <f>Portefeuille_MNT_PPS_Access29[[#This Row],[Délais PC1 et PC3]]+Portefeuille_MNT_PPS_Access29[[#This Row],[Délais PC3 et PC5]]</f>
        <v>23</v>
      </c>
      <c r="AB46">
        <v>1</v>
      </c>
      <c r="AC46">
        <v>5</v>
      </c>
      <c r="AD46" t="s">
        <v>156</v>
      </c>
      <c r="AE46">
        <v>1.3333333333333333</v>
      </c>
      <c r="AF46" s="2">
        <f>_xlfn.XLOOKUP(Portefeuille_MNT_PPS_Access29[[#This Row],[Numéro projet]],Portefeuille_MNT_PPS_Access27[Numéro projet],Portefeuille_MNT_PPS_Access27[Critère Etat Infrastructure])</f>
        <v>4</v>
      </c>
      <c r="AG4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56.666666666666679</v>
      </c>
      <c r="AH46" s="221"/>
      <c r="AL46"/>
      <c r="AM46">
        <v>20</v>
      </c>
      <c r="AO46">
        <v>50</v>
      </c>
      <c r="AQ46">
        <v>50</v>
      </c>
      <c r="AS46">
        <v>200</v>
      </c>
      <c r="AT46">
        <v>2000</v>
      </c>
      <c r="AV46"/>
      <c r="BI46" s="14">
        <f>SUM(Portefeuille_MNT_PPS_Access29[[#This Row],[AC ANT]:[TR 2035]])</f>
        <v>2320</v>
      </c>
    </row>
    <row r="47" spans="1:61" hidden="1" x14ac:dyDescent="0.3">
      <c r="A47" t="s">
        <v>11</v>
      </c>
      <c r="D47" t="s">
        <v>118</v>
      </c>
      <c r="E47" t="s">
        <v>102</v>
      </c>
      <c r="F47" t="s">
        <v>103</v>
      </c>
      <c r="G47" t="s">
        <v>252</v>
      </c>
      <c r="H47" t="s">
        <v>20</v>
      </c>
      <c r="I47" t="s">
        <v>20</v>
      </c>
      <c r="J47" t="s">
        <v>131</v>
      </c>
      <c r="K47" s="2">
        <v>154250176</v>
      </c>
      <c r="L47" t="s">
        <v>598</v>
      </c>
      <c r="M47" t="s">
        <v>214</v>
      </c>
      <c r="N47" s="8">
        <f>_xlfn.XLOOKUP(Portefeuille_MNT_PPS_Access29[[#This Row],[Numéro projet]], Portefeuille_MNT_PPS_Access20[Numéro projet], Portefeuille_MNT_PPS_Access20[Année DÉBUT Travaux prévu], "")</f>
        <v>2026</v>
      </c>
      <c r="O47">
        <v>2026</v>
      </c>
      <c r="P47">
        <f>Portefeuille_MNT_PPS_Access29[[#This Row],[Année DÉBUT Travaux proposé]]-Portefeuille_MNT_PPS_Access29[[#This Row],[Année DÉBUT Travaux prog actuelle]]</f>
        <v>0</v>
      </c>
      <c r="Q47" t="s">
        <v>291</v>
      </c>
      <c r="R47" s="1"/>
      <c r="S47" s="1"/>
      <c r="T47" s="1"/>
      <c r="U4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4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4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4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4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47">
        <f>Portefeuille_MNT_PPS_Access29[[#This Row],[Délais PC1 et PC3]]+Portefeuille_MNT_PPS_Access29[[#This Row],[Délais PC3 et PC5]]</f>
        <v>0</v>
      </c>
      <c r="AA47">
        <v>1</v>
      </c>
      <c r="AB47">
        <v>1</v>
      </c>
      <c r="AC47">
        <v>3</v>
      </c>
      <c r="AD47" t="s">
        <v>311</v>
      </c>
      <c r="AE47">
        <v>3</v>
      </c>
      <c r="AF47" s="2">
        <f>_xlfn.XLOOKUP(Portefeuille_MNT_PPS_Access29[[#This Row],[Numéro projet]],Portefeuille_MNT_PPS_Access27[Numéro projet],Portefeuille_MNT_PPS_Access27[Critère Etat Infrastructure])</f>
        <v>3</v>
      </c>
      <c r="AG4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49.999999999999993</v>
      </c>
      <c r="AH47" s="221"/>
      <c r="AL47"/>
      <c r="AP47">
        <v>300</v>
      </c>
      <c r="AV47"/>
      <c r="BI47" s="14">
        <f>SUM(Portefeuille_MNT_PPS_Access29[[#This Row],[AC ANT]:[TR 2035]])</f>
        <v>300</v>
      </c>
    </row>
    <row r="48" spans="1:61" hidden="1" x14ac:dyDescent="0.3">
      <c r="A48" t="s">
        <v>286</v>
      </c>
      <c r="B48" t="s">
        <v>663</v>
      </c>
      <c r="D48" t="s">
        <v>101</v>
      </c>
      <c r="E48" t="s">
        <v>102</v>
      </c>
      <c r="F48" t="s">
        <v>136</v>
      </c>
      <c r="G48" t="s">
        <v>149</v>
      </c>
      <c r="H48" t="s">
        <v>16</v>
      </c>
      <c r="I48" t="s">
        <v>20</v>
      </c>
      <c r="J48" t="s">
        <v>105</v>
      </c>
      <c r="K48" s="2">
        <v>154180731</v>
      </c>
      <c r="L48" t="s">
        <v>204</v>
      </c>
      <c r="M48" t="s">
        <v>205</v>
      </c>
      <c r="N48" s="229">
        <f>_xlfn.XLOOKUP(Portefeuille_MNT_PPS_Access29[[#This Row],[Numéro projet]], Portefeuille_MNT_PPS_Access20[Numéro projet], Portefeuille_MNT_PPS_Access20[Année DÉBUT Travaux prévu], "")</f>
        <v>2027</v>
      </c>
      <c r="O48" s="227">
        <v>2028</v>
      </c>
      <c r="P48">
        <f>Portefeuille_MNT_PPS_Access29[[#This Row],[Année DÉBUT Travaux proposé]]-Portefeuille_MNT_PPS_Access29[[#This Row],[Année DÉBUT Travaux prog actuelle]]</f>
        <v>1</v>
      </c>
      <c r="Q48" t="s">
        <v>155</v>
      </c>
      <c r="R48" s="1">
        <v>45960</v>
      </c>
      <c r="S48" s="1">
        <v>46264</v>
      </c>
      <c r="T48" s="1">
        <v>46629</v>
      </c>
      <c r="U4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4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10</v>
      </c>
      <c r="Y4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48">
        <f>Portefeuille_MNT_PPS_Access29[[#This Row],[Délais PC1 et PC3]]+Portefeuille_MNT_PPS_Access29[[#This Row],[Délais PC3 et PC5]]</f>
        <v>22</v>
      </c>
      <c r="AB48">
        <v>1</v>
      </c>
      <c r="AC48">
        <v>5</v>
      </c>
      <c r="AD48" t="s">
        <v>156</v>
      </c>
      <c r="AE48">
        <v>3</v>
      </c>
      <c r="AF48" s="2">
        <f>_xlfn.XLOOKUP(Portefeuille_MNT_PPS_Access29[[#This Row],[Numéro projet]],Portefeuille_MNT_PPS_Access27[Numéro projet],Portefeuille_MNT_PPS_Access27[Critère Etat Infrastructure])</f>
        <v>5</v>
      </c>
      <c r="AG4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70</v>
      </c>
      <c r="AH48" s="221"/>
      <c r="AL48"/>
      <c r="AM48">
        <v>85</v>
      </c>
      <c r="AO48">
        <v>85</v>
      </c>
      <c r="AQ48">
        <v>170</v>
      </c>
      <c r="AT48">
        <v>2000</v>
      </c>
      <c r="AV48"/>
      <c r="BI48" s="14">
        <f>SUM(Portefeuille_MNT_PPS_Access29[[#This Row],[AC ANT]:[TR 2035]])</f>
        <v>2340</v>
      </c>
    </row>
    <row r="49" spans="1:61" hidden="1" x14ac:dyDescent="0.3">
      <c r="A49" t="s">
        <v>286</v>
      </c>
      <c r="B49" t="s">
        <v>662</v>
      </c>
      <c r="D49" t="s">
        <v>118</v>
      </c>
      <c r="E49" t="s">
        <v>102</v>
      </c>
      <c r="F49" t="s">
        <v>242</v>
      </c>
      <c r="G49" t="s">
        <v>113</v>
      </c>
      <c r="H49" t="s">
        <v>16</v>
      </c>
      <c r="I49" t="s">
        <v>20</v>
      </c>
      <c r="J49" t="s">
        <v>131</v>
      </c>
      <c r="K49" s="2">
        <v>154210524</v>
      </c>
      <c r="L49" t="s">
        <v>244</v>
      </c>
      <c r="M49" t="s">
        <v>245</v>
      </c>
      <c r="N49" s="229">
        <f>_xlfn.XLOOKUP(Portefeuille_MNT_PPS_Access29[[#This Row],[Numéro projet]], Portefeuille_MNT_PPS_Access20[Numéro projet], Portefeuille_MNT_PPS_Access20[Année DÉBUT Travaux prévu], "")</f>
        <v>2027</v>
      </c>
      <c r="O49" s="227">
        <v>2028</v>
      </c>
      <c r="P49">
        <f>Portefeuille_MNT_PPS_Access29[[#This Row],[Année DÉBUT Travaux proposé]]-Portefeuille_MNT_PPS_Access29[[#This Row],[Année DÉBUT Travaux prog actuelle]]</f>
        <v>1</v>
      </c>
      <c r="Q49" t="s">
        <v>155</v>
      </c>
      <c r="R49" s="1">
        <v>45976</v>
      </c>
      <c r="S49" s="1">
        <v>46280</v>
      </c>
      <c r="T49" s="1">
        <v>46433</v>
      </c>
      <c r="U4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4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4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4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10</v>
      </c>
      <c r="Y4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5</v>
      </c>
      <c r="Z49">
        <f>Portefeuille_MNT_PPS_Access29[[#This Row],[Délais PC1 et PC3]]+Portefeuille_MNT_PPS_Access29[[#This Row],[Délais PC3 et PC5]]</f>
        <v>15</v>
      </c>
      <c r="AB49">
        <v>1</v>
      </c>
      <c r="AC49">
        <v>5</v>
      </c>
      <c r="AD49" t="s">
        <v>156</v>
      </c>
      <c r="AE49">
        <v>1.6666666666666667</v>
      </c>
      <c r="AF49" s="2">
        <f>_xlfn.XLOOKUP(Portefeuille_MNT_PPS_Access29[[#This Row],[Numéro projet]],Portefeuille_MNT_PPS_Access27[Numéro projet],Portefeuille_MNT_PPS_Access27[Critère Etat Infrastructure])</f>
        <v>4</v>
      </c>
      <c r="AG4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58.333333333333336</v>
      </c>
      <c r="AH49" s="221"/>
      <c r="AL49"/>
      <c r="AM49">
        <v>50</v>
      </c>
      <c r="AO49">
        <v>150</v>
      </c>
      <c r="AQ49">
        <v>150</v>
      </c>
      <c r="AT49">
        <v>2000</v>
      </c>
      <c r="AV49"/>
      <c r="BI49" s="14">
        <f>SUM(Portefeuille_MNT_PPS_Access29[[#This Row],[AC ANT]:[TR 2035]])</f>
        <v>2350</v>
      </c>
    </row>
    <row r="50" spans="1:61" hidden="1" x14ac:dyDescent="0.3">
      <c r="A50" t="s">
        <v>286</v>
      </c>
      <c r="B50" t="s">
        <v>663</v>
      </c>
      <c r="D50" t="s">
        <v>101</v>
      </c>
      <c r="E50" t="s">
        <v>102</v>
      </c>
      <c r="F50" t="s">
        <v>136</v>
      </c>
      <c r="G50" t="s">
        <v>104</v>
      </c>
      <c r="H50" t="s">
        <v>130</v>
      </c>
      <c r="I50" t="s">
        <v>130</v>
      </c>
      <c r="J50" t="s">
        <v>105</v>
      </c>
      <c r="K50" s="2">
        <v>154200684</v>
      </c>
      <c r="L50" t="s">
        <v>514</v>
      </c>
      <c r="M50" t="s">
        <v>108</v>
      </c>
      <c r="N50" s="8">
        <f>_xlfn.XLOOKUP(Portefeuille_MNT_PPS_Access29[[#This Row],[Numéro projet]], Portefeuille_MNT_PPS_Access20[Numéro projet], Portefeuille_MNT_PPS_Access20[Année DÉBUT Travaux prévu], "")</f>
        <v>2028</v>
      </c>
      <c r="O50">
        <v>2028</v>
      </c>
      <c r="P50">
        <f>Portefeuille_MNT_PPS_Access29[[#This Row],[Année DÉBUT Travaux proposé]]-Portefeuille_MNT_PPS_Access29[[#This Row],[Année DÉBUT Travaux prog actuelle]]</f>
        <v>0</v>
      </c>
      <c r="Q50" t="s">
        <v>155</v>
      </c>
      <c r="R50" s="1">
        <v>46127</v>
      </c>
      <c r="S50" s="1">
        <v>46492</v>
      </c>
      <c r="T50" s="1">
        <v>46706</v>
      </c>
      <c r="U5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5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5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5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7</v>
      </c>
      <c r="Z50">
        <f>Portefeuille_MNT_PPS_Access29[[#This Row],[Délais PC1 et PC3]]+Portefeuille_MNT_PPS_Access29[[#This Row],[Délais PC3 et PC5]]</f>
        <v>19</v>
      </c>
      <c r="AB50">
        <v>1</v>
      </c>
      <c r="AC50">
        <v>1</v>
      </c>
      <c r="AD50" t="s">
        <v>156</v>
      </c>
      <c r="AE50">
        <v>4</v>
      </c>
      <c r="AF50" s="2">
        <f>_xlfn.XLOOKUP(Portefeuille_MNT_PPS_Access29[[#This Row],[Numéro projet]],Portefeuille_MNT_PPS_Access27[Numéro projet],Portefeuille_MNT_PPS_Access27[Critère Etat Infrastructure])</f>
        <v>5</v>
      </c>
      <c r="AG5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55.000000000000007</v>
      </c>
      <c r="AH50" s="221"/>
      <c r="AL50"/>
      <c r="AO50">
        <v>150</v>
      </c>
      <c r="AQ50">
        <v>150</v>
      </c>
      <c r="AS50">
        <v>550</v>
      </c>
      <c r="AT50">
        <v>4000</v>
      </c>
      <c r="AV50"/>
      <c r="BI50" s="14">
        <f>SUM(Portefeuille_MNT_PPS_Access29[[#This Row],[AC ANT]:[TR 2035]])</f>
        <v>4850</v>
      </c>
    </row>
    <row r="51" spans="1:61" hidden="1" x14ac:dyDescent="0.3">
      <c r="A51" t="s">
        <v>286</v>
      </c>
      <c r="B51" t="s">
        <v>664</v>
      </c>
      <c r="D51" t="s">
        <v>101</v>
      </c>
      <c r="E51" t="s">
        <v>102</v>
      </c>
      <c r="F51" t="s">
        <v>128</v>
      </c>
      <c r="G51" t="s">
        <v>129</v>
      </c>
      <c r="H51" t="s">
        <v>16</v>
      </c>
      <c r="I51" t="s">
        <v>20</v>
      </c>
      <c r="J51" t="s">
        <v>131</v>
      </c>
      <c r="K51" s="2">
        <v>154240034</v>
      </c>
      <c r="L51" t="s">
        <v>251</v>
      </c>
      <c r="M51" t="s">
        <v>214</v>
      </c>
      <c r="N51" s="8">
        <f>_xlfn.XLOOKUP(Portefeuille_MNT_PPS_Access29[[#This Row],[Numéro projet]], Portefeuille_MNT_PPS_Access20[Numéro projet], Portefeuille_MNT_PPS_Access20[Année DÉBUT Travaux prévu], "")</f>
        <v>2028</v>
      </c>
      <c r="O51">
        <v>2028</v>
      </c>
      <c r="P51">
        <f>Portefeuille_MNT_PPS_Access29[[#This Row],[Année DÉBUT Travaux proposé]]-Portefeuille_MNT_PPS_Access29[[#This Row],[Année DÉBUT Travaux prog actuelle]]</f>
        <v>0</v>
      </c>
      <c r="Q51" t="s">
        <v>110</v>
      </c>
      <c r="R51" s="1">
        <v>45490</v>
      </c>
      <c r="S51" s="1"/>
      <c r="T51" s="1">
        <v>46447</v>
      </c>
      <c r="U5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5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5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-1494</v>
      </c>
      <c r="Y5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1526</v>
      </c>
      <c r="Z51">
        <f>Portefeuille_MNT_PPS_Access29[[#This Row],[Délais PC1 et PC3]]+Portefeuille_MNT_PPS_Access29[[#This Row],[Délais PC3 et PC5]]</f>
        <v>32</v>
      </c>
      <c r="AB51">
        <v>1</v>
      </c>
      <c r="AC51">
        <v>5</v>
      </c>
      <c r="AD51" t="s">
        <v>112</v>
      </c>
      <c r="AE51">
        <v>3</v>
      </c>
      <c r="AF51" s="2">
        <f>_xlfn.XLOOKUP(Portefeuille_MNT_PPS_Access29[[#This Row],[Numéro projet]],Portefeuille_MNT_PPS_Access27[Numéro projet],Portefeuille_MNT_PPS_Access27[Critère Etat Infrastructure])</f>
        <v>4</v>
      </c>
      <c r="AG5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65</v>
      </c>
      <c r="AH51" s="221"/>
      <c r="AL51"/>
      <c r="AM51">
        <v>37</v>
      </c>
      <c r="AO51">
        <v>10</v>
      </c>
      <c r="AQ51">
        <v>12</v>
      </c>
      <c r="AS51">
        <v>30</v>
      </c>
      <c r="AT51">
        <v>194</v>
      </c>
      <c r="AV51"/>
      <c r="BI51" s="14">
        <f>SUM(Portefeuille_MNT_PPS_Access29[[#This Row],[AC ANT]:[TR 2035]])</f>
        <v>283</v>
      </c>
    </row>
    <row r="52" spans="1:61" hidden="1" x14ac:dyDescent="0.3">
      <c r="A52" t="s">
        <v>286</v>
      </c>
      <c r="B52" t="s">
        <v>662</v>
      </c>
      <c r="D52" t="s">
        <v>118</v>
      </c>
      <c r="E52" t="s">
        <v>102</v>
      </c>
      <c r="F52" t="s">
        <v>136</v>
      </c>
      <c r="G52" t="s">
        <v>113</v>
      </c>
      <c r="H52" t="s">
        <v>20</v>
      </c>
      <c r="I52" t="s">
        <v>20</v>
      </c>
      <c r="J52" t="s">
        <v>131</v>
      </c>
      <c r="K52" s="2">
        <v>154250021</v>
      </c>
      <c r="L52" t="s">
        <v>544</v>
      </c>
      <c r="M52" t="s">
        <v>187</v>
      </c>
      <c r="N52" s="8">
        <f>_xlfn.XLOOKUP(Portefeuille_MNT_PPS_Access29[[#This Row],[Numéro projet]], Portefeuille_MNT_PPS_Access20[Numéro projet], Portefeuille_MNT_PPS_Access20[Année DÉBUT Travaux prévu], "")</f>
        <v>2026</v>
      </c>
      <c r="O52">
        <v>2026</v>
      </c>
      <c r="P52">
        <f>Portefeuille_MNT_PPS_Access29[[#This Row],[Année DÉBUT Travaux proposé]]-Portefeuille_MNT_PPS_Access29[[#This Row],[Année DÉBUT Travaux prog actuelle]]</f>
        <v>0</v>
      </c>
      <c r="Q52" t="s">
        <v>123</v>
      </c>
      <c r="R52" s="1">
        <v>45762</v>
      </c>
      <c r="S52" s="1">
        <v>46096</v>
      </c>
      <c r="T52" s="1">
        <v>46096</v>
      </c>
      <c r="U5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5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5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5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5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52">
        <f>Portefeuille_MNT_PPS_Access29[[#This Row],[Délais PC1 et PC3]]+Portefeuille_MNT_PPS_Access29[[#This Row],[Délais PC3 et PC5]]</f>
        <v>11</v>
      </c>
      <c r="AA52">
        <v>1</v>
      </c>
      <c r="AB52">
        <v>1</v>
      </c>
      <c r="AC52">
        <v>3</v>
      </c>
      <c r="AD52" t="s">
        <v>125</v>
      </c>
      <c r="AE52">
        <v>3</v>
      </c>
      <c r="AF52" s="2">
        <f>_xlfn.XLOOKUP(Portefeuille_MNT_PPS_Access29[[#This Row],[Numéro projet]],Portefeuille_MNT_PPS_Access27[Numéro projet],Portefeuille_MNT_PPS_Access27[Critère Etat Infrastructure])</f>
        <v>3</v>
      </c>
      <c r="AG5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49.999999999999993</v>
      </c>
      <c r="AH52" s="221"/>
      <c r="AL52"/>
      <c r="AO52">
        <v>1</v>
      </c>
      <c r="AP52">
        <v>164</v>
      </c>
      <c r="AV52"/>
      <c r="BI52" s="14">
        <f>SUM(Portefeuille_MNT_PPS_Access29[[#This Row],[AC ANT]:[TR 2035]])</f>
        <v>165</v>
      </c>
    </row>
    <row r="53" spans="1:61" hidden="1" x14ac:dyDescent="0.3">
      <c r="A53" t="s">
        <v>286</v>
      </c>
      <c r="D53" t="s">
        <v>126</v>
      </c>
      <c r="E53" t="s">
        <v>127</v>
      </c>
      <c r="F53" t="s">
        <v>200</v>
      </c>
      <c r="G53" t="s">
        <v>252</v>
      </c>
      <c r="H53" t="s">
        <v>20</v>
      </c>
      <c r="I53" t="s">
        <v>20</v>
      </c>
      <c r="J53" t="s">
        <v>131</v>
      </c>
      <c r="K53" s="2">
        <v>154250379</v>
      </c>
      <c r="L53" t="s">
        <v>652</v>
      </c>
      <c r="M53" t="s">
        <v>139</v>
      </c>
      <c r="N53" s="8"/>
      <c r="O53">
        <v>2026</v>
      </c>
      <c r="P53" t="s">
        <v>295</v>
      </c>
      <c r="Q53" t="s">
        <v>291</v>
      </c>
      <c r="R53" s="1"/>
      <c r="S53" s="1"/>
      <c r="T53" s="1"/>
      <c r="U5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5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5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5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5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53">
        <f>Portefeuille_MNT_PPS_Access29[[#This Row],[Délais PC1 et PC3]]+Portefeuille_MNT_PPS_Access29[[#This Row],[Délais PC3 et PC5]]</f>
        <v>0</v>
      </c>
      <c r="AA53">
        <v>1</v>
      </c>
      <c r="AB53">
        <v>1</v>
      </c>
      <c r="AC53">
        <v>3</v>
      </c>
      <c r="AD53" t="s">
        <v>311</v>
      </c>
      <c r="AE53">
        <v>2</v>
      </c>
      <c r="AF53" s="2">
        <f>_xlfn.XLOOKUP(Portefeuille_MNT_PPS_Access29[[#This Row],[Numéro projet]],Portefeuille_MNT_PPS_Access27[Numéro projet],Portefeuille_MNT_PPS_Access27[Critère Etat Infrastructure])</f>
        <v>2</v>
      </c>
      <c r="AG5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53" s="221"/>
      <c r="AL53"/>
      <c r="AP53">
        <v>15</v>
      </c>
      <c r="AV53"/>
      <c r="BI53" s="14">
        <f>SUM(Portefeuille_MNT_PPS_Access29[[#This Row],[AC ANT]:[TR 2035]])</f>
        <v>15</v>
      </c>
    </row>
    <row r="54" spans="1:61" hidden="1" x14ac:dyDescent="0.3">
      <c r="A54" t="s">
        <v>286</v>
      </c>
      <c r="B54" t="s">
        <v>662</v>
      </c>
      <c r="D54" t="s">
        <v>118</v>
      </c>
      <c r="E54" t="s">
        <v>102</v>
      </c>
      <c r="F54" t="s">
        <v>103</v>
      </c>
      <c r="G54" t="s">
        <v>206</v>
      </c>
      <c r="H54" t="s">
        <v>16</v>
      </c>
      <c r="I54" t="s">
        <v>20</v>
      </c>
      <c r="J54" t="s">
        <v>131</v>
      </c>
      <c r="K54" s="2">
        <v>154180768</v>
      </c>
      <c r="L54" t="s">
        <v>211</v>
      </c>
      <c r="M54" t="s">
        <v>209</v>
      </c>
      <c r="N54" s="8">
        <f>_xlfn.XLOOKUP(Portefeuille_MNT_PPS_Access29[[#This Row],[Numéro projet]], Portefeuille_MNT_PPS_Access20[Numéro projet], Portefeuille_MNT_PPS_Access20[Année DÉBUT Travaux prévu], "")</f>
        <v>2028</v>
      </c>
      <c r="O54">
        <v>2028</v>
      </c>
      <c r="P54">
        <f>Portefeuille_MNT_PPS_Access29[[#This Row],[Année DÉBUT Travaux proposé]]-Portefeuille_MNT_PPS_Access29[[#This Row],[Année DÉBUT Travaux prog actuelle]]</f>
        <v>0</v>
      </c>
      <c r="Q54" t="s">
        <v>155</v>
      </c>
      <c r="R54" s="1">
        <v>45976</v>
      </c>
      <c r="S54" s="1">
        <v>46341</v>
      </c>
      <c r="T54" s="1">
        <v>46645</v>
      </c>
      <c r="U5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5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5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5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10</v>
      </c>
      <c r="Z54">
        <f>Portefeuille_MNT_PPS_Access29[[#This Row],[Délais PC1 et PC3]]+Portefeuille_MNT_PPS_Access29[[#This Row],[Délais PC3 et PC5]]</f>
        <v>22</v>
      </c>
      <c r="AB54">
        <v>1</v>
      </c>
      <c r="AC54">
        <v>5</v>
      </c>
      <c r="AD54" t="s">
        <v>156</v>
      </c>
      <c r="AE54">
        <v>3.3333333333333335</v>
      </c>
      <c r="AF54" s="2">
        <f>_xlfn.XLOOKUP(Portefeuille_MNT_PPS_Access29[[#This Row],[Numéro projet]],Portefeuille_MNT_PPS_Access27[Numéro projet],Portefeuille_MNT_PPS_Access27[Critère Etat Infrastructure])</f>
        <v>4</v>
      </c>
      <c r="AG5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54" s="221"/>
      <c r="AI54">
        <v>8</v>
      </c>
      <c r="AL54"/>
      <c r="AM54">
        <v>100</v>
      </c>
      <c r="AO54">
        <v>100</v>
      </c>
      <c r="AQ54">
        <v>100</v>
      </c>
      <c r="AS54">
        <v>250</v>
      </c>
      <c r="AT54">
        <v>7500</v>
      </c>
      <c r="AV54"/>
      <c r="BI54" s="14">
        <f>SUM(Portefeuille_MNT_PPS_Access29[[#This Row],[AC ANT]:[TR 2035]])</f>
        <v>8058</v>
      </c>
    </row>
    <row r="55" spans="1:61" hidden="1" x14ac:dyDescent="0.3">
      <c r="A55" t="s">
        <v>286</v>
      </c>
      <c r="B55" t="s">
        <v>662</v>
      </c>
      <c r="D55" t="s">
        <v>118</v>
      </c>
      <c r="E55" t="s">
        <v>102</v>
      </c>
      <c r="F55" t="s">
        <v>119</v>
      </c>
      <c r="G55" t="s">
        <v>206</v>
      </c>
      <c r="H55" t="s">
        <v>16</v>
      </c>
      <c r="I55" t="s">
        <v>130</v>
      </c>
      <c r="J55" t="s">
        <v>131</v>
      </c>
      <c r="K55" s="2">
        <v>154180745</v>
      </c>
      <c r="L55" t="s">
        <v>208</v>
      </c>
      <c r="M55" t="s">
        <v>209</v>
      </c>
      <c r="N55" s="8">
        <f>_xlfn.XLOOKUP(Portefeuille_MNT_PPS_Access29[[#This Row],[Numéro projet]], Portefeuille_MNT_PPS_Access20[Numéro projet], Portefeuille_MNT_PPS_Access20[Année DÉBUT Travaux prévu], "")</f>
        <v>2027</v>
      </c>
      <c r="O55">
        <v>2027</v>
      </c>
      <c r="P55">
        <f>Portefeuille_MNT_PPS_Access29[[#This Row],[Année DÉBUT Travaux proposé]]-Portefeuille_MNT_PPS_Access29[[#This Row],[Année DÉBUT Travaux prog actuelle]]</f>
        <v>0</v>
      </c>
      <c r="Q55" t="s">
        <v>155</v>
      </c>
      <c r="R55" s="1">
        <v>45976</v>
      </c>
      <c r="S55" s="1">
        <v>46096</v>
      </c>
      <c r="T55" s="1">
        <v>46280</v>
      </c>
      <c r="U5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5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5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</v>
      </c>
      <c r="Y5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6</v>
      </c>
      <c r="Z55">
        <f>Portefeuille_MNT_PPS_Access29[[#This Row],[Délais PC1 et PC3]]+Portefeuille_MNT_PPS_Access29[[#This Row],[Délais PC3 et PC5]]</f>
        <v>10</v>
      </c>
      <c r="AB55">
        <v>1</v>
      </c>
      <c r="AC55">
        <v>3</v>
      </c>
      <c r="AD55" t="s">
        <v>156</v>
      </c>
      <c r="AE55">
        <v>3.3333333333333335</v>
      </c>
      <c r="AF55" s="2">
        <f>_xlfn.XLOOKUP(Portefeuille_MNT_PPS_Access29[[#This Row],[Numéro projet]],Portefeuille_MNT_PPS_Access27[Numéro projet],Portefeuille_MNT_PPS_Access27[Critère Etat Infrastructure])</f>
        <v>3</v>
      </c>
      <c r="AG5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51.666666666666671</v>
      </c>
      <c r="AH55" s="221"/>
      <c r="AI55">
        <v>196</v>
      </c>
      <c r="AL55"/>
      <c r="AM55">
        <v>40</v>
      </c>
      <c r="AO55">
        <v>255</v>
      </c>
      <c r="AQ55">
        <v>396</v>
      </c>
      <c r="AR55">
        <v>1500</v>
      </c>
      <c r="AV55"/>
      <c r="BI55" s="14">
        <f>SUM(Portefeuille_MNT_PPS_Access29[[#This Row],[AC ANT]:[TR 2035]])</f>
        <v>2387</v>
      </c>
    </row>
    <row r="56" spans="1:61" hidden="1" x14ac:dyDescent="0.3">
      <c r="A56" t="s">
        <v>286</v>
      </c>
      <c r="B56" t="s">
        <v>662</v>
      </c>
      <c r="D56" t="s">
        <v>118</v>
      </c>
      <c r="E56" t="s">
        <v>102</v>
      </c>
      <c r="F56" t="s">
        <v>177</v>
      </c>
      <c r="G56" t="s">
        <v>113</v>
      </c>
      <c r="H56" t="s">
        <v>20</v>
      </c>
      <c r="I56" t="s">
        <v>20</v>
      </c>
      <c r="J56" t="s">
        <v>131</v>
      </c>
      <c r="K56" s="2">
        <v>154240709</v>
      </c>
      <c r="L56" t="s">
        <v>512</v>
      </c>
      <c r="M56" t="s">
        <v>187</v>
      </c>
      <c r="N56" s="8">
        <f>_xlfn.XLOOKUP(Portefeuille_MNT_PPS_Access29[[#This Row],[Numéro projet]], Portefeuille_MNT_PPS_Access20[Numéro projet], Portefeuille_MNT_PPS_Access20[Année DÉBUT Travaux prévu], "")</f>
        <v>2028</v>
      </c>
      <c r="O56">
        <v>2028</v>
      </c>
      <c r="P56">
        <f>Portefeuille_MNT_PPS_Access29[[#This Row],[Année DÉBUT Travaux proposé]]-Portefeuille_MNT_PPS_Access29[[#This Row],[Année DÉBUT Travaux prog actuelle]]</f>
        <v>0</v>
      </c>
      <c r="Q56" t="s">
        <v>155</v>
      </c>
      <c r="R56" s="1">
        <v>46006</v>
      </c>
      <c r="S56" s="1">
        <v>46341</v>
      </c>
      <c r="T56" s="1">
        <v>46706</v>
      </c>
      <c r="U5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5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5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5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56">
        <f>Portefeuille_MNT_PPS_Access29[[#This Row],[Délais PC1 et PC3]]+Portefeuille_MNT_PPS_Access29[[#This Row],[Délais PC3 et PC5]]</f>
        <v>23</v>
      </c>
      <c r="AB56">
        <v>1</v>
      </c>
      <c r="AC56">
        <v>5</v>
      </c>
      <c r="AD56" t="s">
        <v>156</v>
      </c>
      <c r="AE56">
        <v>3</v>
      </c>
      <c r="AF56" s="2">
        <f>_xlfn.XLOOKUP(Portefeuille_MNT_PPS_Access29[[#This Row],[Numéro projet]],Portefeuille_MNT_PPS_Access27[Numéro projet],Portefeuille_MNT_PPS_Access27[Critère Etat Infrastructure])</f>
        <v>5</v>
      </c>
      <c r="AG5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70</v>
      </c>
      <c r="AH56" s="221"/>
      <c r="AL56"/>
      <c r="AO56">
        <v>75</v>
      </c>
      <c r="AQ56">
        <v>75</v>
      </c>
      <c r="AS56">
        <v>150</v>
      </c>
      <c r="AT56">
        <v>1000</v>
      </c>
      <c r="AV56"/>
      <c r="BI56" s="14">
        <f>SUM(Portefeuille_MNT_PPS_Access29[[#This Row],[AC ANT]:[TR 2035]])</f>
        <v>1300</v>
      </c>
    </row>
    <row r="57" spans="1:61" hidden="1" x14ac:dyDescent="0.3">
      <c r="A57" t="s">
        <v>286</v>
      </c>
      <c r="B57" t="s">
        <v>662</v>
      </c>
      <c r="D57" t="s">
        <v>118</v>
      </c>
      <c r="E57" t="s">
        <v>102</v>
      </c>
      <c r="F57" t="s">
        <v>103</v>
      </c>
      <c r="G57" t="s">
        <v>149</v>
      </c>
      <c r="H57" t="s">
        <v>20</v>
      </c>
      <c r="I57" t="s">
        <v>20</v>
      </c>
      <c r="J57" t="s">
        <v>131</v>
      </c>
      <c r="K57" s="2">
        <v>154220351</v>
      </c>
      <c r="L57" t="s">
        <v>397</v>
      </c>
      <c r="M57" t="s">
        <v>194</v>
      </c>
      <c r="N57" s="229">
        <f>_xlfn.XLOOKUP(Portefeuille_MNT_PPS_Access29[[#This Row],[Numéro projet]], Portefeuille_MNT_PPS_Access20[Numéro projet], Portefeuille_MNT_PPS_Access20[Année DÉBUT Travaux prévu], "")</f>
        <v>2028</v>
      </c>
      <c r="O57" s="227">
        <v>2029</v>
      </c>
      <c r="P57">
        <f>Portefeuille_MNT_PPS_Access29[[#This Row],[Année DÉBUT Travaux proposé]]-Portefeuille_MNT_PPS_Access29[[#This Row],[Année DÉBUT Travaux prog actuelle]]</f>
        <v>1</v>
      </c>
      <c r="Q57" t="s">
        <v>155</v>
      </c>
      <c r="R57" s="1">
        <v>46280</v>
      </c>
      <c r="S57" s="1">
        <v>46645</v>
      </c>
      <c r="T57" s="1">
        <v>47011</v>
      </c>
      <c r="U5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5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5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5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5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57">
        <f>Portefeuille_MNT_PPS_Access29[[#This Row],[Délais PC1 et PC3]]+Portefeuille_MNT_PPS_Access29[[#This Row],[Délais PC3 et PC5]]</f>
        <v>24</v>
      </c>
      <c r="AB57">
        <v>1</v>
      </c>
      <c r="AD57" t="s">
        <v>156</v>
      </c>
      <c r="AE57">
        <v>3.3333333333333335</v>
      </c>
      <c r="AF57" s="2">
        <f>_xlfn.XLOOKUP(Portefeuille_MNT_PPS_Access29[[#This Row],[Numéro projet]],Portefeuille_MNT_PPS_Access27[Numéro projet],Portefeuille_MNT_PPS_Access27[Critère Etat Infrastructure])</f>
        <v>4</v>
      </c>
      <c r="AG5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57" s="221"/>
      <c r="AL57"/>
      <c r="AO57">
        <v>75</v>
      </c>
      <c r="AQ57">
        <v>75</v>
      </c>
      <c r="AS57">
        <v>250</v>
      </c>
      <c r="AU57">
        <v>600</v>
      </c>
      <c r="AV57">
        <v>10500</v>
      </c>
      <c r="BI57" s="14">
        <f>SUM(Portefeuille_MNT_PPS_Access29[[#This Row],[AC ANT]:[TR 2035]])</f>
        <v>11500</v>
      </c>
    </row>
    <row r="58" spans="1:61" hidden="1" x14ac:dyDescent="0.3">
      <c r="A58" t="s">
        <v>286</v>
      </c>
      <c r="B58" t="s">
        <v>663</v>
      </c>
      <c r="D58" t="s">
        <v>101</v>
      </c>
      <c r="E58" t="s">
        <v>102</v>
      </c>
      <c r="F58" t="s">
        <v>136</v>
      </c>
      <c r="G58" t="s">
        <v>149</v>
      </c>
      <c r="H58" t="s">
        <v>20</v>
      </c>
      <c r="I58" t="s">
        <v>20</v>
      </c>
      <c r="J58" t="s">
        <v>131</v>
      </c>
      <c r="K58" s="2">
        <v>154220313</v>
      </c>
      <c r="L58" t="s">
        <v>382</v>
      </c>
      <c r="M58" t="s">
        <v>194</v>
      </c>
      <c r="N58" s="8">
        <f>_xlfn.XLOOKUP(Portefeuille_MNT_PPS_Access29[[#This Row],[Numéro projet]], Portefeuille_MNT_PPS_Access20[Numéro projet], Portefeuille_MNT_PPS_Access20[Année DÉBUT Travaux prévu], "")</f>
        <v>2027</v>
      </c>
      <c r="O58">
        <v>2027</v>
      </c>
      <c r="P58">
        <f>Portefeuille_MNT_PPS_Access29[[#This Row],[Année DÉBUT Travaux proposé]]-Portefeuille_MNT_PPS_Access29[[#This Row],[Année DÉBUT Travaux prog actuelle]]</f>
        <v>0</v>
      </c>
      <c r="Q58" t="s">
        <v>291</v>
      </c>
      <c r="R58" s="1"/>
      <c r="S58" s="1"/>
      <c r="T58" s="1"/>
      <c r="U5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5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5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5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5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58">
        <f>Portefeuille_MNT_PPS_Access29[[#This Row],[Délais PC1 et PC3]]+Portefeuille_MNT_PPS_Access29[[#This Row],[Délais PC3 et PC5]]</f>
        <v>0</v>
      </c>
      <c r="AB58">
        <v>1</v>
      </c>
      <c r="AC58">
        <v>3</v>
      </c>
      <c r="AD58" t="s">
        <v>311</v>
      </c>
      <c r="AE58">
        <v>3.3333333333333335</v>
      </c>
      <c r="AF58" s="2">
        <f>_xlfn.XLOOKUP(Portefeuille_MNT_PPS_Access29[[#This Row],[Numéro projet]],Portefeuille_MNT_PPS_Access27[Numéro projet],Portefeuille_MNT_PPS_Access27[Critère Etat Infrastructure])</f>
        <v>5</v>
      </c>
      <c r="AG5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61.666666666666671</v>
      </c>
      <c r="AH58" s="221"/>
      <c r="AL58"/>
      <c r="AO58">
        <v>50</v>
      </c>
      <c r="AQ58">
        <v>50</v>
      </c>
      <c r="AR58">
        <v>250</v>
      </c>
      <c r="AV58"/>
      <c r="BI58" s="14">
        <f>SUM(Portefeuille_MNT_PPS_Access29[[#This Row],[AC ANT]:[TR 2035]])</f>
        <v>350</v>
      </c>
    </row>
    <row r="59" spans="1:61" hidden="1" x14ac:dyDescent="0.3">
      <c r="A59" t="s">
        <v>11</v>
      </c>
      <c r="D59" t="s">
        <v>118</v>
      </c>
      <c r="E59" t="s">
        <v>102</v>
      </c>
      <c r="F59" t="s">
        <v>177</v>
      </c>
      <c r="G59" t="s">
        <v>252</v>
      </c>
      <c r="H59" t="s">
        <v>20</v>
      </c>
      <c r="I59" t="s">
        <v>20</v>
      </c>
      <c r="J59" t="s">
        <v>131</v>
      </c>
      <c r="K59" s="2">
        <v>154240494</v>
      </c>
      <c r="L59" t="s">
        <v>449</v>
      </c>
      <c r="M59" t="s">
        <v>159</v>
      </c>
      <c r="N59" s="229">
        <f>_xlfn.XLOOKUP(Portefeuille_MNT_PPS_Access29[[#This Row],[Numéro projet]], Portefeuille_MNT_PPS_Access20[Numéro projet], Portefeuille_MNT_PPS_Access20[Année DÉBUT Travaux prévu], "")</f>
        <v>2026</v>
      </c>
      <c r="O59" s="227">
        <v>2027</v>
      </c>
      <c r="P59">
        <f>Portefeuille_MNT_PPS_Access29[[#This Row],[Année DÉBUT Travaux proposé]]-Portefeuille_MNT_PPS_Access29[[#This Row],[Année DÉBUT Travaux prog actuelle]]</f>
        <v>1</v>
      </c>
      <c r="Q59" t="s">
        <v>291</v>
      </c>
      <c r="R59" s="1"/>
      <c r="S59" s="1"/>
      <c r="T59" s="1"/>
      <c r="U5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5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5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5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5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59">
        <f>Portefeuille_MNT_PPS_Access29[[#This Row],[Délais PC1 et PC3]]+Portefeuille_MNT_PPS_Access29[[#This Row],[Délais PC3 et PC5]]</f>
        <v>0</v>
      </c>
      <c r="AB59">
        <v>1</v>
      </c>
      <c r="AC59">
        <v>3</v>
      </c>
      <c r="AD59" t="s">
        <v>311</v>
      </c>
      <c r="AE59">
        <v>4.333333333333333</v>
      </c>
      <c r="AF59" s="2">
        <f>_xlfn.XLOOKUP(Portefeuille_MNT_PPS_Access29[[#This Row],[Numéro projet]],Portefeuille_MNT_PPS_Access27[Numéro projet],Portefeuille_MNT_PPS_Access27[Critère Etat Infrastructure])</f>
        <v>4</v>
      </c>
      <c r="AG5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61.666666666666671</v>
      </c>
      <c r="AH59" s="221"/>
      <c r="AL59"/>
      <c r="AR59">
        <v>100</v>
      </c>
      <c r="AV59"/>
      <c r="BI59" s="14">
        <f>SUM(Portefeuille_MNT_PPS_Access29[[#This Row],[AC ANT]:[TR 2035]])</f>
        <v>100</v>
      </c>
    </row>
    <row r="60" spans="1:61" hidden="1" x14ac:dyDescent="0.3">
      <c r="A60" t="s">
        <v>286</v>
      </c>
      <c r="B60" t="s">
        <v>662</v>
      </c>
      <c r="D60" t="s">
        <v>118</v>
      </c>
      <c r="E60" t="s">
        <v>102</v>
      </c>
      <c r="F60" t="s">
        <v>103</v>
      </c>
      <c r="G60" t="s">
        <v>113</v>
      </c>
      <c r="H60" t="s">
        <v>20</v>
      </c>
      <c r="I60" t="s">
        <v>20</v>
      </c>
      <c r="J60" t="s">
        <v>105</v>
      </c>
      <c r="K60" s="2">
        <v>154220487</v>
      </c>
      <c r="L60" t="s">
        <v>527</v>
      </c>
      <c r="M60" t="s">
        <v>122</v>
      </c>
      <c r="N60" s="8">
        <f>_xlfn.XLOOKUP(Portefeuille_MNT_PPS_Access29[[#This Row],[Numéro projet]], Portefeuille_MNT_PPS_Access20[Numéro projet], Portefeuille_MNT_PPS_Access20[Année DÉBUT Travaux prévu], "")</f>
        <v>2029</v>
      </c>
      <c r="O60">
        <v>2029</v>
      </c>
      <c r="P60">
        <f>Portefeuille_MNT_PPS_Access29[[#This Row],[Année DÉBUT Travaux proposé]]-Portefeuille_MNT_PPS_Access29[[#This Row],[Année DÉBUT Travaux prog actuelle]]</f>
        <v>0</v>
      </c>
      <c r="Q60" t="s">
        <v>155</v>
      </c>
      <c r="R60" s="1">
        <v>46249</v>
      </c>
      <c r="S60" s="1">
        <v>46675</v>
      </c>
      <c r="T60" s="1">
        <v>47041</v>
      </c>
      <c r="U6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6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6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</v>
      </c>
      <c r="Y6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60">
        <f>Portefeuille_MNT_PPS_Access29[[#This Row],[Délais PC1 et PC3]]+Portefeuille_MNT_PPS_Access29[[#This Row],[Délais PC3 et PC5]]</f>
        <v>26</v>
      </c>
      <c r="AB60">
        <v>1</v>
      </c>
      <c r="AD60" t="s">
        <v>156</v>
      </c>
      <c r="AE60">
        <v>4</v>
      </c>
      <c r="AF60" s="2">
        <f>_xlfn.XLOOKUP(Portefeuille_MNT_PPS_Access29[[#This Row],[Numéro projet]],Portefeuille_MNT_PPS_Access27[Numéro projet],Portefeuille_MNT_PPS_Access27[Critère Etat Infrastructure])</f>
        <v>3</v>
      </c>
      <c r="AG6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60" s="221"/>
      <c r="AL60"/>
      <c r="AQ60">
        <v>100</v>
      </c>
      <c r="AS60">
        <v>150</v>
      </c>
      <c r="AU60">
        <v>500</v>
      </c>
      <c r="AV60">
        <v>7000</v>
      </c>
      <c r="BI60" s="14">
        <f>SUM(Portefeuille_MNT_PPS_Access29[[#This Row],[AC ANT]:[TR 2035]])</f>
        <v>7750</v>
      </c>
    </row>
    <row r="61" spans="1:61" hidden="1" x14ac:dyDescent="0.3">
      <c r="A61" t="s">
        <v>286</v>
      </c>
      <c r="B61" t="s">
        <v>662</v>
      </c>
      <c r="D61" t="s">
        <v>118</v>
      </c>
      <c r="E61" t="s">
        <v>102</v>
      </c>
      <c r="F61" t="s">
        <v>136</v>
      </c>
      <c r="G61" t="s">
        <v>104</v>
      </c>
      <c r="H61" t="s">
        <v>16</v>
      </c>
      <c r="I61" t="s">
        <v>20</v>
      </c>
      <c r="J61" t="s">
        <v>105</v>
      </c>
      <c r="K61" s="2">
        <v>154240757</v>
      </c>
      <c r="L61" t="s">
        <v>519</v>
      </c>
      <c r="M61" t="s">
        <v>143</v>
      </c>
      <c r="N61" s="8">
        <f>_xlfn.XLOOKUP(Portefeuille_MNT_PPS_Access29[[#This Row],[Numéro projet]], Portefeuille_MNT_PPS_Access20[Numéro projet], Portefeuille_MNT_PPS_Access20[Année DÉBUT Travaux prévu], "")</f>
        <v>2027</v>
      </c>
      <c r="O61">
        <v>2027</v>
      </c>
      <c r="P61">
        <f>Portefeuille_MNT_PPS_Access29[[#This Row],[Année DÉBUT Travaux proposé]]-Portefeuille_MNT_PPS_Access29[[#This Row],[Année DÉBUT Travaux prog actuelle]]</f>
        <v>0</v>
      </c>
      <c r="Q61" t="s">
        <v>155</v>
      </c>
      <c r="R61" s="1">
        <v>46127</v>
      </c>
      <c r="S61" s="1"/>
      <c r="T61" s="1"/>
      <c r="U6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6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6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6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-1515</v>
      </c>
      <c r="Y6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61">
        <f>Portefeuille_MNT_PPS_Access29[[#This Row],[Délais PC1 et PC3]]+Portefeuille_MNT_PPS_Access29[[#This Row],[Délais PC3 et PC5]]</f>
        <v>-1515</v>
      </c>
      <c r="AB61">
        <v>1</v>
      </c>
      <c r="AC61">
        <v>3</v>
      </c>
      <c r="AD61" t="s">
        <v>156</v>
      </c>
      <c r="AE61">
        <v>4.333333333333333</v>
      </c>
      <c r="AF61" s="2">
        <f>_xlfn.XLOOKUP(Portefeuille_MNT_PPS_Access29[[#This Row],[Numéro projet]],Portefeuille_MNT_PPS_Access27[Numéro projet],Portefeuille_MNT_PPS_Access27[Critère Etat Infrastructure])</f>
        <v>5</v>
      </c>
      <c r="AG6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61" s="221"/>
      <c r="AL61"/>
      <c r="AM61">
        <v>25</v>
      </c>
      <c r="AO61">
        <v>25</v>
      </c>
      <c r="AR61">
        <v>150</v>
      </c>
      <c r="AV61"/>
      <c r="BI61" s="14">
        <f>SUM(Portefeuille_MNT_PPS_Access29[[#This Row],[AC ANT]:[TR 2035]])</f>
        <v>200</v>
      </c>
    </row>
    <row r="62" spans="1:61" hidden="1" x14ac:dyDescent="0.3">
      <c r="A62" t="s">
        <v>11</v>
      </c>
      <c r="D62" t="s">
        <v>118</v>
      </c>
      <c r="E62" t="s">
        <v>102</v>
      </c>
      <c r="F62" t="s">
        <v>103</v>
      </c>
      <c r="G62" t="s">
        <v>252</v>
      </c>
      <c r="H62" t="s">
        <v>20</v>
      </c>
      <c r="I62" t="s">
        <v>20</v>
      </c>
      <c r="J62" t="s">
        <v>131</v>
      </c>
      <c r="K62" s="2">
        <v>154250200</v>
      </c>
      <c r="L62" t="s">
        <v>607</v>
      </c>
      <c r="M62" t="s">
        <v>180</v>
      </c>
      <c r="N62" s="8"/>
      <c r="O62">
        <v>2027</v>
      </c>
      <c r="P62" t="s">
        <v>295</v>
      </c>
      <c r="Q62" t="s">
        <v>291</v>
      </c>
      <c r="R62" s="1"/>
      <c r="S62" s="1"/>
      <c r="T62" s="1"/>
      <c r="U6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6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6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6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6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62">
        <f>Portefeuille_MNT_PPS_Access29[[#This Row],[Délais PC1 et PC3]]+Portefeuille_MNT_PPS_Access29[[#This Row],[Délais PC3 et PC5]]</f>
        <v>0</v>
      </c>
      <c r="AB62">
        <v>1</v>
      </c>
      <c r="AC62">
        <v>3</v>
      </c>
      <c r="AD62" t="s">
        <v>311</v>
      </c>
      <c r="AE62">
        <v>3</v>
      </c>
      <c r="AF62" s="2">
        <f>_xlfn.XLOOKUP(Portefeuille_MNT_PPS_Access29[[#This Row],[Numéro projet]],Portefeuille_MNT_PPS_Access27[Numéro projet],Portefeuille_MNT_PPS_Access27[Critère Etat Infrastructure])</f>
        <v>3</v>
      </c>
      <c r="AG6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49.999999999999993</v>
      </c>
      <c r="AH62" s="221"/>
      <c r="AL62"/>
      <c r="AR62">
        <v>300</v>
      </c>
      <c r="AV62"/>
      <c r="BI62" s="14">
        <f>SUM(Portefeuille_MNT_PPS_Access29[[#This Row],[AC ANT]:[TR 2035]])</f>
        <v>300</v>
      </c>
    </row>
    <row r="63" spans="1:61" hidden="1" x14ac:dyDescent="0.3">
      <c r="A63" t="s">
        <v>11</v>
      </c>
      <c r="D63" t="s">
        <v>118</v>
      </c>
      <c r="E63" t="s">
        <v>102</v>
      </c>
      <c r="F63" t="s">
        <v>103</v>
      </c>
      <c r="G63" t="s">
        <v>252</v>
      </c>
      <c r="H63" t="s">
        <v>20</v>
      </c>
      <c r="I63" t="s">
        <v>20</v>
      </c>
      <c r="J63" t="s">
        <v>131</v>
      </c>
      <c r="K63" s="2">
        <v>154250377</v>
      </c>
      <c r="L63" t="s">
        <v>648</v>
      </c>
      <c r="M63" t="s">
        <v>147</v>
      </c>
      <c r="N63" s="8"/>
      <c r="O63">
        <v>2027</v>
      </c>
      <c r="P63" t="s">
        <v>295</v>
      </c>
      <c r="Q63" t="s">
        <v>291</v>
      </c>
      <c r="R63" s="1"/>
      <c r="S63" s="1"/>
      <c r="T63" s="1"/>
      <c r="U6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6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6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6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6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63">
        <f>Portefeuille_MNT_PPS_Access29[[#This Row],[Délais PC1 et PC3]]+Portefeuille_MNT_PPS_Access29[[#This Row],[Délais PC3 et PC5]]</f>
        <v>0</v>
      </c>
      <c r="AB63">
        <v>1</v>
      </c>
      <c r="AC63">
        <v>3</v>
      </c>
      <c r="AD63" t="s">
        <v>311</v>
      </c>
      <c r="AE63">
        <v>2.6666666666666665</v>
      </c>
      <c r="AF63" s="2">
        <f>_xlfn.XLOOKUP(Portefeuille_MNT_PPS_Access29[[#This Row],[Numéro projet]],Portefeuille_MNT_PPS_Access27[Numéro projet],Portefeuille_MNT_PPS_Access27[Critère Etat Infrastructure])</f>
        <v>4</v>
      </c>
      <c r="AG6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53.333333333333336</v>
      </c>
      <c r="AH63" s="221"/>
      <c r="AL63"/>
      <c r="AR63">
        <v>10</v>
      </c>
      <c r="AV63"/>
      <c r="BI63" s="14">
        <f>SUM(Portefeuille_MNT_PPS_Access29[[#This Row],[AC ANT]:[TR 2035]])</f>
        <v>10</v>
      </c>
    </row>
    <row r="64" spans="1:61" hidden="1" x14ac:dyDescent="0.3">
      <c r="A64" t="s">
        <v>11</v>
      </c>
      <c r="D64" t="s">
        <v>118</v>
      </c>
      <c r="E64" t="s">
        <v>102</v>
      </c>
      <c r="F64" t="s">
        <v>242</v>
      </c>
      <c r="G64" t="s">
        <v>252</v>
      </c>
      <c r="H64" t="s">
        <v>20</v>
      </c>
      <c r="I64" t="s">
        <v>20</v>
      </c>
      <c r="J64" t="s">
        <v>131</v>
      </c>
      <c r="K64" s="2">
        <v>154250378</v>
      </c>
      <c r="L64" t="s">
        <v>650</v>
      </c>
      <c r="M64" t="s">
        <v>414</v>
      </c>
      <c r="N64" s="8"/>
      <c r="O64">
        <v>2027</v>
      </c>
      <c r="P64" t="s">
        <v>295</v>
      </c>
      <c r="Q64" t="s">
        <v>291</v>
      </c>
      <c r="R64" s="1"/>
      <c r="S64" s="1"/>
      <c r="T64" s="1"/>
      <c r="U6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6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6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6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6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64">
        <f>Portefeuille_MNT_PPS_Access29[[#This Row],[Délais PC1 et PC3]]+Portefeuille_MNT_PPS_Access29[[#This Row],[Délais PC3 et PC5]]</f>
        <v>0</v>
      </c>
      <c r="AB64">
        <v>1</v>
      </c>
      <c r="AC64">
        <v>3</v>
      </c>
      <c r="AD64" t="s">
        <v>311</v>
      </c>
      <c r="AE64">
        <v>1</v>
      </c>
      <c r="AF64" s="2">
        <f>_xlfn.XLOOKUP(Portefeuille_MNT_PPS_Access29[[#This Row],[Numéro projet]],Portefeuille_MNT_PPS_Access27[Numéro projet],Portefeuille_MNT_PPS_Access27[Critère Etat Infrastructure])</f>
        <v>3</v>
      </c>
      <c r="AG6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64" s="221"/>
      <c r="AL64"/>
      <c r="AR64">
        <v>100</v>
      </c>
      <c r="AV64"/>
      <c r="BI64" s="14">
        <f>SUM(Portefeuille_MNT_PPS_Access29[[#This Row],[AC ANT]:[TR 2035]])</f>
        <v>100</v>
      </c>
    </row>
    <row r="65" spans="1:61" hidden="1" x14ac:dyDescent="0.3">
      <c r="A65" t="s">
        <v>286</v>
      </c>
      <c r="B65" t="s">
        <v>664</v>
      </c>
      <c r="D65" t="s">
        <v>101</v>
      </c>
      <c r="E65" t="s">
        <v>102</v>
      </c>
      <c r="F65" t="s">
        <v>103</v>
      </c>
      <c r="G65" t="s">
        <v>149</v>
      </c>
      <c r="H65" t="s">
        <v>16</v>
      </c>
      <c r="I65" t="s">
        <v>20</v>
      </c>
      <c r="J65" t="s">
        <v>105</v>
      </c>
      <c r="K65" s="2">
        <v>154190684</v>
      </c>
      <c r="L65" t="s">
        <v>510</v>
      </c>
      <c r="M65" t="s">
        <v>205</v>
      </c>
      <c r="N65" s="8">
        <f>_xlfn.XLOOKUP(Portefeuille_MNT_PPS_Access29[[#This Row],[Numéro projet]], Portefeuille_MNT_PPS_Access20[Numéro projet], Portefeuille_MNT_PPS_Access20[Année DÉBUT Travaux prévu], "")</f>
        <v>2027</v>
      </c>
      <c r="O65">
        <v>2027</v>
      </c>
      <c r="P65">
        <f>Portefeuille_MNT_PPS_Access29[[#This Row],[Année DÉBUT Travaux proposé]]-Portefeuille_MNT_PPS_Access29[[#This Row],[Année DÉBUT Travaux prog actuelle]]</f>
        <v>0</v>
      </c>
      <c r="Q65" t="s">
        <v>110</v>
      </c>
      <c r="R65" s="1">
        <v>45706</v>
      </c>
      <c r="S65" s="1">
        <v>46055</v>
      </c>
      <c r="T65" s="1">
        <v>46273</v>
      </c>
      <c r="U6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3.À risque</v>
      </c>
      <c r="V6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6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6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7</v>
      </c>
      <c r="Z65">
        <f>Portefeuille_MNT_PPS_Access29[[#This Row],[Délais PC1 et PC3]]+Portefeuille_MNT_PPS_Access29[[#This Row],[Délais PC3 et PC5]]</f>
        <v>19</v>
      </c>
      <c r="AB65">
        <v>1</v>
      </c>
      <c r="AC65">
        <v>3</v>
      </c>
      <c r="AD65" t="s">
        <v>112</v>
      </c>
      <c r="AE65">
        <v>3</v>
      </c>
      <c r="AF65" s="2">
        <f>_xlfn.XLOOKUP(Portefeuille_MNT_PPS_Access29[[#This Row],[Numéro projet]],Portefeuille_MNT_PPS_Access27[Numéro projet],Portefeuille_MNT_PPS_Access27[Critère Etat Infrastructure])</f>
        <v>4</v>
      </c>
      <c r="AG6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55.000000000000007</v>
      </c>
      <c r="AH65" s="221"/>
      <c r="AL65"/>
      <c r="AM65">
        <v>90</v>
      </c>
      <c r="AO65">
        <v>200</v>
      </c>
      <c r="AQ65">
        <v>970</v>
      </c>
      <c r="AR65">
        <v>13608</v>
      </c>
      <c r="AV65"/>
      <c r="BI65" s="14">
        <f>SUM(Portefeuille_MNT_PPS_Access29[[#This Row],[AC ANT]:[TR 2035]])</f>
        <v>14868</v>
      </c>
    </row>
    <row r="66" spans="1:61" hidden="1" x14ac:dyDescent="0.3">
      <c r="A66" t="s">
        <v>286</v>
      </c>
      <c r="B66" t="s">
        <v>664</v>
      </c>
      <c r="D66" t="s">
        <v>101</v>
      </c>
      <c r="E66" t="s">
        <v>102</v>
      </c>
      <c r="F66" t="s">
        <v>103</v>
      </c>
      <c r="G66" t="s">
        <v>129</v>
      </c>
      <c r="H66" t="s">
        <v>20</v>
      </c>
      <c r="I66" t="s">
        <v>20</v>
      </c>
      <c r="J66" t="s">
        <v>105</v>
      </c>
      <c r="K66" s="2">
        <v>154190687</v>
      </c>
      <c r="L66" s="86" t="s">
        <v>401</v>
      </c>
      <c r="M66" s="86" t="s">
        <v>402</v>
      </c>
      <c r="N66" s="229">
        <f>_xlfn.XLOOKUP(Portefeuille_MNT_PPS_Access29[[#This Row],[Numéro projet]], Portefeuille_MNT_PPS_Access20[Numéro projet], Portefeuille_MNT_PPS_Access20[Année DÉBUT Travaux prévu], "")</f>
        <v>2028</v>
      </c>
      <c r="O66" s="227">
        <v>2029</v>
      </c>
      <c r="P66">
        <f>Portefeuille_MNT_PPS_Access29[[#This Row],[Année DÉBUT Travaux proposé]]-Portefeuille_MNT_PPS_Access29[[#This Row],[Année DÉBUT Travaux prog actuelle]]</f>
        <v>1</v>
      </c>
      <c r="Q66" t="s">
        <v>155</v>
      </c>
      <c r="R66" s="1">
        <v>46002</v>
      </c>
      <c r="S66" s="1">
        <v>46461</v>
      </c>
      <c r="T66" s="1">
        <v>46794</v>
      </c>
      <c r="U6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6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6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15</v>
      </c>
      <c r="Y6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11</v>
      </c>
      <c r="Z66">
        <f>Portefeuille_MNT_PPS_Access29[[#This Row],[Délais PC1 et PC3]]+Portefeuille_MNT_PPS_Access29[[#This Row],[Délais PC3 et PC5]]</f>
        <v>26</v>
      </c>
      <c r="AB66">
        <v>1</v>
      </c>
      <c r="AD66" t="s">
        <v>156</v>
      </c>
      <c r="AE66">
        <v>2.6666666666666665</v>
      </c>
      <c r="AF66" s="2">
        <f>_xlfn.XLOOKUP(Portefeuille_MNT_PPS_Access29[[#This Row],[Numéro projet]],Portefeuille_MNT_PPS_Access27[Numéro projet],Portefeuille_MNT_PPS_Access27[Critère Etat Infrastructure])</f>
        <v>4</v>
      </c>
      <c r="AG6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43.333333333333329</v>
      </c>
      <c r="AH66" s="221"/>
      <c r="AL66"/>
      <c r="AQ66">
        <v>200</v>
      </c>
      <c r="AS66">
        <v>200</v>
      </c>
      <c r="AU66">
        <v>800</v>
      </c>
      <c r="AV66">
        <v>16000</v>
      </c>
      <c r="BI66" s="14">
        <f>SUM(Portefeuille_MNT_PPS_Access29[[#This Row],[AC ANT]:[TR 2035]])</f>
        <v>17200</v>
      </c>
    </row>
    <row r="67" spans="1:61" hidden="1" x14ac:dyDescent="0.3">
      <c r="A67" t="s">
        <v>286</v>
      </c>
      <c r="B67" t="s">
        <v>664</v>
      </c>
      <c r="D67" t="s">
        <v>101</v>
      </c>
      <c r="E67" t="s">
        <v>102</v>
      </c>
      <c r="F67" t="s">
        <v>103</v>
      </c>
      <c r="G67" t="s">
        <v>149</v>
      </c>
      <c r="H67" t="s">
        <v>16</v>
      </c>
      <c r="I67" t="s">
        <v>20</v>
      </c>
      <c r="J67" t="s">
        <v>105</v>
      </c>
      <c r="K67" s="2">
        <v>154190686</v>
      </c>
      <c r="L67" t="s">
        <v>665</v>
      </c>
      <c r="M67" t="s">
        <v>239</v>
      </c>
      <c r="N67" s="8">
        <f>_xlfn.XLOOKUP(Portefeuille_MNT_PPS_Access29[[#This Row],[Numéro projet]], Portefeuille_MNT_PPS_Access20[Numéro projet], Portefeuille_MNT_PPS_Access20[Année DÉBUT Travaux prévu], "")</f>
        <v>2027</v>
      </c>
      <c r="O67">
        <v>2027</v>
      </c>
      <c r="P67">
        <f>Portefeuille_MNT_PPS_Access29[[#This Row],[Année DÉBUT Travaux proposé]]-Portefeuille_MNT_PPS_Access29[[#This Row],[Année DÉBUT Travaux prog actuelle]]</f>
        <v>0</v>
      </c>
      <c r="Q67" t="s">
        <v>110</v>
      </c>
      <c r="R67" s="1">
        <v>45915</v>
      </c>
      <c r="S67" s="1">
        <v>46037</v>
      </c>
      <c r="T67" s="1">
        <v>46310</v>
      </c>
      <c r="U6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6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6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</v>
      </c>
      <c r="Y6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67">
        <f>Portefeuille_MNT_PPS_Access29[[#This Row],[Délais PC1 et PC3]]+Portefeuille_MNT_PPS_Access29[[#This Row],[Délais PC3 et PC5]]</f>
        <v>13</v>
      </c>
      <c r="AB67">
        <v>1</v>
      </c>
      <c r="AC67">
        <v>3</v>
      </c>
      <c r="AD67" t="s">
        <v>112</v>
      </c>
      <c r="AE67">
        <v>3.3333333333333335</v>
      </c>
      <c r="AF67" s="2">
        <f>_xlfn.XLOOKUP(Portefeuille_MNT_PPS_Access29[[#This Row],[Numéro projet]],Portefeuille_MNT_PPS_Access27[Numéro projet],Portefeuille_MNT_PPS_Access27[Critère Etat Infrastructure])</f>
        <v>4</v>
      </c>
      <c r="AG6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56.666666666666664</v>
      </c>
      <c r="AH67" s="221"/>
      <c r="AL67"/>
      <c r="AM67">
        <v>25</v>
      </c>
      <c r="AO67">
        <v>26</v>
      </c>
      <c r="AQ67">
        <v>723</v>
      </c>
      <c r="AR67">
        <v>10494</v>
      </c>
      <c r="AV67"/>
      <c r="BI67" s="14">
        <f>SUM(Portefeuille_MNT_PPS_Access29[[#This Row],[AC ANT]:[TR 2035]])</f>
        <v>11268</v>
      </c>
    </row>
    <row r="68" spans="1:61" hidden="1" x14ac:dyDescent="0.3">
      <c r="A68" t="s">
        <v>286</v>
      </c>
      <c r="B68" t="s">
        <v>664</v>
      </c>
      <c r="D68" t="s">
        <v>101</v>
      </c>
      <c r="E68" t="s">
        <v>102</v>
      </c>
      <c r="F68" t="s">
        <v>200</v>
      </c>
      <c r="G68" t="s">
        <v>113</v>
      </c>
      <c r="H68" t="s">
        <v>20</v>
      </c>
      <c r="I68" t="s">
        <v>20</v>
      </c>
      <c r="J68" t="s">
        <v>131</v>
      </c>
      <c r="K68" s="2">
        <v>154230556</v>
      </c>
      <c r="L68" t="s">
        <v>437</v>
      </c>
      <c r="M68" t="s">
        <v>139</v>
      </c>
      <c r="N68" s="8">
        <f>_xlfn.XLOOKUP(Portefeuille_MNT_PPS_Access29[[#This Row],[Numéro projet]], Portefeuille_MNT_PPS_Access20[Numéro projet], Portefeuille_MNT_PPS_Access20[Année DÉBUT Travaux prévu], "")</f>
        <v>2029</v>
      </c>
      <c r="O68">
        <v>2029</v>
      </c>
      <c r="P68">
        <f>Portefeuille_MNT_PPS_Access29[[#This Row],[Année DÉBUT Travaux proposé]]-Portefeuille_MNT_PPS_Access29[[#This Row],[Année DÉBUT Travaux prog actuelle]]</f>
        <v>0</v>
      </c>
      <c r="Q68" t="s">
        <v>291</v>
      </c>
      <c r="R68" s="230">
        <v>46371</v>
      </c>
      <c r="S68" s="230">
        <v>46736</v>
      </c>
      <c r="T68" s="230">
        <v>47102</v>
      </c>
      <c r="U6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6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6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6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68">
        <f>Portefeuille_MNT_PPS_Access29[[#This Row],[Délais PC1 et PC3]]+Portefeuille_MNT_PPS_Access29[[#This Row],[Délais PC3 et PC5]]</f>
        <v>24</v>
      </c>
      <c r="AB68">
        <v>1</v>
      </c>
      <c r="AD68" t="s">
        <v>311</v>
      </c>
      <c r="AE68">
        <v>2</v>
      </c>
      <c r="AF68" s="2">
        <f>_xlfn.XLOOKUP(Portefeuille_MNT_PPS_Access29[[#This Row],[Numéro projet]],Portefeuille_MNT_PPS_Access27[Numéro projet],Portefeuille_MNT_PPS_Access27[Critère Etat Infrastructure])</f>
        <v>5</v>
      </c>
      <c r="AG6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68" s="221"/>
      <c r="AL68"/>
      <c r="AO68">
        <v>50</v>
      </c>
      <c r="AQ68">
        <v>50</v>
      </c>
      <c r="AS68">
        <v>150</v>
      </c>
      <c r="AU68">
        <v>300</v>
      </c>
      <c r="AV68">
        <v>3000</v>
      </c>
      <c r="BI68" s="14">
        <f>SUM(Portefeuille_MNT_PPS_Access29[[#This Row],[AC ANT]:[TR 2035]])</f>
        <v>3550</v>
      </c>
    </row>
    <row r="69" spans="1:61" hidden="1" x14ac:dyDescent="0.3">
      <c r="A69" t="s">
        <v>286</v>
      </c>
      <c r="B69" t="s">
        <v>663</v>
      </c>
      <c r="D69" t="s">
        <v>101</v>
      </c>
      <c r="E69" t="s">
        <v>102</v>
      </c>
      <c r="F69" t="s">
        <v>136</v>
      </c>
      <c r="G69" t="s">
        <v>113</v>
      </c>
      <c r="H69" t="s">
        <v>16</v>
      </c>
      <c r="I69" t="s">
        <v>20</v>
      </c>
      <c r="J69" t="s">
        <v>105</v>
      </c>
      <c r="K69" s="2">
        <v>154061997</v>
      </c>
      <c r="L69" t="s">
        <v>167</v>
      </c>
      <c r="M69" t="s">
        <v>168</v>
      </c>
      <c r="N69" s="8">
        <f>_xlfn.XLOOKUP(Portefeuille_MNT_PPS_Access29[[#This Row],[Numéro projet]], Portefeuille_MNT_PPS_Access20[Numéro projet], Portefeuille_MNT_PPS_Access20[Année DÉBUT Travaux prévu], "")</f>
        <v>2029</v>
      </c>
      <c r="O69">
        <v>2029</v>
      </c>
      <c r="P69">
        <f>Portefeuille_MNT_PPS_Access29[[#This Row],[Année DÉBUT Travaux proposé]]-Portefeuille_MNT_PPS_Access29[[#This Row],[Année DÉBUT Travaux prog actuelle]]</f>
        <v>0</v>
      </c>
      <c r="Q69" t="s">
        <v>155</v>
      </c>
      <c r="R69" s="1">
        <v>45976</v>
      </c>
      <c r="S69" s="1">
        <v>46402</v>
      </c>
      <c r="T69" s="1">
        <v>46980</v>
      </c>
      <c r="U6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6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6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6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</v>
      </c>
      <c r="Y6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19</v>
      </c>
      <c r="Z69">
        <f>Portefeuille_MNT_PPS_Access29[[#This Row],[Délais PC1 et PC3]]+Portefeuille_MNT_PPS_Access29[[#This Row],[Délais PC3 et PC5]]</f>
        <v>33</v>
      </c>
      <c r="AB69">
        <v>1</v>
      </c>
      <c r="AD69" t="s">
        <v>156</v>
      </c>
      <c r="AE69">
        <v>3.3333333333333335</v>
      </c>
      <c r="AF69" s="2">
        <f>_xlfn.XLOOKUP(Portefeuille_MNT_PPS_Access29[[#This Row],[Numéro projet]],Portefeuille_MNT_PPS_Access27[Numéro projet],Portefeuille_MNT_PPS_Access27[Critère Etat Infrastructure])</f>
        <v>4</v>
      </c>
      <c r="AG6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69" s="221"/>
      <c r="AI69">
        <v>71</v>
      </c>
      <c r="AL69"/>
      <c r="AM69">
        <v>120</v>
      </c>
      <c r="AO69">
        <v>210</v>
      </c>
      <c r="AQ69">
        <v>310</v>
      </c>
      <c r="AS69">
        <v>310</v>
      </c>
      <c r="AU69">
        <v>395</v>
      </c>
      <c r="AV69">
        <v>2000</v>
      </c>
      <c r="AW69">
        <v>395</v>
      </c>
      <c r="AX69">
        <v>2000</v>
      </c>
      <c r="AY69">
        <v>400</v>
      </c>
      <c r="AZ69">
        <v>18319</v>
      </c>
      <c r="BI69" s="14">
        <f>SUM(Portefeuille_MNT_PPS_Access29[[#This Row],[AC ANT]:[TR 2035]])</f>
        <v>24530</v>
      </c>
    </row>
    <row r="70" spans="1:61" hidden="1" x14ac:dyDescent="0.3">
      <c r="A70" t="s">
        <v>286</v>
      </c>
      <c r="B70" t="s">
        <v>663</v>
      </c>
      <c r="D70" t="s">
        <v>101</v>
      </c>
      <c r="E70" t="s">
        <v>102</v>
      </c>
      <c r="F70" t="s">
        <v>136</v>
      </c>
      <c r="G70" t="s">
        <v>206</v>
      </c>
      <c r="H70" t="s">
        <v>130</v>
      </c>
      <c r="I70" t="s">
        <v>20</v>
      </c>
      <c r="J70" t="s">
        <v>131</v>
      </c>
      <c r="K70" s="2">
        <v>154171404</v>
      </c>
      <c r="L70" t="s">
        <v>376</v>
      </c>
      <c r="M70" t="s">
        <v>209</v>
      </c>
      <c r="N70" s="229">
        <f>_xlfn.XLOOKUP(Portefeuille_MNT_PPS_Access29[[#This Row],[Numéro projet]], Portefeuille_MNT_PPS_Access20[Numéro projet], Portefeuille_MNT_PPS_Access20[Année DÉBUT Travaux prévu], "")</f>
        <v>2028</v>
      </c>
      <c r="O70" s="227">
        <v>2029</v>
      </c>
      <c r="P70">
        <f>Portefeuille_MNT_PPS_Access29[[#This Row],[Année DÉBUT Travaux proposé]]-Portefeuille_MNT_PPS_Access29[[#This Row],[Année DÉBUT Travaux prog actuelle]]</f>
        <v>1</v>
      </c>
      <c r="Q70" t="s">
        <v>155</v>
      </c>
      <c r="R70" s="1">
        <v>46068</v>
      </c>
      <c r="S70" s="1">
        <v>46540</v>
      </c>
      <c r="T70" s="1">
        <v>46899</v>
      </c>
      <c r="U7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16</v>
      </c>
      <c r="Y7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11</v>
      </c>
      <c r="Z70">
        <f>Portefeuille_MNT_PPS_Access29[[#This Row],[Délais PC1 et PC3]]+Portefeuille_MNT_PPS_Access29[[#This Row],[Délais PC3 et PC5]]</f>
        <v>27</v>
      </c>
      <c r="AB70">
        <v>1</v>
      </c>
      <c r="AD70" t="s">
        <v>156</v>
      </c>
      <c r="AE70">
        <v>3.3333333333333335</v>
      </c>
      <c r="AF70" s="2">
        <f>_xlfn.XLOOKUP(Portefeuille_MNT_PPS_Access29[[#This Row],[Numéro projet]],Portefeuille_MNT_PPS_Access27[Numéro projet],Portefeuille_MNT_PPS_Access27[Critère Etat Infrastructure])</f>
        <v>4</v>
      </c>
      <c r="AG7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70" s="221"/>
      <c r="AL70"/>
      <c r="AO70">
        <v>100</v>
      </c>
      <c r="AQ70">
        <v>250</v>
      </c>
      <c r="AS70">
        <v>350</v>
      </c>
      <c r="AU70">
        <v>500</v>
      </c>
      <c r="AV70">
        <v>5500</v>
      </c>
      <c r="AW70">
        <v>500</v>
      </c>
      <c r="AX70">
        <v>6000</v>
      </c>
      <c r="AY70">
        <v>500</v>
      </c>
      <c r="AZ70">
        <v>6000</v>
      </c>
      <c r="BI70" s="14">
        <f>SUM(Portefeuille_MNT_PPS_Access29[[#This Row],[AC ANT]:[TR 2035]])</f>
        <v>19700</v>
      </c>
    </row>
    <row r="71" spans="1:61" hidden="1" x14ac:dyDescent="0.3">
      <c r="A71" t="s">
        <v>286</v>
      </c>
      <c r="B71" t="s">
        <v>662</v>
      </c>
      <c r="D71" t="s">
        <v>118</v>
      </c>
      <c r="E71" t="s">
        <v>102</v>
      </c>
      <c r="F71" t="s">
        <v>103</v>
      </c>
      <c r="G71" t="s">
        <v>113</v>
      </c>
      <c r="H71" t="s">
        <v>20</v>
      </c>
      <c r="I71" t="s">
        <v>20</v>
      </c>
      <c r="J71" t="s">
        <v>131</v>
      </c>
      <c r="K71" s="2">
        <v>154180766</v>
      </c>
      <c r="L71" t="s">
        <v>378</v>
      </c>
      <c r="M71" t="s">
        <v>191</v>
      </c>
      <c r="N71" s="229">
        <f>_xlfn.XLOOKUP(Portefeuille_MNT_PPS_Access29[[#This Row],[Numéro projet]], Portefeuille_MNT_PPS_Access20[Numéro projet], Portefeuille_MNT_PPS_Access20[Année DÉBUT Travaux prévu], "")</f>
        <v>2028</v>
      </c>
      <c r="O71" s="227">
        <v>2029</v>
      </c>
      <c r="P71">
        <f>Portefeuille_MNT_PPS_Access29[[#This Row],[Année DÉBUT Travaux proposé]]-Portefeuille_MNT_PPS_Access29[[#This Row],[Année DÉBUT Travaux prog actuelle]]</f>
        <v>1</v>
      </c>
      <c r="Q71" t="s">
        <v>155</v>
      </c>
      <c r="R71" s="1">
        <v>46068</v>
      </c>
      <c r="S71" s="1">
        <v>46461</v>
      </c>
      <c r="T71" s="1">
        <v>46888</v>
      </c>
      <c r="U7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13</v>
      </c>
      <c r="Y7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</v>
      </c>
      <c r="Z71">
        <f>Portefeuille_MNT_PPS_Access29[[#This Row],[Délais PC1 et PC3]]+Portefeuille_MNT_PPS_Access29[[#This Row],[Délais PC3 et PC5]]</f>
        <v>27</v>
      </c>
      <c r="AB71">
        <v>1</v>
      </c>
      <c r="AD71" t="s">
        <v>156</v>
      </c>
      <c r="AE71">
        <v>1.6666666666666667</v>
      </c>
      <c r="AF71" s="2">
        <f>_xlfn.XLOOKUP(Portefeuille_MNT_PPS_Access29[[#This Row],[Numéro projet]],Portefeuille_MNT_PPS_Access27[Numéro projet],Portefeuille_MNT_PPS_Access27[Critère Etat Infrastructure])</f>
        <v>4</v>
      </c>
      <c r="AG7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38.333333333333336</v>
      </c>
      <c r="AH71" s="221"/>
      <c r="AL71"/>
      <c r="AQ71">
        <v>100</v>
      </c>
      <c r="AS71">
        <v>200</v>
      </c>
      <c r="AU71">
        <v>495</v>
      </c>
      <c r="AV71">
        <v>8000</v>
      </c>
      <c r="BI71" s="14">
        <f>SUM(Portefeuille_MNT_PPS_Access29[[#This Row],[AC ANT]:[TR 2035]])</f>
        <v>8795</v>
      </c>
    </row>
    <row r="72" spans="1:61" hidden="1" x14ac:dyDescent="0.3">
      <c r="A72" t="s">
        <v>286</v>
      </c>
      <c r="B72" t="s">
        <v>664</v>
      </c>
      <c r="D72" t="s">
        <v>101</v>
      </c>
      <c r="E72" t="s">
        <v>102</v>
      </c>
      <c r="F72" t="s">
        <v>103</v>
      </c>
      <c r="G72" t="s">
        <v>129</v>
      </c>
      <c r="H72" t="s">
        <v>20</v>
      </c>
      <c r="I72" t="s">
        <v>20</v>
      </c>
      <c r="J72" t="s">
        <v>131</v>
      </c>
      <c r="K72" s="2">
        <v>154250401</v>
      </c>
      <c r="L72" t="s">
        <v>654</v>
      </c>
      <c r="M72" t="s">
        <v>134</v>
      </c>
      <c r="N72" s="8">
        <v>2029</v>
      </c>
      <c r="O72">
        <v>2029</v>
      </c>
      <c r="Q72" t="s">
        <v>291</v>
      </c>
      <c r="R72" s="230">
        <v>46371</v>
      </c>
      <c r="S72" s="230">
        <v>46736</v>
      </c>
      <c r="T72" s="230">
        <v>47102</v>
      </c>
      <c r="U7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7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72">
        <f>Portefeuille_MNT_PPS_Access29[[#This Row],[Délais PC1 et PC3]]+Portefeuille_MNT_PPS_Access29[[#This Row],[Délais PC3 et PC5]]</f>
        <v>24</v>
      </c>
      <c r="AB72">
        <v>1</v>
      </c>
      <c r="AD72" t="s">
        <v>311</v>
      </c>
      <c r="AE72">
        <v>1.3333333333333333</v>
      </c>
      <c r="AF72" s="2">
        <f>_xlfn.XLOOKUP(Portefeuille_MNT_PPS_Access29[[#This Row],[Numéro projet]],Portefeuille_MNT_PPS_Access27[Numéro projet],Portefeuille_MNT_PPS_Access27[Critère Etat Infrastructure])</f>
        <v>5</v>
      </c>
      <c r="AG7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72" s="221"/>
      <c r="AL72"/>
      <c r="AQ72">
        <v>125</v>
      </c>
      <c r="AS72">
        <v>125</v>
      </c>
      <c r="AU72">
        <v>250</v>
      </c>
      <c r="AV72">
        <v>1000</v>
      </c>
      <c r="BI72" s="14">
        <f>SUM(Portefeuille_MNT_PPS_Access29[[#This Row],[AC ANT]:[TR 2035]])</f>
        <v>1500</v>
      </c>
    </row>
    <row r="73" spans="1:61" hidden="1" x14ac:dyDescent="0.3">
      <c r="A73" t="s">
        <v>286</v>
      </c>
      <c r="B73" t="s">
        <v>663</v>
      </c>
      <c r="D73" t="s">
        <v>101</v>
      </c>
      <c r="E73" t="s">
        <v>102</v>
      </c>
      <c r="F73" t="s">
        <v>136</v>
      </c>
      <c r="G73" t="s">
        <v>144</v>
      </c>
      <c r="H73" t="s">
        <v>16</v>
      </c>
      <c r="I73" t="s">
        <v>20</v>
      </c>
      <c r="J73" t="s">
        <v>131</v>
      </c>
      <c r="K73" s="2">
        <v>154171403</v>
      </c>
      <c r="L73" t="s">
        <v>196</v>
      </c>
      <c r="M73" t="s">
        <v>180</v>
      </c>
      <c r="N73" s="8">
        <f>_xlfn.XLOOKUP(Portefeuille_MNT_PPS_Access29[[#This Row],[Numéro projet]], Portefeuille_MNT_PPS_Access20[Numéro projet], Portefeuille_MNT_PPS_Access20[Année DÉBUT Travaux prévu], "")</f>
        <v>2028</v>
      </c>
      <c r="O73">
        <v>2028</v>
      </c>
      <c r="P73">
        <f>Portefeuille_MNT_PPS_Access29[[#This Row],[Année DÉBUT Travaux proposé]]-Portefeuille_MNT_PPS_Access29[[#This Row],[Année DÉBUT Travaux prog actuelle]]</f>
        <v>0</v>
      </c>
      <c r="Q73" t="s">
        <v>110</v>
      </c>
      <c r="R73" s="1">
        <v>44889</v>
      </c>
      <c r="S73" s="1">
        <v>46068</v>
      </c>
      <c r="T73" s="1">
        <v>46583</v>
      </c>
      <c r="U7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39</v>
      </c>
      <c r="Y7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17</v>
      </c>
      <c r="Z73">
        <f>Portefeuille_MNT_PPS_Access29[[#This Row],[Délais PC1 et PC3]]+Portefeuille_MNT_PPS_Access29[[#This Row],[Délais PC3 et PC5]]</f>
        <v>56</v>
      </c>
      <c r="AB73">
        <v>1</v>
      </c>
      <c r="AC73">
        <v>5</v>
      </c>
      <c r="AD73" t="s">
        <v>112</v>
      </c>
      <c r="AE73">
        <v>2.6666666666666665</v>
      </c>
      <c r="AF73" s="2">
        <f>_xlfn.XLOOKUP(Portefeuille_MNT_PPS_Access29[[#This Row],[Numéro projet]],Portefeuille_MNT_PPS_Access27[Numéro projet],Portefeuille_MNT_PPS_Access27[Critère Etat Infrastructure])</f>
        <v>4</v>
      </c>
      <c r="AG7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63.333333333333343</v>
      </c>
      <c r="AH73" s="221"/>
      <c r="AI73">
        <v>336.99999999999994</v>
      </c>
      <c r="AK73">
        <v>76</v>
      </c>
      <c r="AL73"/>
      <c r="AM73">
        <v>1657.9999999999998</v>
      </c>
      <c r="AO73">
        <v>1529</v>
      </c>
      <c r="AQ73">
        <v>1529</v>
      </c>
      <c r="AS73">
        <v>1325</v>
      </c>
      <c r="AT73">
        <v>7500</v>
      </c>
      <c r="AU73">
        <v>1200</v>
      </c>
      <c r="AV73">
        <v>9500</v>
      </c>
      <c r="AW73">
        <v>439</v>
      </c>
      <c r="AX73">
        <v>18000</v>
      </c>
      <c r="BI73" s="14">
        <f>SUM(Portefeuille_MNT_PPS_Access29[[#This Row],[AC ANT]:[TR 2035]])</f>
        <v>43093</v>
      </c>
    </row>
    <row r="74" spans="1:61" hidden="1" x14ac:dyDescent="0.3">
      <c r="A74" t="s">
        <v>286</v>
      </c>
      <c r="B74" t="s">
        <v>662</v>
      </c>
      <c r="D74" t="s">
        <v>118</v>
      </c>
      <c r="E74" t="s">
        <v>102</v>
      </c>
      <c r="F74" t="s">
        <v>242</v>
      </c>
      <c r="G74" t="s">
        <v>129</v>
      </c>
      <c r="H74" t="s">
        <v>20</v>
      </c>
      <c r="I74" t="s">
        <v>20</v>
      </c>
      <c r="J74" t="s">
        <v>131</v>
      </c>
      <c r="K74" s="2">
        <v>154210545</v>
      </c>
      <c r="L74" t="s">
        <v>410</v>
      </c>
      <c r="M74" t="s">
        <v>411</v>
      </c>
      <c r="N74" s="8">
        <f>_xlfn.XLOOKUP(Portefeuille_MNT_PPS_Access29[[#This Row],[Numéro projet]], Portefeuille_MNT_PPS_Access20[Numéro projet], Portefeuille_MNT_PPS_Access20[Année DÉBUT Travaux prévu], "")</f>
        <v>2029</v>
      </c>
      <c r="O74">
        <v>2029</v>
      </c>
      <c r="P74">
        <f>Portefeuille_MNT_PPS_Access29[[#This Row],[Année DÉBUT Travaux proposé]]-Portefeuille_MNT_PPS_Access29[[#This Row],[Année DÉBUT Travaux prog actuelle]]</f>
        <v>0</v>
      </c>
      <c r="Q74" t="s">
        <v>155</v>
      </c>
      <c r="R74" s="1">
        <v>46143</v>
      </c>
      <c r="S74" s="1">
        <v>46508</v>
      </c>
      <c r="T74" s="1">
        <v>46874</v>
      </c>
      <c r="U7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7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74">
        <f>Portefeuille_MNT_PPS_Access29[[#This Row],[Délais PC1 et PC3]]+Portefeuille_MNT_PPS_Access29[[#This Row],[Délais PC3 et PC5]]</f>
        <v>24</v>
      </c>
      <c r="AB74">
        <v>1</v>
      </c>
      <c r="AD74" t="s">
        <v>156</v>
      </c>
      <c r="AE74">
        <v>1.3333333333333333</v>
      </c>
      <c r="AF74" s="2">
        <f>_xlfn.XLOOKUP(Portefeuille_MNT_PPS_Access29[[#This Row],[Numéro projet]],Portefeuille_MNT_PPS_Access27[Numéro projet],Portefeuille_MNT_PPS_Access27[Critère Etat Infrastructure])</f>
        <v>4</v>
      </c>
      <c r="AG7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74" s="221"/>
      <c r="AL74"/>
      <c r="AQ74">
        <v>50</v>
      </c>
      <c r="AS74">
        <v>50</v>
      </c>
      <c r="AU74">
        <v>200</v>
      </c>
      <c r="AV74">
        <v>1000</v>
      </c>
      <c r="BI74" s="14">
        <f>SUM(Portefeuille_MNT_PPS_Access29[[#This Row],[AC ANT]:[TR 2035]])</f>
        <v>1300</v>
      </c>
    </row>
    <row r="75" spans="1:61" hidden="1" x14ac:dyDescent="0.3">
      <c r="A75" t="s">
        <v>286</v>
      </c>
      <c r="B75" t="s">
        <v>663</v>
      </c>
      <c r="D75" t="s">
        <v>101</v>
      </c>
      <c r="E75" t="s">
        <v>102</v>
      </c>
      <c r="F75" t="s">
        <v>136</v>
      </c>
      <c r="G75" t="s">
        <v>113</v>
      </c>
      <c r="H75" t="s">
        <v>16</v>
      </c>
      <c r="I75" t="s">
        <v>20</v>
      </c>
      <c r="J75" t="s">
        <v>131</v>
      </c>
      <c r="K75" s="2">
        <v>154140339</v>
      </c>
      <c r="L75" t="s">
        <v>186</v>
      </c>
      <c r="M75" t="s">
        <v>187</v>
      </c>
      <c r="N75" s="229">
        <f>_xlfn.XLOOKUP(Portefeuille_MNT_PPS_Access29[[#This Row],[Numéro projet]], Portefeuille_MNT_PPS_Access20[Numéro projet], Portefeuille_MNT_PPS_Access20[Année DÉBUT Travaux prévu], "")</f>
        <v>2027</v>
      </c>
      <c r="O75" s="227">
        <v>2028</v>
      </c>
      <c r="P75">
        <f>Portefeuille_MNT_PPS_Access29[[#This Row],[Année DÉBUT Travaux proposé]]-Portefeuille_MNT_PPS_Access29[[#This Row],[Année DÉBUT Travaux prog actuelle]]</f>
        <v>1</v>
      </c>
      <c r="Q75" t="s">
        <v>110</v>
      </c>
      <c r="R75" s="1">
        <v>44823</v>
      </c>
      <c r="S75" s="1">
        <v>46310</v>
      </c>
      <c r="T75" s="1">
        <v>46521</v>
      </c>
      <c r="U7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49</v>
      </c>
      <c r="Y7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7</v>
      </c>
      <c r="Z75">
        <f>Portefeuille_MNT_PPS_Access29[[#This Row],[Délais PC1 et PC3]]+Portefeuille_MNT_PPS_Access29[[#This Row],[Délais PC3 et PC5]]</f>
        <v>56</v>
      </c>
      <c r="AB75">
        <v>1</v>
      </c>
      <c r="AC75">
        <v>5</v>
      </c>
      <c r="AD75" t="s">
        <v>112</v>
      </c>
      <c r="AE75">
        <v>3</v>
      </c>
      <c r="AF75" s="2">
        <f>_xlfn.XLOOKUP(Portefeuille_MNT_PPS_Access29[[#This Row],[Numéro projet]],Portefeuille_MNT_PPS_Access27[Numéro projet],Portefeuille_MNT_PPS_Access27[Critère Etat Infrastructure])</f>
        <v>3</v>
      </c>
      <c r="AG7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60.000000000000007</v>
      </c>
      <c r="AH75" s="221"/>
      <c r="AI75">
        <v>282</v>
      </c>
      <c r="AK75">
        <v>175</v>
      </c>
      <c r="AL75"/>
      <c r="AM75">
        <v>835</v>
      </c>
      <c r="AO75">
        <v>630</v>
      </c>
      <c r="AQ75">
        <v>225</v>
      </c>
      <c r="AS75">
        <v>225</v>
      </c>
      <c r="AT75">
        <v>5369</v>
      </c>
      <c r="AU75">
        <v>502</v>
      </c>
      <c r="AV75">
        <v>10806</v>
      </c>
      <c r="BI75" s="14">
        <f>SUM(Portefeuille_MNT_PPS_Access29[[#This Row],[AC ANT]:[TR 2035]])</f>
        <v>19049</v>
      </c>
    </row>
    <row r="76" spans="1:61" hidden="1" x14ac:dyDescent="0.3">
      <c r="A76" t="s">
        <v>286</v>
      </c>
      <c r="B76" t="s">
        <v>663</v>
      </c>
      <c r="D76" t="s">
        <v>101</v>
      </c>
      <c r="E76" t="s">
        <v>102</v>
      </c>
      <c r="F76" t="s">
        <v>136</v>
      </c>
      <c r="G76" t="s">
        <v>104</v>
      </c>
      <c r="H76" t="s">
        <v>16</v>
      </c>
      <c r="I76" t="s">
        <v>130</v>
      </c>
      <c r="J76" t="s">
        <v>105</v>
      </c>
      <c r="K76" s="2">
        <v>154062002</v>
      </c>
      <c r="L76" t="s">
        <v>171</v>
      </c>
      <c r="M76" t="s">
        <v>172</v>
      </c>
      <c r="N76" s="8">
        <f>_xlfn.XLOOKUP(Portefeuille_MNT_PPS_Access29[[#This Row],[Numéro projet]], Portefeuille_MNT_PPS_Access20[Numéro projet], Portefeuille_MNT_PPS_Access20[Année DÉBUT Travaux prévu], "")</f>
        <v>2027</v>
      </c>
      <c r="O76">
        <v>2027</v>
      </c>
      <c r="P76">
        <f>Portefeuille_MNT_PPS_Access29[[#This Row],[Année DÉBUT Travaux proposé]]-Portefeuille_MNT_PPS_Access29[[#This Row],[Année DÉBUT Travaux prog actuelle]]</f>
        <v>0</v>
      </c>
      <c r="Q76" t="s">
        <v>110</v>
      </c>
      <c r="R76" s="1">
        <v>44833</v>
      </c>
      <c r="S76" s="1">
        <v>45976</v>
      </c>
      <c r="T76" s="1">
        <v>46310</v>
      </c>
      <c r="U7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38</v>
      </c>
      <c r="Y7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11</v>
      </c>
      <c r="Z76">
        <f>Portefeuille_MNT_PPS_Access29[[#This Row],[Délais PC1 et PC3]]+Portefeuille_MNT_PPS_Access29[[#This Row],[Délais PC3 et PC5]]</f>
        <v>49</v>
      </c>
      <c r="AB76">
        <v>1</v>
      </c>
      <c r="AC76">
        <v>5</v>
      </c>
      <c r="AD76" t="s">
        <v>112</v>
      </c>
      <c r="AE76">
        <v>3.6666666666666665</v>
      </c>
      <c r="AF76" s="2">
        <f>_xlfn.XLOOKUP(Portefeuille_MNT_PPS_Access29[[#This Row],[Numéro projet]],Portefeuille_MNT_PPS_Access27[Numéro projet],Portefeuille_MNT_PPS_Access27[Critère Etat Infrastructure])</f>
        <v>4</v>
      </c>
      <c r="AG7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68.333333333333329</v>
      </c>
      <c r="AH76" s="221"/>
      <c r="AI76">
        <v>497</v>
      </c>
      <c r="AJ76">
        <v>8</v>
      </c>
      <c r="AK76">
        <v>199</v>
      </c>
      <c r="AL76"/>
      <c r="AM76">
        <v>1064</v>
      </c>
      <c r="AO76">
        <v>1008</v>
      </c>
      <c r="AQ76">
        <v>1886</v>
      </c>
      <c r="AR76">
        <v>6580</v>
      </c>
      <c r="AS76">
        <v>722</v>
      </c>
      <c r="AT76">
        <v>6581</v>
      </c>
      <c r="AV76">
        <v>6576</v>
      </c>
      <c r="BI76" s="14">
        <f>SUM(Portefeuille_MNT_PPS_Access29[[#This Row],[AC ANT]:[TR 2035]])</f>
        <v>25121</v>
      </c>
    </row>
    <row r="77" spans="1:61" hidden="1" x14ac:dyDescent="0.3">
      <c r="A77" t="s">
        <v>286</v>
      </c>
      <c r="B77" t="s">
        <v>662</v>
      </c>
      <c r="D77" t="s">
        <v>118</v>
      </c>
      <c r="E77" t="s">
        <v>102</v>
      </c>
      <c r="F77" t="s">
        <v>242</v>
      </c>
      <c r="G77" t="s">
        <v>129</v>
      </c>
      <c r="H77" t="s">
        <v>20</v>
      </c>
      <c r="I77" t="s">
        <v>20</v>
      </c>
      <c r="J77" t="s">
        <v>131</v>
      </c>
      <c r="K77" s="2">
        <v>154210548</v>
      </c>
      <c r="L77" t="s">
        <v>416</v>
      </c>
      <c r="M77" t="s">
        <v>417</v>
      </c>
      <c r="N77" s="8">
        <f>_xlfn.XLOOKUP(Portefeuille_MNT_PPS_Access29[[#This Row],[Numéro projet]], Portefeuille_MNT_PPS_Access20[Numéro projet], Portefeuille_MNT_PPS_Access20[Année DÉBUT Travaux prévu], "")</f>
        <v>2029</v>
      </c>
      <c r="O77">
        <v>2029</v>
      </c>
      <c r="P77">
        <f>Portefeuille_MNT_PPS_Access29[[#This Row],[Année DÉBUT Travaux proposé]]-Portefeuille_MNT_PPS_Access29[[#This Row],[Année DÉBUT Travaux prog actuelle]]</f>
        <v>0</v>
      </c>
      <c r="Q77" t="s">
        <v>155</v>
      </c>
      <c r="R77" s="1">
        <v>46143</v>
      </c>
      <c r="S77" s="1">
        <v>46508</v>
      </c>
      <c r="T77" s="1">
        <v>46874</v>
      </c>
      <c r="U7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7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7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77">
        <f>Portefeuille_MNT_PPS_Access29[[#This Row],[Délais PC1 et PC3]]+Portefeuille_MNT_PPS_Access29[[#This Row],[Délais PC3 et PC5]]</f>
        <v>24</v>
      </c>
      <c r="AB77">
        <v>1</v>
      </c>
      <c r="AD77" t="s">
        <v>156</v>
      </c>
      <c r="AE77">
        <v>1.3333333333333333</v>
      </c>
      <c r="AF77" s="2">
        <f>_xlfn.XLOOKUP(Portefeuille_MNT_PPS_Access29[[#This Row],[Numéro projet]],Portefeuille_MNT_PPS_Access27[Numéro projet],Portefeuille_MNT_PPS_Access27[Critère Etat Infrastructure])</f>
        <v>4</v>
      </c>
      <c r="AG7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77" s="221"/>
      <c r="AL77"/>
      <c r="AQ77">
        <v>50</v>
      </c>
      <c r="AS77">
        <v>50</v>
      </c>
      <c r="AU77">
        <v>200</v>
      </c>
      <c r="AV77">
        <v>1000</v>
      </c>
      <c r="BI77" s="14">
        <f>SUM(Portefeuille_MNT_PPS_Access29[[#This Row],[AC ANT]:[TR 2035]])</f>
        <v>1300</v>
      </c>
    </row>
    <row r="78" spans="1:61" hidden="1" x14ac:dyDescent="0.3">
      <c r="A78" t="s">
        <v>286</v>
      </c>
      <c r="B78" t="s">
        <v>663</v>
      </c>
      <c r="D78" t="s">
        <v>101</v>
      </c>
      <c r="E78" t="s">
        <v>102</v>
      </c>
      <c r="F78" t="s">
        <v>136</v>
      </c>
      <c r="G78" t="s">
        <v>140</v>
      </c>
      <c r="H78" t="s">
        <v>16</v>
      </c>
      <c r="I78" t="s">
        <v>20</v>
      </c>
      <c r="J78" t="s">
        <v>131</v>
      </c>
      <c r="K78" s="2">
        <v>154101522</v>
      </c>
      <c r="L78" t="s">
        <v>296</v>
      </c>
      <c r="M78" t="s">
        <v>183</v>
      </c>
      <c r="N78" s="8">
        <f>_xlfn.XLOOKUP(Portefeuille_MNT_PPS_Access29[[#This Row],[Numéro projet]], Portefeuille_MNT_PPS_Access20[Numéro projet], Portefeuille_MNT_PPS_Access20[Année DÉBUT Travaux prévu], "")</f>
        <v>2027</v>
      </c>
      <c r="O78">
        <v>2027</v>
      </c>
      <c r="P78">
        <f>Portefeuille_MNT_PPS_Access29[[#This Row],[Année DÉBUT Travaux proposé]]-Portefeuille_MNT_PPS_Access29[[#This Row],[Année DÉBUT Travaux prog actuelle]]</f>
        <v>0</v>
      </c>
      <c r="Q78" t="s">
        <v>110</v>
      </c>
      <c r="R78" s="1">
        <v>45590</v>
      </c>
      <c r="S78" s="1">
        <v>46157</v>
      </c>
      <c r="T78" s="1">
        <v>46157</v>
      </c>
      <c r="U7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7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7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7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19</v>
      </c>
      <c r="Y7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78">
        <f>Portefeuille_MNT_PPS_Access29[[#This Row],[Délais PC1 et PC3]]+Portefeuille_MNT_PPS_Access29[[#This Row],[Délais PC3 et PC5]]</f>
        <v>19</v>
      </c>
      <c r="AB78">
        <v>1</v>
      </c>
      <c r="AC78">
        <v>1</v>
      </c>
      <c r="AD78" t="s">
        <v>112</v>
      </c>
      <c r="AE78">
        <v>2.3333333333333335</v>
      </c>
      <c r="AF78" s="2">
        <f>_xlfn.XLOOKUP(Portefeuille_MNT_PPS_Access29[[#This Row],[Numéro projet]],Portefeuille_MNT_PPS_Access27[Numéro projet],Portefeuille_MNT_PPS_Access27[Critère Etat Infrastructure])</f>
        <v>3</v>
      </c>
      <c r="AG7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78" s="221"/>
      <c r="AL78"/>
      <c r="AM78">
        <v>466</v>
      </c>
      <c r="AO78">
        <v>475</v>
      </c>
      <c r="AQ78">
        <v>468</v>
      </c>
      <c r="AR78">
        <v>1461</v>
      </c>
      <c r="AV78"/>
      <c r="BI78" s="14">
        <f>SUM(Portefeuille_MNT_PPS_Access29[[#This Row],[AC ANT]:[TR 2035]])</f>
        <v>2870</v>
      </c>
    </row>
    <row r="79" spans="1:61" hidden="1" x14ac:dyDescent="0.3">
      <c r="A79" t="s">
        <v>286</v>
      </c>
      <c r="B79" t="s">
        <v>662</v>
      </c>
      <c r="D79" t="s">
        <v>118</v>
      </c>
      <c r="E79" t="s">
        <v>102</v>
      </c>
      <c r="F79" t="s">
        <v>177</v>
      </c>
      <c r="H79" t="s">
        <v>20</v>
      </c>
      <c r="I79" t="s">
        <v>20</v>
      </c>
      <c r="J79" t="s">
        <v>131</v>
      </c>
      <c r="K79" s="2">
        <v>154230555</v>
      </c>
      <c r="L79" t="s">
        <v>639</v>
      </c>
      <c r="M79" t="s">
        <v>147</v>
      </c>
      <c r="N79" s="8">
        <f>_xlfn.XLOOKUP(Portefeuille_MNT_PPS_Access29[[#This Row],[Numéro projet]], Portefeuille_MNT_PPS_Access20[Numéro projet], Portefeuille_MNT_PPS_Access20[Année DÉBUT Travaux prévu], "")</f>
        <v>2029</v>
      </c>
      <c r="O79">
        <v>2030</v>
      </c>
      <c r="P79">
        <f>Portefeuille_MNT_PPS_Access29[[#This Row],[Année DÉBUT Travaux proposé]]-Portefeuille_MNT_PPS_Access29[[#This Row],[Année DÉBUT Travaux prog actuelle]]</f>
        <v>1</v>
      </c>
      <c r="Q79" t="s">
        <v>291</v>
      </c>
      <c r="R79" s="230"/>
      <c r="S79" s="230"/>
      <c r="T79" s="230"/>
      <c r="U7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7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7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7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7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79">
        <f>Portefeuille_MNT_PPS_Access29[[#This Row],[Délais PC1 et PC3]]+Portefeuille_MNT_PPS_Access29[[#This Row],[Délais PC3 et PC5]]</f>
        <v>0</v>
      </c>
      <c r="AB79">
        <v>1</v>
      </c>
      <c r="AD79" t="s">
        <v>311</v>
      </c>
      <c r="AE79">
        <v>2.6666666666666665</v>
      </c>
      <c r="AF79" s="2">
        <f>_xlfn.XLOOKUP(Portefeuille_MNT_PPS_Access29[[#This Row],[Numéro projet]],Portefeuille_MNT_PPS_Access27[Numéro projet],Portefeuille_MNT_PPS_Access27[Critère Etat Infrastructure])</f>
        <v>3</v>
      </c>
      <c r="AG7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33.333333333333329</v>
      </c>
      <c r="AH79" s="221"/>
      <c r="AL79"/>
      <c r="AS79">
        <v>50</v>
      </c>
      <c r="AU79">
        <v>50</v>
      </c>
      <c r="AV79"/>
      <c r="AW79">
        <v>100</v>
      </c>
      <c r="AX79">
        <v>1000</v>
      </c>
      <c r="BI79" s="14">
        <f>SUM(Portefeuille_MNT_PPS_Access29[[#This Row],[AC ANT]:[TR 2035]])</f>
        <v>1200</v>
      </c>
    </row>
    <row r="80" spans="1:61" hidden="1" x14ac:dyDescent="0.3">
      <c r="A80" t="s">
        <v>286</v>
      </c>
      <c r="B80" t="s">
        <v>664</v>
      </c>
      <c r="D80" t="s">
        <v>101</v>
      </c>
      <c r="E80" t="s">
        <v>102</v>
      </c>
      <c r="F80" t="s">
        <v>103</v>
      </c>
      <c r="H80" t="s">
        <v>20</v>
      </c>
      <c r="I80" t="s">
        <v>20</v>
      </c>
      <c r="J80" t="s">
        <v>105</v>
      </c>
      <c r="K80" s="2">
        <v>154240284</v>
      </c>
      <c r="L80" s="86" t="s">
        <v>666</v>
      </c>
      <c r="M80" s="86" t="s">
        <v>302</v>
      </c>
      <c r="N80" s="229">
        <f>_xlfn.XLOOKUP(Portefeuille_MNT_PPS_Access29[[#This Row],[Numéro projet]], Portefeuille_MNT_PPS_Access20[Numéro projet], Portefeuille_MNT_PPS_Access20[Année DÉBUT Travaux prévu], "")</f>
        <v>2032</v>
      </c>
      <c r="O80" s="227"/>
      <c r="P80">
        <f>Portefeuille_MNT_PPS_Access29[[#This Row],[Année DÉBUT Travaux proposé]]-Portefeuille_MNT_PPS_Access29[[#This Row],[Année DÉBUT Travaux prog actuelle]]</f>
        <v>-2032</v>
      </c>
      <c r="Q80" t="s">
        <v>291</v>
      </c>
      <c r="R80" s="1"/>
      <c r="S80" s="1"/>
      <c r="T80" s="1"/>
      <c r="U8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8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8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8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8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80">
        <f>Portefeuille_MNT_PPS_Access29[[#This Row],[Délais PC1 et PC3]]+Portefeuille_MNT_PPS_Access29[[#This Row],[Délais PC3 et PC5]]</f>
        <v>0</v>
      </c>
      <c r="AB80">
        <v>1</v>
      </c>
      <c r="AD80" t="s">
        <v>311</v>
      </c>
      <c r="AE80">
        <v>4</v>
      </c>
      <c r="AF80" s="2">
        <f>_xlfn.XLOOKUP(Portefeuille_MNT_PPS_Access29[[#This Row],[Numéro projet]],Portefeuille_MNT_PPS_Access27[Numéro projet],Portefeuille_MNT_PPS_Access27[Critère Etat Infrastructure])</f>
        <v>5</v>
      </c>
      <c r="AG8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50</v>
      </c>
      <c r="AH80" s="221"/>
      <c r="AL80"/>
      <c r="AQ80">
        <v>150</v>
      </c>
      <c r="AS80">
        <v>150</v>
      </c>
      <c r="AU80">
        <v>600</v>
      </c>
      <c r="AV80">
        <v>12000</v>
      </c>
      <c r="BI80" s="14">
        <f>SUM(Portefeuille_MNT_PPS_Access29[[#This Row],[AC ANT]:[TR 2035]])</f>
        <v>12900</v>
      </c>
    </row>
    <row r="81" spans="1:61" hidden="1" x14ac:dyDescent="0.3">
      <c r="A81" t="s">
        <v>286</v>
      </c>
      <c r="B81" t="s">
        <v>664</v>
      </c>
      <c r="D81" t="s">
        <v>101</v>
      </c>
      <c r="E81" t="s">
        <v>102</v>
      </c>
      <c r="F81" t="s">
        <v>103</v>
      </c>
      <c r="G81" t="s">
        <v>104</v>
      </c>
      <c r="H81" t="s">
        <v>20</v>
      </c>
      <c r="I81" t="s">
        <v>20</v>
      </c>
      <c r="J81" t="s">
        <v>105</v>
      </c>
      <c r="K81" s="2">
        <v>154190685</v>
      </c>
      <c r="L81" s="86" t="s">
        <v>541</v>
      </c>
      <c r="M81" s="86" t="s">
        <v>172</v>
      </c>
      <c r="N81" s="229">
        <f>_xlfn.XLOOKUP(Portefeuille_MNT_PPS_Access29[[#This Row],[Numéro projet]], Portefeuille_MNT_PPS_Access20[Numéro projet], Portefeuille_MNT_PPS_Access20[Année DÉBUT Travaux prévu], "")</f>
        <v>2029</v>
      </c>
      <c r="O81" s="227">
        <v>2030</v>
      </c>
      <c r="P81">
        <f>Portefeuille_MNT_PPS_Access29[[#This Row],[Année DÉBUT Travaux proposé]]-Portefeuille_MNT_PPS_Access29[[#This Row],[Année DÉBUT Travaux prog actuelle]]</f>
        <v>1</v>
      </c>
      <c r="Q81" t="s">
        <v>291</v>
      </c>
      <c r="R81" s="1">
        <v>45989</v>
      </c>
      <c r="S81" s="1"/>
      <c r="T81" s="1"/>
      <c r="U8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8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8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-1510</v>
      </c>
      <c r="Y8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81">
        <f>Portefeuille_MNT_PPS_Access29[[#This Row],[Délais PC1 et PC3]]+Portefeuille_MNT_PPS_Access29[[#This Row],[Délais PC3 et PC5]]</f>
        <v>-1510</v>
      </c>
      <c r="AB81">
        <v>1</v>
      </c>
      <c r="AD81" t="s">
        <v>311</v>
      </c>
      <c r="AE81">
        <v>3.6666666666666665</v>
      </c>
      <c r="AF81" s="2">
        <f>_xlfn.XLOOKUP(Portefeuille_MNT_PPS_Access29[[#This Row],[Numéro projet]],Portefeuille_MNT_PPS_Access27[Numéro projet],Portefeuille_MNT_PPS_Access27[Critère Etat Infrastructure])</f>
        <v>4</v>
      </c>
      <c r="AG8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43.333333333333329</v>
      </c>
      <c r="AH81" s="221"/>
      <c r="AL81"/>
      <c r="AS81">
        <v>100</v>
      </c>
      <c r="AU81">
        <v>100</v>
      </c>
      <c r="AV81"/>
      <c r="AW81">
        <v>700</v>
      </c>
      <c r="AX81">
        <v>15000</v>
      </c>
      <c r="BI81" s="14">
        <f>SUM(Portefeuille_MNT_PPS_Access29[[#This Row],[AC ANT]:[TR 2035]])</f>
        <v>15900</v>
      </c>
    </row>
    <row r="82" spans="1:61" hidden="1" x14ac:dyDescent="0.3">
      <c r="A82" t="s">
        <v>286</v>
      </c>
      <c r="B82" t="s">
        <v>295</v>
      </c>
      <c r="D82" t="s">
        <v>126</v>
      </c>
      <c r="E82" t="s">
        <v>127</v>
      </c>
      <c r="F82" t="s">
        <v>136</v>
      </c>
      <c r="G82" t="s">
        <v>144</v>
      </c>
      <c r="H82" t="s">
        <v>16</v>
      </c>
      <c r="I82" t="s">
        <v>20</v>
      </c>
      <c r="J82" t="s">
        <v>131</v>
      </c>
      <c r="K82" s="2">
        <v>154190675</v>
      </c>
      <c r="L82" t="s">
        <v>232</v>
      </c>
      <c r="M82" t="s">
        <v>147</v>
      </c>
      <c r="N82" s="8">
        <f>_xlfn.XLOOKUP(Portefeuille_MNT_PPS_Access29[[#This Row],[Numéro projet]], Portefeuille_MNT_PPS_Access20[Numéro projet], Portefeuille_MNT_PPS_Access20[Année DÉBUT Travaux prévu], "")</f>
        <v>2027</v>
      </c>
      <c r="O82">
        <v>2027</v>
      </c>
      <c r="P82">
        <f>Portefeuille_MNT_PPS_Access29[[#This Row],[Année DÉBUT Travaux proposé]]-Portefeuille_MNT_PPS_Access29[[#This Row],[Année DÉBUT Travaux prog actuelle]]</f>
        <v>0</v>
      </c>
      <c r="Q82" t="s">
        <v>110</v>
      </c>
      <c r="R82" s="1">
        <v>45099</v>
      </c>
      <c r="S82" s="1">
        <v>46037</v>
      </c>
      <c r="T82" s="1">
        <v>46283</v>
      </c>
      <c r="U8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8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31</v>
      </c>
      <c r="Y8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8</v>
      </c>
      <c r="Z82">
        <f>Portefeuille_MNT_PPS_Access29[[#This Row],[Délais PC1 et PC3]]+Portefeuille_MNT_PPS_Access29[[#This Row],[Délais PC3 et PC5]]</f>
        <v>39</v>
      </c>
      <c r="AB82">
        <v>1</v>
      </c>
      <c r="AC82">
        <v>3</v>
      </c>
      <c r="AD82" t="s">
        <v>112</v>
      </c>
      <c r="AE82">
        <v>2.6666666666666665</v>
      </c>
      <c r="AF82" s="2">
        <f>_xlfn.XLOOKUP(Portefeuille_MNT_PPS_Access29[[#This Row],[Numéro projet]],Portefeuille_MNT_PPS_Access27[Numéro projet],Portefeuille_MNT_PPS_Access27[Critère Etat Infrastructure])</f>
        <v>3</v>
      </c>
      <c r="AG8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48.333333333333336</v>
      </c>
      <c r="AH82" s="221"/>
      <c r="AI82">
        <v>9</v>
      </c>
      <c r="AK82">
        <v>21</v>
      </c>
      <c r="AL82"/>
      <c r="AM82">
        <v>672</v>
      </c>
      <c r="AO82">
        <v>553</v>
      </c>
      <c r="AQ82">
        <v>1175</v>
      </c>
      <c r="AR82">
        <v>6475</v>
      </c>
      <c r="AS82">
        <v>1602</v>
      </c>
      <c r="AT82">
        <v>6677</v>
      </c>
      <c r="AV82"/>
      <c r="BI82" s="14">
        <f>SUM(Portefeuille_MNT_PPS_Access29[[#This Row],[AC ANT]:[TR 2035]])</f>
        <v>17184</v>
      </c>
    </row>
    <row r="83" spans="1:61" hidden="1" x14ac:dyDescent="0.3">
      <c r="A83" t="s">
        <v>286</v>
      </c>
      <c r="B83" t="s">
        <v>295</v>
      </c>
      <c r="D83" t="s">
        <v>126</v>
      </c>
      <c r="E83" t="s">
        <v>127</v>
      </c>
      <c r="F83" t="s">
        <v>103</v>
      </c>
      <c r="G83" t="s">
        <v>140</v>
      </c>
      <c r="H83" t="s">
        <v>20</v>
      </c>
      <c r="I83" t="s">
        <v>20</v>
      </c>
      <c r="J83" t="s">
        <v>105</v>
      </c>
      <c r="K83" s="2">
        <v>154220338</v>
      </c>
      <c r="L83" t="s">
        <v>636</v>
      </c>
      <c r="M83" t="s">
        <v>143</v>
      </c>
      <c r="N83" s="8">
        <v>2029</v>
      </c>
      <c r="O83" s="8">
        <v>2030</v>
      </c>
      <c r="P83">
        <f>Portefeuille_MNT_PPS_Access29[[#This Row],[Année DÉBUT Travaux proposé]]-Portefeuille_MNT_PPS_Access29[[#This Row],[Année DÉBUT Travaux prog actuelle]]</f>
        <v>1</v>
      </c>
      <c r="Q83" t="s">
        <v>155</v>
      </c>
      <c r="R83" s="1">
        <v>46266</v>
      </c>
      <c r="S83" s="1">
        <v>46631</v>
      </c>
      <c r="T83" s="1">
        <v>46997</v>
      </c>
      <c r="U8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8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8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83">
        <f>Portefeuille_MNT_PPS_Access29[[#This Row],[Délais PC1 et PC3]]+Portefeuille_MNT_PPS_Access29[[#This Row],[Délais PC3 et PC5]]</f>
        <v>24</v>
      </c>
      <c r="AB83">
        <v>1</v>
      </c>
      <c r="AD83" t="s">
        <v>156</v>
      </c>
      <c r="AE83">
        <v>4.333333333333333</v>
      </c>
      <c r="AF83" s="2">
        <f>_xlfn.XLOOKUP(Portefeuille_MNT_PPS_Access29[[#This Row],[Numéro projet]],Portefeuille_MNT_PPS_Access27[Numéro projet],Portefeuille_MNT_PPS_Access27[Critère Etat Infrastructure])</f>
        <v>3</v>
      </c>
      <c r="AG8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83" s="221"/>
      <c r="AL83"/>
      <c r="AS83">
        <v>375</v>
      </c>
      <c r="AU83">
        <v>375</v>
      </c>
      <c r="AV83"/>
      <c r="AW83">
        <v>750</v>
      </c>
      <c r="AX83">
        <v>10000</v>
      </c>
      <c r="AY83">
        <v>875</v>
      </c>
      <c r="AZ83">
        <v>10000</v>
      </c>
      <c r="BA83">
        <v>1250</v>
      </c>
      <c r="BB83">
        <v>15000</v>
      </c>
      <c r="BC83">
        <v>500</v>
      </c>
      <c r="BD83">
        <v>17000</v>
      </c>
      <c r="BE83">
        <v>1000</v>
      </c>
      <c r="BF83">
        <v>59000</v>
      </c>
      <c r="BI83" s="14">
        <f>SUM(Portefeuille_MNT_PPS_Access29[[#This Row],[AC ANT]:[TR 2035]])</f>
        <v>116125</v>
      </c>
    </row>
    <row r="84" spans="1:61" hidden="1" x14ac:dyDescent="0.3">
      <c r="A84" t="s">
        <v>286</v>
      </c>
      <c r="B84" t="s">
        <v>663</v>
      </c>
      <c r="D84" t="s">
        <v>101</v>
      </c>
      <c r="E84" t="s">
        <v>102</v>
      </c>
      <c r="F84" t="s">
        <v>103</v>
      </c>
      <c r="G84" t="s">
        <v>140</v>
      </c>
      <c r="H84" t="s">
        <v>16</v>
      </c>
      <c r="I84" t="s">
        <v>20</v>
      </c>
      <c r="J84" t="s">
        <v>131</v>
      </c>
      <c r="K84" s="2">
        <v>154210528</v>
      </c>
      <c r="L84" t="s">
        <v>515</v>
      </c>
      <c r="M84" t="s">
        <v>180</v>
      </c>
      <c r="N84" s="8">
        <f>_xlfn.XLOOKUP(Portefeuille_MNT_PPS_Access29[[#This Row],[Numéro projet]], Portefeuille_MNT_PPS_Access20[Numéro projet], Portefeuille_MNT_PPS_Access20[Année DÉBUT Travaux prévu], "")</f>
        <v>2027</v>
      </c>
      <c r="O84">
        <v>2027</v>
      </c>
      <c r="P84">
        <f>Portefeuille_MNT_PPS_Access29[[#This Row],[Année DÉBUT Travaux proposé]]-Portefeuille_MNT_PPS_Access29[[#This Row],[Année DÉBUT Travaux prog actuelle]]</f>
        <v>0</v>
      </c>
      <c r="Q84" t="s">
        <v>110</v>
      </c>
      <c r="R84" s="1">
        <v>45679</v>
      </c>
      <c r="S84" s="1">
        <v>46096</v>
      </c>
      <c r="T84" s="1">
        <v>46371</v>
      </c>
      <c r="U8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3.À risque</v>
      </c>
      <c r="V8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8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</v>
      </c>
      <c r="Y8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84">
        <f>Portefeuille_MNT_PPS_Access29[[#This Row],[Délais PC1 et PC3]]+Portefeuille_MNT_PPS_Access29[[#This Row],[Délais PC3 et PC5]]</f>
        <v>23</v>
      </c>
      <c r="AB84">
        <v>1</v>
      </c>
      <c r="AC84">
        <v>3</v>
      </c>
      <c r="AD84" t="s">
        <v>112</v>
      </c>
      <c r="AE84">
        <v>1.8333333333333335</v>
      </c>
      <c r="AF84" s="2">
        <f>_xlfn.XLOOKUP(Portefeuille_MNT_PPS_Access29[[#This Row],[Numéro projet]],Portefeuille_MNT_PPS_Access27[Numéro projet],Portefeuille_MNT_PPS_Access27[Critère Etat Infrastructure])</f>
        <v>5</v>
      </c>
      <c r="AG8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54.166666666666671</v>
      </c>
      <c r="AH84" s="221"/>
      <c r="AL84"/>
      <c r="AM84">
        <v>130</v>
      </c>
      <c r="AO84">
        <v>60</v>
      </c>
      <c r="AQ84">
        <v>283</v>
      </c>
      <c r="AR84">
        <v>1951</v>
      </c>
      <c r="AT84">
        <v>1951</v>
      </c>
      <c r="AV84"/>
      <c r="BI84" s="14">
        <f>SUM(Portefeuille_MNT_PPS_Access29[[#This Row],[AC ANT]:[TR 2035]])</f>
        <v>4375</v>
      </c>
    </row>
    <row r="85" spans="1:61" hidden="1" x14ac:dyDescent="0.3">
      <c r="A85" t="s">
        <v>286</v>
      </c>
      <c r="B85" t="s">
        <v>663</v>
      </c>
      <c r="D85" t="s">
        <v>101</v>
      </c>
      <c r="E85" t="s">
        <v>102</v>
      </c>
      <c r="F85" t="s">
        <v>177</v>
      </c>
      <c r="G85" t="s">
        <v>129</v>
      </c>
      <c r="H85" t="s">
        <v>20</v>
      </c>
      <c r="I85" t="s">
        <v>20</v>
      </c>
      <c r="J85" t="s">
        <v>131</v>
      </c>
      <c r="K85" s="2">
        <v>154230631</v>
      </c>
      <c r="L85" t="s">
        <v>439</v>
      </c>
      <c r="M85" t="s">
        <v>180</v>
      </c>
      <c r="N85" s="229">
        <f>_xlfn.XLOOKUP(Portefeuille_MNT_PPS_Access29[[#This Row],[Numéro projet]], Portefeuille_MNT_PPS_Access20[Numéro projet], Portefeuille_MNT_PPS_Access20[Année DÉBUT Travaux prévu], "")</f>
        <v>2029</v>
      </c>
      <c r="O85" s="229">
        <v>2030</v>
      </c>
      <c r="P85" s="2">
        <f>Portefeuille_MNT_PPS_Access29[[#This Row],[Année DÉBUT Travaux proposé]]-Portefeuille_MNT_PPS_Access29[[#This Row],[Année DÉBUT Travaux prog actuelle]]</f>
        <v>1</v>
      </c>
      <c r="Q85" t="s">
        <v>291</v>
      </c>
      <c r="R85" s="1"/>
      <c r="S85" s="1"/>
      <c r="T85" s="1"/>
      <c r="U8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8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8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8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8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85">
        <f>Portefeuille_MNT_PPS_Access29[[#This Row],[Délais PC1 et PC3]]+Portefeuille_MNT_PPS_Access29[[#This Row],[Délais PC3 et PC5]]</f>
        <v>0</v>
      </c>
      <c r="AB85">
        <v>1</v>
      </c>
      <c r="AD85" t="s">
        <v>311</v>
      </c>
      <c r="AE85">
        <v>3.1428571428571428</v>
      </c>
      <c r="AF85" s="2">
        <f>_xlfn.XLOOKUP(Portefeuille_MNT_PPS_Access29[[#This Row],[Numéro projet]],Portefeuille_MNT_PPS_Access27[Numéro projet],Portefeuille_MNT_PPS_Access27[Critère Etat Infrastructure])</f>
        <v>4</v>
      </c>
      <c r="AG8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40.714285714285715</v>
      </c>
      <c r="AH85" s="221"/>
      <c r="AL85"/>
      <c r="AU85">
        <v>100.00000000000001</v>
      </c>
      <c r="AV85"/>
      <c r="AW85">
        <v>175</v>
      </c>
      <c r="AX85">
        <v>1500</v>
      </c>
      <c r="BI85" s="14">
        <f>SUM(Portefeuille_MNT_PPS_Access29[[#This Row],[AC ANT]:[TR 2035]])</f>
        <v>1775</v>
      </c>
    </row>
    <row r="86" spans="1:61" hidden="1" x14ac:dyDescent="0.3">
      <c r="A86" t="s">
        <v>286</v>
      </c>
      <c r="B86" t="s">
        <v>662</v>
      </c>
      <c r="D86" t="s">
        <v>118</v>
      </c>
      <c r="E86" t="s">
        <v>102</v>
      </c>
      <c r="F86" t="s">
        <v>242</v>
      </c>
      <c r="G86" t="s">
        <v>129</v>
      </c>
      <c r="H86" t="s">
        <v>20</v>
      </c>
      <c r="I86" t="s">
        <v>20</v>
      </c>
      <c r="J86" t="s">
        <v>131</v>
      </c>
      <c r="K86" s="2">
        <v>154210546</v>
      </c>
      <c r="L86" t="s">
        <v>644</v>
      </c>
      <c r="M86" t="s">
        <v>414</v>
      </c>
      <c r="N86" s="8">
        <f>_xlfn.XLOOKUP(Portefeuille_MNT_PPS_Access29[[#This Row],[Numéro projet]], Portefeuille_MNT_PPS_Access20[Numéro projet], Portefeuille_MNT_PPS_Access20[Année DÉBUT Travaux prévu], "")</f>
        <v>2030</v>
      </c>
      <c r="O86">
        <v>2030</v>
      </c>
      <c r="P86">
        <f>Portefeuille_MNT_PPS_Access29[[#This Row],[Année DÉBUT Travaux proposé]]-Portefeuille_MNT_PPS_Access29[[#This Row],[Année DÉBUT Travaux prog actuelle]]</f>
        <v>0</v>
      </c>
      <c r="Q86" t="s">
        <v>291</v>
      </c>
      <c r="R86" s="1">
        <v>46203</v>
      </c>
      <c r="S86" s="1"/>
      <c r="T86" s="1"/>
      <c r="U8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8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8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-1517</v>
      </c>
      <c r="Y8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86">
        <f>Portefeuille_MNT_PPS_Access29[[#This Row],[Délais PC1 et PC3]]+Portefeuille_MNT_PPS_Access29[[#This Row],[Délais PC3 et PC5]]</f>
        <v>-1517</v>
      </c>
      <c r="AB86">
        <v>1</v>
      </c>
      <c r="AD86" t="s">
        <v>311</v>
      </c>
      <c r="AE86">
        <v>1</v>
      </c>
      <c r="AF86" s="2">
        <f>_xlfn.XLOOKUP(Portefeuille_MNT_PPS_Access29[[#This Row],[Numéro projet]],Portefeuille_MNT_PPS_Access27[Numéro projet],Portefeuille_MNT_PPS_Access27[Critère Etat Infrastructure])</f>
        <v>4</v>
      </c>
      <c r="AG8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30</v>
      </c>
      <c r="AH86" s="221"/>
      <c r="AL86"/>
      <c r="AS86">
        <v>150</v>
      </c>
      <c r="AU86">
        <v>150</v>
      </c>
      <c r="AV86"/>
      <c r="AW86">
        <v>250</v>
      </c>
      <c r="AX86">
        <v>2000</v>
      </c>
      <c r="BI86" s="14">
        <f>SUM(Portefeuille_MNT_PPS_Access29[[#This Row],[AC ANT]:[TR 2035]])</f>
        <v>2550</v>
      </c>
    </row>
    <row r="87" spans="1:61" hidden="1" x14ac:dyDescent="0.3">
      <c r="A87" t="s">
        <v>286</v>
      </c>
      <c r="B87" t="s">
        <v>662</v>
      </c>
      <c r="D87" t="s">
        <v>118</v>
      </c>
      <c r="E87" t="s">
        <v>102</v>
      </c>
      <c r="F87" t="s">
        <v>177</v>
      </c>
      <c r="G87" t="s">
        <v>113</v>
      </c>
      <c r="H87" t="s">
        <v>16</v>
      </c>
      <c r="I87" t="s">
        <v>20</v>
      </c>
      <c r="J87" t="s">
        <v>131</v>
      </c>
      <c r="K87" s="2">
        <v>154200650</v>
      </c>
      <c r="L87" t="s">
        <v>241</v>
      </c>
      <c r="M87" t="s">
        <v>187</v>
      </c>
      <c r="N87" s="8">
        <f>_xlfn.XLOOKUP(Portefeuille_MNT_PPS_Access29[[#This Row],[Numéro projet]], Portefeuille_MNT_PPS_Access20[Numéro projet], Portefeuille_MNT_PPS_Access20[Année DÉBUT Travaux prévu], "")</f>
        <v>2027</v>
      </c>
      <c r="O87">
        <v>2027</v>
      </c>
      <c r="P87">
        <f>Portefeuille_MNT_PPS_Access29[[#This Row],[Année DÉBUT Travaux proposé]]-Portefeuille_MNT_PPS_Access29[[#This Row],[Année DÉBUT Travaux prog actuelle]]</f>
        <v>0</v>
      </c>
      <c r="Q87" t="s">
        <v>110</v>
      </c>
      <c r="R87" s="1">
        <v>45708</v>
      </c>
      <c r="S87" s="1">
        <v>45923</v>
      </c>
      <c r="T87" s="1">
        <v>46296</v>
      </c>
      <c r="U8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3.À risque</v>
      </c>
      <c r="V8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8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7</v>
      </c>
      <c r="Y8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13</v>
      </c>
      <c r="Z87">
        <f>Portefeuille_MNT_PPS_Access29[[#This Row],[Délais PC1 et PC3]]+Portefeuille_MNT_PPS_Access29[[#This Row],[Délais PC3 et PC5]]</f>
        <v>20</v>
      </c>
      <c r="AB87">
        <v>1</v>
      </c>
      <c r="AC87">
        <v>5</v>
      </c>
      <c r="AD87" t="s">
        <v>112</v>
      </c>
      <c r="AE87">
        <v>3</v>
      </c>
      <c r="AF87" s="2">
        <f>_xlfn.XLOOKUP(Portefeuille_MNT_PPS_Access29[[#This Row],[Numéro projet]],Portefeuille_MNT_PPS_Access27[Numéro projet],Portefeuille_MNT_PPS_Access27[Critère Etat Infrastructure])</f>
        <v>5</v>
      </c>
      <c r="AG8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70</v>
      </c>
      <c r="AH87" s="221"/>
      <c r="AL87"/>
      <c r="AM87">
        <v>178</v>
      </c>
      <c r="AO87">
        <v>176</v>
      </c>
      <c r="AQ87">
        <v>212</v>
      </c>
      <c r="AR87">
        <v>4831</v>
      </c>
      <c r="AS87">
        <v>151</v>
      </c>
      <c r="AT87">
        <v>3298</v>
      </c>
      <c r="AV87"/>
      <c r="BI87" s="14">
        <f>SUM(Portefeuille_MNT_PPS_Access29[[#This Row],[AC ANT]:[TR 2035]])</f>
        <v>8846</v>
      </c>
    </row>
    <row r="88" spans="1:61" hidden="1" x14ac:dyDescent="0.3">
      <c r="A88" t="s">
        <v>286</v>
      </c>
      <c r="B88" t="s">
        <v>662</v>
      </c>
      <c r="D88" t="s">
        <v>118</v>
      </c>
      <c r="E88" t="s">
        <v>102</v>
      </c>
      <c r="F88" t="s">
        <v>103</v>
      </c>
      <c r="G88" t="s">
        <v>129</v>
      </c>
      <c r="H88" t="s">
        <v>20</v>
      </c>
      <c r="I88" t="s">
        <v>20</v>
      </c>
      <c r="J88" t="s">
        <v>131</v>
      </c>
      <c r="K88" s="2">
        <v>154200654</v>
      </c>
      <c r="L88" t="s">
        <v>643</v>
      </c>
      <c r="M88" t="s">
        <v>214</v>
      </c>
      <c r="N88" s="229">
        <f>_xlfn.XLOOKUP(Portefeuille_MNT_PPS_Access29[[#This Row],[Numéro projet]], Portefeuille_MNT_PPS_Access20[Numéro projet], Portefeuille_MNT_PPS_Access20[Année DÉBUT Travaux prévu], "")</f>
        <v>2029</v>
      </c>
      <c r="O88" s="227">
        <v>2030</v>
      </c>
      <c r="P88">
        <f>Portefeuille_MNT_PPS_Access29[[#This Row],[Année DÉBUT Travaux proposé]]-Portefeuille_MNT_PPS_Access29[[#This Row],[Année DÉBUT Travaux prog actuelle]]</f>
        <v>1</v>
      </c>
      <c r="Q88" t="s">
        <v>155</v>
      </c>
      <c r="R88" s="1">
        <v>46218</v>
      </c>
      <c r="S88" s="1">
        <v>46722</v>
      </c>
      <c r="T88" s="1">
        <v>47011</v>
      </c>
      <c r="U8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8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17</v>
      </c>
      <c r="Y8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88">
        <f>Portefeuille_MNT_PPS_Access29[[#This Row],[Délais PC1 et PC3]]+Portefeuille_MNT_PPS_Access29[[#This Row],[Délais PC3 et PC5]]</f>
        <v>26</v>
      </c>
      <c r="AB88">
        <v>1</v>
      </c>
      <c r="AD88" t="s">
        <v>156</v>
      </c>
      <c r="AE88">
        <v>3</v>
      </c>
      <c r="AF88" s="2">
        <f>_xlfn.XLOOKUP(Portefeuille_MNT_PPS_Access29[[#This Row],[Numéro projet]],Portefeuille_MNT_PPS_Access27[Numéro projet],Portefeuille_MNT_PPS_Access27[Critère Etat Infrastructure])</f>
        <v>4</v>
      </c>
      <c r="AG8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88" s="221"/>
      <c r="AL88"/>
      <c r="AS88">
        <v>100</v>
      </c>
      <c r="AU88">
        <v>200</v>
      </c>
      <c r="AV88"/>
      <c r="AW88">
        <v>200</v>
      </c>
      <c r="AX88">
        <v>10500</v>
      </c>
      <c r="BI88" s="14">
        <f>SUM(Portefeuille_MNT_PPS_Access29[[#This Row],[AC ANT]:[TR 2035]])</f>
        <v>11000</v>
      </c>
    </row>
    <row r="89" spans="1:61" hidden="1" x14ac:dyDescent="0.3">
      <c r="A89" t="s">
        <v>286</v>
      </c>
      <c r="B89" t="s">
        <v>663</v>
      </c>
      <c r="D89" t="s">
        <v>101</v>
      </c>
      <c r="E89" t="s">
        <v>102</v>
      </c>
      <c r="F89" t="s">
        <v>136</v>
      </c>
      <c r="G89" t="s">
        <v>149</v>
      </c>
      <c r="H89" t="s">
        <v>130</v>
      </c>
      <c r="I89" t="s">
        <v>20</v>
      </c>
      <c r="J89" t="s">
        <v>105</v>
      </c>
      <c r="K89" s="2">
        <v>154061995</v>
      </c>
      <c r="L89" t="s">
        <v>367</v>
      </c>
      <c r="M89" t="s">
        <v>316</v>
      </c>
      <c r="N89" s="8">
        <f>_xlfn.XLOOKUP(Portefeuille_MNT_PPS_Access29[[#This Row],[Numéro projet]], Portefeuille_MNT_PPS_Access20[Numéro projet], Portefeuille_MNT_PPS_Access20[Année DÉBUT Travaux prévu], "")</f>
        <v>2030</v>
      </c>
      <c r="O89">
        <v>2030</v>
      </c>
      <c r="P89">
        <f>Portefeuille_MNT_PPS_Access29[[#This Row],[Année DÉBUT Travaux proposé]]-Portefeuille_MNT_PPS_Access29[[#This Row],[Année DÉBUT Travaux prog actuelle]]</f>
        <v>0</v>
      </c>
      <c r="Q89" t="s">
        <v>155</v>
      </c>
      <c r="R89" s="1">
        <v>46157</v>
      </c>
      <c r="S89" s="1">
        <v>46645</v>
      </c>
      <c r="T89" s="1">
        <v>47011</v>
      </c>
      <c r="U8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8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8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8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16</v>
      </c>
      <c r="Y8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89">
        <f>Portefeuille_MNT_PPS_Access29[[#This Row],[Délais PC1 et PC3]]+Portefeuille_MNT_PPS_Access29[[#This Row],[Délais PC3 et PC5]]</f>
        <v>28</v>
      </c>
      <c r="AB89">
        <v>1</v>
      </c>
      <c r="AD89" t="s">
        <v>156</v>
      </c>
      <c r="AE89">
        <v>3</v>
      </c>
      <c r="AF89" s="2">
        <f>_xlfn.XLOOKUP(Portefeuille_MNT_PPS_Access29[[#This Row],[Numéro projet]],Portefeuille_MNT_PPS_Access27[Numéro projet],Portefeuille_MNT_PPS_Access27[Critère Etat Infrastructure])</f>
        <v>4</v>
      </c>
      <c r="AG8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89" s="221"/>
      <c r="AL89"/>
      <c r="AQ89">
        <v>430</v>
      </c>
      <c r="AS89">
        <v>600</v>
      </c>
      <c r="AU89">
        <v>670</v>
      </c>
      <c r="AV89"/>
      <c r="AW89">
        <v>600</v>
      </c>
      <c r="AX89">
        <v>5000</v>
      </c>
      <c r="BA89">
        <v>500</v>
      </c>
      <c r="BB89">
        <v>4700</v>
      </c>
      <c r="BC89">
        <v>600</v>
      </c>
      <c r="BD89">
        <v>5000</v>
      </c>
      <c r="BE89">
        <v>600</v>
      </c>
      <c r="BF89">
        <v>5000</v>
      </c>
      <c r="BI89" s="14">
        <f>SUM(Portefeuille_MNT_PPS_Access29[[#This Row],[AC ANT]:[TR 2035]])</f>
        <v>23700</v>
      </c>
    </row>
    <row r="90" spans="1:61" hidden="1" x14ac:dyDescent="0.3">
      <c r="A90" t="s">
        <v>286</v>
      </c>
      <c r="B90" t="s">
        <v>664</v>
      </c>
      <c r="D90" t="s">
        <v>101</v>
      </c>
      <c r="E90" t="s">
        <v>102</v>
      </c>
      <c r="F90" t="s">
        <v>136</v>
      </c>
      <c r="G90" t="s">
        <v>149</v>
      </c>
      <c r="H90" t="s">
        <v>16</v>
      </c>
      <c r="I90" t="s">
        <v>20</v>
      </c>
      <c r="J90" t="s">
        <v>131</v>
      </c>
      <c r="K90" s="2">
        <v>154180773</v>
      </c>
      <c r="L90" t="s">
        <v>213</v>
      </c>
      <c r="M90" t="s">
        <v>214</v>
      </c>
      <c r="N90" s="8">
        <f>_xlfn.XLOOKUP(Portefeuille_MNT_PPS_Access29[[#This Row],[Numéro projet]], Portefeuille_MNT_PPS_Access20[Numéro projet], Portefeuille_MNT_PPS_Access20[Année DÉBUT Travaux prévu], "")</f>
        <v>2030</v>
      </c>
      <c r="O90">
        <v>2030</v>
      </c>
      <c r="P90">
        <f>Portefeuille_MNT_PPS_Access29[[#This Row],[Année DÉBUT Travaux proposé]]-Portefeuille_MNT_PPS_Access29[[#This Row],[Année DÉBUT Travaux prog actuelle]]</f>
        <v>0</v>
      </c>
      <c r="Q90" t="s">
        <v>155</v>
      </c>
      <c r="R90" s="1">
        <v>45915</v>
      </c>
      <c r="S90" s="1">
        <v>46280</v>
      </c>
      <c r="T90" s="1">
        <v>46645</v>
      </c>
      <c r="U9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9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9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9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9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90">
        <f>Portefeuille_MNT_PPS_Access29[[#This Row],[Délais PC1 et PC3]]+Portefeuille_MNT_PPS_Access29[[#This Row],[Délais PC3 et PC5]]</f>
        <v>24</v>
      </c>
      <c r="AB90">
        <v>1</v>
      </c>
      <c r="AD90" t="s">
        <v>156</v>
      </c>
      <c r="AE90">
        <v>3</v>
      </c>
      <c r="AF90" s="2">
        <f>_xlfn.XLOOKUP(Portefeuille_MNT_PPS_Access29[[#This Row],[Numéro projet]],Portefeuille_MNT_PPS_Access27[Numéro projet],Portefeuille_MNT_PPS_Access27[Critère Etat Infrastructure])</f>
        <v>4</v>
      </c>
      <c r="AG9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90" s="221"/>
      <c r="AI90">
        <v>47</v>
      </c>
      <c r="AK90">
        <v>93</v>
      </c>
      <c r="AL90"/>
      <c r="AM90">
        <v>150</v>
      </c>
      <c r="AO90">
        <v>125</v>
      </c>
      <c r="AQ90">
        <v>125</v>
      </c>
      <c r="AS90">
        <v>125</v>
      </c>
      <c r="AU90">
        <v>125</v>
      </c>
      <c r="AV90"/>
      <c r="AW90">
        <v>300</v>
      </c>
      <c r="AX90">
        <v>5000</v>
      </c>
      <c r="AY90">
        <v>431</v>
      </c>
      <c r="AZ90">
        <v>10000</v>
      </c>
      <c r="BI90" s="14">
        <f>SUM(Portefeuille_MNT_PPS_Access29[[#This Row],[AC ANT]:[TR 2035]])</f>
        <v>16521</v>
      </c>
    </row>
    <row r="91" spans="1:61" hidden="1" x14ac:dyDescent="0.3">
      <c r="A91" t="s">
        <v>286</v>
      </c>
      <c r="B91" t="s">
        <v>664</v>
      </c>
      <c r="D91" t="s">
        <v>101</v>
      </c>
      <c r="E91" t="s">
        <v>102</v>
      </c>
      <c r="F91" t="s">
        <v>136</v>
      </c>
      <c r="G91" t="s">
        <v>104</v>
      </c>
      <c r="H91" t="s">
        <v>130</v>
      </c>
      <c r="I91" t="s">
        <v>20</v>
      </c>
      <c r="J91" t="s">
        <v>131</v>
      </c>
      <c r="K91" s="2">
        <v>154190597</v>
      </c>
      <c r="L91" t="s">
        <v>374</v>
      </c>
      <c r="M91" t="s">
        <v>159</v>
      </c>
      <c r="N91" s="229">
        <f>_xlfn.XLOOKUP(Portefeuille_MNT_PPS_Access29[[#This Row],[Numéro projet]], Portefeuille_MNT_PPS_Access20[Numéro projet], Portefeuille_MNT_PPS_Access20[Année DÉBUT Travaux prévu], "")</f>
        <v>2029</v>
      </c>
      <c r="O91" s="227">
        <v>2030</v>
      </c>
      <c r="P91">
        <f>Portefeuille_MNT_PPS_Access29[[#This Row],[Année DÉBUT Travaux proposé]]-Portefeuille_MNT_PPS_Access29[[#This Row],[Année DÉBUT Travaux prog actuelle]]</f>
        <v>1</v>
      </c>
      <c r="Q91" t="s">
        <v>155</v>
      </c>
      <c r="R91" s="1">
        <v>45960</v>
      </c>
      <c r="S91" s="1">
        <v>46280</v>
      </c>
      <c r="T91" s="1">
        <v>46645</v>
      </c>
      <c r="U9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9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9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9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9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91">
        <f>Portefeuille_MNT_PPS_Access29[[#This Row],[Délais PC1 et PC3]]+Portefeuille_MNT_PPS_Access29[[#This Row],[Délais PC3 et PC5]]</f>
        <v>23</v>
      </c>
      <c r="AB91">
        <v>1</v>
      </c>
      <c r="AD91" t="s">
        <v>156</v>
      </c>
      <c r="AE91">
        <v>4.333333333333333</v>
      </c>
      <c r="AF91" s="2">
        <f>_xlfn.XLOOKUP(Portefeuille_MNT_PPS_Access29[[#This Row],[Numéro projet]],Portefeuille_MNT_PPS_Access27[Numéro projet],Portefeuille_MNT_PPS_Access27[Critère Etat Infrastructure])</f>
        <v>4</v>
      </c>
      <c r="AG9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51.666666666666671</v>
      </c>
      <c r="AH91" s="221"/>
      <c r="AL91"/>
      <c r="AO91">
        <v>100</v>
      </c>
      <c r="AQ91">
        <v>250</v>
      </c>
      <c r="AS91">
        <v>350</v>
      </c>
      <c r="AU91">
        <v>500</v>
      </c>
      <c r="AV91"/>
      <c r="AW91">
        <v>500</v>
      </c>
      <c r="AX91">
        <v>8000</v>
      </c>
      <c r="AY91">
        <v>500</v>
      </c>
      <c r="AZ91">
        <v>8000</v>
      </c>
      <c r="BI91" s="14">
        <f>SUM(Portefeuille_MNT_PPS_Access29[[#This Row],[AC ANT]:[TR 2035]])</f>
        <v>18200</v>
      </c>
    </row>
    <row r="92" spans="1:61" x14ac:dyDescent="0.3">
      <c r="A92" t="s">
        <v>286</v>
      </c>
      <c r="B92" t="s">
        <v>664</v>
      </c>
      <c r="D92" t="s">
        <v>101</v>
      </c>
      <c r="E92" t="s">
        <v>102</v>
      </c>
      <c r="F92" t="s">
        <v>136</v>
      </c>
      <c r="G92" t="s">
        <v>129</v>
      </c>
      <c r="H92" t="s">
        <v>130</v>
      </c>
      <c r="I92" t="s">
        <v>20</v>
      </c>
      <c r="J92" t="s">
        <v>131</v>
      </c>
      <c r="K92" s="2">
        <v>154210517</v>
      </c>
      <c r="L92" t="s">
        <v>406</v>
      </c>
      <c r="M92" t="s">
        <v>152</v>
      </c>
      <c r="N92" s="229">
        <f>_xlfn.XLOOKUP(Portefeuille_MNT_PPS_Access29[[#This Row],[Numéro projet]], Portefeuille_MNT_PPS_Access20[Numéro projet], Portefeuille_MNT_PPS_Access20[Année DÉBUT Travaux prévu], "")</f>
        <v>2029</v>
      </c>
      <c r="O92" s="227">
        <v>2030</v>
      </c>
      <c r="P92">
        <f>Portefeuille_MNT_PPS_Access29[[#This Row],[Année DÉBUT Travaux proposé]]-Portefeuille_MNT_PPS_Access29[[#This Row],[Année DÉBUT Travaux prog actuelle]]</f>
        <v>1</v>
      </c>
      <c r="Q92" t="s">
        <v>155</v>
      </c>
      <c r="R92" s="1">
        <v>46054</v>
      </c>
      <c r="S92" s="1">
        <v>46427</v>
      </c>
      <c r="T92" s="1">
        <v>46813</v>
      </c>
      <c r="U9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9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9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9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9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13</v>
      </c>
      <c r="Z92">
        <f>Portefeuille_MNT_PPS_Access29[[#This Row],[Délais PC1 et PC3]]+Portefeuille_MNT_PPS_Access29[[#This Row],[Délais PC3 et PC5]]</f>
        <v>25</v>
      </c>
      <c r="AB92">
        <v>1</v>
      </c>
      <c r="AD92" t="s">
        <v>156</v>
      </c>
      <c r="AE92">
        <v>3.3333333333333335</v>
      </c>
      <c r="AF92" s="2">
        <f>_xlfn.XLOOKUP(Portefeuille_MNT_PPS_Access29[[#This Row],[Numéro projet]],Portefeuille_MNT_PPS_Access27[Numéro projet],Portefeuille_MNT_PPS_Access27[Critère Etat Infrastructure])</f>
        <v>4</v>
      </c>
      <c r="AG9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92" s="221"/>
      <c r="AL92"/>
      <c r="AO92">
        <v>100</v>
      </c>
      <c r="AQ92">
        <v>250</v>
      </c>
      <c r="AS92">
        <v>350</v>
      </c>
      <c r="AU92">
        <v>200</v>
      </c>
      <c r="AV92"/>
      <c r="AW92">
        <v>600</v>
      </c>
      <c r="AX92">
        <v>5500</v>
      </c>
      <c r="AY92">
        <v>600</v>
      </c>
      <c r="AZ92">
        <v>6000</v>
      </c>
      <c r="BA92">
        <v>600</v>
      </c>
      <c r="BB92">
        <v>6000</v>
      </c>
      <c r="BI92" s="14">
        <f>SUM(Portefeuille_MNT_PPS_Access29[[#This Row],[AC ANT]:[TR 2035]])</f>
        <v>20200</v>
      </c>
    </row>
    <row r="93" spans="1:61" hidden="1" x14ac:dyDescent="0.3">
      <c r="A93" t="s">
        <v>286</v>
      </c>
      <c r="B93" t="s">
        <v>664</v>
      </c>
      <c r="D93" t="s">
        <v>101</v>
      </c>
      <c r="E93" t="s">
        <v>102</v>
      </c>
      <c r="F93" t="s">
        <v>389</v>
      </c>
      <c r="H93" t="s">
        <v>20</v>
      </c>
      <c r="I93" t="s">
        <v>20</v>
      </c>
      <c r="J93" t="s">
        <v>105</v>
      </c>
      <c r="K93" s="2">
        <v>154220360</v>
      </c>
      <c r="L93" t="s">
        <v>433</v>
      </c>
      <c r="M93" t="s">
        <v>143</v>
      </c>
      <c r="N93" s="8">
        <f>_xlfn.XLOOKUP(Portefeuille_MNT_PPS_Access29[[#This Row],[Numéro projet]], Portefeuille_MNT_PPS_Access20[Numéro projet], Portefeuille_MNT_PPS_Access20[Année DÉBUT Travaux prévu], "")</f>
        <v>2031</v>
      </c>
      <c r="O93" s="8">
        <v>2031</v>
      </c>
      <c r="P93">
        <f>Portefeuille_MNT_PPS_Access29[[#This Row],[Année DÉBUT Travaux proposé]]-Portefeuille_MNT_PPS_Access29[[#This Row],[Année DÉBUT Travaux prog actuelle]]</f>
        <v>0</v>
      </c>
      <c r="Q93" t="s">
        <v>291</v>
      </c>
      <c r="R93" s="1"/>
      <c r="S93" s="1"/>
      <c r="T93" s="1"/>
      <c r="U9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9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9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9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9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3">
        <f>Portefeuille_MNT_PPS_Access29[[#This Row],[Délais PC1 et PC3]]+Portefeuille_MNT_PPS_Access29[[#This Row],[Délais PC3 et PC5]]</f>
        <v>0</v>
      </c>
      <c r="AB93">
        <v>1</v>
      </c>
      <c r="AD93" t="s">
        <v>311</v>
      </c>
      <c r="AE93">
        <v>4.333333333333333</v>
      </c>
      <c r="AF93" s="2">
        <f>_xlfn.XLOOKUP(Portefeuille_MNT_PPS_Access29[[#This Row],[Numéro projet]],Portefeuille_MNT_PPS_Access27[Numéro projet],Portefeuille_MNT_PPS_Access27[Critère Etat Infrastructure])</f>
        <v>4</v>
      </c>
      <c r="AG9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46.666666666666664</v>
      </c>
      <c r="AH93" s="221"/>
      <c r="AL93"/>
      <c r="AV93"/>
      <c r="AW93">
        <v>100</v>
      </c>
      <c r="AY93">
        <v>200</v>
      </c>
      <c r="AZ93">
        <v>5000</v>
      </c>
      <c r="BI93" s="14">
        <f>SUM(Portefeuille_MNT_PPS_Access29[[#This Row],[AC ANT]:[TR 2035]])</f>
        <v>5300</v>
      </c>
    </row>
    <row r="94" spans="1:61" hidden="1" x14ac:dyDescent="0.3">
      <c r="A94" t="s">
        <v>286</v>
      </c>
      <c r="B94" t="s">
        <v>662</v>
      </c>
      <c r="D94" t="s">
        <v>118</v>
      </c>
      <c r="E94" t="s">
        <v>102</v>
      </c>
      <c r="F94" t="s">
        <v>136</v>
      </c>
      <c r="G94" t="s">
        <v>113</v>
      </c>
      <c r="H94" t="s">
        <v>16</v>
      </c>
      <c r="I94" t="s">
        <v>20</v>
      </c>
      <c r="J94" t="s">
        <v>105</v>
      </c>
      <c r="K94" s="2">
        <v>154230630</v>
      </c>
      <c r="L94" t="s">
        <v>249</v>
      </c>
      <c r="M94" t="s">
        <v>180</v>
      </c>
      <c r="N94" s="8">
        <f>_xlfn.XLOOKUP(Portefeuille_MNT_PPS_Access29[[#This Row],[Numéro projet]], Portefeuille_MNT_PPS_Access20[Numéro projet], Portefeuille_MNT_PPS_Access20[Année DÉBUT Travaux prévu], "")</f>
        <v>2027</v>
      </c>
      <c r="O94">
        <v>2027</v>
      </c>
      <c r="P94">
        <f>Portefeuille_MNT_PPS_Access29[[#This Row],[Année DÉBUT Travaux proposé]]-Portefeuille_MNT_PPS_Access29[[#This Row],[Année DÉBUT Travaux prog actuelle]]</f>
        <v>0</v>
      </c>
      <c r="Q94" t="s">
        <v>110</v>
      </c>
      <c r="R94" s="1">
        <v>45476</v>
      </c>
      <c r="S94" s="1">
        <v>46006</v>
      </c>
      <c r="T94" s="1">
        <v>46006</v>
      </c>
      <c r="U9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9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9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9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17</v>
      </c>
      <c r="Y9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4">
        <f>Portefeuille_MNT_PPS_Access29[[#This Row],[Délais PC1 et PC3]]+Portefeuille_MNT_PPS_Access29[[#This Row],[Délais PC3 et PC5]]</f>
        <v>17</v>
      </c>
      <c r="AB94">
        <v>1</v>
      </c>
      <c r="AC94">
        <v>5</v>
      </c>
      <c r="AD94" t="s">
        <v>112</v>
      </c>
      <c r="AE94">
        <v>3.1666666666666665</v>
      </c>
      <c r="AF94" s="2">
        <f>_xlfn.XLOOKUP(Portefeuille_MNT_PPS_Access29[[#This Row],[Numéro projet]],Portefeuille_MNT_PPS_Access27[Numéro projet],Portefeuille_MNT_PPS_Access27[Critère Etat Infrastructure])</f>
        <v>5</v>
      </c>
      <c r="AG9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70.833333333333343</v>
      </c>
      <c r="AH94" s="221"/>
      <c r="AL94"/>
      <c r="AM94">
        <v>100</v>
      </c>
      <c r="AO94">
        <v>110</v>
      </c>
      <c r="AQ94">
        <v>110</v>
      </c>
      <c r="AR94">
        <v>3445</v>
      </c>
      <c r="AV94"/>
      <c r="BI94" s="14">
        <f>SUM(Portefeuille_MNT_PPS_Access29[[#This Row],[AC ANT]:[TR 2035]])</f>
        <v>3765</v>
      </c>
    </row>
    <row r="95" spans="1:61" hidden="1" x14ac:dyDescent="0.3">
      <c r="A95" t="s">
        <v>286</v>
      </c>
      <c r="B95" t="s">
        <v>663</v>
      </c>
      <c r="D95" t="s">
        <v>101</v>
      </c>
      <c r="E95" t="s">
        <v>102</v>
      </c>
      <c r="F95" t="s">
        <v>136</v>
      </c>
      <c r="G95" t="s">
        <v>104</v>
      </c>
      <c r="H95" t="s">
        <v>20</v>
      </c>
      <c r="I95" t="s">
        <v>20</v>
      </c>
      <c r="J95" t="s">
        <v>105</v>
      </c>
      <c r="K95" s="2">
        <v>154160749</v>
      </c>
      <c r="L95" t="s">
        <v>369</v>
      </c>
      <c r="M95" t="s">
        <v>217</v>
      </c>
      <c r="N95" s="8">
        <f>_xlfn.XLOOKUP(Portefeuille_MNT_PPS_Access29[[#This Row],[Numéro projet]], Portefeuille_MNT_PPS_Access20[Numéro projet], Portefeuille_MNT_PPS_Access20[Année DÉBUT Travaux prévu], "")</f>
        <v>2031</v>
      </c>
      <c r="O95" s="2">
        <v>2031</v>
      </c>
      <c r="P95" s="2">
        <f>Portefeuille_MNT_PPS_Access29[[#This Row],[Année DÉBUT Travaux proposé]]-Portefeuille_MNT_PPS_Access29[[#This Row],[Année DÉBUT Travaux prog actuelle]]</f>
        <v>0</v>
      </c>
      <c r="Q95" t="s">
        <v>291</v>
      </c>
      <c r="R95" s="1"/>
      <c r="S95" s="1"/>
      <c r="T95" s="1"/>
      <c r="U9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9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9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9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9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5">
        <f>Portefeuille_MNT_PPS_Access29[[#This Row],[Délais PC1 et PC3]]+Portefeuille_MNT_PPS_Access29[[#This Row],[Délais PC3 et PC5]]</f>
        <v>0</v>
      </c>
      <c r="AB95">
        <v>1</v>
      </c>
      <c r="AD95" t="s">
        <v>311</v>
      </c>
      <c r="AE95">
        <v>2.6666666666666665</v>
      </c>
      <c r="AF95" s="2">
        <f>_xlfn.XLOOKUP(Portefeuille_MNT_PPS_Access29[[#This Row],[Numéro projet]],Portefeuille_MNT_PPS_Access27[Numéro projet],Portefeuille_MNT_PPS_Access27[Critère Etat Infrastructure])</f>
        <v>4</v>
      </c>
      <c r="AG9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38.333333333333336</v>
      </c>
      <c r="AH95" s="221"/>
      <c r="AL95"/>
      <c r="AQ95">
        <v>250</v>
      </c>
      <c r="AS95">
        <v>250</v>
      </c>
      <c r="AU95">
        <v>200</v>
      </c>
      <c r="AV95"/>
      <c r="AW95">
        <v>200</v>
      </c>
      <c r="AY95">
        <v>500</v>
      </c>
      <c r="AZ95">
        <v>5700</v>
      </c>
      <c r="BA95">
        <v>500</v>
      </c>
      <c r="BB95">
        <v>5500</v>
      </c>
      <c r="BC95">
        <v>500</v>
      </c>
      <c r="BD95">
        <v>6700</v>
      </c>
      <c r="BI95" s="14">
        <f>SUM(Portefeuille_MNT_PPS_Access29[[#This Row],[AC ANT]:[TR 2035]])</f>
        <v>20300</v>
      </c>
    </row>
    <row r="96" spans="1:61" hidden="1" x14ac:dyDescent="0.3">
      <c r="A96" t="s">
        <v>286</v>
      </c>
      <c r="B96" t="s">
        <v>662</v>
      </c>
      <c r="D96" t="s">
        <v>118</v>
      </c>
      <c r="E96" t="s">
        <v>102</v>
      </c>
      <c r="F96" t="s">
        <v>136</v>
      </c>
      <c r="G96" t="s">
        <v>104</v>
      </c>
      <c r="H96" t="s">
        <v>130</v>
      </c>
      <c r="I96" t="s">
        <v>20</v>
      </c>
      <c r="J96" t="s">
        <v>105</v>
      </c>
      <c r="K96" s="2">
        <v>154061990</v>
      </c>
      <c r="L96" t="s">
        <v>365</v>
      </c>
      <c r="M96" t="s">
        <v>205</v>
      </c>
      <c r="N96" s="229">
        <f>_xlfn.XLOOKUP(Portefeuille_MNT_PPS_Access29[[#This Row],[Numéro projet]], Portefeuille_MNT_PPS_Access20[Numéro projet], Portefeuille_MNT_PPS_Access20[Année DÉBUT Travaux prévu], "")</f>
        <v>2030</v>
      </c>
      <c r="O96" s="228">
        <v>2031</v>
      </c>
      <c r="P96" s="2">
        <f>Portefeuille_MNT_PPS_Access29[[#This Row],[Année DÉBUT Travaux proposé]]-Portefeuille_MNT_PPS_Access29[[#This Row],[Année DÉBUT Travaux prog actuelle]]</f>
        <v>1</v>
      </c>
      <c r="Q96" t="s">
        <v>291</v>
      </c>
      <c r="R96" s="1"/>
      <c r="S96" s="1"/>
      <c r="T96" s="1"/>
      <c r="U9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9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9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9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9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6">
        <f>Portefeuille_MNT_PPS_Access29[[#This Row],[Délais PC1 et PC3]]+Portefeuille_MNT_PPS_Access29[[#This Row],[Délais PC3 et PC5]]</f>
        <v>0</v>
      </c>
      <c r="AB96">
        <v>1</v>
      </c>
      <c r="AD96" t="s">
        <v>311</v>
      </c>
      <c r="AE96">
        <v>3</v>
      </c>
      <c r="AF96" s="2">
        <f>_xlfn.XLOOKUP(Portefeuille_MNT_PPS_Access29[[#This Row],[Numéro projet]],Portefeuille_MNT_PPS_Access27[Numéro projet],Portefeuille_MNT_PPS_Access27[Critère Etat Infrastructure])</f>
        <v>4</v>
      </c>
      <c r="AG9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96" s="221"/>
      <c r="AL96"/>
      <c r="AS96">
        <v>200</v>
      </c>
      <c r="AU96">
        <v>200</v>
      </c>
      <c r="AV96"/>
      <c r="AW96">
        <v>400</v>
      </c>
      <c r="AY96">
        <v>400</v>
      </c>
      <c r="AZ96">
        <v>4500</v>
      </c>
      <c r="BA96">
        <v>400</v>
      </c>
      <c r="BB96">
        <v>7000</v>
      </c>
      <c r="BC96">
        <v>400</v>
      </c>
      <c r="BD96">
        <v>7000</v>
      </c>
      <c r="BI96" s="14">
        <f>SUM(Portefeuille_MNT_PPS_Access29[[#This Row],[AC ANT]:[TR 2035]])</f>
        <v>20500</v>
      </c>
    </row>
    <row r="97" spans="1:61" hidden="1" x14ac:dyDescent="0.3">
      <c r="A97" t="s">
        <v>286</v>
      </c>
      <c r="B97" t="s">
        <v>295</v>
      </c>
      <c r="D97" t="s">
        <v>126</v>
      </c>
      <c r="E97" t="s">
        <v>127</v>
      </c>
      <c r="F97" t="s">
        <v>136</v>
      </c>
      <c r="G97" t="s">
        <v>113</v>
      </c>
      <c r="H97" t="s">
        <v>16</v>
      </c>
      <c r="I97" t="s">
        <v>20</v>
      </c>
      <c r="J97" t="s">
        <v>131</v>
      </c>
      <c r="K97" s="2">
        <v>154190601</v>
      </c>
      <c r="L97" t="s">
        <v>227</v>
      </c>
      <c r="M97" t="s">
        <v>139</v>
      </c>
      <c r="N97" s="8">
        <f>_xlfn.XLOOKUP(Portefeuille_MNT_PPS_Access29[[#This Row],[Numéro projet]], Portefeuille_MNT_PPS_Access20[Numéro projet], Portefeuille_MNT_PPS_Access20[Année DÉBUT Travaux prévu], "")</f>
        <v>2030</v>
      </c>
      <c r="O97">
        <v>2030</v>
      </c>
      <c r="P97">
        <f>Portefeuille_MNT_PPS_Access29[[#This Row],[Année DÉBUT Travaux proposé]]-Portefeuille_MNT_PPS_Access29[[#This Row],[Année DÉBUT Travaux prog actuelle]]</f>
        <v>0</v>
      </c>
      <c r="Q97" t="s">
        <v>110</v>
      </c>
      <c r="R97" s="1">
        <v>45330</v>
      </c>
      <c r="S97" s="1">
        <v>46690</v>
      </c>
      <c r="T97" s="1">
        <v>47376</v>
      </c>
      <c r="U9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9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9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9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44</v>
      </c>
      <c r="Y9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23</v>
      </c>
      <c r="Z97">
        <f>Portefeuille_MNT_PPS_Access29[[#This Row],[Délais PC1 et PC3]]+Portefeuille_MNT_PPS_Access29[[#This Row],[Délais PC3 et PC5]]</f>
        <v>67</v>
      </c>
      <c r="AB97">
        <v>1</v>
      </c>
      <c r="AD97" t="s">
        <v>112</v>
      </c>
      <c r="AE97">
        <v>2</v>
      </c>
      <c r="AF97" s="2">
        <f>_xlfn.XLOOKUP(Portefeuille_MNT_PPS_Access29[[#This Row],[Numéro projet]],Portefeuille_MNT_PPS_Access27[Numéro projet],Portefeuille_MNT_PPS_Access27[Critère Etat Infrastructure])</f>
        <v>3</v>
      </c>
      <c r="AG9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97" s="221"/>
      <c r="AI97">
        <v>44</v>
      </c>
      <c r="AK97">
        <v>35</v>
      </c>
      <c r="AL97"/>
      <c r="AM97">
        <v>100</v>
      </c>
      <c r="AO97">
        <v>288</v>
      </c>
      <c r="AQ97">
        <v>475</v>
      </c>
      <c r="AS97">
        <v>475</v>
      </c>
      <c r="AU97">
        <v>573</v>
      </c>
      <c r="AV97"/>
      <c r="AW97">
        <v>1000</v>
      </c>
      <c r="AX97">
        <v>4362</v>
      </c>
      <c r="AY97">
        <v>1087</v>
      </c>
      <c r="AZ97">
        <v>12800</v>
      </c>
      <c r="BI97" s="14">
        <f>SUM(Portefeuille_MNT_PPS_Access29[[#This Row],[AC ANT]:[TR 2035]])</f>
        <v>21239</v>
      </c>
    </row>
    <row r="98" spans="1:61" hidden="1" x14ac:dyDescent="0.3">
      <c r="A98" t="s">
        <v>286</v>
      </c>
      <c r="B98" t="s">
        <v>662</v>
      </c>
      <c r="D98" t="s">
        <v>118</v>
      </c>
      <c r="E98" t="s">
        <v>102</v>
      </c>
      <c r="F98" t="s">
        <v>177</v>
      </c>
      <c r="H98" t="s">
        <v>20</v>
      </c>
      <c r="I98" t="s">
        <v>20</v>
      </c>
      <c r="J98" t="s">
        <v>131</v>
      </c>
      <c r="K98" s="2">
        <v>154240787</v>
      </c>
      <c r="L98" s="86" t="s">
        <v>523</v>
      </c>
      <c r="M98" t="s">
        <v>187</v>
      </c>
      <c r="N98" s="229">
        <f>_xlfn.XLOOKUP(Portefeuille_MNT_PPS_Access29[[#This Row],[Numéro projet]], Portefeuille_MNT_PPS_Access20[Numéro projet], Portefeuille_MNT_PPS_Access20[Année DÉBUT Travaux prévu], "")</f>
        <v>2029</v>
      </c>
      <c r="O98" s="229">
        <v>2030</v>
      </c>
      <c r="P98">
        <f>Portefeuille_MNT_PPS_Access29[[#This Row],[Année DÉBUT Travaux proposé]]-Portefeuille_MNT_PPS_Access29[[#This Row],[Année DÉBUT Travaux prog actuelle]]</f>
        <v>1</v>
      </c>
      <c r="Q98" t="s">
        <v>291</v>
      </c>
      <c r="R98" s="1"/>
      <c r="S98" s="1"/>
      <c r="T98" s="1"/>
      <c r="U9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9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9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9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9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8">
        <f>Portefeuille_MNT_PPS_Access29[[#This Row],[Délais PC1 et PC3]]+Portefeuille_MNT_PPS_Access29[[#This Row],[Délais PC3 et PC5]]</f>
        <v>0</v>
      </c>
      <c r="AB98">
        <v>1</v>
      </c>
      <c r="AD98" t="s">
        <v>311</v>
      </c>
      <c r="AE98">
        <v>3</v>
      </c>
      <c r="AF98" s="2">
        <f>_xlfn.XLOOKUP(Portefeuille_MNT_PPS_Access29[[#This Row],[Numéro projet]],Portefeuille_MNT_PPS_Access27[Numéro projet],Portefeuille_MNT_PPS_Access27[Critère Etat Infrastructure])</f>
        <v>5</v>
      </c>
      <c r="AG9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98" s="221"/>
      <c r="AL98"/>
      <c r="AS98">
        <v>50</v>
      </c>
      <c r="AU98">
        <v>100</v>
      </c>
      <c r="AV98"/>
      <c r="AW98">
        <v>200</v>
      </c>
      <c r="AX98">
        <v>2000</v>
      </c>
      <c r="BI98" s="14">
        <f>SUM(Portefeuille_MNT_PPS_Access29[[#This Row],[AC ANT]:[TR 2035]])</f>
        <v>2350</v>
      </c>
    </row>
    <row r="99" spans="1:61" x14ac:dyDescent="0.3">
      <c r="A99" t="s">
        <v>286</v>
      </c>
      <c r="B99" t="s">
        <v>662</v>
      </c>
      <c r="D99" t="s">
        <v>118</v>
      </c>
      <c r="E99" t="s">
        <v>102</v>
      </c>
      <c r="F99" t="s">
        <v>103</v>
      </c>
      <c r="H99" t="s">
        <v>20</v>
      </c>
      <c r="I99" t="s">
        <v>20</v>
      </c>
      <c r="J99" t="s">
        <v>131</v>
      </c>
      <c r="K99" s="2">
        <v>154171401</v>
      </c>
      <c r="L99" t="s">
        <v>372</v>
      </c>
      <c r="M99" t="s">
        <v>152</v>
      </c>
      <c r="N99" s="229">
        <f>_xlfn.XLOOKUP(Portefeuille_MNT_PPS_Access29[[#This Row],[Numéro projet]], Portefeuille_MNT_PPS_Access20[Numéro projet], Portefeuille_MNT_PPS_Access20[Année DÉBUT Travaux prévu], "")</f>
        <v>2030</v>
      </c>
      <c r="O99" s="229">
        <v>2031</v>
      </c>
      <c r="P99">
        <f>Portefeuille_MNT_PPS_Access29[[#This Row],[Année DÉBUT Travaux proposé]]-Portefeuille_MNT_PPS_Access29[[#This Row],[Année DÉBUT Travaux prog actuelle]]</f>
        <v>1</v>
      </c>
      <c r="Q99" t="s">
        <v>291</v>
      </c>
      <c r="R99" s="1"/>
      <c r="S99" s="1"/>
      <c r="T99" s="1"/>
      <c r="U9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9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9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9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9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99">
        <f>Portefeuille_MNT_PPS_Access29[[#This Row],[Délais PC1 et PC3]]+Portefeuille_MNT_PPS_Access29[[#This Row],[Délais PC3 et PC5]]</f>
        <v>0</v>
      </c>
      <c r="AB99">
        <v>1</v>
      </c>
      <c r="AD99" t="s">
        <v>311</v>
      </c>
      <c r="AE99">
        <v>3.3333333333333335</v>
      </c>
      <c r="AF99" s="2">
        <f>_xlfn.XLOOKUP(Portefeuille_MNT_PPS_Access29[[#This Row],[Numéro projet]],Portefeuille_MNT_PPS_Access27[Numéro projet],Portefeuille_MNT_PPS_Access27[Critère Etat Infrastructure])</f>
        <v>4</v>
      </c>
      <c r="AG9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41.666666666666671</v>
      </c>
      <c r="AH99" s="221"/>
      <c r="AL99"/>
      <c r="AU99">
        <v>100</v>
      </c>
      <c r="AV99"/>
      <c r="AW99">
        <v>200</v>
      </c>
      <c r="AY99">
        <v>450</v>
      </c>
      <c r="AZ99">
        <v>7500</v>
      </c>
      <c r="BI99" s="14">
        <f>SUM(Portefeuille_MNT_PPS_Access29[[#This Row],[AC ANT]:[TR 2035]])</f>
        <v>8250</v>
      </c>
    </row>
    <row r="100" spans="1:61" hidden="1" x14ac:dyDescent="0.3">
      <c r="A100" t="s">
        <v>286</v>
      </c>
      <c r="B100" t="s">
        <v>295</v>
      </c>
      <c r="D100" t="s">
        <v>126</v>
      </c>
      <c r="E100" t="s">
        <v>127</v>
      </c>
      <c r="F100" t="s">
        <v>103</v>
      </c>
      <c r="G100" t="s">
        <v>113</v>
      </c>
      <c r="H100" t="s">
        <v>20</v>
      </c>
      <c r="I100" t="s">
        <v>20</v>
      </c>
      <c r="J100" t="s">
        <v>105</v>
      </c>
      <c r="K100" s="2">
        <v>154230840</v>
      </c>
      <c r="L100" t="s">
        <v>526</v>
      </c>
      <c r="M100" t="s">
        <v>168</v>
      </c>
      <c r="N100" s="229">
        <f>_xlfn.XLOOKUP(Portefeuille_MNT_PPS_Access29[[#This Row],[Numéro projet]], Portefeuille_MNT_PPS_Access20[Numéro projet], Portefeuille_MNT_PPS_Access20[Année DÉBUT Travaux prévu], "")</f>
        <v>2030</v>
      </c>
      <c r="O100" s="229">
        <v>2032</v>
      </c>
      <c r="P100">
        <f>Portefeuille_MNT_PPS_Access29[[#This Row],[Année DÉBUT Travaux proposé]]-Portefeuille_MNT_PPS_Access29[[#This Row],[Année DÉBUT Travaux prog actuelle]]</f>
        <v>2</v>
      </c>
      <c r="Q100" t="s">
        <v>291</v>
      </c>
      <c r="R100" s="1"/>
      <c r="S100" s="1"/>
      <c r="T100" s="1"/>
      <c r="U10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0">
        <f>Portefeuille_MNT_PPS_Access29[[#This Row],[Délais PC1 et PC3]]+Portefeuille_MNT_PPS_Access29[[#This Row],[Délais PC3 et PC5]]</f>
        <v>0</v>
      </c>
      <c r="AB100">
        <v>1</v>
      </c>
      <c r="AD100" t="s">
        <v>311</v>
      </c>
      <c r="AE100">
        <v>3.3333333333333335</v>
      </c>
      <c r="AF100" s="2">
        <f>_xlfn.XLOOKUP(Portefeuille_MNT_PPS_Access29[[#This Row],[Numéro projet]],Portefeuille_MNT_PPS_Access27[Numéro projet],Portefeuille_MNT_PPS_Access27[Critère Etat Infrastructure])</f>
        <v>3</v>
      </c>
      <c r="AG10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100" s="221"/>
      <c r="AL100"/>
      <c r="AV100"/>
      <c r="AW100">
        <v>200</v>
      </c>
      <c r="AY100">
        <v>200</v>
      </c>
      <c r="BA100">
        <v>500</v>
      </c>
      <c r="BB100">
        <v>7500</v>
      </c>
      <c r="BC100">
        <v>500</v>
      </c>
      <c r="BD100">
        <v>7500</v>
      </c>
      <c r="BI100" s="14">
        <f>SUM(Portefeuille_MNT_PPS_Access29[[#This Row],[AC ANT]:[TR 2035]])</f>
        <v>16400</v>
      </c>
    </row>
    <row r="101" spans="1:61" hidden="1" x14ac:dyDescent="0.3">
      <c r="A101" t="s">
        <v>286</v>
      </c>
      <c r="B101" t="s">
        <v>664</v>
      </c>
      <c r="D101" t="s">
        <v>101</v>
      </c>
      <c r="E101" t="s">
        <v>102</v>
      </c>
      <c r="F101" t="s">
        <v>103</v>
      </c>
      <c r="G101" t="s">
        <v>104</v>
      </c>
      <c r="H101" t="s">
        <v>16</v>
      </c>
      <c r="I101" t="s">
        <v>16</v>
      </c>
      <c r="J101" t="s">
        <v>105</v>
      </c>
      <c r="K101" s="2">
        <v>154101261</v>
      </c>
      <c r="L101" t="s">
        <v>216</v>
      </c>
      <c r="M101" t="s">
        <v>217</v>
      </c>
      <c r="N101" s="8">
        <f>_xlfn.XLOOKUP(Portefeuille_MNT_PPS_Access29[[#This Row],[Numéro projet]], Portefeuille_MNT_PPS_Access20[Numéro projet], Portefeuille_MNT_PPS_Access20[Année DÉBUT Travaux prévu], "")</f>
        <v>2025</v>
      </c>
      <c r="O101">
        <v>2025</v>
      </c>
      <c r="P101">
        <f>Portefeuille_MNT_PPS_Access29[[#This Row],[Année DÉBUT Travaux proposé]]-Portefeuille_MNT_PPS_Access29[[#This Row],[Année DÉBUT Travaux prog actuelle]]</f>
        <v>0</v>
      </c>
      <c r="Q101" t="s">
        <v>164</v>
      </c>
      <c r="R101" s="1">
        <v>44838</v>
      </c>
      <c r="S101" s="1">
        <v>45441</v>
      </c>
      <c r="T101" s="1">
        <v>45623</v>
      </c>
      <c r="U10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0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10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0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19</v>
      </c>
      <c r="Y10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6</v>
      </c>
      <c r="Z101">
        <f>Portefeuille_MNT_PPS_Access29[[#This Row],[Délais PC1 et PC3]]+Portefeuille_MNT_PPS_Access29[[#This Row],[Délais PC3 et PC5]]</f>
        <v>25</v>
      </c>
      <c r="AA101">
        <v>1</v>
      </c>
      <c r="AB101">
        <v>5</v>
      </c>
      <c r="AD101" t="s">
        <v>165</v>
      </c>
      <c r="AE101">
        <v>2.6666666666666665</v>
      </c>
      <c r="AF101" s="2">
        <f>_xlfn.XLOOKUP(Portefeuille_MNT_PPS_Access29[[#This Row],[Numéro projet]],Portefeuille_MNT_PPS_Access27[Numéro projet],Portefeuille_MNT_PPS_Access27[Critère Etat Infrastructure])</f>
        <v>4</v>
      </c>
      <c r="AG10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93.333333333333329</v>
      </c>
      <c r="AH101" s="221"/>
      <c r="AI101">
        <v>218</v>
      </c>
      <c r="AJ101">
        <v>3</v>
      </c>
      <c r="AK101">
        <v>96</v>
      </c>
      <c r="AL101"/>
      <c r="AM101">
        <v>643</v>
      </c>
      <c r="AN101">
        <v>12563</v>
      </c>
      <c r="AV101"/>
      <c r="BI101" s="14">
        <f>SUM(Portefeuille_MNT_PPS_Access29[[#This Row],[AC ANT]:[TR 2035]])</f>
        <v>13523</v>
      </c>
    </row>
    <row r="102" spans="1:61" hidden="1" x14ac:dyDescent="0.3">
      <c r="A102" t="s">
        <v>286</v>
      </c>
      <c r="B102" t="s">
        <v>663</v>
      </c>
      <c r="D102" t="s">
        <v>101</v>
      </c>
      <c r="E102" t="s">
        <v>102</v>
      </c>
      <c r="F102" t="s">
        <v>136</v>
      </c>
      <c r="H102" t="s">
        <v>20</v>
      </c>
      <c r="I102" t="s">
        <v>20</v>
      </c>
      <c r="J102" t="s">
        <v>105</v>
      </c>
      <c r="K102" s="2">
        <v>154240501</v>
      </c>
      <c r="L102" t="s">
        <v>455</v>
      </c>
      <c r="M102" t="s">
        <v>143</v>
      </c>
      <c r="N102" s="229">
        <f>_xlfn.XLOOKUP(Portefeuille_MNT_PPS_Access29[[#This Row],[Numéro projet]], Portefeuille_MNT_PPS_Access20[Numéro projet], Portefeuille_MNT_PPS_Access20[Année DÉBUT Travaux prévu], "")</f>
        <v>2031</v>
      </c>
      <c r="O102" s="227">
        <v>2032</v>
      </c>
      <c r="P102">
        <f>Portefeuille_MNT_PPS_Access29[[#This Row],[Année DÉBUT Travaux proposé]]-Portefeuille_MNT_PPS_Access29[[#This Row],[Année DÉBUT Travaux prog actuelle]]</f>
        <v>1</v>
      </c>
      <c r="Q102" t="s">
        <v>291</v>
      </c>
      <c r="R102" s="1"/>
      <c r="S102" s="1"/>
      <c r="T102" s="1"/>
      <c r="U10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2">
        <f>Portefeuille_MNT_PPS_Access29[[#This Row],[Délais PC1 et PC3]]+Portefeuille_MNT_PPS_Access29[[#This Row],[Délais PC3 et PC5]]</f>
        <v>0</v>
      </c>
      <c r="AB102">
        <v>1</v>
      </c>
      <c r="AD102" t="s">
        <v>311</v>
      </c>
      <c r="AE102">
        <v>4.333333333333333</v>
      </c>
      <c r="AF102" s="2">
        <f>_xlfn.XLOOKUP(Portefeuille_MNT_PPS_Access29[[#This Row],[Numéro projet]],Portefeuille_MNT_PPS_Access27[Numéro projet],Portefeuille_MNT_PPS_Access27[Critère Etat Infrastructure])</f>
        <v>3</v>
      </c>
      <c r="AG10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41.666666666666664</v>
      </c>
      <c r="AH102" s="221"/>
      <c r="AL102"/>
      <c r="AU102">
        <v>150</v>
      </c>
      <c r="AV102"/>
      <c r="AW102">
        <v>150</v>
      </c>
      <c r="AY102">
        <v>500</v>
      </c>
      <c r="BA102">
        <v>500</v>
      </c>
      <c r="BB102">
        <v>5000</v>
      </c>
      <c r="BC102">
        <v>500</v>
      </c>
      <c r="BD102">
        <v>5000</v>
      </c>
      <c r="BI102" s="14">
        <f>SUM(Portefeuille_MNT_PPS_Access29[[#This Row],[AC ANT]:[TR 2035]])</f>
        <v>11800</v>
      </c>
    </row>
    <row r="103" spans="1:61" hidden="1" x14ac:dyDescent="0.3">
      <c r="A103" t="s">
        <v>286</v>
      </c>
      <c r="B103" t="s">
        <v>662</v>
      </c>
      <c r="D103" t="s">
        <v>118</v>
      </c>
      <c r="E103" t="s">
        <v>102</v>
      </c>
      <c r="F103" t="s">
        <v>136</v>
      </c>
      <c r="H103" t="s">
        <v>20</v>
      </c>
      <c r="I103" t="s">
        <v>20</v>
      </c>
      <c r="J103" t="s">
        <v>131</v>
      </c>
      <c r="K103" s="2">
        <v>154240509</v>
      </c>
      <c r="L103" t="s">
        <v>471</v>
      </c>
      <c r="M103" t="s">
        <v>191</v>
      </c>
      <c r="N103" s="229">
        <f>_xlfn.XLOOKUP(Portefeuille_MNT_PPS_Access29[[#This Row],[Numéro projet]], Portefeuille_MNT_PPS_Access20[Numéro projet], Portefeuille_MNT_PPS_Access20[Année DÉBUT Travaux prévu], "")</f>
        <v>2031</v>
      </c>
      <c r="O103" s="227">
        <v>2032</v>
      </c>
      <c r="P103">
        <f>Portefeuille_MNT_PPS_Access29[[#This Row],[Année DÉBUT Travaux proposé]]-Portefeuille_MNT_PPS_Access29[[#This Row],[Année DÉBUT Travaux prog actuelle]]</f>
        <v>1</v>
      </c>
      <c r="Q103" t="s">
        <v>291</v>
      </c>
      <c r="R103" s="1"/>
      <c r="S103" s="1"/>
      <c r="T103" s="1"/>
      <c r="U10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3">
        <f>Portefeuille_MNT_PPS_Access29[[#This Row],[Délais PC1 et PC3]]+Portefeuille_MNT_PPS_Access29[[#This Row],[Délais PC3 et PC5]]</f>
        <v>0</v>
      </c>
      <c r="AB103">
        <v>1</v>
      </c>
      <c r="AD103" t="s">
        <v>311</v>
      </c>
      <c r="AE103">
        <v>1.6666666666666667</v>
      </c>
      <c r="AF103" s="2">
        <f>_xlfn.XLOOKUP(Portefeuille_MNT_PPS_Access29[[#This Row],[Numéro projet]],Portefeuille_MNT_PPS_Access27[Numéro projet],Portefeuille_MNT_PPS_Access27[Critère Etat Infrastructure])</f>
        <v>4</v>
      </c>
      <c r="AG10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33.333333333333329</v>
      </c>
      <c r="AH103" s="221"/>
      <c r="AL103"/>
      <c r="AU103">
        <v>100</v>
      </c>
      <c r="AV103"/>
      <c r="AW103">
        <v>100</v>
      </c>
      <c r="AY103">
        <v>200</v>
      </c>
      <c r="BA103">
        <v>500</v>
      </c>
      <c r="BB103">
        <v>3000</v>
      </c>
      <c r="BC103">
        <v>500</v>
      </c>
      <c r="BD103">
        <v>3000</v>
      </c>
      <c r="BI103" s="14">
        <f>SUM(Portefeuille_MNT_PPS_Access29[[#This Row],[AC ANT]:[TR 2035]])</f>
        <v>7400</v>
      </c>
    </row>
    <row r="104" spans="1:61" hidden="1" x14ac:dyDescent="0.3">
      <c r="A104" t="s">
        <v>286</v>
      </c>
      <c r="B104" t="s">
        <v>662</v>
      </c>
      <c r="D104" t="s">
        <v>118</v>
      </c>
      <c r="E104" t="s">
        <v>102</v>
      </c>
      <c r="F104" t="s">
        <v>103</v>
      </c>
      <c r="H104" t="s">
        <v>20</v>
      </c>
      <c r="I104" t="s">
        <v>20</v>
      </c>
      <c r="J104" t="s">
        <v>131</v>
      </c>
      <c r="K104" s="2">
        <v>154220352</v>
      </c>
      <c r="L104" t="s">
        <v>530</v>
      </c>
      <c r="M104" t="s">
        <v>420</v>
      </c>
      <c r="N104" s="8">
        <f>_xlfn.XLOOKUP(Portefeuille_MNT_PPS_Access29[[#This Row],[Numéro projet]], Portefeuille_MNT_PPS_Access20[Numéro projet], Portefeuille_MNT_PPS_Access20[Année DÉBUT Travaux prévu], "")</f>
        <v>2032</v>
      </c>
      <c r="O104" s="8">
        <v>2032</v>
      </c>
      <c r="P104">
        <f>Portefeuille_MNT_PPS_Access29[[#This Row],[Année DÉBUT Travaux proposé]]-Portefeuille_MNT_PPS_Access29[[#This Row],[Année DÉBUT Travaux prog actuelle]]</f>
        <v>0</v>
      </c>
      <c r="Q104" t="s">
        <v>291</v>
      </c>
      <c r="R104" s="1"/>
      <c r="S104" s="1"/>
      <c r="T104" s="1"/>
      <c r="U10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4">
        <f>Portefeuille_MNT_PPS_Access29[[#This Row],[Délais PC1 et PC3]]+Portefeuille_MNT_PPS_Access29[[#This Row],[Délais PC3 et PC5]]</f>
        <v>0</v>
      </c>
      <c r="AB104">
        <v>1</v>
      </c>
      <c r="AD104" t="s">
        <v>311</v>
      </c>
      <c r="AE104">
        <v>3.6666666666666665</v>
      </c>
      <c r="AF104" s="2">
        <f>_xlfn.XLOOKUP(Portefeuille_MNT_PPS_Access29[[#This Row],[Numéro projet]],Portefeuille_MNT_PPS_Access27[Numéro projet],Portefeuille_MNT_PPS_Access27[Critère Etat Infrastructure])</f>
        <v>4</v>
      </c>
      <c r="AG10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43.333333333333329</v>
      </c>
      <c r="AH104" s="221"/>
      <c r="AL104"/>
      <c r="AV104"/>
      <c r="AW104">
        <v>100</v>
      </c>
      <c r="AY104">
        <v>200</v>
      </c>
      <c r="BA104">
        <v>450</v>
      </c>
      <c r="BB104">
        <v>7500</v>
      </c>
      <c r="BI104" s="14">
        <f>SUM(Portefeuille_MNT_PPS_Access29[[#This Row],[AC ANT]:[TR 2035]])</f>
        <v>8250</v>
      </c>
    </row>
    <row r="105" spans="1:61" hidden="1" x14ac:dyDescent="0.3">
      <c r="A105" t="s">
        <v>286</v>
      </c>
      <c r="B105" t="s">
        <v>664</v>
      </c>
      <c r="D105" t="s">
        <v>101</v>
      </c>
      <c r="E105" t="s">
        <v>102</v>
      </c>
      <c r="F105" t="s">
        <v>103</v>
      </c>
      <c r="G105" t="s">
        <v>113</v>
      </c>
      <c r="H105" t="s">
        <v>16</v>
      </c>
      <c r="I105" t="s">
        <v>16</v>
      </c>
      <c r="J105" t="s">
        <v>105</v>
      </c>
      <c r="K105" s="2">
        <v>154160152</v>
      </c>
      <c r="L105" t="s">
        <v>313</v>
      </c>
      <c r="M105" t="s">
        <v>168</v>
      </c>
      <c r="N105" s="8">
        <f>_xlfn.XLOOKUP(Portefeuille_MNT_PPS_Access29[[#This Row],[Numéro projet]], Portefeuille_MNT_PPS_Access20[Numéro projet], Portefeuille_MNT_PPS_Access20[Année DÉBUT Travaux prévu], "")</f>
        <v>2025</v>
      </c>
      <c r="O105">
        <v>2025</v>
      </c>
      <c r="P105">
        <f>Portefeuille_MNT_PPS_Access29[[#This Row],[Année DÉBUT Travaux proposé]]-Portefeuille_MNT_PPS_Access29[[#This Row],[Année DÉBUT Travaux prog actuelle]]</f>
        <v>0</v>
      </c>
      <c r="Q105" t="s">
        <v>164</v>
      </c>
      <c r="R105" s="1">
        <v>44055</v>
      </c>
      <c r="S105" s="1">
        <v>44315</v>
      </c>
      <c r="T105" s="1">
        <v>44589</v>
      </c>
      <c r="U10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0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0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0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8</v>
      </c>
      <c r="Y10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105">
        <f>Portefeuille_MNT_PPS_Access29[[#This Row],[Délais PC1 et PC3]]+Portefeuille_MNT_PPS_Access29[[#This Row],[Délais PC3 et PC5]]</f>
        <v>17</v>
      </c>
      <c r="AA105">
        <v>1</v>
      </c>
      <c r="AB105">
        <v>1</v>
      </c>
      <c r="AD105" t="s">
        <v>165</v>
      </c>
      <c r="AE105">
        <v>3.3333333333333335</v>
      </c>
      <c r="AF105" s="2">
        <f>_xlfn.XLOOKUP(Portefeuille_MNT_PPS_Access29[[#This Row],[Numéro projet]],Portefeuille_MNT_PPS_Access27[Numéro projet],Portefeuille_MNT_PPS_Access27[Critère Etat Infrastructure])</f>
        <v>2</v>
      </c>
      <c r="AG10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66.666666666666671</v>
      </c>
      <c r="AH105" s="221"/>
      <c r="AI105">
        <v>448</v>
      </c>
      <c r="AJ105">
        <v>5849</v>
      </c>
      <c r="AK105">
        <v>290</v>
      </c>
      <c r="AL105">
        <v>3895</v>
      </c>
      <c r="AM105">
        <v>93</v>
      </c>
      <c r="AN105">
        <v>390</v>
      </c>
      <c r="AV105"/>
      <c r="BI105" s="14">
        <f>SUM(Portefeuille_MNT_PPS_Access29[[#This Row],[AC ANT]:[TR 2035]])</f>
        <v>10965</v>
      </c>
    </row>
    <row r="106" spans="1:61" hidden="1" x14ac:dyDescent="0.3">
      <c r="A106" t="s">
        <v>286</v>
      </c>
      <c r="B106" t="s">
        <v>664</v>
      </c>
      <c r="D106" t="s">
        <v>101</v>
      </c>
      <c r="E106" t="s">
        <v>102</v>
      </c>
      <c r="F106" t="s">
        <v>389</v>
      </c>
      <c r="H106" t="s">
        <v>20</v>
      </c>
      <c r="I106" t="s">
        <v>20</v>
      </c>
      <c r="J106" t="s">
        <v>105</v>
      </c>
      <c r="K106" s="2">
        <v>154220359</v>
      </c>
      <c r="L106" t="s">
        <v>429</v>
      </c>
      <c r="M106" t="s">
        <v>302</v>
      </c>
      <c r="N106" s="8">
        <f>_xlfn.XLOOKUP(Portefeuille_MNT_PPS_Access29[[#This Row],[Numéro projet]], Portefeuille_MNT_PPS_Access20[Numéro projet], Portefeuille_MNT_PPS_Access20[Année DÉBUT Travaux prévu], "")</f>
        <v>2032</v>
      </c>
      <c r="O106" s="8">
        <v>2033</v>
      </c>
      <c r="P106">
        <f>Portefeuille_MNT_PPS_Access29[[#This Row],[Année DÉBUT Travaux proposé]]-Portefeuille_MNT_PPS_Access29[[#This Row],[Année DÉBUT Travaux prog actuelle]]</f>
        <v>1</v>
      </c>
      <c r="Q106" t="s">
        <v>291</v>
      </c>
      <c r="R106" s="1"/>
      <c r="S106" s="1"/>
      <c r="T106" s="1"/>
      <c r="U10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6">
        <f>Portefeuille_MNT_PPS_Access29[[#This Row],[Délais PC1 et PC3]]+Portefeuille_MNT_PPS_Access29[[#This Row],[Délais PC3 et PC5]]</f>
        <v>0</v>
      </c>
      <c r="AB106">
        <v>1</v>
      </c>
      <c r="AD106" t="s">
        <v>311</v>
      </c>
      <c r="AE106">
        <v>4</v>
      </c>
      <c r="AF106" s="2">
        <f>_xlfn.XLOOKUP(Portefeuille_MNT_PPS_Access29[[#This Row],[Numéro projet]],Portefeuille_MNT_PPS_Access27[Numéro projet],Portefeuille_MNT_PPS_Access27[Critère Etat Infrastructure])</f>
        <v>4</v>
      </c>
      <c r="AG10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106" s="221"/>
      <c r="AL106"/>
      <c r="AV106"/>
      <c r="BA106">
        <v>100</v>
      </c>
      <c r="BC106">
        <v>200</v>
      </c>
      <c r="BD106">
        <v>5000</v>
      </c>
      <c r="BI106" s="14">
        <f>SUM(Portefeuille_MNT_PPS_Access29[[#This Row],[AC ANT]:[TR 2035]])</f>
        <v>5300</v>
      </c>
    </row>
    <row r="107" spans="1:61" hidden="1" x14ac:dyDescent="0.3">
      <c r="A107" t="s">
        <v>286</v>
      </c>
      <c r="B107" t="s">
        <v>662</v>
      </c>
      <c r="D107" t="s">
        <v>118</v>
      </c>
      <c r="E107" t="s">
        <v>102</v>
      </c>
      <c r="F107" t="s">
        <v>103</v>
      </c>
      <c r="G107" t="s">
        <v>113</v>
      </c>
      <c r="H107" t="s">
        <v>20</v>
      </c>
      <c r="I107" t="s">
        <v>20</v>
      </c>
      <c r="J107" t="s">
        <v>131</v>
      </c>
      <c r="K107" s="2">
        <v>154220353</v>
      </c>
      <c r="L107" t="s">
        <v>423</v>
      </c>
      <c r="M107" t="s">
        <v>139</v>
      </c>
      <c r="N107" s="229">
        <f>_xlfn.XLOOKUP(Portefeuille_MNT_PPS_Access29[[#This Row],[Numéro projet]], Portefeuille_MNT_PPS_Access20[Numéro projet], Portefeuille_MNT_PPS_Access20[Année DÉBUT Travaux prévu], "")</f>
        <v>2029</v>
      </c>
      <c r="O107" s="229">
        <v>2033</v>
      </c>
      <c r="P107" s="2">
        <f>Portefeuille_MNT_PPS_Access29[[#This Row],[Année DÉBUT Travaux proposé]]-Portefeuille_MNT_PPS_Access29[[#This Row],[Année DÉBUT Travaux prog actuelle]]</f>
        <v>4</v>
      </c>
      <c r="Q107" t="s">
        <v>291</v>
      </c>
      <c r="R107" s="1"/>
      <c r="S107" s="1"/>
      <c r="T107" s="1"/>
      <c r="U10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7">
        <f>Portefeuille_MNT_PPS_Access29[[#This Row],[Délais PC1 et PC3]]+Portefeuille_MNT_PPS_Access29[[#This Row],[Délais PC3 et PC5]]</f>
        <v>0</v>
      </c>
      <c r="AB107">
        <v>1</v>
      </c>
      <c r="AD107" t="s">
        <v>311</v>
      </c>
      <c r="AE107">
        <v>2</v>
      </c>
      <c r="AF107" s="2">
        <f>_xlfn.XLOOKUP(Portefeuille_MNT_PPS_Access29[[#This Row],[Numéro projet]],Portefeuille_MNT_PPS_Access27[Numéro projet],Portefeuille_MNT_PPS_Access27[Critère Etat Infrastructure])</f>
        <v>4</v>
      </c>
      <c r="AG10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35</v>
      </c>
      <c r="AH107" s="221"/>
      <c r="AL107"/>
      <c r="AV107"/>
      <c r="AY107">
        <v>100</v>
      </c>
      <c r="BA107">
        <v>200</v>
      </c>
      <c r="BC107">
        <v>250</v>
      </c>
      <c r="BD107">
        <v>7500</v>
      </c>
      <c r="BI107" s="14">
        <f>SUM(Portefeuille_MNT_PPS_Access29[[#This Row],[AC ANT]:[TR 2035]])</f>
        <v>8050</v>
      </c>
    </row>
    <row r="108" spans="1:61" hidden="1" x14ac:dyDescent="0.3">
      <c r="A108" t="s">
        <v>286</v>
      </c>
      <c r="B108" t="s">
        <v>663</v>
      </c>
      <c r="D108" t="s">
        <v>101</v>
      </c>
      <c r="E108" t="s">
        <v>102</v>
      </c>
      <c r="F108" t="s">
        <v>136</v>
      </c>
      <c r="H108" t="s">
        <v>20</v>
      </c>
      <c r="I108" t="s">
        <v>20</v>
      </c>
      <c r="J108" t="s">
        <v>105</v>
      </c>
      <c r="K108" s="2">
        <v>154240503</v>
      </c>
      <c r="L108" t="s">
        <v>459</v>
      </c>
      <c r="M108" t="s">
        <v>239</v>
      </c>
      <c r="N108" s="8">
        <f>_xlfn.XLOOKUP(Portefeuille_MNT_PPS_Access29[[#This Row],[Numéro projet]], Portefeuille_MNT_PPS_Access20[Numéro projet], Portefeuille_MNT_PPS_Access20[Année DÉBUT Travaux prévu], "")</f>
        <v>2033</v>
      </c>
      <c r="O108">
        <v>2033</v>
      </c>
      <c r="P108">
        <f>Portefeuille_MNT_PPS_Access29[[#This Row],[Année DÉBUT Travaux proposé]]-Portefeuille_MNT_PPS_Access29[[#This Row],[Année DÉBUT Travaux prog actuelle]]</f>
        <v>0</v>
      </c>
      <c r="Q108" t="s">
        <v>291</v>
      </c>
      <c r="R108" s="1"/>
      <c r="S108" s="1"/>
      <c r="T108" s="1"/>
      <c r="U10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8">
        <f>Portefeuille_MNT_PPS_Access29[[#This Row],[Délais PC1 et PC3]]+Portefeuille_MNT_PPS_Access29[[#This Row],[Délais PC3 et PC5]]</f>
        <v>0</v>
      </c>
      <c r="AB108">
        <v>1</v>
      </c>
      <c r="AD108" t="s">
        <v>311</v>
      </c>
      <c r="AE108">
        <v>3.3333333333333335</v>
      </c>
      <c r="AF108" s="2">
        <f>_xlfn.XLOOKUP(Portefeuille_MNT_PPS_Access29[[#This Row],[Numéro projet]],Portefeuille_MNT_PPS_Access27[Numéro projet],Portefeuille_MNT_PPS_Access27[Critère Etat Infrastructure])</f>
        <v>3</v>
      </c>
      <c r="AG10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108" s="221"/>
      <c r="AL108"/>
      <c r="AV108"/>
      <c r="AY108">
        <v>150</v>
      </c>
      <c r="BA108">
        <v>150</v>
      </c>
      <c r="BC108">
        <v>500</v>
      </c>
      <c r="BD108">
        <v>6500</v>
      </c>
      <c r="BI108" s="14">
        <f>SUM(Portefeuille_MNT_PPS_Access29[[#This Row],[AC ANT]:[TR 2035]])</f>
        <v>7300</v>
      </c>
    </row>
    <row r="109" spans="1:61" hidden="1" x14ac:dyDescent="0.3">
      <c r="A109" t="s">
        <v>286</v>
      </c>
      <c r="B109" t="s">
        <v>663</v>
      </c>
      <c r="D109" t="s">
        <v>101</v>
      </c>
      <c r="E109" t="s">
        <v>102</v>
      </c>
      <c r="F109" t="s">
        <v>136</v>
      </c>
      <c r="H109" t="s">
        <v>20</v>
      </c>
      <c r="I109" t="s">
        <v>20</v>
      </c>
      <c r="J109" t="s">
        <v>105</v>
      </c>
      <c r="K109" s="2">
        <v>154240505</v>
      </c>
      <c r="L109" t="s">
        <v>463</v>
      </c>
      <c r="M109" t="s">
        <v>230</v>
      </c>
      <c r="N109" s="8">
        <f>_xlfn.XLOOKUP(Portefeuille_MNT_PPS_Access29[[#This Row],[Numéro projet]], Portefeuille_MNT_PPS_Access20[Numéro projet], Portefeuille_MNT_PPS_Access20[Année DÉBUT Travaux prévu], "")</f>
        <v>2033</v>
      </c>
      <c r="O109">
        <v>2033</v>
      </c>
      <c r="P109">
        <f>Portefeuille_MNT_PPS_Access29[[#This Row],[Année DÉBUT Travaux proposé]]-Portefeuille_MNT_PPS_Access29[[#This Row],[Année DÉBUT Travaux prog actuelle]]</f>
        <v>0</v>
      </c>
      <c r="Q109" t="s">
        <v>291</v>
      </c>
      <c r="R109" s="1"/>
      <c r="S109" s="1"/>
      <c r="T109" s="1"/>
      <c r="U10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0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0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0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0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09">
        <f>Portefeuille_MNT_PPS_Access29[[#This Row],[Délais PC1 et PC3]]+Portefeuille_MNT_PPS_Access29[[#This Row],[Délais PC3 et PC5]]</f>
        <v>0</v>
      </c>
      <c r="AB109">
        <v>1</v>
      </c>
      <c r="AD109" t="s">
        <v>311</v>
      </c>
      <c r="AE109">
        <v>3</v>
      </c>
      <c r="AF109" s="2">
        <f>_xlfn.XLOOKUP(Portefeuille_MNT_PPS_Access29[[#This Row],[Numéro projet]],Portefeuille_MNT_PPS_Access27[Numéro projet],Portefeuille_MNT_PPS_Access27[Critère Etat Infrastructure])</f>
        <v>3</v>
      </c>
      <c r="AG10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35</v>
      </c>
      <c r="AH109" s="221"/>
      <c r="AL109"/>
      <c r="AV109"/>
      <c r="AY109">
        <v>150</v>
      </c>
      <c r="BA109">
        <v>150</v>
      </c>
      <c r="BC109">
        <v>500</v>
      </c>
      <c r="BD109">
        <v>6800</v>
      </c>
      <c r="BI109" s="14">
        <f>SUM(Portefeuille_MNT_PPS_Access29[[#This Row],[AC ANT]:[TR 2035]])</f>
        <v>7600</v>
      </c>
    </row>
    <row r="110" spans="1:61" hidden="1" x14ac:dyDescent="0.3">
      <c r="A110" t="s">
        <v>286</v>
      </c>
      <c r="B110" t="s">
        <v>664</v>
      </c>
      <c r="D110" t="s">
        <v>101</v>
      </c>
      <c r="E110" t="s">
        <v>102</v>
      </c>
      <c r="F110" t="s">
        <v>103</v>
      </c>
      <c r="G110" t="s">
        <v>206</v>
      </c>
      <c r="H110" t="s">
        <v>16</v>
      </c>
      <c r="I110" t="s">
        <v>16</v>
      </c>
      <c r="J110" t="s">
        <v>105</v>
      </c>
      <c r="K110" s="2">
        <v>154160743</v>
      </c>
      <c r="L110" t="s">
        <v>315</v>
      </c>
      <c r="M110" t="s">
        <v>316</v>
      </c>
      <c r="N110" s="8">
        <f>_xlfn.XLOOKUP(Portefeuille_MNT_PPS_Access29[[#This Row],[Numéro projet]], Portefeuille_MNT_PPS_Access20[Numéro projet], Portefeuille_MNT_PPS_Access20[Année DÉBUT Travaux prévu], "")</f>
        <v>2025</v>
      </c>
      <c r="O110">
        <v>2025</v>
      </c>
      <c r="P110">
        <f>Portefeuille_MNT_PPS_Access29[[#This Row],[Année DÉBUT Travaux proposé]]-Portefeuille_MNT_PPS_Access29[[#This Row],[Année DÉBUT Travaux prog actuelle]]</f>
        <v>0</v>
      </c>
      <c r="Q110" t="s">
        <v>164</v>
      </c>
      <c r="R110" s="1">
        <v>43882</v>
      </c>
      <c r="S110" s="1">
        <v>44033</v>
      </c>
      <c r="T110" s="1">
        <v>45225</v>
      </c>
      <c r="U11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1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1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1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5</v>
      </c>
      <c r="Y11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39</v>
      </c>
      <c r="Z110">
        <f>Portefeuille_MNT_PPS_Access29[[#This Row],[Délais PC1 et PC3]]+Portefeuille_MNT_PPS_Access29[[#This Row],[Délais PC3 et PC5]]</f>
        <v>44</v>
      </c>
      <c r="AA110">
        <v>1</v>
      </c>
      <c r="AB110">
        <v>1</v>
      </c>
      <c r="AD110" t="s">
        <v>165</v>
      </c>
      <c r="AE110">
        <v>3</v>
      </c>
      <c r="AF110" s="2">
        <f>_xlfn.XLOOKUP(Portefeuille_MNT_PPS_Access29[[#This Row],[Numéro projet]],Portefeuille_MNT_PPS_Access27[Numéro projet],Portefeuille_MNT_PPS_Access27[Critère Etat Infrastructure])</f>
        <v>4</v>
      </c>
      <c r="AG11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75.000000000000014</v>
      </c>
      <c r="AH110" s="221"/>
      <c r="AI110">
        <v>257</v>
      </c>
      <c r="AJ110">
        <v>2407</v>
      </c>
      <c r="AK110">
        <v>439</v>
      </c>
      <c r="AL110">
        <v>7751</v>
      </c>
      <c r="AM110">
        <v>79</v>
      </c>
      <c r="AN110">
        <v>385</v>
      </c>
      <c r="AV110"/>
      <c r="BI110" s="14">
        <f>SUM(Portefeuille_MNT_PPS_Access29[[#This Row],[AC ANT]:[TR 2035]])</f>
        <v>11318</v>
      </c>
    </row>
    <row r="111" spans="1:61" hidden="1" x14ac:dyDescent="0.3">
      <c r="A111" t="s">
        <v>286</v>
      </c>
      <c r="B111" t="s">
        <v>664</v>
      </c>
      <c r="D111" t="s">
        <v>101</v>
      </c>
      <c r="E111" t="s">
        <v>102</v>
      </c>
      <c r="F111" t="s">
        <v>128</v>
      </c>
      <c r="G111" t="s">
        <v>113</v>
      </c>
      <c r="H111" t="s">
        <v>16</v>
      </c>
      <c r="I111" t="s">
        <v>16</v>
      </c>
      <c r="J111" t="s">
        <v>105</v>
      </c>
      <c r="K111" s="2">
        <v>154171105</v>
      </c>
      <c r="L111" t="s">
        <v>161</v>
      </c>
      <c r="M111" t="s">
        <v>122</v>
      </c>
      <c r="N111" s="8">
        <f>_xlfn.XLOOKUP(Portefeuille_MNT_PPS_Access29[[#This Row],[Numéro projet]], Portefeuille_MNT_PPS_Access20[Numéro projet], Portefeuille_MNT_PPS_Access20[Année DÉBUT Travaux prévu], "")</f>
        <v>2025</v>
      </c>
      <c r="O111">
        <v>2025</v>
      </c>
      <c r="P111">
        <f>Portefeuille_MNT_PPS_Access29[[#This Row],[Année DÉBUT Travaux proposé]]-Portefeuille_MNT_PPS_Access29[[#This Row],[Année DÉBUT Travaux prog actuelle]]</f>
        <v>0</v>
      </c>
      <c r="Q111" t="s">
        <v>164</v>
      </c>
      <c r="R111" s="1">
        <v>44956</v>
      </c>
      <c r="S111" s="1">
        <v>45321</v>
      </c>
      <c r="T111" s="1">
        <v>45687</v>
      </c>
      <c r="U11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3.À risque</v>
      </c>
      <c r="V11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3.À risque</v>
      </c>
      <c r="W11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3.À risque</v>
      </c>
      <c r="X11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11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12</v>
      </c>
      <c r="Z111">
        <f>Portefeuille_MNT_PPS_Access29[[#This Row],[Délais PC1 et PC3]]+Portefeuille_MNT_PPS_Access29[[#This Row],[Délais PC3 et PC5]]</f>
        <v>24</v>
      </c>
      <c r="AA111">
        <v>1</v>
      </c>
      <c r="AB111">
        <v>5</v>
      </c>
      <c r="AD111" t="s">
        <v>165</v>
      </c>
      <c r="AE111">
        <v>4</v>
      </c>
      <c r="AF111" s="2">
        <f>_xlfn.XLOOKUP(Portefeuille_MNT_PPS_Access29[[#This Row],[Numéro projet]],Portefeuille_MNT_PPS_Access27[Numéro projet],Portefeuille_MNT_PPS_Access27[Critère Etat Infrastructure])</f>
        <v>0</v>
      </c>
      <c r="AG11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80</v>
      </c>
      <c r="AH111" s="221"/>
      <c r="AI111">
        <v>6</v>
      </c>
      <c r="AK111">
        <v>14</v>
      </c>
      <c r="AL111"/>
      <c r="AM111">
        <v>325</v>
      </c>
      <c r="AN111">
        <v>4503</v>
      </c>
      <c r="AV111"/>
      <c r="BI111" s="14">
        <f>SUM(Portefeuille_MNT_PPS_Access29[[#This Row],[AC ANT]:[TR 2035]])</f>
        <v>4848</v>
      </c>
    </row>
    <row r="112" spans="1:61" hidden="1" x14ac:dyDescent="0.3">
      <c r="A112" t="s">
        <v>286</v>
      </c>
      <c r="B112" t="s">
        <v>662</v>
      </c>
      <c r="D112" t="s">
        <v>118</v>
      </c>
      <c r="E112" t="s">
        <v>102</v>
      </c>
      <c r="F112" t="s">
        <v>389</v>
      </c>
      <c r="H112" t="s">
        <v>20</v>
      </c>
      <c r="I112" t="s">
        <v>20</v>
      </c>
      <c r="J112" t="s">
        <v>105</v>
      </c>
      <c r="K112" s="2">
        <v>154220358</v>
      </c>
      <c r="L112" t="s">
        <v>425</v>
      </c>
      <c r="M112" t="s">
        <v>205</v>
      </c>
      <c r="N112" s="8">
        <f>_xlfn.XLOOKUP(Portefeuille_MNT_PPS_Access29[[#This Row],[Numéro projet]], Portefeuille_MNT_PPS_Access20[Numéro projet], Portefeuille_MNT_PPS_Access20[Année DÉBUT Travaux prévu], "")</f>
        <v>2033</v>
      </c>
      <c r="O112" s="8">
        <v>2033</v>
      </c>
      <c r="P112">
        <f>Portefeuille_MNT_PPS_Access29[[#This Row],[Année DÉBUT Travaux proposé]]-Portefeuille_MNT_PPS_Access29[[#This Row],[Année DÉBUT Travaux prog actuelle]]</f>
        <v>0</v>
      </c>
      <c r="Q112" t="s">
        <v>291</v>
      </c>
      <c r="R112" s="1"/>
      <c r="S112" s="1"/>
      <c r="T112" s="1"/>
      <c r="U11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2">
        <f>Portefeuille_MNT_PPS_Access29[[#This Row],[Délais PC1 et PC3]]+Portefeuille_MNT_PPS_Access29[[#This Row],[Délais PC3 et PC5]]</f>
        <v>0</v>
      </c>
      <c r="AB112">
        <v>1</v>
      </c>
      <c r="AD112" t="s">
        <v>311</v>
      </c>
      <c r="AE112">
        <v>3</v>
      </c>
      <c r="AF112" s="2">
        <f>_xlfn.XLOOKUP(Portefeuille_MNT_PPS_Access29[[#This Row],[Numéro projet]],Portefeuille_MNT_PPS_Access27[Numéro projet],Portefeuille_MNT_PPS_Access27[Critère Etat Infrastructure])</f>
        <v>4</v>
      </c>
      <c r="AG11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112" s="221"/>
      <c r="AL112"/>
      <c r="AV112"/>
      <c r="AY112">
        <v>100</v>
      </c>
      <c r="BA112">
        <v>100</v>
      </c>
      <c r="BC112">
        <v>200</v>
      </c>
      <c r="BD112">
        <v>5000</v>
      </c>
      <c r="BI112" s="14">
        <f>SUM(Portefeuille_MNT_PPS_Access29[[#This Row],[AC ANT]:[TR 2035]])</f>
        <v>5400</v>
      </c>
    </row>
    <row r="113" spans="1:61" hidden="1" x14ac:dyDescent="0.3">
      <c r="A113" t="s">
        <v>286</v>
      </c>
      <c r="B113" t="s">
        <v>295</v>
      </c>
      <c r="D113" t="s">
        <v>126</v>
      </c>
      <c r="E113" t="s">
        <v>127</v>
      </c>
      <c r="F113" t="s">
        <v>103</v>
      </c>
      <c r="H113" t="s">
        <v>20</v>
      </c>
      <c r="I113" t="s">
        <v>20</v>
      </c>
      <c r="J113" t="s">
        <v>105</v>
      </c>
      <c r="K113" s="2">
        <v>154240511</v>
      </c>
      <c r="L113" t="s">
        <v>637</v>
      </c>
      <c r="M113" t="s">
        <v>108</v>
      </c>
      <c r="N113" s="8">
        <f>_xlfn.XLOOKUP(Portefeuille_MNT_PPS_Access29[[#This Row],[Numéro projet]], Portefeuille_MNT_PPS_Access20[Numéro projet], Portefeuille_MNT_PPS_Access20[Année DÉBUT Travaux prévu], "")</f>
        <v>2034</v>
      </c>
      <c r="O113" s="8">
        <v>2034</v>
      </c>
      <c r="P113">
        <f>Portefeuille_MNT_PPS_Access29[[#This Row],[Année DÉBUT Travaux proposé]]-Portefeuille_MNT_PPS_Access29[[#This Row],[Année DÉBUT Travaux prog actuelle]]</f>
        <v>0</v>
      </c>
      <c r="Q113" t="s">
        <v>291</v>
      </c>
      <c r="R113" s="1"/>
      <c r="S113" s="1"/>
      <c r="T113" s="1"/>
      <c r="U11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3">
        <f>Portefeuille_MNT_PPS_Access29[[#This Row],[Délais PC1 et PC3]]+Portefeuille_MNT_PPS_Access29[[#This Row],[Délais PC3 et PC5]]</f>
        <v>0</v>
      </c>
      <c r="AB113">
        <v>1</v>
      </c>
      <c r="AD113" t="s">
        <v>311</v>
      </c>
      <c r="AE113">
        <v>4</v>
      </c>
      <c r="AF113" s="2">
        <f>_xlfn.XLOOKUP(Portefeuille_MNT_PPS_Access29[[#This Row],[Numéro projet]],Portefeuille_MNT_PPS_Access27[Numéro projet],Portefeuille_MNT_PPS_Access27[Critère Etat Infrastructure])</f>
        <v>3</v>
      </c>
      <c r="AG11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113" s="221"/>
      <c r="AL113"/>
      <c r="AV113"/>
      <c r="AY113">
        <v>375</v>
      </c>
      <c r="BA113">
        <v>750</v>
      </c>
      <c r="BC113">
        <v>1125</v>
      </c>
      <c r="BE113">
        <v>875</v>
      </c>
      <c r="BF113">
        <v>9000</v>
      </c>
      <c r="BG113">
        <v>1250</v>
      </c>
      <c r="BH113">
        <v>73000</v>
      </c>
      <c r="BI113" s="14">
        <f>SUM(Portefeuille_MNT_PPS_Access29[[#This Row],[AC ANT]:[TR 2035]])</f>
        <v>86375</v>
      </c>
    </row>
    <row r="114" spans="1:61" hidden="1" x14ac:dyDescent="0.3">
      <c r="A114" t="s">
        <v>286</v>
      </c>
      <c r="B114" t="s">
        <v>663</v>
      </c>
      <c r="D114" t="s">
        <v>101</v>
      </c>
      <c r="E114" t="s">
        <v>102</v>
      </c>
      <c r="F114" t="s">
        <v>136</v>
      </c>
      <c r="H114" t="s">
        <v>20</v>
      </c>
      <c r="I114" t="s">
        <v>20</v>
      </c>
      <c r="J114" t="s">
        <v>105</v>
      </c>
      <c r="K114" s="2">
        <v>154240502</v>
      </c>
      <c r="L114" t="s">
        <v>457</v>
      </c>
      <c r="M114" t="s">
        <v>402</v>
      </c>
      <c r="N114" s="229">
        <f>_xlfn.XLOOKUP(Portefeuille_MNT_PPS_Access29[[#This Row],[Numéro projet]], Portefeuille_MNT_PPS_Access20[Numéro projet], Portefeuille_MNT_PPS_Access20[Année DÉBUT Travaux prévu], "")</f>
        <v>2033</v>
      </c>
      <c r="O114" s="227">
        <v>2034</v>
      </c>
      <c r="P114">
        <f>Portefeuille_MNT_PPS_Access29[[#This Row],[Année DÉBUT Travaux proposé]]-Portefeuille_MNT_PPS_Access29[[#This Row],[Année DÉBUT Travaux prog actuelle]]</f>
        <v>1</v>
      </c>
      <c r="Q114" t="s">
        <v>291</v>
      </c>
      <c r="R114" s="1"/>
      <c r="S114" s="1"/>
      <c r="T114" s="1"/>
      <c r="U11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4">
        <f>Portefeuille_MNT_PPS_Access29[[#This Row],[Délais PC1 et PC3]]+Portefeuille_MNT_PPS_Access29[[#This Row],[Délais PC3 et PC5]]</f>
        <v>0</v>
      </c>
      <c r="AB114">
        <v>1</v>
      </c>
      <c r="AD114" t="s">
        <v>311</v>
      </c>
      <c r="AE114">
        <v>2.6666666666666665</v>
      </c>
      <c r="AF114" s="2">
        <f>_xlfn.XLOOKUP(Portefeuille_MNT_PPS_Access29[[#This Row],[Numéro projet]],Portefeuille_MNT_PPS_Access27[Numéro projet],Portefeuille_MNT_PPS_Access27[Critère Etat Infrastructure])</f>
        <v>3</v>
      </c>
      <c r="AG11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33.333333333333329</v>
      </c>
      <c r="AH114" s="221"/>
      <c r="AL114"/>
      <c r="AV114"/>
      <c r="BA114">
        <v>150</v>
      </c>
      <c r="BC114">
        <v>150</v>
      </c>
      <c r="BE114">
        <v>500</v>
      </c>
      <c r="BF114">
        <v>6800</v>
      </c>
      <c r="BI114" s="14">
        <f>SUM(Portefeuille_MNT_PPS_Access29[[#This Row],[AC ANT]:[TR 2035]])</f>
        <v>7600</v>
      </c>
    </row>
    <row r="115" spans="1:61" hidden="1" x14ac:dyDescent="0.3">
      <c r="A115" t="s">
        <v>286</v>
      </c>
      <c r="B115" t="s">
        <v>663</v>
      </c>
      <c r="D115" t="s">
        <v>101</v>
      </c>
      <c r="E115" t="s">
        <v>102</v>
      </c>
      <c r="F115" t="s">
        <v>136</v>
      </c>
      <c r="H115" t="s">
        <v>20</v>
      </c>
      <c r="I115" t="s">
        <v>20</v>
      </c>
      <c r="J115" t="s">
        <v>105</v>
      </c>
      <c r="K115" s="2">
        <v>154240506</v>
      </c>
      <c r="L115" t="s">
        <v>465</v>
      </c>
      <c r="M115" t="s">
        <v>116</v>
      </c>
      <c r="N115" s="229">
        <f>_xlfn.XLOOKUP(Portefeuille_MNT_PPS_Access29[[#This Row],[Numéro projet]], Portefeuille_MNT_PPS_Access20[Numéro projet], Portefeuille_MNT_PPS_Access20[Année DÉBUT Travaux prévu], "")</f>
        <v>2033</v>
      </c>
      <c r="O115" s="227">
        <v>2034</v>
      </c>
      <c r="P115">
        <f>Portefeuille_MNT_PPS_Access29[[#This Row],[Année DÉBUT Travaux proposé]]-Portefeuille_MNT_PPS_Access29[[#This Row],[Année DÉBUT Travaux prog actuelle]]</f>
        <v>1</v>
      </c>
      <c r="Q115" t="s">
        <v>291</v>
      </c>
      <c r="R115" s="1"/>
      <c r="S115" s="1"/>
      <c r="T115" s="1"/>
      <c r="U11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5">
        <f>Portefeuille_MNT_PPS_Access29[[#This Row],[Délais PC1 et PC3]]+Portefeuille_MNT_PPS_Access29[[#This Row],[Délais PC3 et PC5]]</f>
        <v>0</v>
      </c>
      <c r="AB115">
        <v>1</v>
      </c>
      <c r="AD115" t="s">
        <v>311</v>
      </c>
      <c r="AE115">
        <v>3.3333333333333335</v>
      </c>
      <c r="AF115" s="2">
        <f>_xlfn.XLOOKUP(Portefeuille_MNT_PPS_Access29[[#This Row],[Numéro projet]],Portefeuille_MNT_PPS_Access27[Numéro projet],Portefeuille_MNT_PPS_Access27[Critère Etat Infrastructure])</f>
        <v>3</v>
      </c>
      <c r="AG11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115" s="221"/>
      <c r="AL115"/>
      <c r="AV115"/>
      <c r="AY115">
        <v>150</v>
      </c>
      <c r="BA115">
        <v>150</v>
      </c>
      <c r="BC115">
        <v>150</v>
      </c>
      <c r="BE115">
        <v>500</v>
      </c>
      <c r="BF115">
        <v>6800</v>
      </c>
      <c r="BI115" s="14">
        <f>SUM(Portefeuille_MNT_PPS_Access29[[#This Row],[AC ANT]:[TR 2035]])</f>
        <v>7750</v>
      </c>
    </row>
    <row r="116" spans="1:61" hidden="1" x14ac:dyDescent="0.3">
      <c r="A116" t="s">
        <v>286</v>
      </c>
      <c r="B116" t="s">
        <v>664</v>
      </c>
      <c r="D116" t="s">
        <v>101</v>
      </c>
      <c r="E116" t="s">
        <v>102</v>
      </c>
      <c r="F116" t="s">
        <v>103</v>
      </c>
      <c r="G116" t="s">
        <v>140</v>
      </c>
      <c r="H116" t="s">
        <v>16</v>
      </c>
      <c r="I116" t="s">
        <v>16</v>
      </c>
      <c r="J116" t="s">
        <v>105</v>
      </c>
      <c r="K116" s="2">
        <v>154171517</v>
      </c>
      <c r="L116" t="s">
        <v>175</v>
      </c>
      <c r="M116" t="s">
        <v>143</v>
      </c>
      <c r="N116" s="8">
        <f>_xlfn.XLOOKUP(Portefeuille_MNT_PPS_Access29[[#This Row],[Numéro projet]], Portefeuille_MNT_PPS_Access20[Numéro projet], Portefeuille_MNT_PPS_Access20[Année DÉBUT Travaux prévu], "")</f>
        <v>2025</v>
      </c>
      <c r="O116">
        <v>2025</v>
      </c>
      <c r="P116">
        <f>Portefeuille_MNT_PPS_Access29[[#This Row],[Année DÉBUT Travaux proposé]]-Portefeuille_MNT_PPS_Access29[[#This Row],[Année DÉBUT Travaux prog actuelle]]</f>
        <v>0</v>
      </c>
      <c r="Q116" t="s">
        <v>164</v>
      </c>
      <c r="R116" s="1">
        <v>44014</v>
      </c>
      <c r="S116" s="1">
        <v>44294</v>
      </c>
      <c r="T116" s="1">
        <v>45239</v>
      </c>
      <c r="U11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1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1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1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9</v>
      </c>
      <c r="Y11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31</v>
      </c>
      <c r="Z116">
        <f>Portefeuille_MNT_PPS_Access29[[#This Row],[Délais PC1 et PC3]]+Portefeuille_MNT_PPS_Access29[[#This Row],[Délais PC3 et PC5]]</f>
        <v>40</v>
      </c>
      <c r="AA116">
        <v>1</v>
      </c>
      <c r="AB116">
        <v>5</v>
      </c>
      <c r="AD116" t="s">
        <v>165</v>
      </c>
      <c r="AE116">
        <v>4.333333333333333</v>
      </c>
      <c r="AF116" s="2">
        <f>_xlfn.XLOOKUP(Portefeuille_MNT_PPS_Access29[[#This Row],[Numéro projet]],Portefeuille_MNT_PPS_Access27[Numéro projet],Portefeuille_MNT_PPS_Access27[Critère Etat Infrastructure])</f>
        <v>4</v>
      </c>
      <c r="AG11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101.66666666666666</v>
      </c>
      <c r="AH116" s="221"/>
      <c r="AI116">
        <v>389</v>
      </c>
      <c r="AJ116">
        <v>4986</v>
      </c>
      <c r="AK116">
        <v>450</v>
      </c>
      <c r="AL116">
        <v>25618</v>
      </c>
      <c r="AM116">
        <v>678</v>
      </c>
      <c r="AN116">
        <v>14983</v>
      </c>
      <c r="AV116"/>
      <c r="BI116" s="14">
        <f>SUM(Portefeuille_MNT_PPS_Access29[[#This Row],[AC ANT]:[TR 2035]])</f>
        <v>47104</v>
      </c>
    </row>
    <row r="117" spans="1:61" hidden="1" x14ac:dyDescent="0.3">
      <c r="A117" t="s">
        <v>286</v>
      </c>
      <c r="B117" t="s">
        <v>663</v>
      </c>
      <c r="D117" t="s">
        <v>101</v>
      </c>
      <c r="E117" t="s">
        <v>102</v>
      </c>
      <c r="F117" t="s">
        <v>136</v>
      </c>
      <c r="H117" t="s">
        <v>20</v>
      </c>
      <c r="I117" t="s">
        <v>20</v>
      </c>
      <c r="J117" t="s">
        <v>105</v>
      </c>
      <c r="K117" s="2">
        <v>154240504</v>
      </c>
      <c r="L117" t="s">
        <v>461</v>
      </c>
      <c r="M117" t="s">
        <v>108</v>
      </c>
      <c r="N117" s="8">
        <f>_xlfn.XLOOKUP(Portefeuille_MNT_PPS_Access29[[#This Row],[Numéro projet]], Portefeuille_MNT_PPS_Access20[Numéro projet], Portefeuille_MNT_PPS_Access20[Année DÉBUT Travaux prévu], "")</f>
        <v>2034</v>
      </c>
      <c r="O117">
        <v>2034</v>
      </c>
      <c r="P117">
        <f>Portefeuille_MNT_PPS_Access29[[#This Row],[Année DÉBUT Travaux proposé]]-Portefeuille_MNT_PPS_Access29[[#This Row],[Année DÉBUT Travaux prog actuelle]]</f>
        <v>0</v>
      </c>
      <c r="Q117" t="s">
        <v>291</v>
      </c>
      <c r="R117" s="1"/>
      <c r="S117" s="1"/>
      <c r="T117" s="1"/>
      <c r="U11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7">
        <f>Portefeuille_MNT_PPS_Access29[[#This Row],[Délais PC1 et PC3]]+Portefeuille_MNT_PPS_Access29[[#This Row],[Délais PC3 et PC5]]</f>
        <v>0</v>
      </c>
      <c r="AB117">
        <v>1</v>
      </c>
      <c r="AD117" t="s">
        <v>311</v>
      </c>
      <c r="AE117">
        <v>4</v>
      </c>
      <c r="AF117" s="2">
        <f>_xlfn.XLOOKUP(Portefeuille_MNT_PPS_Access29[[#This Row],[Numéro projet]],Portefeuille_MNT_PPS_Access27[Numéro projet],Portefeuille_MNT_PPS_Access27[Critère Etat Infrastructure])</f>
        <v>3</v>
      </c>
      <c r="AG11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117" s="221"/>
      <c r="AL117"/>
      <c r="AV117"/>
      <c r="BA117">
        <v>150</v>
      </c>
      <c r="BC117">
        <v>150</v>
      </c>
      <c r="BE117">
        <v>500</v>
      </c>
      <c r="BF117">
        <v>7400</v>
      </c>
      <c r="BI117" s="14">
        <f>SUM(Portefeuille_MNT_PPS_Access29[[#This Row],[AC ANT]:[TR 2035]])</f>
        <v>8200</v>
      </c>
    </row>
    <row r="118" spans="1:61" hidden="1" x14ac:dyDescent="0.3">
      <c r="A118" t="s">
        <v>286</v>
      </c>
      <c r="B118" t="s">
        <v>662</v>
      </c>
      <c r="D118" t="s">
        <v>118</v>
      </c>
      <c r="E118" t="s">
        <v>102</v>
      </c>
      <c r="F118" t="s">
        <v>103</v>
      </c>
      <c r="H118" t="s">
        <v>20</v>
      </c>
      <c r="I118" t="s">
        <v>20</v>
      </c>
      <c r="J118" t="s">
        <v>131</v>
      </c>
      <c r="K118" s="2">
        <v>154240816</v>
      </c>
      <c r="L118" t="s">
        <v>532</v>
      </c>
      <c r="M118" t="s">
        <v>187</v>
      </c>
      <c r="N118" s="8">
        <f>_xlfn.XLOOKUP(Portefeuille_MNT_PPS_Access29[[#This Row],[Numéro projet]], Portefeuille_MNT_PPS_Access20[Numéro projet], Portefeuille_MNT_PPS_Access20[Année DÉBUT Travaux prévu], "")</f>
        <v>2033</v>
      </c>
      <c r="O118" s="8">
        <v>2034</v>
      </c>
      <c r="P118">
        <f>Portefeuille_MNT_PPS_Access29[[#This Row],[Année DÉBUT Travaux proposé]]-Portefeuille_MNT_PPS_Access29[[#This Row],[Année DÉBUT Travaux prog actuelle]]</f>
        <v>1</v>
      </c>
      <c r="Q118" t="s">
        <v>291</v>
      </c>
      <c r="R118" s="1"/>
      <c r="S118" s="1"/>
      <c r="T118" s="1"/>
      <c r="U11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8">
        <f>Portefeuille_MNT_PPS_Access29[[#This Row],[Délais PC1 et PC3]]+Portefeuille_MNT_PPS_Access29[[#This Row],[Délais PC3 et PC5]]</f>
        <v>0</v>
      </c>
      <c r="AB118">
        <v>1</v>
      </c>
      <c r="AD118" t="s">
        <v>311</v>
      </c>
      <c r="AE118">
        <v>3</v>
      </c>
      <c r="AF118" s="2">
        <f>_xlfn.XLOOKUP(Portefeuille_MNT_PPS_Access29[[#This Row],[Numéro projet]],Portefeuille_MNT_PPS_Access27[Numéro projet],Portefeuille_MNT_PPS_Access27[Critère Etat Infrastructure])</f>
        <v>4</v>
      </c>
      <c r="AG11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40</v>
      </c>
      <c r="AH118" s="221"/>
      <c r="AL118"/>
      <c r="AV118"/>
      <c r="BA118">
        <v>150</v>
      </c>
      <c r="BC118">
        <v>150</v>
      </c>
      <c r="BE118">
        <v>500</v>
      </c>
      <c r="BF118">
        <v>8000</v>
      </c>
      <c r="BI118" s="14">
        <f>SUM(Portefeuille_MNT_PPS_Access29[[#This Row],[AC ANT]:[TR 2035]])</f>
        <v>8800</v>
      </c>
    </row>
    <row r="119" spans="1:61" hidden="1" x14ac:dyDescent="0.3">
      <c r="A119" t="s">
        <v>286</v>
      </c>
      <c r="B119" t="s">
        <v>664</v>
      </c>
      <c r="D119" t="s">
        <v>101</v>
      </c>
      <c r="E119" t="s">
        <v>102</v>
      </c>
      <c r="F119" t="s">
        <v>103</v>
      </c>
      <c r="H119" t="s">
        <v>20</v>
      </c>
      <c r="I119" t="s">
        <v>20</v>
      </c>
      <c r="J119" t="s">
        <v>131</v>
      </c>
      <c r="K119" s="2">
        <v>154180771</v>
      </c>
      <c r="L119" t="s">
        <v>384</v>
      </c>
      <c r="M119" t="s">
        <v>183</v>
      </c>
      <c r="N119" s="229">
        <f>_xlfn.XLOOKUP(Portefeuille_MNT_PPS_Access29[[#This Row],[Numéro projet]], Portefeuille_MNT_PPS_Access20[Numéro projet], Portefeuille_MNT_PPS_Access20[Année DÉBUT Travaux prévu], "")</f>
        <v>2030</v>
      </c>
      <c r="O119" s="229">
        <v>2035</v>
      </c>
      <c r="P119">
        <f>Portefeuille_MNT_PPS_Access29[[#This Row],[Année DÉBUT Travaux proposé]]-Portefeuille_MNT_PPS_Access29[[#This Row],[Année DÉBUT Travaux prog actuelle]]</f>
        <v>5</v>
      </c>
      <c r="Q119" t="s">
        <v>291</v>
      </c>
      <c r="R119" s="1"/>
      <c r="S119" s="1"/>
      <c r="T119" s="1"/>
      <c r="U11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1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1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1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1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19">
        <f>Portefeuille_MNT_PPS_Access29[[#This Row],[Délais PC1 et PC3]]+Portefeuille_MNT_PPS_Access29[[#This Row],[Délais PC3 et PC5]]</f>
        <v>0</v>
      </c>
      <c r="AB119">
        <v>1</v>
      </c>
      <c r="AD119" t="s">
        <v>311</v>
      </c>
      <c r="AE119">
        <v>2.3333333333333335</v>
      </c>
      <c r="AF119" s="2">
        <f>_xlfn.XLOOKUP(Portefeuille_MNT_PPS_Access29[[#This Row],[Numéro projet]],Portefeuille_MNT_PPS_Access27[Numéro projet],Portefeuille_MNT_PPS_Access27[Critère Etat Infrastructure])</f>
        <v>4</v>
      </c>
      <c r="AG11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119" s="221"/>
      <c r="AL119"/>
      <c r="AV119"/>
      <c r="BE119">
        <v>150</v>
      </c>
      <c r="BG119">
        <v>250</v>
      </c>
      <c r="BH119">
        <v>5000</v>
      </c>
      <c r="BI119" s="14">
        <f>SUM(Portefeuille_MNT_PPS_Access29[[#This Row],[AC ANT]:[TR 2035]])</f>
        <v>5400</v>
      </c>
    </row>
    <row r="120" spans="1:61" hidden="1" x14ac:dyDescent="0.3">
      <c r="A120" t="s">
        <v>286</v>
      </c>
      <c r="B120" t="s">
        <v>664</v>
      </c>
      <c r="D120" t="s">
        <v>101</v>
      </c>
      <c r="E120" t="s">
        <v>102</v>
      </c>
      <c r="F120" t="s">
        <v>103</v>
      </c>
      <c r="H120" t="s">
        <v>20</v>
      </c>
      <c r="I120" t="s">
        <v>20</v>
      </c>
      <c r="J120" t="s">
        <v>131</v>
      </c>
      <c r="K120" s="2">
        <v>154180769</v>
      </c>
      <c r="L120" t="s">
        <v>380</v>
      </c>
      <c r="M120" t="s">
        <v>134</v>
      </c>
      <c r="N120" s="8">
        <f>_xlfn.XLOOKUP(Portefeuille_MNT_PPS_Access29[[#This Row],[Numéro projet]], Portefeuille_MNT_PPS_Access20[Numéro projet], Portefeuille_MNT_PPS_Access20[Année DÉBUT Travaux prévu], "")</f>
        <v>2035</v>
      </c>
      <c r="O120" s="8">
        <v>2035</v>
      </c>
      <c r="P120">
        <f>Portefeuille_MNT_PPS_Access29[[#This Row],[Année DÉBUT Travaux proposé]]-Portefeuille_MNT_PPS_Access29[[#This Row],[Année DÉBUT Travaux prog actuelle]]</f>
        <v>0</v>
      </c>
      <c r="Q120" t="s">
        <v>291</v>
      </c>
      <c r="R120" s="1"/>
      <c r="S120" s="1"/>
      <c r="T120" s="1"/>
      <c r="U12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2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2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2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20">
        <f>Portefeuille_MNT_PPS_Access29[[#This Row],[Délais PC1 et PC3]]+Portefeuille_MNT_PPS_Access29[[#This Row],[Délais PC3 et PC5]]</f>
        <v>0</v>
      </c>
      <c r="AB120">
        <v>1</v>
      </c>
      <c r="AD120" t="s">
        <v>311</v>
      </c>
      <c r="AE120">
        <v>2.3333333333333335</v>
      </c>
      <c r="AF120" s="2">
        <f>_xlfn.XLOOKUP(Portefeuille_MNT_PPS_Access29[[#This Row],[Numéro projet]],Portefeuille_MNT_PPS_Access27[Numéro projet],Portefeuille_MNT_PPS_Access27[Critère Etat Infrastructure])</f>
        <v>4</v>
      </c>
      <c r="AG120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36.666666666666664</v>
      </c>
      <c r="AH120" s="221"/>
      <c r="AL120"/>
      <c r="AV120"/>
      <c r="BE120">
        <v>150</v>
      </c>
      <c r="BG120">
        <v>250</v>
      </c>
      <c r="BH120">
        <v>5000</v>
      </c>
      <c r="BI120" s="14">
        <f>SUM(Portefeuille_MNT_PPS_Access29[[#This Row],[AC ANT]:[TR 2035]])</f>
        <v>5400</v>
      </c>
    </row>
    <row r="121" spans="1:61" hidden="1" x14ac:dyDescent="0.3">
      <c r="A121" t="s">
        <v>286</v>
      </c>
      <c r="B121" t="s">
        <v>664</v>
      </c>
      <c r="D121" t="s">
        <v>101</v>
      </c>
      <c r="E121" t="s">
        <v>102</v>
      </c>
      <c r="F121" t="s">
        <v>103</v>
      </c>
      <c r="H121" t="s">
        <v>20</v>
      </c>
      <c r="I121" t="s">
        <v>20</v>
      </c>
      <c r="J121" t="s">
        <v>105</v>
      </c>
      <c r="K121" s="2">
        <v>154220344</v>
      </c>
      <c r="L121" t="s">
        <v>394</v>
      </c>
      <c r="M121" t="s">
        <v>122</v>
      </c>
      <c r="N121" s="8">
        <f>_xlfn.XLOOKUP(Portefeuille_MNT_PPS_Access29[[#This Row],[Numéro projet]], Portefeuille_MNT_PPS_Access20[Numéro projet], Portefeuille_MNT_PPS_Access20[Année DÉBUT Travaux prévu], "")</f>
        <v>2035</v>
      </c>
      <c r="O121" s="8">
        <v>2035</v>
      </c>
      <c r="P121">
        <f>Portefeuille_MNT_PPS_Access29[[#This Row],[Année DÉBUT Travaux proposé]]-Portefeuille_MNT_PPS_Access29[[#This Row],[Année DÉBUT Travaux prog actuelle]]</f>
        <v>0</v>
      </c>
      <c r="Q121" t="s">
        <v>291</v>
      </c>
      <c r="R121" s="1"/>
      <c r="S121" s="1"/>
      <c r="T121" s="1"/>
      <c r="U12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1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21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2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2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21">
        <f>Portefeuille_MNT_PPS_Access29[[#This Row],[Délais PC1 et PC3]]+Portefeuille_MNT_PPS_Access29[[#This Row],[Délais PC3 et PC5]]</f>
        <v>0</v>
      </c>
      <c r="AB121">
        <v>1</v>
      </c>
      <c r="AD121" t="s">
        <v>311</v>
      </c>
      <c r="AE121">
        <v>4</v>
      </c>
      <c r="AF121" s="2">
        <f>_xlfn.XLOOKUP(Portefeuille_MNT_PPS_Access29[[#This Row],[Numéro projet]],Portefeuille_MNT_PPS_Access27[Numéro projet],Portefeuille_MNT_PPS_Access27[Critère Etat Infrastructure])</f>
        <v>4</v>
      </c>
      <c r="AG121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45</v>
      </c>
      <c r="AH121" s="221"/>
      <c r="AL121"/>
      <c r="AV121"/>
      <c r="BC121">
        <v>100</v>
      </c>
      <c r="BE121">
        <v>100</v>
      </c>
      <c r="BG121">
        <v>500</v>
      </c>
      <c r="BH121">
        <v>12000</v>
      </c>
      <c r="BI121" s="14">
        <f>SUM(Portefeuille_MNT_PPS_Access29[[#This Row],[AC ANT]:[TR 2035]])</f>
        <v>12700</v>
      </c>
    </row>
    <row r="122" spans="1:61" hidden="1" x14ac:dyDescent="0.3">
      <c r="A122" t="s">
        <v>286</v>
      </c>
      <c r="B122" t="s">
        <v>664</v>
      </c>
      <c r="D122" t="s">
        <v>101</v>
      </c>
      <c r="E122" t="s">
        <v>102</v>
      </c>
      <c r="F122" t="s">
        <v>103</v>
      </c>
      <c r="H122" t="s">
        <v>20</v>
      </c>
      <c r="I122" t="s">
        <v>20</v>
      </c>
      <c r="J122" t="s">
        <v>105</v>
      </c>
      <c r="K122" s="2">
        <v>154240285</v>
      </c>
      <c r="L122" t="s">
        <v>447</v>
      </c>
      <c r="M122" t="s">
        <v>168</v>
      </c>
      <c r="N122" s="8">
        <f>_xlfn.XLOOKUP(Portefeuille_MNT_PPS_Access29[[#This Row],[Numéro projet]], Portefeuille_MNT_PPS_Access20[Numéro projet], Portefeuille_MNT_PPS_Access20[Année DÉBUT Travaux prévu], "")</f>
        <v>2035</v>
      </c>
      <c r="O122" s="8">
        <v>2035</v>
      </c>
      <c r="P122">
        <f>Portefeuille_MNT_PPS_Access29[[#This Row],[Année DÉBUT Travaux proposé]]-Portefeuille_MNT_PPS_Access29[[#This Row],[Année DÉBUT Travaux prog actuelle]]</f>
        <v>0</v>
      </c>
      <c r="Q122" t="s">
        <v>291</v>
      </c>
      <c r="R122" s="1"/>
      <c r="S122" s="1"/>
      <c r="T122" s="1"/>
      <c r="U12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2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2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2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22">
        <f>Portefeuille_MNT_PPS_Access29[[#This Row],[Délais PC1 et PC3]]+Portefeuille_MNT_PPS_Access29[[#This Row],[Délais PC3 et PC5]]</f>
        <v>0</v>
      </c>
      <c r="AB122">
        <v>1</v>
      </c>
      <c r="AD122" t="s">
        <v>311</v>
      </c>
      <c r="AE122">
        <v>3.3333333333333335</v>
      </c>
      <c r="AF122" s="2">
        <f>_xlfn.XLOOKUP(Portefeuille_MNT_PPS_Access29[[#This Row],[Numéro projet]],Portefeuille_MNT_PPS_Access27[Numéro projet],Portefeuille_MNT_PPS_Access27[Critère Etat Infrastructure])</f>
        <v>4</v>
      </c>
      <c r="AG122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41.666666666666671</v>
      </c>
      <c r="AH122" s="221"/>
      <c r="AL122"/>
      <c r="AV122"/>
      <c r="BC122">
        <v>150</v>
      </c>
      <c r="BE122">
        <v>150</v>
      </c>
      <c r="BG122">
        <v>600</v>
      </c>
      <c r="BH122">
        <v>12000</v>
      </c>
      <c r="BI122" s="14">
        <f>SUM(Portefeuille_MNT_PPS_Access29[[#This Row],[AC ANT]:[TR 2035]])</f>
        <v>12900</v>
      </c>
    </row>
    <row r="123" spans="1:61" hidden="1" x14ac:dyDescent="0.3">
      <c r="A123" t="s">
        <v>286</v>
      </c>
      <c r="B123" t="s">
        <v>664</v>
      </c>
      <c r="D123" t="s">
        <v>101</v>
      </c>
      <c r="E123" t="s">
        <v>102</v>
      </c>
      <c r="F123" t="s">
        <v>389</v>
      </c>
      <c r="H123" t="s">
        <v>20</v>
      </c>
      <c r="I123" t="s">
        <v>20</v>
      </c>
      <c r="J123" t="s">
        <v>105</v>
      </c>
      <c r="K123" s="2">
        <v>154250181</v>
      </c>
      <c r="L123" t="s">
        <v>602</v>
      </c>
      <c r="M123" t="s">
        <v>239</v>
      </c>
      <c r="N123" s="8">
        <f>_xlfn.XLOOKUP(Portefeuille_MNT_PPS_Access29[[#This Row],[Numéro projet]], Portefeuille_MNT_PPS_Access20[Numéro projet], Portefeuille_MNT_PPS_Access20[Année DÉBUT Travaux prévu], "")</f>
        <v>2035</v>
      </c>
      <c r="O123" s="8">
        <v>2035</v>
      </c>
      <c r="P123">
        <f>Portefeuille_MNT_PPS_Access29[[#This Row],[Année DÉBUT Travaux proposé]]-Portefeuille_MNT_PPS_Access29[[#This Row],[Année DÉBUT Travaux prog actuelle]]</f>
        <v>0</v>
      </c>
      <c r="Q123" t="s">
        <v>291</v>
      </c>
      <c r="R123" s="1"/>
      <c r="S123" s="1"/>
      <c r="T123" s="1"/>
      <c r="U12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2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2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2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23">
        <f>Portefeuille_MNT_PPS_Access29[[#This Row],[Délais PC1 et PC3]]+Portefeuille_MNT_PPS_Access29[[#This Row],[Délais PC3 et PC5]]</f>
        <v>0</v>
      </c>
      <c r="AB123">
        <v>1</v>
      </c>
      <c r="AD123" t="s">
        <v>311</v>
      </c>
      <c r="AE123">
        <v>3.3333333333333335</v>
      </c>
      <c r="AF123" s="2">
        <f>_xlfn.XLOOKUP(Portefeuille_MNT_PPS_Access29[[#This Row],[Numéro projet]],Portefeuille_MNT_PPS_Access27[Numéro projet],Portefeuille_MNT_PPS_Access27[Critère Etat Infrastructure])</f>
        <v>4</v>
      </c>
      <c r="AG123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41.666666666666671</v>
      </c>
      <c r="AH123" s="221"/>
      <c r="AL123"/>
      <c r="AV123"/>
      <c r="BC123">
        <v>100</v>
      </c>
      <c r="BE123">
        <v>100</v>
      </c>
      <c r="BG123">
        <v>500</v>
      </c>
      <c r="BH123">
        <v>5000</v>
      </c>
      <c r="BI123" s="14">
        <f>SUM(Portefeuille_MNT_PPS_Access29[[#This Row],[AC ANT]:[TR 2035]])</f>
        <v>5700</v>
      </c>
    </row>
    <row r="124" spans="1:61" hidden="1" x14ac:dyDescent="0.3">
      <c r="A124" t="s">
        <v>286</v>
      </c>
      <c r="B124" t="s">
        <v>664</v>
      </c>
      <c r="D124" t="s">
        <v>101</v>
      </c>
      <c r="E124" t="s">
        <v>102</v>
      </c>
      <c r="F124" t="s">
        <v>200</v>
      </c>
      <c r="G124" t="s">
        <v>104</v>
      </c>
      <c r="H124" t="s">
        <v>16</v>
      </c>
      <c r="I124" t="s">
        <v>16</v>
      </c>
      <c r="J124" t="s">
        <v>105</v>
      </c>
      <c r="K124" s="2">
        <v>154180001</v>
      </c>
      <c r="L124" t="s">
        <v>331</v>
      </c>
      <c r="M124" t="s">
        <v>180</v>
      </c>
      <c r="N124" s="8">
        <f>_xlfn.XLOOKUP(Portefeuille_MNT_PPS_Access29[[#This Row],[Numéro projet]], Portefeuille_MNT_PPS_Access20[Numéro projet], Portefeuille_MNT_PPS_Access20[Année DÉBUT Travaux prévu], "")</f>
        <v>2025</v>
      </c>
      <c r="O124">
        <v>2025</v>
      </c>
      <c r="P124">
        <f>Portefeuille_MNT_PPS_Access29[[#This Row],[Année DÉBUT Travaux proposé]]-Portefeuille_MNT_PPS_Access29[[#This Row],[Année DÉBUT Travaux prog actuelle]]</f>
        <v>0</v>
      </c>
      <c r="Q124" t="s">
        <v>164</v>
      </c>
      <c r="R124" s="1">
        <v>43360</v>
      </c>
      <c r="S124" s="1">
        <v>43671</v>
      </c>
      <c r="T124" s="1">
        <v>44217</v>
      </c>
      <c r="U12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2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2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10</v>
      </c>
      <c r="Y12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18</v>
      </c>
      <c r="Z124">
        <f>Portefeuille_MNT_PPS_Access29[[#This Row],[Délais PC1 et PC3]]+Portefeuille_MNT_PPS_Access29[[#This Row],[Délais PC3 et PC5]]</f>
        <v>28</v>
      </c>
      <c r="AA124">
        <v>1</v>
      </c>
      <c r="AB124">
        <v>1</v>
      </c>
      <c r="AD124" t="s">
        <v>165</v>
      </c>
      <c r="AE124">
        <v>3</v>
      </c>
      <c r="AF124" s="2">
        <f>_xlfn.XLOOKUP(Portefeuille_MNT_PPS_Access29[[#This Row],[Numéro projet]],Portefeuille_MNT_PPS_Access27[Numéro projet],Portefeuille_MNT_PPS_Access27[Critère Etat Infrastructure])</f>
        <v>0</v>
      </c>
      <c r="AG124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55.000000000000007</v>
      </c>
      <c r="AH124" s="221"/>
      <c r="AI124">
        <v>432</v>
      </c>
      <c r="AJ124">
        <v>3057</v>
      </c>
      <c r="AK124">
        <v>136</v>
      </c>
      <c r="AL124"/>
      <c r="AM124">
        <v>137</v>
      </c>
      <c r="AN124">
        <v>73</v>
      </c>
      <c r="AV124"/>
      <c r="BI124" s="14">
        <f>SUM(Portefeuille_MNT_PPS_Access29[[#This Row],[AC ANT]:[TR 2035]])</f>
        <v>3835</v>
      </c>
    </row>
    <row r="125" spans="1:61" hidden="1" x14ac:dyDescent="0.3">
      <c r="A125" t="s">
        <v>286</v>
      </c>
      <c r="B125" t="s">
        <v>663</v>
      </c>
      <c r="D125" t="s">
        <v>101</v>
      </c>
      <c r="E125" t="s">
        <v>102</v>
      </c>
      <c r="F125" t="s">
        <v>119</v>
      </c>
      <c r="G125" t="s">
        <v>113</v>
      </c>
      <c r="H125" t="s">
        <v>16</v>
      </c>
      <c r="I125" t="s">
        <v>16</v>
      </c>
      <c r="J125" t="s">
        <v>105</v>
      </c>
      <c r="K125" s="2">
        <v>154180091</v>
      </c>
      <c r="L125" t="s">
        <v>333</v>
      </c>
      <c r="M125" t="s">
        <v>122</v>
      </c>
      <c r="N125" s="8">
        <f>_xlfn.XLOOKUP(Portefeuille_MNT_PPS_Access29[[#This Row],[Numéro projet]], Portefeuille_MNT_PPS_Access20[Numéro projet], Portefeuille_MNT_PPS_Access20[Année DÉBUT Travaux prévu], "")</f>
        <v>2025</v>
      </c>
      <c r="O125">
        <v>2025</v>
      </c>
      <c r="P125">
        <f>Portefeuille_MNT_PPS_Access29[[#This Row],[Année DÉBUT Travaux proposé]]-Portefeuille_MNT_PPS_Access29[[#This Row],[Année DÉBUT Travaux prog actuelle]]</f>
        <v>0</v>
      </c>
      <c r="Q125" t="s">
        <v>164</v>
      </c>
      <c r="R125" s="1">
        <v>44162</v>
      </c>
      <c r="S125" s="1">
        <v>44489</v>
      </c>
      <c r="T125" s="1">
        <v>44608</v>
      </c>
      <c r="U12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2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2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12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4</v>
      </c>
      <c r="Z125">
        <f>Portefeuille_MNT_PPS_Access29[[#This Row],[Délais PC1 et PC3]]+Portefeuille_MNT_PPS_Access29[[#This Row],[Délais PC3 et PC5]]</f>
        <v>15</v>
      </c>
      <c r="AA125">
        <v>1</v>
      </c>
      <c r="AB125">
        <v>1</v>
      </c>
      <c r="AD125" t="s">
        <v>165</v>
      </c>
      <c r="AE125">
        <v>4</v>
      </c>
      <c r="AF125" s="2">
        <f>_xlfn.XLOOKUP(Portefeuille_MNT_PPS_Access29[[#This Row],[Numéro projet]],Portefeuille_MNT_PPS_Access27[Numéro projet],Portefeuille_MNT_PPS_Access27[Critère Etat Infrastructure])</f>
        <v>5</v>
      </c>
      <c r="AG125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85.000000000000014</v>
      </c>
      <c r="AH125" s="221"/>
      <c r="AI125">
        <v>183</v>
      </c>
      <c r="AJ125">
        <v>33</v>
      </c>
      <c r="AK125">
        <v>297</v>
      </c>
      <c r="AL125">
        <v>6350</v>
      </c>
      <c r="AM125">
        <v>162</v>
      </c>
      <c r="AN125">
        <v>50</v>
      </c>
      <c r="AV125"/>
      <c r="BI125" s="14">
        <f>SUM(Portefeuille_MNT_PPS_Access29[[#This Row],[AC ANT]:[TR 2035]])</f>
        <v>7075</v>
      </c>
    </row>
    <row r="126" spans="1:61" hidden="1" x14ac:dyDescent="0.3">
      <c r="A126" t="s">
        <v>286</v>
      </c>
      <c r="B126" t="s">
        <v>664</v>
      </c>
      <c r="D126" t="s">
        <v>101</v>
      </c>
      <c r="E126" t="s">
        <v>102</v>
      </c>
      <c r="F126" t="s">
        <v>200</v>
      </c>
      <c r="G126" t="s">
        <v>149</v>
      </c>
      <c r="H126" t="s">
        <v>16</v>
      </c>
      <c r="I126" t="s">
        <v>16</v>
      </c>
      <c r="J126" t="s">
        <v>105</v>
      </c>
      <c r="K126" s="2">
        <v>154180629</v>
      </c>
      <c r="L126" t="s">
        <v>335</v>
      </c>
      <c r="M126" t="s">
        <v>205</v>
      </c>
      <c r="N126" s="8">
        <f>_xlfn.XLOOKUP(Portefeuille_MNT_PPS_Access29[[#This Row],[Numéro projet]], Portefeuille_MNT_PPS_Access20[Numéro projet], Portefeuille_MNT_PPS_Access20[Année DÉBUT Travaux prévu], "")</f>
        <v>2025</v>
      </c>
      <c r="O126">
        <v>2025</v>
      </c>
      <c r="P126">
        <f>Portefeuille_MNT_PPS_Access29[[#This Row],[Année DÉBUT Travaux proposé]]-Portefeuille_MNT_PPS_Access29[[#This Row],[Année DÉBUT Travaux prog actuelle]]</f>
        <v>0</v>
      </c>
      <c r="Q126" t="s">
        <v>164</v>
      </c>
      <c r="R126" s="1">
        <v>44228</v>
      </c>
      <c r="S126" s="1">
        <v>44579</v>
      </c>
      <c r="T126" s="1">
        <v>44865</v>
      </c>
      <c r="U12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5.Respect OPC</v>
      </c>
      <c r="V12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26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12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9</v>
      </c>
      <c r="Z126">
        <f>Portefeuille_MNT_PPS_Access29[[#This Row],[Délais PC1 et PC3]]+Portefeuille_MNT_PPS_Access29[[#This Row],[Délais PC3 et PC5]]</f>
        <v>20</v>
      </c>
      <c r="AA126">
        <v>1</v>
      </c>
      <c r="AB126">
        <v>1</v>
      </c>
      <c r="AD126" t="s">
        <v>165</v>
      </c>
      <c r="AE126">
        <v>3</v>
      </c>
      <c r="AF126" s="2">
        <f>_xlfn.XLOOKUP(Portefeuille_MNT_PPS_Access29[[#This Row],[Numéro projet]],Portefeuille_MNT_PPS_Access27[Numéro projet],Portefeuille_MNT_PPS_Access27[Critère Etat Infrastructure])</f>
        <v>0</v>
      </c>
      <c r="AG126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55.000000000000007</v>
      </c>
      <c r="AH126" s="221"/>
      <c r="AI126">
        <v>262</v>
      </c>
      <c r="AJ126">
        <v>16</v>
      </c>
      <c r="AK126">
        <v>265</v>
      </c>
      <c r="AL126">
        <v>6205</v>
      </c>
      <c r="AM126">
        <v>183</v>
      </c>
      <c r="AN126">
        <v>282</v>
      </c>
      <c r="AV126"/>
      <c r="BI126" s="14">
        <f>SUM(Portefeuille_MNT_PPS_Access29[[#This Row],[AC ANT]:[TR 2035]])</f>
        <v>7213</v>
      </c>
    </row>
    <row r="127" spans="1:61" hidden="1" x14ac:dyDescent="0.3">
      <c r="A127" t="s">
        <v>286</v>
      </c>
      <c r="B127" t="s">
        <v>663</v>
      </c>
      <c r="D127" t="s">
        <v>101</v>
      </c>
      <c r="E127" t="s">
        <v>102</v>
      </c>
      <c r="F127" t="s">
        <v>177</v>
      </c>
      <c r="G127" t="s">
        <v>129</v>
      </c>
      <c r="H127" t="s">
        <v>16</v>
      </c>
      <c r="I127" t="s">
        <v>16</v>
      </c>
      <c r="J127" t="s">
        <v>131</v>
      </c>
      <c r="K127" s="2">
        <v>154180922</v>
      </c>
      <c r="L127" t="s">
        <v>179</v>
      </c>
      <c r="M127" t="s">
        <v>180</v>
      </c>
      <c r="N127" s="8">
        <f>_xlfn.XLOOKUP(Portefeuille_MNT_PPS_Access29[[#This Row],[Numéro projet]], Portefeuille_MNT_PPS_Access20[Numéro projet], Portefeuille_MNT_PPS_Access20[Année DÉBUT Travaux prévu], "")</f>
        <v>2025</v>
      </c>
      <c r="O127">
        <v>2025</v>
      </c>
      <c r="P127">
        <f>Portefeuille_MNT_PPS_Access29[[#This Row],[Année DÉBUT Travaux proposé]]-Portefeuille_MNT_PPS_Access29[[#This Row],[Année DÉBUT Travaux prog actuelle]]</f>
        <v>0</v>
      </c>
      <c r="Q127" t="s">
        <v>164</v>
      </c>
      <c r="R127" s="1"/>
      <c r="S127" s="1"/>
      <c r="T127" s="1">
        <v>45195</v>
      </c>
      <c r="U12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2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2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1484</v>
      </c>
      <c r="Z127">
        <f>Portefeuille_MNT_PPS_Access29[[#This Row],[Délais PC1 et PC3]]+Portefeuille_MNT_PPS_Access29[[#This Row],[Délais PC3 et PC5]]</f>
        <v>1484</v>
      </c>
      <c r="AA127">
        <v>1</v>
      </c>
      <c r="AB127">
        <v>5</v>
      </c>
      <c r="AD127" t="s">
        <v>165</v>
      </c>
      <c r="AE127">
        <v>2.6</v>
      </c>
      <c r="AF127" s="2">
        <f>_xlfn.XLOOKUP(Portefeuille_MNT_PPS_Access29[[#This Row],[Numéro projet]],Portefeuille_MNT_PPS_Access27[Numéro projet],Portefeuille_MNT_PPS_Access27[Critère Etat Infrastructure])</f>
        <v>0</v>
      </c>
      <c r="AG127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73</v>
      </c>
      <c r="AH127" s="221"/>
      <c r="AI127">
        <v>75</v>
      </c>
      <c r="AJ127">
        <v>101.00000000000001</v>
      </c>
      <c r="AK127">
        <v>25</v>
      </c>
      <c r="AL127">
        <v>1137</v>
      </c>
      <c r="AM127">
        <v>73</v>
      </c>
      <c r="AN127">
        <v>596</v>
      </c>
      <c r="AV127"/>
      <c r="BI127" s="14">
        <f>SUM(Portefeuille_MNT_PPS_Access29[[#This Row],[AC ANT]:[TR 2035]])</f>
        <v>2007</v>
      </c>
    </row>
    <row r="128" spans="1:61" hidden="1" x14ac:dyDescent="0.3">
      <c r="A128" t="s">
        <v>286</v>
      </c>
      <c r="B128" t="s">
        <v>664</v>
      </c>
      <c r="D128" t="s">
        <v>101</v>
      </c>
      <c r="E128" t="s">
        <v>102</v>
      </c>
      <c r="F128" t="s">
        <v>200</v>
      </c>
      <c r="G128" t="s">
        <v>113</v>
      </c>
      <c r="H128" t="s">
        <v>16</v>
      </c>
      <c r="I128" t="s">
        <v>16</v>
      </c>
      <c r="J128" t="s">
        <v>131</v>
      </c>
      <c r="K128" s="2">
        <v>154190163</v>
      </c>
      <c r="L128" t="s">
        <v>337</v>
      </c>
      <c r="M128" t="s">
        <v>180</v>
      </c>
      <c r="N128" s="8">
        <f>_xlfn.XLOOKUP(Portefeuille_MNT_PPS_Access29[[#This Row],[Numéro projet]], Portefeuille_MNT_PPS_Access20[Numéro projet], Portefeuille_MNT_PPS_Access20[Année DÉBUT Travaux prévu], "")</f>
        <v>2025</v>
      </c>
      <c r="O128">
        <v>2025</v>
      </c>
      <c r="P128">
        <f>Portefeuille_MNT_PPS_Access29[[#This Row],[Année DÉBUT Travaux proposé]]-Portefeuille_MNT_PPS_Access29[[#This Row],[Année DÉBUT Travaux prog actuelle]]</f>
        <v>0</v>
      </c>
      <c r="Q128" t="s">
        <v>164</v>
      </c>
      <c r="R128" s="1"/>
      <c r="S128" s="1">
        <v>44518</v>
      </c>
      <c r="T128" s="1">
        <v>44657</v>
      </c>
      <c r="U12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2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5.Respect OPC</v>
      </c>
      <c r="W12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1462</v>
      </c>
      <c r="Y12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5</v>
      </c>
      <c r="Z128">
        <f>Portefeuille_MNT_PPS_Access29[[#This Row],[Délais PC1 et PC3]]+Portefeuille_MNT_PPS_Access29[[#This Row],[Délais PC3 et PC5]]</f>
        <v>1467</v>
      </c>
      <c r="AA128">
        <v>1</v>
      </c>
      <c r="AB128">
        <v>1</v>
      </c>
      <c r="AD128" t="s">
        <v>165</v>
      </c>
      <c r="AE128">
        <v>2.6666666666666665</v>
      </c>
      <c r="AF128" s="2">
        <f>_xlfn.XLOOKUP(Portefeuille_MNT_PPS_Access29[[#This Row],[Numéro projet]],Portefeuille_MNT_PPS_Access27[Numéro projet],Portefeuille_MNT_PPS_Access27[Critère Etat Infrastructure])</f>
        <v>5</v>
      </c>
      <c r="AG128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78.333333333333329</v>
      </c>
      <c r="AH128" s="221"/>
      <c r="AI128">
        <v>594</v>
      </c>
      <c r="AJ128">
        <v>3359</v>
      </c>
      <c r="AK128">
        <v>264</v>
      </c>
      <c r="AL128">
        <v>2717</v>
      </c>
      <c r="AM128">
        <v>63</v>
      </c>
      <c r="AN128">
        <v>462</v>
      </c>
      <c r="AV128"/>
      <c r="BI128" s="14">
        <f>SUM(Portefeuille_MNT_PPS_Access29[[#This Row],[AC ANT]:[TR 2035]])</f>
        <v>7459</v>
      </c>
    </row>
    <row r="129" spans="1:61" hidden="1" x14ac:dyDescent="0.3">
      <c r="A129" t="s">
        <v>286</v>
      </c>
      <c r="B129" t="s">
        <v>664</v>
      </c>
      <c r="D129" t="s">
        <v>101</v>
      </c>
      <c r="E129" t="s">
        <v>102</v>
      </c>
      <c r="F129" t="s">
        <v>103</v>
      </c>
      <c r="G129" t="s">
        <v>149</v>
      </c>
      <c r="H129" t="s">
        <v>16</v>
      </c>
      <c r="I129" t="s">
        <v>16</v>
      </c>
      <c r="J129" t="s">
        <v>105</v>
      </c>
      <c r="K129" s="2">
        <v>154190480</v>
      </c>
      <c r="L129" t="s">
        <v>229</v>
      </c>
      <c r="M129" t="s">
        <v>230</v>
      </c>
      <c r="N129" s="8">
        <f>_xlfn.XLOOKUP(Portefeuille_MNT_PPS_Access29[[#This Row],[Numéro projet]], Portefeuille_MNT_PPS_Access20[Numéro projet], Portefeuille_MNT_PPS_Access20[Année DÉBUT Travaux prévu], "")</f>
        <v>2025</v>
      </c>
      <c r="O129">
        <v>2025</v>
      </c>
      <c r="P129">
        <f>Portefeuille_MNT_PPS_Access29[[#This Row],[Année DÉBUT Travaux proposé]]-Portefeuille_MNT_PPS_Access29[[#This Row],[Année DÉBUT Travaux prog actuelle]]</f>
        <v>0</v>
      </c>
      <c r="Q129" t="s">
        <v>164</v>
      </c>
      <c r="R129" s="1">
        <v>45022</v>
      </c>
      <c r="S129" s="1">
        <v>45463</v>
      </c>
      <c r="T129" s="1">
        <v>45590</v>
      </c>
      <c r="U12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1.Très à risque</v>
      </c>
      <c r="V12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1.Très à risque</v>
      </c>
      <c r="W12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5.Respect OPC</v>
      </c>
      <c r="X12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</v>
      </c>
      <c r="Y12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4</v>
      </c>
      <c r="Z129">
        <f>Portefeuille_MNT_PPS_Access29[[#This Row],[Délais PC1 et PC3]]+Portefeuille_MNT_PPS_Access29[[#This Row],[Délais PC3 et PC5]]</f>
        <v>18</v>
      </c>
      <c r="AA129">
        <v>1</v>
      </c>
      <c r="AB129">
        <v>5</v>
      </c>
      <c r="AD129" t="s">
        <v>165</v>
      </c>
      <c r="AE129">
        <v>3</v>
      </c>
      <c r="AF129" s="2">
        <f>_xlfn.XLOOKUP(Portefeuille_MNT_PPS_Access29[[#This Row],[Numéro projet]],Portefeuille_MNT_PPS_Access27[Numéro projet],Portefeuille_MNT_PPS_Access27[Critère Etat Infrastructure])</f>
        <v>4</v>
      </c>
      <c r="AG129" s="12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95</v>
      </c>
      <c r="AH129" s="221"/>
      <c r="AI129">
        <v>61</v>
      </c>
      <c r="AL129"/>
      <c r="AM129">
        <v>601</v>
      </c>
      <c r="AN129">
        <v>11581</v>
      </c>
      <c r="AV129"/>
      <c r="BI129" s="14">
        <f>SUM(Portefeuille_MNT_PPS_Access29[[#This Row],[AC ANT]:[TR 2035]])</f>
        <v>12243</v>
      </c>
    </row>
    <row r="130" spans="1:61" hidden="1" x14ac:dyDescent="0.3">
      <c r="A130" t="s">
        <v>286</v>
      </c>
      <c r="B130" t="s">
        <v>295</v>
      </c>
      <c r="D130" t="s">
        <v>126</v>
      </c>
      <c r="E130" t="s">
        <v>127</v>
      </c>
      <c r="F130" t="s">
        <v>136</v>
      </c>
      <c r="G130" t="s">
        <v>104</v>
      </c>
      <c r="H130" t="s">
        <v>16</v>
      </c>
      <c r="I130" t="s">
        <v>16</v>
      </c>
      <c r="J130" t="s">
        <v>105</v>
      </c>
      <c r="K130" s="2">
        <v>154061991</v>
      </c>
      <c r="L130" t="s">
        <v>301</v>
      </c>
      <c r="M130" t="s">
        <v>302</v>
      </c>
      <c r="N130" s="8">
        <f>_xlfn.XLOOKUP(Portefeuille_MNT_PPS_Access29[[#This Row],[Numéro projet]], Portefeuille_MNT_PPS_Access20[Numéro projet], Portefeuille_MNT_PPS_Access20[Année DÉBUT Travaux prévu], "")</f>
        <v>0</v>
      </c>
      <c r="P130">
        <f>Portefeuille_MNT_PPS_Access29[[#This Row],[Année DÉBUT Travaux proposé]]-Portefeuille_MNT_PPS_Access29[[#This Row],[Année DÉBUT Travaux prog actuelle]]</f>
        <v>0</v>
      </c>
      <c r="Q130" t="s">
        <v>164</v>
      </c>
      <c r="R130" s="1">
        <v>41907</v>
      </c>
      <c r="S130" s="1">
        <v>41968</v>
      </c>
      <c r="T130" s="1">
        <v>42045</v>
      </c>
      <c r="U130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30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0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2</v>
      </c>
      <c r="Y13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</v>
      </c>
      <c r="Z130">
        <f>Portefeuille_MNT_PPS_Access29[[#This Row],[Délais PC1 et PC3]]+Portefeuille_MNT_PPS_Access29[[#This Row],[Délais PC3 et PC5]]</f>
        <v>5</v>
      </c>
      <c r="AB130">
        <v>1</v>
      </c>
      <c r="AD130" t="s">
        <v>165</v>
      </c>
      <c r="AE130">
        <v>4</v>
      </c>
      <c r="AF130" s="2" t="e">
        <f>_xlfn.XLOOKUP(Portefeuille_MNT_PPS_Access29[[#This Row],[Numéro projet]],Portefeuille_MNT_PPS_Access27[Numéro projet],Portefeuille_MNT_PPS_Access27[Critère Etat Infrastructure])</f>
        <v>#N/A</v>
      </c>
      <c r="AG130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0" s="221"/>
      <c r="AI130">
        <v>2582</v>
      </c>
      <c r="AJ130">
        <v>17091</v>
      </c>
      <c r="AK130">
        <v>25</v>
      </c>
      <c r="AL130">
        <v>98</v>
      </c>
      <c r="AM130">
        <v>10</v>
      </c>
      <c r="AV130"/>
      <c r="BI130" s="14">
        <f>SUM(Portefeuille_MNT_PPS_Access29[[#This Row],[AC ANT]:[TR 2035]])</f>
        <v>19806</v>
      </c>
    </row>
    <row r="131" spans="1:61" hidden="1" x14ac:dyDescent="0.3">
      <c r="A131" t="s">
        <v>286</v>
      </c>
      <c r="B131" t="s">
        <v>295</v>
      </c>
      <c r="D131" t="s">
        <v>126</v>
      </c>
      <c r="E131" t="s">
        <v>127</v>
      </c>
      <c r="F131" t="s">
        <v>136</v>
      </c>
      <c r="G131" t="s">
        <v>104</v>
      </c>
      <c r="H131" t="s">
        <v>16</v>
      </c>
      <c r="I131" t="s">
        <v>16</v>
      </c>
      <c r="J131" t="s">
        <v>131</v>
      </c>
      <c r="K131" s="2">
        <v>154091454</v>
      </c>
      <c r="L131" t="s">
        <v>304</v>
      </c>
      <c r="M131" t="s">
        <v>194</v>
      </c>
      <c r="N131" s="8">
        <f>_xlfn.XLOOKUP(Portefeuille_MNT_PPS_Access29[[#This Row],[Numéro projet]], Portefeuille_MNT_PPS_Access20[Numéro projet], Portefeuille_MNT_PPS_Access20[Année DÉBUT Travaux prévu], "")</f>
        <v>0</v>
      </c>
      <c r="P131">
        <f>Portefeuille_MNT_PPS_Access29[[#This Row],[Année DÉBUT Travaux proposé]]-Portefeuille_MNT_PPS_Access29[[#This Row],[Année DÉBUT Travaux prog actuelle]]</f>
        <v>0</v>
      </c>
      <c r="Q131" t="s">
        <v>164</v>
      </c>
      <c r="R131" s="1">
        <v>43270</v>
      </c>
      <c r="S131" s="1">
        <v>44222</v>
      </c>
      <c r="T131" s="1">
        <v>44356</v>
      </c>
      <c r="U131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31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1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31</v>
      </c>
      <c r="Y13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5</v>
      </c>
      <c r="Z131">
        <f>Portefeuille_MNT_PPS_Access29[[#This Row],[Délais PC1 et PC3]]+Portefeuille_MNT_PPS_Access29[[#This Row],[Délais PC3 et PC5]]</f>
        <v>36</v>
      </c>
      <c r="AB131">
        <v>1</v>
      </c>
      <c r="AD131" t="s">
        <v>165</v>
      </c>
      <c r="AE131">
        <v>3.3333333333333335</v>
      </c>
      <c r="AF131" s="2" t="e">
        <f>_xlfn.XLOOKUP(Portefeuille_MNT_PPS_Access29[[#This Row],[Numéro projet]],Portefeuille_MNT_PPS_Access27[Numéro projet],Portefeuille_MNT_PPS_Access27[Critère Etat Infrastructure])</f>
        <v>#N/A</v>
      </c>
      <c r="AG131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1" s="221"/>
      <c r="AI131">
        <v>569</v>
      </c>
      <c r="AJ131">
        <v>2223</v>
      </c>
      <c r="AK131">
        <v>18</v>
      </c>
      <c r="AL131">
        <v>92</v>
      </c>
      <c r="AV131"/>
      <c r="BI131" s="14">
        <f>SUM(Portefeuille_MNT_PPS_Access29[[#This Row],[AC ANT]:[TR 2035]])</f>
        <v>2902</v>
      </c>
    </row>
    <row r="132" spans="1:61" hidden="1" x14ac:dyDescent="0.3">
      <c r="A132" t="s">
        <v>286</v>
      </c>
      <c r="B132" t="s">
        <v>664</v>
      </c>
      <c r="D132" t="s">
        <v>101</v>
      </c>
      <c r="E132" t="s">
        <v>102</v>
      </c>
      <c r="F132" t="s">
        <v>103</v>
      </c>
      <c r="G132" t="s">
        <v>104</v>
      </c>
      <c r="H132" t="s">
        <v>16</v>
      </c>
      <c r="I132" t="s">
        <v>16</v>
      </c>
      <c r="J132" t="s">
        <v>105</v>
      </c>
      <c r="K132" s="2">
        <v>154101262</v>
      </c>
      <c r="L132" t="s">
        <v>306</v>
      </c>
      <c r="M132" t="s">
        <v>302</v>
      </c>
      <c r="N132" s="8">
        <f>_xlfn.XLOOKUP(Portefeuille_MNT_PPS_Access29[[#This Row],[Numéro projet]], Portefeuille_MNT_PPS_Access20[Numéro projet], Portefeuille_MNT_PPS_Access20[Année DÉBUT Travaux prévu], "")</f>
        <v>0</v>
      </c>
      <c r="P132">
        <f>Portefeuille_MNT_PPS_Access29[[#This Row],[Année DÉBUT Travaux proposé]]-Portefeuille_MNT_PPS_Access29[[#This Row],[Année DÉBUT Travaux prog actuelle]]</f>
        <v>0</v>
      </c>
      <c r="Q132" t="s">
        <v>164</v>
      </c>
      <c r="R132" s="1">
        <v>43612</v>
      </c>
      <c r="S132" s="1">
        <v>44098</v>
      </c>
      <c r="T132" s="1">
        <v>44188</v>
      </c>
      <c r="U132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32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2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16</v>
      </c>
      <c r="Y13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</v>
      </c>
      <c r="Z132">
        <f>Portefeuille_MNT_PPS_Access29[[#This Row],[Délais PC1 et PC3]]+Portefeuille_MNT_PPS_Access29[[#This Row],[Délais PC3 et PC5]]</f>
        <v>19</v>
      </c>
      <c r="AB132">
        <v>1</v>
      </c>
      <c r="AD132" t="s">
        <v>165</v>
      </c>
      <c r="AE132">
        <v>4</v>
      </c>
      <c r="AF132" s="2" t="e">
        <f>_xlfn.XLOOKUP(Portefeuille_MNT_PPS_Access29[[#This Row],[Numéro projet]],Portefeuille_MNT_PPS_Access27[Numéro projet],Portefeuille_MNT_PPS_Access27[Critère Etat Infrastructure])</f>
        <v>#N/A</v>
      </c>
      <c r="AG132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2" s="221"/>
      <c r="AI132">
        <v>640</v>
      </c>
      <c r="AJ132">
        <v>6783</v>
      </c>
      <c r="AK132">
        <v>36</v>
      </c>
      <c r="AL132"/>
      <c r="AV132"/>
      <c r="BI132" s="14">
        <f>SUM(Portefeuille_MNT_PPS_Access29[[#This Row],[AC ANT]:[TR 2035]])</f>
        <v>7459</v>
      </c>
    </row>
    <row r="133" spans="1:61" hidden="1" x14ac:dyDescent="0.3">
      <c r="A133" t="s">
        <v>286</v>
      </c>
      <c r="B133" t="s">
        <v>663</v>
      </c>
      <c r="D133" t="s">
        <v>101</v>
      </c>
      <c r="E133" t="s">
        <v>102</v>
      </c>
      <c r="F133" t="s">
        <v>177</v>
      </c>
      <c r="G133" t="s">
        <v>104</v>
      </c>
      <c r="H133" t="s">
        <v>16</v>
      </c>
      <c r="I133" t="s">
        <v>325</v>
      </c>
      <c r="J133" t="s">
        <v>131</v>
      </c>
      <c r="K133" s="2">
        <v>154111623</v>
      </c>
      <c r="L133" t="s">
        <v>604</v>
      </c>
      <c r="M133" t="s">
        <v>214</v>
      </c>
      <c r="N133" s="8">
        <f>_xlfn.XLOOKUP(Portefeuille_MNT_PPS_Access29[[#This Row],[Numéro projet]], Portefeuille_MNT_PPS_Access20[Numéro projet], Portefeuille_MNT_PPS_Access20[Année DÉBUT Travaux prévu], "")</f>
        <v>0</v>
      </c>
      <c r="P133">
        <f>Portefeuille_MNT_PPS_Access29[[#This Row],[Année DÉBUT Travaux proposé]]-Portefeuille_MNT_PPS_Access29[[#This Row],[Année DÉBUT Travaux prog actuelle]]</f>
        <v>0</v>
      </c>
      <c r="Q133" t="s">
        <v>291</v>
      </c>
      <c r="R133" s="1"/>
      <c r="S133" s="1"/>
      <c r="T133" s="1"/>
      <c r="U13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3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33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3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3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33">
        <f>Portefeuille_MNT_PPS_Access29[[#This Row],[Délais PC1 et PC3]]+Portefeuille_MNT_PPS_Access29[[#This Row],[Délais PC3 et PC5]]</f>
        <v>0</v>
      </c>
      <c r="AB133">
        <v>1</v>
      </c>
      <c r="AD133" t="s">
        <v>311</v>
      </c>
      <c r="AE133">
        <v>3</v>
      </c>
      <c r="AF133" s="2" t="e">
        <f>_xlfn.XLOOKUP(Portefeuille_MNT_PPS_Access29[[#This Row],[Numéro projet]],Portefeuille_MNT_PPS_Access27[Numéro projet],Portefeuille_MNT_PPS_Access27[Critère Etat Infrastructure])</f>
        <v>#N/A</v>
      </c>
      <c r="AG133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3" s="221"/>
      <c r="AI133">
        <v>96</v>
      </c>
      <c r="AJ133">
        <v>399</v>
      </c>
      <c r="AK133">
        <v>5</v>
      </c>
      <c r="AL133"/>
      <c r="AV133"/>
      <c r="BI133" s="14">
        <f>SUM(Portefeuille_MNT_PPS_Access29[[#This Row],[AC ANT]:[TR 2035]])</f>
        <v>500</v>
      </c>
    </row>
    <row r="134" spans="1:61" hidden="1" x14ac:dyDescent="0.3">
      <c r="A134" t="s">
        <v>286</v>
      </c>
      <c r="B134" t="s">
        <v>295</v>
      </c>
      <c r="D134" t="s">
        <v>126</v>
      </c>
      <c r="E134" t="s">
        <v>127</v>
      </c>
      <c r="F134" t="s">
        <v>136</v>
      </c>
      <c r="G134" t="s">
        <v>104</v>
      </c>
      <c r="H134" t="s">
        <v>16</v>
      </c>
      <c r="I134" t="s">
        <v>16</v>
      </c>
      <c r="J134" t="s">
        <v>131</v>
      </c>
      <c r="K134" s="2">
        <v>154130267</v>
      </c>
      <c r="L134" t="s">
        <v>308</v>
      </c>
      <c r="M134" t="s">
        <v>159</v>
      </c>
      <c r="N134" s="8">
        <f>_xlfn.XLOOKUP(Portefeuille_MNT_PPS_Access29[[#This Row],[Numéro projet]], Portefeuille_MNT_PPS_Access20[Numéro projet], Portefeuille_MNT_PPS_Access20[Année DÉBUT Travaux prévu], "")</f>
        <v>0</v>
      </c>
      <c r="P134">
        <f>Portefeuille_MNT_PPS_Access29[[#This Row],[Année DÉBUT Travaux proposé]]-Portefeuille_MNT_PPS_Access29[[#This Row],[Année DÉBUT Travaux prog actuelle]]</f>
        <v>0</v>
      </c>
      <c r="Q134" t="s">
        <v>164</v>
      </c>
      <c r="R134" s="1"/>
      <c r="S134" s="1">
        <v>42992</v>
      </c>
      <c r="T134" s="1">
        <v>43783</v>
      </c>
      <c r="U13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34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4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1412</v>
      </c>
      <c r="Y13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26</v>
      </c>
      <c r="Z134">
        <f>Portefeuille_MNT_PPS_Access29[[#This Row],[Délais PC1 et PC3]]+Portefeuille_MNT_PPS_Access29[[#This Row],[Délais PC3 et PC5]]</f>
        <v>1438</v>
      </c>
      <c r="AB134">
        <v>1</v>
      </c>
      <c r="AD134" t="s">
        <v>165</v>
      </c>
      <c r="AE134">
        <v>4.333333333333333</v>
      </c>
      <c r="AF134" s="2" t="e">
        <f>_xlfn.XLOOKUP(Portefeuille_MNT_PPS_Access29[[#This Row],[Numéro projet]],Portefeuille_MNT_PPS_Access27[Numéro projet],Portefeuille_MNT_PPS_Access27[Critère Etat Infrastructure])</f>
        <v>#N/A</v>
      </c>
      <c r="AG134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4" s="221"/>
      <c r="AI134">
        <v>2779</v>
      </c>
      <c r="AJ134">
        <v>15336</v>
      </c>
      <c r="AK134">
        <v>16</v>
      </c>
      <c r="AL134"/>
      <c r="AV134"/>
      <c r="BI134" s="14">
        <f>SUM(Portefeuille_MNT_PPS_Access29[[#This Row],[AC ANT]:[TR 2035]])</f>
        <v>18131</v>
      </c>
    </row>
    <row r="135" spans="1:61" hidden="1" x14ac:dyDescent="0.3">
      <c r="A135" t="s">
        <v>286</v>
      </c>
      <c r="B135" t="s">
        <v>662</v>
      </c>
      <c r="D135" t="s">
        <v>118</v>
      </c>
      <c r="E135" t="s">
        <v>102</v>
      </c>
      <c r="F135" t="s">
        <v>103</v>
      </c>
      <c r="H135" t="s">
        <v>16</v>
      </c>
      <c r="I135" t="s">
        <v>325</v>
      </c>
      <c r="J135" t="s">
        <v>131</v>
      </c>
      <c r="K135" s="2">
        <v>154160752</v>
      </c>
      <c r="L135" t="s">
        <v>318</v>
      </c>
      <c r="M135" t="s">
        <v>187</v>
      </c>
      <c r="N135" s="8">
        <f>_xlfn.XLOOKUP(Portefeuille_MNT_PPS_Access29[[#This Row],[Numéro projet]], Portefeuille_MNT_PPS_Access20[Numéro projet], Portefeuille_MNT_PPS_Access20[Année DÉBUT Travaux prévu], "")</f>
        <v>0</v>
      </c>
      <c r="P135">
        <f>Portefeuille_MNT_PPS_Access29[[#This Row],[Année DÉBUT Travaux proposé]]-Portefeuille_MNT_PPS_Access29[[#This Row],[Année DÉBUT Travaux prog actuelle]]</f>
        <v>0</v>
      </c>
      <c r="Q135" t="s">
        <v>291</v>
      </c>
      <c r="R135" s="1"/>
      <c r="S135" s="1"/>
      <c r="T135" s="1"/>
      <c r="U13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35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35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3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3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35">
        <f>Portefeuille_MNT_PPS_Access29[[#This Row],[Délais PC1 et PC3]]+Portefeuille_MNT_PPS_Access29[[#This Row],[Délais PC3 et PC5]]</f>
        <v>0</v>
      </c>
      <c r="AB135">
        <v>1</v>
      </c>
      <c r="AD135" t="s">
        <v>311</v>
      </c>
      <c r="AE135">
        <v>3</v>
      </c>
      <c r="AF135" s="2" t="e">
        <f>_xlfn.XLOOKUP(Portefeuille_MNT_PPS_Access29[[#This Row],[Numéro projet]],Portefeuille_MNT_PPS_Access27[Numéro projet],Portefeuille_MNT_PPS_Access27[Critère Etat Infrastructure])</f>
        <v>#N/A</v>
      </c>
      <c r="AG135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5" s="221"/>
      <c r="AI135">
        <v>676</v>
      </c>
      <c r="AJ135">
        <v>7943</v>
      </c>
      <c r="AK135">
        <v>17</v>
      </c>
      <c r="AL135"/>
      <c r="AV135"/>
      <c r="BI135" s="14">
        <f>SUM(Portefeuille_MNT_PPS_Access29[[#This Row],[AC ANT]:[TR 2035]])</f>
        <v>8636</v>
      </c>
    </row>
    <row r="136" spans="1:61" hidden="1" x14ac:dyDescent="0.3">
      <c r="A136" t="s">
        <v>286</v>
      </c>
      <c r="B136" t="s">
        <v>662</v>
      </c>
      <c r="D136" t="s">
        <v>118</v>
      </c>
      <c r="E136" t="s">
        <v>102</v>
      </c>
      <c r="F136" t="s">
        <v>103</v>
      </c>
      <c r="G136" t="s">
        <v>104</v>
      </c>
      <c r="H136" t="s">
        <v>16</v>
      </c>
      <c r="I136" t="s">
        <v>16</v>
      </c>
      <c r="J136" t="s">
        <v>131</v>
      </c>
      <c r="K136" s="2">
        <v>154171269</v>
      </c>
      <c r="L136" t="s">
        <v>320</v>
      </c>
      <c r="M136" t="s">
        <v>159</v>
      </c>
      <c r="N136" s="8">
        <f>_xlfn.XLOOKUP(Portefeuille_MNT_PPS_Access29[[#This Row],[Numéro projet]], Portefeuille_MNT_PPS_Access20[Numéro projet], Portefeuille_MNT_PPS_Access20[Année DÉBUT Travaux prévu], "")</f>
        <v>0</v>
      </c>
      <c r="P136">
        <f>Portefeuille_MNT_PPS_Access29[[#This Row],[Année DÉBUT Travaux proposé]]-Portefeuille_MNT_PPS_Access29[[#This Row],[Année DÉBUT Travaux prog actuelle]]</f>
        <v>0</v>
      </c>
      <c r="Q136" t="s">
        <v>164</v>
      </c>
      <c r="R136" s="1">
        <v>44063</v>
      </c>
      <c r="S136" s="1">
        <v>44488</v>
      </c>
      <c r="T136" s="1">
        <v>44602</v>
      </c>
      <c r="U136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36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6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</v>
      </c>
      <c r="Y13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4</v>
      </c>
      <c r="Z136">
        <f>Portefeuille_MNT_PPS_Access29[[#This Row],[Délais PC1 et PC3]]+Portefeuille_MNT_PPS_Access29[[#This Row],[Délais PC3 et PC5]]</f>
        <v>18</v>
      </c>
      <c r="AB136">
        <v>1</v>
      </c>
      <c r="AD136" t="s">
        <v>165</v>
      </c>
      <c r="AE136">
        <v>4.333333333333333</v>
      </c>
      <c r="AF136" s="2" t="e">
        <f>_xlfn.XLOOKUP(Portefeuille_MNT_PPS_Access29[[#This Row],[Numéro projet]],Portefeuille_MNT_PPS_Access27[Numéro projet],Portefeuille_MNT_PPS_Access27[Critère Etat Infrastructure])</f>
        <v>#N/A</v>
      </c>
      <c r="AG136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6" s="221"/>
      <c r="AI136">
        <v>334</v>
      </c>
      <c r="AJ136">
        <v>5521</v>
      </c>
      <c r="AK136">
        <v>24</v>
      </c>
      <c r="AL136"/>
      <c r="AM136">
        <v>28</v>
      </c>
      <c r="AV136"/>
      <c r="BI136" s="14">
        <f>SUM(Portefeuille_MNT_PPS_Access29[[#This Row],[AC ANT]:[TR 2035]])</f>
        <v>5907</v>
      </c>
    </row>
    <row r="137" spans="1:61" hidden="1" x14ac:dyDescent="0.3">
      <c r="A137" t="s">
        <v>286</v>
      </c>
      <c r="B137" t="s">
        <v>662</v>
      </c>
      <c r="D137" t="s">
        <v>118</v>
      </c>
      <c r="E137" t="s">
        <v>102</v>
      </c>
      <c r="F137" t="s">
        <v>103</v>
      </c>
      <c r="H137" t="s">
        <v>16</v>
      </c>
      <c r="I137" t="s">
        <v>325</v>
      </c>
      <c r="J137" t="s">
        <v>131</v>
      </c>
      <c r="K137" s="2">
        <v>154171270</v>
      </c>
      <c r="L137" t="s">
        <v>525</v>
      </c>
      <c r="M137" t="s">
        <v>147</v>
      </c>
      <c r="N137" s="8">
        <f>_xlfn.XLOOKUP(Portefeuille_MNT_PPS_Access29[[#This Row],[Numéro projet]], Portefeuille_MNT_PPS_Access20[Numéro projet], Portefeuille_MNT_PPS_Access20[Année DÉBUT Travaux prévu], "")</f>
        <v>0</v>
      </c>
      <c r="P137">
        <f>Portefeuille_MNT_PPS_Access29[[#This Row],[Année DÉBUT Travaux proposé]]-Portefeuille_MNT_PPS_Access29[[#This Row],[Année DÉBUT Travaux prog actuelle]]</f>
        <v>0</v>
      </c>
      <c r="Q137" t="s">
        <v>291</v>
      </c>
      <c r="R137" s="1"/>
      <c r="S137" s="1"/>
      <c r="T137" s="1"/>
      <c r="U13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3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37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3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3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37">
        <f>Portefeuille_MNT_PPS_Access29[[#This Row],[Délais PC1 et PC3]]+Portefeuille_MNT_PPS_Access29[[#This Row],[Délais PC3 et PC5]]</f>
        <v>0</v>
      </c>
      <c r="AB137">
        <v>1</v>
      </c>
      <c r="AD137" t="s">
        <v>311</v>
      </c>
      <c r="AE137">
        <v>2.6666666666666665</v>
      </c>
      <c r="AF137" s="2" t="e">
        <f>_xlfn.XLOOKUP(Portefeuille_MNT_PPS_Access29[[#This Row],[Numéro projet]],Portefeuille_MNT_PPS_Access27[Numéro projet],Portefeuille_MNT_PPS_Access27[Critère Etat Infrastructure])</f>
        <v>#N/A</v>
      </c>
      <c r="AG137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7" s="221"/>
      <c r="AI137">
        <v>468</v>
      </c>
      <c r="AJ137">
        <v>4580</v>
      </c>
      <c r="AL137"/>
      <c r="AM137">
        <v>3</v>
      </c>
      <c r="AV137"/>
      <c r="BI137" s="14">
        <f>SUM(Portefeuille_MNT_PPS_Access29[[#This Row],[AC ANT]:[TR 2035]])</f>
        <v>5051</v>
      </c>
    </row>
    <row r="138" spans="1:61" hidden="1" x14ac:dyDescent="0.3">
      <c r="A138" t="s">
        <v>286</v>
      </c>
      <c r="B138" t="s">
        <v>295</v>
      </c>
      <c r="D138" t="s">
        <v>126</v>
      </c>
      <c r="E138" t="s">
        <v>127</v>
      </c>
      <c r="F138" t="s">
        <v>128</v>
      </c>
      <c r="G138" t="s">
        <v>129</v>
      </c>
      <c r="H138" t="s">
        <v>16</v>
      </c>
      <c r="I138" t="s">
        <v>16</v>
      </c>
      <c r="J138" t="s">
        <v>131</v>
      </c>
      <c r="K138" s="2">
        <v>154171295</v>
      </c>
      <c r="L138" t="s">
        <v>324</v>
      </c>
      <c r="M138" t="s">
        <v>214</v>
      </c>
      <c r="N138" s="8">
        <f>_xlfn.XLOOKUP(Portefeuille_MNT_PPS_Access29[[#This Row],[Numéro projet]], Portefeuille_MNT_PPS_Access20[Numéro projet], Portefeuille_MNT_PPS_Access20[Année DÉBUT Travaux prévu], "")</f>
        <v>0</v>
      </c>
      <c r="P138">
        <f>Portefeuille_MNT_PPS_Access29[[#This Row],[Année DÉBUT Travaux proposé]]-Portefeuille_MNT_PPS_Access29[[#This Row],[Année DÉBUT Travaux prog actuelle]]</f>
        <v>0</v>
      </c>
      <c r="Q138" t="s">
        <v>164</v>
      </c>
      <c r="R138" s="1">
        <v>44644</v>
      </c>
      <c r="S138" s="1">
        <v>44995</v>
      </c>
      <c r="T138" s="1">
        <v>45061</v>
      </c>
      <c r="U138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38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38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3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12</v>
      </c>
      <c r="Y13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2</v>
      </c>
      <c r="Z138">
        <f>Portefeuille_MNT_PPS_Access29[[#This Row],[Délais PC1 et PC3]]+Portefeuille_MNT_PPS_Access29[[#This Row],[Délais PC3 et PC5]]</f>
        <v>14</v>
      </c>
      <c r="AB138">
        <v>1</v>
      </c>
      <c r="AD138" t="s">
        <v>165</v>
      </c>
      <c r="AE138">
        <v>3</v>
      </c>
      <c r="AF138" s="2" t="e">
        <f>_xlfn.XLOOKUP(Portefeuille_MNT_PPS_Access29[[#This Row],[Numéro projet]],Portefeuille_MNT_PPS_Access27[Numéro projet],Portefeuille_MNT_PPS_Access27[Critère Etat Infrastructure])</f>
        <v>#N/A</v>
      </c>
      <c r="AG138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8" s="221"/>
      <c r="AI138">
        <v>80</v>
      </c>
      <c r="AJ138">
        <v>347</v>
      </c>
      <c r="AK138">
        <v>46</v>
      </c>
      <c r="AL138">
        <v>141</v>
      </c>
      <c r="AV138"/>
      <c r="BI138" s="14">
        <f>SUM(Portefeuille_MNT_PPS_Access29[[#This Row],[AC ANT]:[TR 2035]])</f>
        <v>614</v>
      </c>
    </row>
    <row r="139" spans="1:61" hidden="1" x14ac:dyDescent="0.3">
      <c r="A139" t="s">
        <v>286</v>
      </c>
      <c r="B139" t="s">
        <v>664</v>
      </c>
      <c r="D139" t="s">
        <v>101</v>
      </c>
      <c r="E139" t="s">
        <v>102</v>
      </c>
      <c r="F139" t="s">
        <v>103</v>
      </c>
      <c r="H139" t="s">
        <v>16</v>
      </c>
      <c r="I139" t="s">
        <v>325</v>
      </c>
      <c r="J139" t="s">
        <v>131</v>
      </c>
      <c r="K139" s="2">
        <v>154171402</v>
      </c>
      <c r="L139" t="s">
        <v>327</v>
      </c>
      <c r="M139" t="s">
        <v>183</v>
      </c>
      <c r="N139" s="8">
        <f>_xlfn.XLOOKUP(Portefeuille_MNT_PPS_Access29[[#This Row],[Numéro projet]], Portefeuille_MNT_PPS_Access20[Numéro projet], Portefeuille_MNT_PPS_Access20[Année DÉBUT Travaux prévu], "")</f>
        <v>0</v>
      </c>
      <c r="P139">
        <f>Portefeuille_MNT_PPS_Access29[[#This Row],[Année DÉBUT Travaux proposé]]-Portefeuille_MNT_PPS_Access29[[#This Row],[Année DÉBUT Travaux prog actuelle]]</f>
        <v>0</v>
      </c>
      <c r="Q139" t="s">
        <v>291</v>
      </c>
      <c r="R139" s="1"/>
      <c r="S139" s="1"/>
      <c r="T139" s="1"/>
      <c r="U13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3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39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3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3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39">
        <f>Portefeuille_MNT_PPS_Access29[[#This Row],[Délais PC1 et PC3]]+Portefeuille_MNT_PPS_Access29[[#This Row],[Délais PC3 et PC5]]</f>
        <v>0</v>
      </c>
      <c r="AB139">
        <v>1</v>
      </c>
      <c r="AD139" t="s">
        <v>311</v>
      </c>
      <c r="AE139">
        <v>2.3333333333333335</v>
      </c>
      <c r="AF139" s="2" t="e">
        <f>_xlfn.XLOOKUP(Portefeuille_MNT_PPS_Access29[[#This Row],[Numéro projet]],Portefeuille_MNT_PPS_Access27[Numéro projet],Portefeuille_MNT_PPS_Access27[Critère Etat Infrastructure])</f>
        <v>#N/A</v>
      </c>
      <c r="AG139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39" s="221"/>
      <c r="AI139">
        <v>595</v>
      </c>
      <c r="AJ139">
        <v>3578</v>
      </c>
      <c r="AL139"/>
      <c r="AM139">
        <v>1</v>
      </c>
      <c r="AV139"/>
      <c r="BI139" s="14">
        <f>SUM(Portefeuille_MNT_PPS_Access29[[#This Row],[AC ANT]:[TR 2035]])</f>
        <v>4174</v>
      </c>
    </row>
    <row r="140" spans="1:61" x14ac:dyDescent="0.3">
      <c r="A140" t="s">
        <v>286</v>
      </c>
      <c r="B140" t="s">
        <v>664</v>
      </c>
      <c r="D140" t="s">
        <v>101</v>
      </c>
      <c r="E140" t="s">
        <v>102</v>
      </c>
      <c r="F140" t="s">
        <v>200</v>
      </c>
      <c r="H140" t="s">
        <v>16</v>
      </c>
      <c r="I140" t="s">
        <v>325</v>
      </c>
      <c r="J140" t="s">
        <v>131</v>
      </c>
      <c r="K140" s="2">
        <v>154171405</v>
      </c>
      <c r="L140" t="s">
        <v>329</v>
      </c>
      <c r="M140" t="s">
        <v>152</v>
      </c>
      <c r="N140" s="8">
        <f>_xlfn.XLOOKUP(Portefeuille_MNT_PPS_Access29[[#This Row],[Numéro projet]], Portefeuille_MNT_PPS_Access20[Numéro projet], Portefeuille_MNT_PPS_Access20[Année DÉBUT Travaux prévu], "")</f>
        <v>0</v>
      </c>
      <c r="P140">
        <f>Portefeuille_MNT_PPS_Access29[[#This Row],[Année DÉBUT Travaux proposé]]-Portefeuille_MNT_PPS_Access29[[#This Row],[Année DÉBUT Travaux prog actuelle]]</f>
        <v>0</v>
      </c>
      <c r="Q140" t="s">
        <v>291</v>
      </c>
      <c r="R140" s="1"/>
      <c r="S140" s="1"/>
      <c r="T140" s="1"/>
      <c r="U14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0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0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4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4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40">
        <f>Portefeuille_MNT_PPS_Access29[[#This Row],[Délais PC1 et PC3]]+Portefeuille_MNT_PPS_Access29[[#This Row],[Délais PC3 et PC5]]</f>
        <v>0</v>
      </c>
      <c r="AB140">
        <v>1</v>
      </c>
      <c r="AD140" t="s">
        <v>311</v>
      </c>
      <c r="AE140">
        <v>3.3333333333333335</v>
      </c>
      <c r="AF140" s="2" t="e">
        <f>_xlfn.XLOOKUP(Portefeuille_MNT_PPS_Access29[[#This Row],[Numéro projet]],Portefeuille_MNT_PPS_Access27[Numéro projet],Portefeuille_MNT_PPS_Access27[Critère Etat Infrastructure])</f>
        <v>#N/A</v>
      </c>
      <c r="AG140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0" s="221"/>
      <c r="AI140">
        <v>186</v>
      </c>
      <c r="AJ140">
        <v>3019</v>
      </c>
      <c r="AL140"/>
      <c r="AM140">
        <v>9</v>
      </c>
      <c r="AV140"/>
      <c r="BI140" s="14">
        <f>SUM(Portefeuille_MNT_PPS_Access29[[#This Row],[AC ANT]:[TR 2035]])</f>
        <v>3214</v>
      </c>
    </row>
    <row r="141" spans="1:61" hidden="1" x14ac:dyDescent="0.3">
      <c r="A141" t="s">
        <v>286</v>
      </c>
      <c r="B141" t="s">
        <v>664</v>
      </c>
      <c r="D141" t="s">
        <v>101</v>
      </c>
      <c r="E141" t="s">
        <v>102</v>
      </c>
      <c r="F141" t="s">
        <v>103</v>
      </c>
      <c r="G141" t="s">
        <v>129</v>
      </c>
      <c r="H141" t="s">
        <v>16</v>
      </c>
      <c r="I141" t="s">
        <v>16</v>
      </c>
      <c r="J141" t="s">
        <v>105</v>
      </c>
      <c r="K141" s="2">
        <v>154180005</v>
      </c>
      <c r="L141" t="s">
        <v>357</v>
      </c>
      <c r="M141" t="s">
        <v>116</v>
      </c>
      <c r="N141" s="8">
        <f>_xlfn.XLOOKUP(Portefeuille_MNT_PPS_Access29[[#This Row],[Numéro projet]], Portefeuille_MNT_PPS_Access20[Numéro projet], Portefeuille_MNT_PPS_Access20[Année DÉBUT Travaux prévu], "")</f>
        <v>0</v>
      </c>
      <c r="P141">
        <f>Portefeuille_MNT_PPS_Access29[[#This Row],[Année DÉBUT Travaux proposé]]-Portefeuille_MNT_PPS_Access29[[#This Row],[Année DÉBUT Travaux prog actuelle]]</f>
        <v>0</v>
      </c>
      <c r="Q141" t="s">
        <v>164</v>
      </c>
      <c r="R141" s="1"/>
      <c r="S141" s="1">
        <v>44911</v>
      </c>
      <c r="T141" s="1">
        <v>45167</v>
      </c>
      <c r="U14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1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41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1475</v>
      </c>
      <c r="Y14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8</v>
      </c>
      <c r="Z141">
        <f>Portefeuille_MNT_PPS_Access29[[#This Row],[Délais PC1 et PC3]]+Portefeuille_MNT_PPS_Access29[[#This Row],[Délais PC3 et PC5]]</f>
        <v>1483</v>
      </c>
      <c r="AB141">
        <v>1</v>
      </c>
      <c r="AD141" t="s">
        <v>165</v>
      </c>
      <c r="AE141">
        <v>3.3333333333333335</v>
      </c>
      <c r="AF141" s="2" t="e">
        <f>_xlfn.XLOOKUP(Portefeuille_MNT_PPS_Access29[[#This Row],[Numéro projet]],Portefeuille_MNT_PPS_Access27[Numéro projet],Portefeuille_MNT_PPS_Access27[Critère Etat Infrastructure])</f>
        <v>#N/A</v>
      </c>
      <c r="AG141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1" s="221"/>
      <c r="AI141">
        <v>16</v>
      </c>
      <c r="AK141">
        <v>19</v>
      </c>
      <c r="AL141">
        <v>1816</v>
      </c>
      <c r="AV141"/>
      <c r="BI141" s="14">
        <f>SUM(Portefeuille_MNT_PPS_Access29[[#This Row],[AC ANT]:[TR 2035]])</f>
        <v>1851</v>
      </c>
    </row>
    <row r="142" spans="1:61" hidden="1" x14ac:dyDescent="0.3">
      <c r="A142" t="s">
        <v>286</v>
      </c>
      <c r="B142" t="s">
        <v>664</v>
      </c>
      <c r="D142" t="s">
        <v>101</v>
      </c>
      <c r="E142" t="s">
        <v>102</v>
      </c>
      <c r="F142" t="s">
        <v>200</v>
      </c>
      <c r="G142" t="s">
        <v>104</v>
      </c>
      <c r="H142" t="s">
        <v>16</v>
      </c>
      <c r="I142" t="s">
        <v>20</v>
      </c>
      <c r="J142" t="s">
        <v>105</v>
      </c>
      <c r="K142" s="2">
        <v>154180023</v>
      </c>
      <c r="L142" t="s">
        <v>202</v>
      </c>
      <c r="M142" t="s">
        <v>108</v>
      </c>
      <c r="N142" s="8">
        <f>_xlfn.XLOOKUP(Portefeuille_MNT_PPS_Access29[[#This Row],[Numéro projet]], Portefeuille_MNT_PPS_Access20[Numéro projet], Portefeuille_MNT_PPS_Access20[Année DÉBUT Travaux prévu], "")</f>
        <v>0</v>
      </c>
      <c r="P142">
        <f>Portefeuille_MNT_PPS_Access29[[#This Row],[Année DÉBUT Travaux proposé]]-Portefeuille_MNT_PPS_Access29[[#This Row],[Année DÉBUT Travaux prog actuelle]]</f>
        <v>0</v>
      </c>
      <c r="Q142" t="s">
        <v>155</v>
      </c>
      <c r="R142" s="1"/>
      <c r="S142" s="1"/>
      <c r="T142" s="1"/>
      <c r="U14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4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4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42">
        <f>Portefeuille_MNT_PPS_Access29[[#This Row],[Délais PC1 et PC3]]+Portefeuille_MNT_PPS_Access29[[#This Row],[Délais PC3 et PC5]]</f>
        <v>0</v>
      </c>
      <c r="AB142">
        <v>1</v>
      </c>
      <c r="AD142" t="s">
        <v>156</v>
      </c>
      <c r="AE142">
        <v>4</v>
      </c>
      <c r="AF142" s="2" t="e">
        <f>_xlfn.XLOOKUP(Portefeuille_MNT_PPS_Access29[[#This Row],[Numéro projet]],Portefeuille_MNT_PPS_Access27[Numéro projet],Portefeuille_MNT_PPS_Access27[Critère Etat Infrastructure])</f>
        <v>#N/A</v>
      </c>
      <c r="AG142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2" s="221"/>
      <c r="AI142">
        <v>277</v>
      </c>
      <c r="AJ142">
        <v>4</v>
      </c>
      <c r="AL142"/>
      <c r="AO142">
        <v>127</v>
      </c>
      <c r="AQ142">
        <v>125</v>
      </c>
      <c r="AS142">
        <v>471</v>
      </c>
      <c r="AV142"/>
      <c r="BI142" s="14">
        <f>SUM(Portefeuille_MNT_PPS_Access29[[#This Row],[AC ANT]:[TR 2035]])</f>
        <v>1004</v>
      </c>
    </row>
    <row r="143" spans="1:61" hidden="1" x14ac:dyDescent="0.3">
      <c r="A143" t="s">
        <v>286</v>
      </c>
      <c r="B143" t="s">
        <v>663</v>
      </c>
      <c r="D143" t="s">
        <v>101</v>
      </c>
      <c r="E143" t="s">
        <v>102</v>
      </c>
      <c r="F143" t="s">
        <v>136</v>
      </c>
      <c r="G143" t="s">
        <v>140</v>
      </c>
      <c r="H143" t="s">
        <v>16</v>
      </c>
      <c r="I143" t="s">
        <v>16</v>
      </c>
      <c r="J143" t="s">
        <v>131</v>
      </c>
      <c r="K143" s="2">
        <v>154180746</v>
      </c>
      <c r="L143" t="s">
        <v>361</v>
      </c>
      <c r="M143" t="s">
        <v>134</v>
      </c>
      <c r="N143" s="8">
        <f>_xlfn.XLOOKUP(Portefeuille_MNT_PPS_Access29[[#This Row],[Numéro projet]], Portefeuille_MNT_PPS_Access20[Numéro projet], Portefeuille_MNT_PPS_Access20[Année DÉBUT Travaux prévu], "")</f>
        <v>0</v>
      </c>
      <c r="P143">
        <f>Portefeuille_MNT_PPS_Access29[[#This Row],[Année DÉBUT Travaux proposé]]-Portefeuille_MNT_PPS_Access29[[#This Row],[Année DÉBUT Travaux prog actuelle]]</f>
        <v>0</v>
      </c>
      <c r="Q143" t="s">
        <v>164</v>
      </c>
      <c r="R143" s="1">
        <v>43390</v>
      </c>
      <c r="S143" s="1"/>
      <c r="T143" s="1">
        <v>44890</v>
      </c>
      <c r="U143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4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3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-1425</v>
      </c>
      <c r="Y14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1474</v>
      </c>
      <c r="Z143">
        <f>Portefeuille_MNT_PPS_Access29[[#This Row],[Délais PC1 et PC3]]+Portefeuille_MNT_PPS_Access29[[#This Row],[Délais PC3 et PC5]]</f>
        <v>49</v>
      </c>
      <c r="AB143">
        <v>1</v>
      </c>
      <c r="AD143" t="s">
        <v>165</v>
      </c>
      <c r="AE143">
        <v>2.3333333333333335</v>
      </c>
      <c r="AF143" s="2" t="e">
        <f>_xlfn.XLOOKUP(Portefeuille_MNT_PPS_Access29[[#This Row],[Numéro projet]],Portefeuille_MNT_PPS_Access27[Numéro projet],Portefeuille_MNT_PPS_Access27[Critère Etat Infrastructure])</f>
        <v>#N/A</v>
      </c>
      <c r="AG143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3" s="221"/>
      <c r="AI143">
        <v>37</v>
      </c>
      <c r="AK143">
        <v>18</v>
      </c>
      <c r="AL143">
        <v>288</v>
      </c>
      <c r="AV143"/>
      <c r="BI143" s="14">
        <f>SUM(Portefeuille_MNT_PPS_Access29[[#This Row],[AC ANT]:[TR 2035]])</f>
        <v>343</v>
      </c>
    </row>
    <row r="144" spans="1:61" hidden="1" x14ac:dyDescent="0.3">
      <c r="A144" t="s">
        <v>286</v>
      </c>
      <c r="B144" t="s">
        <v>664</v>
      </c>
      <c r="D144" t="s">
        <v>101</v>
      </c>
      <c r="E144" t="s">
        <v>102</v>
      </c>
      <c r="F144" t="s">
        <v>103</v>
      </c>
      <c r="G144" t="s">
        <v>113</v>
      </c>
      <c r="H144" t="s">
        <v>16</v>
      </c>
      <c r="I144" t="s">
        <v>16</v>
      </c>
      <c r="J144" t="s">
        <v>105</v>
      </c>
      <c r="K144" s="2">
        <v>154180843</v>
      </c>
      <c r="L144" t="s">
        <v>363</v>
      </c>
      <c r="M144" t="s">
        <v>122</v>
      </c>
      <c r="N144" s="8">
        <f>_xlfn.XLOOKUP(Portefeuille_MNT_PPS_Access29[[#This Row],[Numéro projet]], Portefeuille_MNT_PPS_Access20[Numéro projet], Portefeuille_MNT_PPS_Access20[Année DÉBUT Travaux prévu], "")</f>
        <v>0</v>
      </c>
      <c r="P144">
        <f>Portefeuille_MNT_PPS_Access29[[#This Row],[Année DÉBUT Travaux proposé]]-Portefeuille_MNT_PPS_Access29[[#This Row],[Année DÉBUT Travaux prog actuelle]]</f>
        <v>0</v>
      </c>
      <c r="Q144" t="s">
        <v>164</v>
      </c>
      <c r="R144" s="1">
        <v>44316</v>
      </c>
      <c r="S144" s="1">
        <v>44636</v>
      </c>
      <c r="T144" s="1">
        <v>45084</v>
      </c>
      <c r="U144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44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44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11</v>
      </c>
      <c r="Y14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15</v>
      </c>
      <c r="Z144">
        <f>Portefeuille_MNT_PPS_Access29[[#This Row],[Délais PC1 et PC3]]+Portefeuille_MNT_PPS_Access29[[#This Row],[Délais PC3 et PC5]]</f>
        <v>26</v>
      </c>
      <c r="AB144">
        <v>1</v>
      </c>
      <c r="AD144" t="s">
        <v>165</v>
      </c>
      <c r="AE144">
        <v>4</v>
      </c>
      <c r="AF144" s="2" t="e">
        <f>_xlfn.XLOOKUP(Portefeuille_MNT_PPS_Access29[[#This Row],[Numéro projet]],Portefeuille_MNT_PPS_Access27[Numéro projet],Portefeuille_MNT_PPS_Access27[Critère Etat Infrastructure])</f>
        <v>#N/A</v>
      </c>
      <c r="AG144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4" s="221"/>
      <c r="AI144">
        <v>123</v>
      </c>
      <c r="AK144">
        <v>81</v>
      </c>
      <c r="AL144">
        <v>10747</v>
      </c>
      <c r="AM144">
        <v>178</v>
      </c>
      <c r="AV144"/>
      <c r="BI144" s="14">
        <f>SUM(Portefeuille_MNT_PPS_Access29[[#This Row],[AC ANT]:[TR 2035]])</f>
        <v>11129</v>
      </c>
    </row>
    <row r="145" spans="1:63" hidden="1" x14ac:dyDescent="0.3">
      <c r="A145" t="s">
        <v>286</v>
      </c>
      <c r="B145" t="s">
        <v>664</v>
      </c>
      <c r="D145" t="s">
        <v>101</v>
      </c>
      <c r="E145" t="s">
        <v>102</v>
      </c>
      <c r="F145" t="s">
        <v>200</v>
      </c>
      <c r="G145" t="s">
        <v>104</v>
      </c>
      <c r="H145" t="s">
        <v>16</v>
      </c>
      <c r="I145" t="s">
        <v>16</v>
      </c>
      <c r="J145" t="s">
        <v>105</v>
      </c>
      <c r="K145" s="2">
        <v>154190251</v>
      </c>
      <c r="L145" t="s">
        <v>339</v>
      </c>
      <c r="M145" t="s">
        <v>180</v>
      </c>
      <c r="N145" s="8">
        <f>_xlfn.XLOOKUP(Portefeuille_MNT_PPS_Access29[[#This Row],[Numéro projet]], Portefeuille_MNT_PPS_Access20[Numéro projet], Portefeuille_MNT_PPS_Access20[Année DÉBUT Travaux prévu], "")</f>
        <v>0</v>
      </c>
      <c r="P145">
        <f>Portefeuille_MNT_PPS_Access29[[#This Row],[Année DÉBUT Travaux proposé]]-Portefeuille_MNT_PPS_Access29[[#This Row],[Année DÉBUT Travaux prog actuelle]]</f>
        <v>0</v>
      </c>
      <c r="Q145" t="s">
        <v>164</v>
      </c>
      <c r="R145" s="1">
        <v>43360</v>
      </c>
      <c r="S145" s="1">
        <v>43671</v>
      </c>
      <c r="T145" s="1">
        <v>44217</v>
      </c>
      <c r="U145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45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45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10</v>
      </c>
      <c r="Y14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18</v>
      </c>
      <c r="Z145">
        <f>Portefeuille_MNT_PPS_Access29[[#This Row],[Délais PC1 et PC3]]+Portefeuille_MNT_PPS_Access29[[#This Row],[Délais PC3 et PC5]]</f>
        <v>28</v>
      </c>
      <c r="AB145">
        <v>1</v>
      </c>
      <c r="AD145" t="s">
        <v>165</v>
      </c>
      <c r="AE145">
        <v>2.833333333333333</v>
      </c>
      <c r="AF145" s="2" t="e">
        <f>_xlfn.XLOOKUP(Portefeuille_MNT_PPS_Access29[[#This Row],[Numéro projet]],Portefeuille_MNT_PPS_Access27[Numéro projet],Portefeuille_MNT_PPS_Access27[Critère Etat Infrastructure])</f>
        <v>#N/A</v>
      </c>
      <c r="AG145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5" s="221"/>
      <c r="AI145">
        <v>128</v>
      </c>
      <c r="AJ145">
        <v>2061</v>
      </c>
      <c r="AK145">
        <v>142</v>
      </c>
      <c r="AL145"/>
      <c r="AM145">
        <v>65</v>
      </c>
      <c r="AV145"/>
      <c r="BI145" s="14">
        <f>SUM(Portefeuille_MNT_PPS_Access29[[#This Row],[AC ANT]:[TR 2035]])</f>
        <v>2396</v>
      </c>
    </row>
    <row r="146" spans="1:63" hidden="1" x14ac:dyDescent="0.3">
      <c r="A146" t="s">
        <v>286</v>
      </c>
      <c r="B146" t="s">
        <v>662</v>
      </c>
      <c r="D146" t="s">
        <v>118</v>
      </c>
      <c r="E146" t="s">
        <v>102</v>
      </c>
      <c r="F146" t="s">
        <v>103</v>
      </c>
      <c r="G146" t="s">
        <v>340</v>
      </c>
      <c r="H146" t="s">
        <v>16</v>
      </c>
      <c r="I146" t="s">
        <v>16</v>
      </c>
      <c r="J146" t="s">
        <v>131</v>
      </c>
      <c r="K146" s="2">
        <v>154190477</v>
      </c>
      <c r="L146" t="s">
        <v>342</v>
      </c>
      <c r="M146" t="s">
        <v>147</v>
      </c>
      <c r="N146" s="8">
        <f>_xlfn.XLOOKUP(Portefeuille_MNT_PPS_Access29[[#This Row],[Numéro projet]], Portefeuille_MNT_PPS_Access20[Numéro projet], Portefeuille_MNT_PPS_Access20[Année DÉBUT Travaux prévu], "")</f>
        <v>0</v>
      </c>
      <c r="P146">
        <f>Portefeuille_MNT_PPS_Access29[[#This Row],[Année DÉBUT Travaux proposé]]-Portefeuille_MNT_PPS_Access29[[#This Row],[Année DÉBUT Travaux prog actuelle]]</f>
        <v>0</v>
      </c>
      <c r="Q146" t="s">
        <v>164</v>
      </c>
      <c r="R146" s="1">
        <v>44245</v>
      </c>
      <c r="S146" s="1">
        <v>44469</v>
      </c>
      <c r="T146" s="1">
        <v>44538</v>
      </c>
      <c r="U146" s="1" t="e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#NUM!</v>
      </c>
      <c r="V146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46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7</v>
      </c>
      <c r="Y14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</v>
      </c>
      <c r="Z146">
        <f>Portefeuille_MNT_PPS_Access29[[#This Row],[Délais PC1 et PC3]]+Portefeuille_MNT_PPS_Access29[[#This Row],[Délais PC3 et PC5]]</f>
        <v>10</v>
      </c>
      <c r="AB146">
        <v>1</v>
      </c>
      <c r="AD146" t="s">
        <v>165</v>
      </c>
      <c r="AE146">
        <v>2.6666666666666665</v>
      </c>
      <c r="AF146" s="2" t="e">
        <f>_xlfn.XLOOKUP(Portefeuille_MNT_PPS_Access29[[#This Row],[Numéro projet]],Portefeuille_MNT_PPS_Access27[Numéro projet],Portefeuille_MNT_PPS_Access27[Critère Etat Infrastructure])</f>
        <v>#N/A</v>
      </c>
      <c r="AG146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6" s="221"/>
      <c r="AI146">
        <v>603</v>
      </c>
      <c r="AJ146">
        <v>10120</v>
      </c>
      <c r="AK146">
        <v>13</v>
      </c>
      <c r="AL146">
        <v>169</v>
      </c>
      <c r="AM146">
        <v>60</v>
      </c>
      <c r="AV146"/>
      <c r="BI146" s="14">
        <f>SUM(Portefeuille_MNT_PPS_Access29[[#This Row],[AC ANT]:[TR 2035]])</f>
        <v>10965</v>
      </c>
    </row>
    <row r="147" spans="1:63" hidden="1" x14ac:dyDescent="0.3">
      <c r="A147" t="s">
        <v>286</v>
      </c>
      <c r="B147" t="s">
        <v>663</v>
      </c>
      <c r="D147" t="s">
        <v>101</v>
      </c>
      <c r="E147" t="s">
        <v>102</v>
      </c>
      <c r="F147" t="s">
        <v>188</v>
      </c>
      <c r="G147" t="s">
        <v>113</v>
      </c>
      <c r="H147" t="s">
        <v>16</v>
      </c>
      <c r="I147" t="s">
        <v>16</v>
      </c>
      <c r="J147" t="s">
        <v>131</v>
      </c>
      <c r="K147" s="2">
        <v>154200233</v>
      </c>
      <c r="L147" t="s">
        <v>344</v>
      </c>
      <c r="M147" t="s">
        <v>139</v>
      </c>
      <c r="N147" s="8">
        <f>_xlfn.XLOOKUP(Portefeuille_MNT_PPS_Access29[[#This Row],[Numéro projet]], Portefeuille_MNT_PPS_Access20[Numéro projet], Portefeuille_MNT_PPS_Access20[Année DÉBUT Travaux prévu], "")</f>
        <v>0</v>
      </c>
      <c r="P147">
        <f>Portefeuille_MNT_PPS_Access29[[#This Row],[Année DÉBUT Travaux proposé]]-Portefeuille_MNT_PPS_Access29[[#This Row],[Année DÉBUT Travaux prog actuelle]]</f>
        <v>0</v>
      </c>
      <c r="Q147" t="s">
        <v>164</v>
      </c>
      <c r="R147" s="1"/>
      <c r="S147" s="1"/>
      <c r="T147" s="1">
        <v>44672</v>
      </c>
      <c r="U147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7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7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7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47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1467</v>
      </c>
      <c r="Z147">
        <f>Portefeuille_MNT_PPS_Access29[[#This Row],[Délais PC1 et PC3]]+Portefeuille_MNT_PPS_Access29[[#This Row],[Délais PC3 et PC5]]</f>
        <v>1467</v>
      </c>
      <c r="AB147">
        <v>1</v>
      </c>
      <c r="AD147" t="s">
        <v>165</v>
      </c>
      <c r="AE147">
        <v>2</v>
      </c>
      <c r="AF147" s="2" t="e">
        <f>_xlfn.XLOOKUP(Portefeuille_MNT_PPS_Access29[[#This Row],[Numéro projet]],Portefeuille_MNT_PPS_Access27[Numéro projet],Portefeuille_MNT_PPS_Access27[Critère Etat Infrastructure])</f>
        <v>#N/A</v>
      </c>
      <c r="AG147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7" s="221"/>
      <c r="AI147">
        <v>84</v>
      </c>
      <c r="AJ147">
        <v>819</v>
      </c>
      <c r="AK147">
        <v>12</v>
      </c>
      <c r="AL147">
        <v>11</v>
      </c>
      <c r="AV147"/>
      <c r="BI147" s="14">
        <f>SUM(Portefeuille_MNT_PPS_Access29[[#This Row],[AC ANT]:[TR 2035]])</f>
        <v>926</v>
      </c>
    </row>
    <row r="148" spans="1:63" hidden="1" x14ac:dyDescent="0.3">
      <c r="A148" t="s">
        <v>286</v>
      </c>
      <c r="B148" t="s">
        <v>662</v>
      </c>
      <c r="D148" t="s">
        <v>118</v>
      </c>
      <c r="E148" t="s">
        <v>102</v>
      </c>
      <c r="F148" t="s">
        <v>136</v>
      </c>
      <c r="G148" t="s">
        <v>129</v>
      </c>
      <c r="H148" t="s">
        <v>16</v>
      </c>
      <c r="I148" t="s">
        <v>16</v>
      </c>
      <c r="J148" t="s">
        <v>131</v>
      </c>
      <c r="K148" s="2">
        <v>154200567</v>
      </c>
      <c r="L148" t="s">
        <v>346</v>
      </c>
      <c r="M148" t="s">
        <v>147</v>
      </c>
      <c r="N148" s="8">
        <f>_xlfn.XLOOKUP(Portefeuille_MNT_PPS_Access29[[#This Row],[Numéro projet]], Portefeuille_MNT_PPS_Access20[Numéro projet], Portefeuille_MNT_PPS_Access20[Année DÉBUT Travaux prévu], "")</f>
        <v>0</v>
      </c>
      <c r="P148">
        <f>Portefeuille_MNT_PPS_Access29[[#This Row],[Année DÉBUT Travaux proposé]]-Portefeuille_MNT_PPS_Access29[[#This Row],[Année DÉBUT Travaux prog actuelle]]</f>
        <v>0</v>
      </c>
      <c r="Q148" t="s">
        <v>164</v>
      </c>
      <c r="R148" s="1"/>
      <c r="S148" s="1"/>
      <c r="T148" s="1"/>
      <c r="U148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8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8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48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48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48">
        <f>Portefeuille_MNT_PPS_Access29[[#This Row],[Délais PC1 et PC3]]+Portefeuille_MNT_PPS_Access29[[#This Row],[Délais PC3 et PC5]]</f>
        <v>0</v>
      </c>
      <c r="AB148">
        <v>1</v>
      </c>
      <c r="AD148" t="s">
        <v>165</v>
      </c>
      <c r="AE148">
        <v>2.6666666666666665</v>
      </c>
      <c r="AF148" s="2" t="e">
        <f>_xlfn.XLOOKUP(Portefeuille_MNT_PPS_Access29[[#This Row],[Numéro projet]],Portefeuille_MNT_PPS_Access27[Numéro projet],Portefeuille_MNT_PPS_Access27[Critère Etat Infrastructure])</f>
        <v>#N/A</v>
      </c>
      <c r="AG148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8" s="221"/>
      <c r="AJ148">
        <v>151</v>
      </c>
      <c r="AK148">
        <v>1</v>
      </c>
      <c r="AL148">
        <v>44</v>
      </c>
      <c r="AV148"/>
      <c r="BI148" s="14">
        <f>SUM(Portefeuille_MNT_PPS_Access29[[#This Row],[AC ANT]:[TR 2035]])</f>
        <v>196</v>
      </c>
      <c r="BJ148" s="57"/>
      <c r="BK148" s="57"/>
    </row>
    <row r="149" spans="1:63" hidden="1" x14ac:dyDescent="0.3">
      <c r="A149" t="s">
        <v>11</v>
      </c>
      <c r="D149" t="s">
        <v>118</v>
      </c>
      <c r="E149" t="s">
        <v>102</v>
      </c>
      <c r="F149" t="s">
        <v>136</v>
      </c>
      <c r="G149" t="s">
        <v>129</v>
      </c>
      <c r="H149" t="s">
        <v>325</v>
      </c>
      <c r="I149" t="s">
        <v>16</v>
      </c>
      <c r="J149" t="s">
        <v>131</v>
      </c>
      <c r="K149" s="2">
        <v>154200568</v>
      </c>
      <c r="L149" t="s">
        <v>348</v>
      </c>
      <c r="M149" t="s">
        <v>214</v>
      </c>
      <c r="N149" s="8">
        <f>_xlfn.XLOOKUP(Portefeuille_MNT_PPS_Access29[[#This Row],[Numéro projet]], Portefeuille_MNT_PPS_Access20[Numéro projet], Portefeuille_MNT_PPS_Access20[Année DÉBUT Travaux prévu], "")</f>
        <v>0</v>
      </c>
      <c r="P149">
        <f>Portefeuille_MNT_PPS_Access29[[#This Row],[Année DÉBUT Travaux proposé]]-Portefeuille_MNT_PPS_Access29[[#This Row],[Année DÉBUT Travaux prog actuelle]]</f>
        <v>0</v>
      </c>
      <c r="Q149" t="s">
        <v>297</v>
      </c>
      <c r="R149" s="1"/>
      <c r="S149" s="1"/>
      <c r="T149" s="1">
        <v>45037</v>
      </c>
      <c r="U149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49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49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49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49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1479</v>
      </c>
      <c r="Z149">
        <f>Portefeuille_MNT_PPS_Access29[[#This Row],[Délais PC1 et PC3]]+Portefeuille_MNT_PPS_Access29[[#This Row],[Délais PC3 et PC5]]</f>
        <v>1479</v>
      </c>
      <c r="AB149">
        <v>1</v>
      </c>
      <c r="AD149" t="s">
        <v>349</v>
      </c>
      <c r="AE149">
        <v>3</v>
      </c>
      <c r="AF149" s="2" t="e">
        <f>_xlfn.XLOOKUP(Portefeuille_MNT_PPS_Access29[[#This Row],[Numéro projet]],Portefeuille_MNT_PPS_Access27[Numéro projet],Portefeuille_MNT_PPS_Access27[Critère Etat Infrastructure])</f>
        <v>#N/A</v>
      </c>
      <c r="AG149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49" s="221"/>
      <c r="AJ149">
        <v>36</v>
      </c>
      <c r="AL149">
        <v>4</v>
      </c>
      <c r="AV149"/>
      <c r="BI149" s="14">
        <f>SUM(Portefeuille_MNT_PPS_Access29[[#This Row],[AC ANT]:[TR 2035]])</f>
        <v>40</v>
      </c>
    </row>
    <row r="150" spans="1:63" x14ac:dyDescent="0.3">
      <c r="A150" t="s">
        <v>286</v>
      </c>
      <c r="D150" t="s">
        <v>101</v>
      </c>
      <c r="E150" t="s">
        <v>102</v>
      </c>
      <c r="F150" t="s">
        <v>177</v>
      </c>
      <c r="G150" t="s">
        <v>149</v>
      </c>
      <c r="H150" t="s">
        <v>16</v>
      </c>
      <c r="I150" t="s">
        <v>16</v>
      </c>
      <c r="J150" t="s">
        <v>131</v>
      </c>
      <c r="K150" s="2">
        <v>154200670</v>
      </c>
      <c r="L150" t="s">
        <v>351</v>
      </c>
      <c r="M150" t="s">
        <v>152</v>
      </c>
      <c r="N150" s="8">
        <f>_xlfn.XLOOKUP(Portefeuille_MNT_PPS_Access29[[#This Row],[Numéro projet]], Portefeuille_MNT_PPS_Access20[Numéro projet], Portefeuille_MNT_PPS_Access20[Année DÉBUT Travaux prévu], "")</f>
        <v>0</v>
      </c>
      <c r="P150">
        <f>Portefeuille_MNT_PPS_Access29[[#This Row],[Année DÉBUT Travaux proposé]]-Portefeuille_MNT_PPS_Access29[[#This Row],[Année DÉBUT Travaux prog actuelle]]</f>
        <v>0</v>
      </c>
      <c r="Q150" t="s">
        <v>164</v>
      </c>
      <c r="R150" s="1"/>
      <c r="S150" s="1">
        <v>44880</v>
      </c>
      <c r="T150" s="1">
        <v>44914</v>
      </c>
      <c r="U150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0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50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50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1474</v>
      </c>
      <c r="Y150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</v>
      </c>
      <c r="Z150">
        <f>Portefeuille_MNT_PPS_Access29[[#This Row],[Délais PC1 et PC3]]+Portefeuille_MNT_PPS_Access29[[#This Row],[Délais PC3 et PC5]]</f>
        <v>1475</v>
      </c>
      <c r="AB150">
        <v>1</v>
      </c>
      <c r="AD150" t="s">
        <v>165</v>
      </c>
      <c r="AE150">
        <v>3.3333333333333335</v>
      </c>
      <c r="AF150" s="2" t="e">
        <f>_xlfn.XLOOKUP(Portefeuille_MNT_PPS_Access29[[#This Row],[Numéro projet]],Portefeuille_MNT_PPS_Access27[Numéro projet],Portefeuille_MNT_PPS_Access27[Critère Etat Infrastructure])</f>
        <v>#N/A</v>
      </c>
      <c r="AG150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0" s="221"/>
      <c r="AI150">
        <v>14</v>
      </c>
      <c r="AJ150">
        <v>2970</v>
      </c>
      <c r="AL150">
        <v>52</v>
      </c>
      <c r="AV150"/>
      <c r="BI150" s="14">
        <f>SUM(Portefeuille_MNT_PPS_Access29[[#This Row],[AC ANT]:[TR 2035]])</f>
        <v>3036</v>
      </c>
    </row>
    <row r="151" spans="1:63" hidden="1" x14ac:dyDescent="0.3">
      <c r="A151" t="s">
        <v>286</v>
      </c>
      <c r="B151" t="s">
        <v>662</v>
      </c>
      <c r="D151" t="s">
        <v>118</v>
      </c>
      <c r="E151" t="s">
        <v>102</v>
      </c>
      <c r="F151" t="s">
        <v>136</v>
      </c>
      <c r="G151" t="s">
        <v>340</v>
      </c>
      <c r="H151" t="s">
        <v>16</v>
      </c>
      <c r="I151" t="s">
        <v>16</v>
      </c>
      <c r="J151" t="s">
        <v>105</v>
      </c>
      <c r="K151" s="2">
        <v>154210133</v>
      </c>
      <c r="L151" t="s">
        <v>353</v>
      </c>
      <c r="M151" t="s">
        <v>180</v>
      </c>
      <c r="N151" s="8">
        <f>_xlfn.XLOOKUP(Portefeuille_MNT_PPS_Access29[[#This Row],[Numéro projet]], Portefeuille_MNT_PPS_Access20[Numéro projet], Portefeuille_MNT_PPS_Access20[Année DÉBUT Travaux prévu], "")</f>
        <v>0</v>
      </c>
      <c r="P151">
        <f>Portefeuille_MNT_PPS_Access29[[#This Row],[Année DÉBUT Travaux proposé]]-Portefeuille_MNT_PPS_Access29[[#This Row],[Année DÉBUT Travaux prog actuelle]]</f>
        <v>0</v>
      </c>
      <c r="Q151" t="s">
        <v>164</v>
      </c>
      <c r="R151" s="1"/>
      <c r="S151" s="1">
        <v>44965</v>
      </c>
      <c r="T151" s="1">
        <v>45113</v>
      </c>
      <c r="U151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1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51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51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1477</v>
      </c>
      <c r="Y151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5</v>
      </c>
      <c r="Z151">
        <f>Portefeuille_MNT_PPS_Access29[[#This Row],[Délais PC1 et PC3]]+Portefeuille_MNT_PPS_Access29[[#This Row],[Délais PC3 et PC5]]</f>
        <v>1482</v>
      </c>
      <c r="AB151">
        <v>1</v>
      </c>
      <c r="AD151" t="s">
        <v>165</v>
      </c>
      <c r="AE151">
        <v>4</v>
      </c>
      <c r="AF151" s="2" t="e">
        <f>_xlfn.XLOOKUP(Portefeuille_MNT_PPS_Access29[[#This Row],[Numéro projet]],Portefeuille_MNT_PPS_Access27[Numéro projet],Portefeuille_MNT_PPS_Access27[Critère Etat Infrastructure])</f>
        <v>#N/A</v>
      </c>
      <c r="AG151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1" s="221"/>
      <c r="AI151">
        <v>87</v>
      </c>
      <c r="AJ151">
        <v>304</v>
      </c>
      <c r="AK151">
        <v>35</v>
      </c>
      <c r="AL151">
        <v>958</v>
      </c>
      <c r="AV151"/>
      <c r="BI151" s="14">
        <f>SUM(Portefeuille_MNT_PPS_Access29[[#This Row],[AC ANT]:[TR 2035]])</f>
        <v>1384</v>
      </c>
    </row>
    <row r="152" spans="1:63" hidden="1" x14ac:dyDescent="0.3">
      <c r="A152" t="s">
        <v>11</v>
      </c>
      <c r="D152" t="s">
        <v>118</v>
      </c>
      <c r="E152" t="s">
        <v>102</v>
      </c>
      <c r="F152" t="s">
        <v>103</v>
      </c>
      <c r="G152" t="s">
        <v>252</v>
      </c>
      <c r="H152" t="s">
        <v>20</v>
      </c>
      <c r="I152" t="s">
        <v>16</v>
      </c>
      <c r="J152" t="s">
        <v>131</v>
      </c>
      <c r="K152" s="2">
        <v>154220312</v>
      </c>
      <c r="L152" t="s">
        <v>388</v>
      </c>
      <c r="M152" t="s">
        <v>180</v>
      </c>
      <c r="N152" s="8">
        <f>_xlfn.XLOOKUP(Portefeuille_MNT_PPS_Access29[[#This Row],[Numéro projet]], Portefeuille_MNT_PPS_Access20[Numéro projet], Portefeuille_MNT_PPS_Access20[Année DÉBUT Travaux prévu], "")</f>
        <v>0</v>
      </c>
      <c r="P152">
        <f>Portefeuille_MNT_PPS_Access29[[#This Row],[Année DÉBUT Travaux proposé]]-Portefeuille_MNT_PPS_Access29[[#This Row],[Année DÉBUT Travaux prog actuelle]]</f>
        <v>0</v>
      </c>
      <c r="Q152" t="s">
        <v>297</v>
      </c>
      <c r="R152" s="1"/>
      <c r="S152" s="1"/>
      <c r="T152" s="1"/>
      <c r="U152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2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52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52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52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52">
        <f>Portefeuille_MNT_PPS_Access29[[#This Row],[Délais PC1 et PC3]]+Portefeuille_MNT_PPS_Access29[[#This Row],[Délais PC3 et PC5]]</f>
        <v>0</v>
      </c>
      <c r="AB152">
        <v>1</v>
      </c>
      <c r="AD152" t="s">
        <v>349</v>
      </c>
      <c r="AE152">
        <v>2.7333333333333334</v>
      </c>
      <c r="AF152" s="2" t="e">
        <f>_xlfn.XLOOKUP(Portefeuille_MNT_PPS_Access29[[#This Row],[Numéro projet]],Portefeuille_MNT_PPS_Access27[Numéro projet],Portefeuille_MNT_PPS_Access27[Critère Etat Infrastructure])</f>
        <v>#N/A</v>
      </c>
      <c r="AG152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2" s="221"/>
      <c r="AL152">
        <v>316</v>
      </c>
      <c r="AV152"/>
      <c r="BI152" s="14">
        <f>SUM(Portefeuille_MNT_PPS_Access29[[#This Row],[AC ANT]:[TR 2035]])</f>
        <v>316</v>
      </c>
      <c r="BJ152" s="57"/>
      <c r="BK152" s="57"/>
    </row>
    <row r="153" spans="1:63" hidden="1" x14ac:dyDescent="0.3">
      <c r="A153" t="s">
        <v>286</v>
      </c>
      <c r="B153" t="s">
        <v>295</v>
      </c>
      <c r="D153" t="s">
        <v>126</v>
      </c>
      <c r="E153" t="s">
        <v>127</v>
      </c>
      <c r="F153" t="s">
        <v>128</v>
      </c>
      <c r="G153" t="s">
        <v>252</v>
      </c>
      <c r="H153" t="s">
        <v>16</v>
      </c>
      <c r="I153" t="s">
        <v>16</v>
      </c>
      <c r="J153" t="s">
        <v>131</v>
      </c>
      <c r="K153" s="2">
        <v>154220431</v>
      </c>
      <c r="L153" t="s">
        <v>435</v>
      </c>
      <c r="M153" t="s">
        <v>147</v>
      </c>
      <c r="N153" s="8">
        <f>_xlfn.XLOOKUP(Portefeuille_MNT_PPS_Access29[[#This Row],[Numéro projet]], Portefeuille_MNT_PPS_Access20[Numéro projet], Portefeuille_MNT_PPS_Access20[Année DÉBUT Travaux prévu], "")</f>
        <v>0</v>
      </c>
      <c r="P153">
        <f>Portefeuille_MNT_PPS_Access29[[#This Row],[Année DÉBUT Travaux proposé]]-Portefeuille_MNT_PPS_Access29[[#This Row],[Année DÉBUT Travaux prog actuelle]]</f>
        <v>0</v>
      </c>
      <c r="Q153" t="s">
        <v>123</v>
      </c>
      <c r="R153" s="1"/>
      <c r="S153" s="1"/>
      <c r="T153" s="1">
        <v>45413</v>
      </c>
      <c r="U153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3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53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53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53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1492</v>
      </c>
      <c r="Z153">
        <f>Portefeuille_MNT_PPS_Access29[[#This Row],[Délais PC1 et PC3]]+Portefeuille_MNT_PPS_Access29[[#This Row],[Délais PC3 et PC5]]</f>
        <v>1492</v>
      </c>
      <c r="AB153">
        <v>1</v>
      </c>
      <c r="AD153" t="s">
        <v>125</v>
      </c>
      <c r="AE153">
        <v>2.6666666666666665</v>
      </c>
      <c r="AF153" s="2" t="e">
        <f>_xlfn.XLOOKUP(Portefeuille_MNT_PPS_Access29[[#This Row],[Numéro projet]],Portefeuille_MNT_PPS_Access27[Numéro projet],Portefeuille_MNT_PPS_Access27[Critère Etat Infrastructure])</f>
        <v>#N/A</v>
      </c>
      <c r="AG153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3" s="221"/>
      <c r="AK153">
        <v>2</v>
      </c>
      <c r="AL153">
        <v>64</v>
      </c>
      <c r="AV153"/>
      <c r="BI153" s="14">
        <f>SUM(Portefeuille_MNT_PPS_Access29[[#This Row],[AC ANT]:[TR 2035]])</f>
        <v>66</v>
      </c>
    </row>
    <row r="154" spans="1:63" hidden="1" x14ac:dyDescent="0.3">
      <c r="A154" t="s">
        <v>286</v>
      </c>
      <c r="B154" t="s">
        <v>662</v>
      </c>
      <c r="D154" t="s">
        <v>118</v>
      </c>
      <c r="E154" t="s">
        <v>102</v>
      </c>
      <c r="F154" t="s">
        <v>103</v>
      </c>
      <c r="G154" t="s">
        <v>340</v>
      </c>
      <c r="H154" t="s">
        <v>16</v>
      </c>
      <c r="I154" t="s">
        <v>16</v>
      </c>
      <c r="J154" t="s">
        <v>105</v>
      </c>
      <c r="K154" s="2">
        <v>154230638</v>
      </c>
      <c r="L154" t="s">
        <v>355</v>
      </c>
      <c r="M154" t="s">
        <v>143</v>
      </c>
      <c r="N154" s="8">
        <f>_xlfn.XLOOKUP(Portefeuille_MNT_PPS_Access29[[#This Row],[Numéro projet]], Portefeuille_MNT_PPS_Access20[Numéro projet], Portefeuille_MNT_PPS_Access20[Année DÉBUT Travaux prévu], "")</f>
        <v>0</v>
      </c>
      <c r="P154">
        <f>Portefeuille_MNT_PPS_Access29[[#This Row],[Année DÉBUT Travaux proposé]]-Portefeuille_MNT_PPS_Access29[[#This Row],[Année DÉBUT Travaux prog actuelle]]</f>
        <v>0</v>
      </c>
      <c r="Q154" t="s">
        <v>164</v>
      </c>
      <c r="R154" s="1"/>
      <c r="S154" s="1"/>
      <c r="T154" s="1"/>
      <c r="U154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4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54" s="1" t="str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X</v>
      </c>
      <c r="X154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54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0</v>
      </c>
      <c r="Z154">
        <f>Portefeuille_MNT_PPS_Access29[[#This Row],[Délais PC1 et PC3]]+Portefeuille_MNT_PPS_Access29[[#This Row],[Délais PC3 et PC5]]</f>
        <v>0</v>
      </c>
      <c r="AB154">
        <v>1</v>
      </c>
      <c r="AD154" t="s">
        <v>165</v>
      </c>
      <c r="AE154">
        <v>4.333333333333333</v>
      </c>
      <c r="AF154" s="2" t="e">
        <f>_xlfn.XLOOKUP(Portefeuille_MNT_PPS_Access29[[#This Row],[Numéro projet]],Portefeuille_MNT_PPS_Access27[Numéro projet],Portefeuille_MNT_PPS_Access27[Critère Etat Infrastructure])</f>
        <v>#N/A</v>
      </c>
      <c r="AG154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4" s="221"/>
      <c r="AI154">
        <v>173</v>
      </c>
      <c r="AJ154">
        <v>7850</v>
      </c>
      <c r="AK154">
        <v>3</v>
      </c>
      <c r="AL154">
        <v>173</v>
      </c>
      <c r="AV154"/>
      <c r="BI154" s="14">
        <f>SUM(Portefeuille_MNT_PPS_Access29[[#This Row],[AC ANT]:[TR 2035]])</f>
        <v>8199</v>
      </c>
    </row>
    <row r="155" spans="1:63" hidden="1" x14ac:dyDescent="0.3">
      <c r="A155" t="s">
        <v>286</v>
      </c>
      <c r="B155" t="s">
        <v>295</v>
      </c>
      <c r="D155" t="s">
        <v>126</v>
      </c>
      <c r="E155" t="s">
        <v>127</v>
      </c>
      <c r="F155" t="s">
        <v>136</v>
      </c>
      <c r="G155" t="s">
        <v>113</v>
      </c>
      <c r="H155" t="s">
        <v>16</v>
      </c>
      <c r="I155" t="s">
        <v>16</v>
      </c>
      <c r="J155" t="s">
        <v>105</v>
      </c>
      <c r="K155" s="2">
        <v>154951715</v>
      </c>
      <c r="L155" t="s">
        <v>359</v>
      </c>
      <c r="M155" t="s">
        <v>108</v>
      </c>
      <c r="N155" s="8">
        <f>_xlfn.XLOOKUP(Portefeuille_MNT_PPS_Access29[[#This Row],[Numéro projet]], Portefeuille_MNT_PPS_Access20[Numéro projet], Portefeuille_MNT_PPS_Access20[Année DÉBUT Travaux prévu], "")</f>
        <v>0</v>
      </c>
      <c r="P155">
        <f>Portefeuille_MNT_PPS_Access29[[#This Row],[Année DÉBUT Travaux proposé]]-Portefeuille_MNT_PPS_Access29[[#This Row],[Année DÉBUT Travaux prog actuelle]]</f>
        <v>0</v>
      </c>
      <c r="Q155" t="s">
        <v>164</v>
      </c>
      <c r="R155" s="1"/>
      <c r="S155" s="1">
        <v>42383</v>
      </c>
      <c r="T155" s="1">
        <v>43404</v>
      </c>
      <c r="U155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5" s="1" t="e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#NUM!</v>
      </c>
      <c r="W155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55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1392</v>
      </c>
      <c r="Y155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33</v>
      </c>
      <c r="Z155">
        <f>Portefeuille_MNT_PPS_Access29[[#This Row],[Délais PC1 et PC3]]+Portefeuille_MNT_PPS_Access29[[#This Row],[Délais PC3 et PC5]]</f>
        <v>1425</v>
      </c>
      <c r="AB155">
        <v>1</v>
      </c>
      <c r="AD155" t="s">
        <v>165</v>
      </c>
      <c r="AE155">
        <v>4</v>
      </c>
      <c r="AF155" s="2" t="e">
        <f>_xlfn.XLOOKUP(Portefeuille_MNT_PPS_Access29[[#This Row],[Numéro projet]],Portefeuille_MNT_PPS_Access27[Numéro projet],Portefeuille_MNT_PPS_Access27[Critère Etat Infrastructure])</f>
        <v>#N/A</v>
      </c>
      <c r="AG155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5" s="221"/>
      <c r="AI155">
        <v>2099</v>
      </c>
      <c r="AJ155">
        <v>8991</v>
      </c>
      <c r="AK155">
        <v>93</v>
      </c>
      <c r="AL155"/>
      <c r="AM155">
        <v>29</v>
      </c>
      <c r="AV155"/>
      <c r="BI155" s="14">
        <f>SUM(Portefeuille_MNT_PPS_Access29[[#This Row],[AC ANT]:[TR 2035]])</f>
        <v>11212</v>
      </c>
    </row>
    <row r="156" spans="1:63" hidden="1" x14ac:dyDescent="0.3">
      <c r="A156" t="s">
        <v>11</v>
      </c>
      <c r="B156" t="s">
        <v>662</v>
      </c>
      <c r="D156" t="s">
        <v>118</v>
      </c>
      <c r="E156" t="s">
        <v>102</v>
      </c>
      <c r="F156" t="s">
        <v>177</v>
      </c>
      <c r="G156" t="s">
        <v>104</v>
      </c>
      <c r="H156" t="s">
        <v>16</v>
      </c>
      <c r="I156" t="s">
        <v>16</v>
      </c>
      <c r="J156" t="s">
        <v>105</v>
      </c>
      <c r="K156" s="2">
        <v>154951716</v>
      </c>
      <c r="L156" t="s">
        <v>199</v>
      </c>
      <c r="M156" t="s">
        <v>108</v>
      </c>
      <c r="N156" s="8">
        <f>_xlfn.XLOOKUP(Portefeuille_MNT_PPS_Access29[[#This Row],[Numéro projet]], Portefeuille_MNT_PPS_Access20[Numéro projet], Portefeuille_MNT_PPS_Access20[Année DÉBUT Travaux prévu], "")</f>
        <v>0</v>
      </c>
      <c r="P156">
        <f>Portefeuille_MNT_PPS_Access29[[#This Row],[Année DÉBUT Travaux proposé]]-Portefeuille_MNT_PPS_Access29[[#This Row],[Année DÉBUT Travaux prog actuelle]]</f>
        <v>0</v>
      </c>
      <c r="Q156" t="s">
        <v>297</v>
      </c>
      <c r="R156" s="1"/>
      <c r="S156" s="1"/>
      <c r="T156" s="1">
        <v>45176</v>
      </c>
      <c r="U156" s="1" t="str">
        <f xml:space="preserve"> IF(Portefeuille_MNT_PPS_Access29[[#This Row],[PC-1]] = "", "X",IF(Portefeuille_MNT_PPS_Access29[[#This Row],[PC-1]] &lt;= DATE(Portefeuille_MNT_PPS_Access29[[#This Row],[Année DÉBUT Travaux proposé]]- 3, 12, 15),"5.Respect OPC",IF(Portefeuille_MNT_PPS_Access29[[#This Row],[PC-1]] &lt;= DATE(Portefeuille_MNT_PPS_Access29[[#This Row],[Année DÉBUT Travaux proposé]]-2, 4, 1),"3.À risque","1.Très à risque")))</f>
        <v>X</v>
      </c>
      <c r="V156" s="1" t="str">
        <f xml:space="preserve"> IF(Portefeuille_MNT_PPS_Access29[[#This Row],[PC-3]] = "", "X",IF(Portefeuille_MNT_PPS_Access29[[#This Row],[PC-3]] &lt;= DATE(Portefeuille_MNT_PPS_Access29[[#This Row],[Année DÉBUT Travaux proposé]]- 2, 12, 15),"5.Respect OPC",IF(Portefeuille_MNT_PPS_Access29[[#This Row],[PC-3]] &lt;= DATE(Portefeuille_MNT_PPS_Access29[[#This Row],[Année DÉBUT Travaux proposé]]-1, 4, 1),"3.À risque","1.Très à risque")))</f>
        <v>X</v>
      </c>
      <c r="W156" s="1" t="e">
        <f xml:space="preserve"> IF(Portefeuille_MNT_PPS_Access29[[#This Row],[PC-5]] = "", "X",IF(Portefeuille_MNT_PPS_Access29[[#This Row],[PC-5]] &lt;= DATE(Portefeuille_MNT_PPS_Access29[[#This Row],[Année DÉBUT Travaux proposé]]- 1, 12, 15),"5.Respect OPC",IF(Portefeuille_MNT_PPS_Access29[[#This Row],[PC-5]] &lt;= DATE(Portefeuille_MNT_PPS_Access29[[#This Row],[Année DÉBUT Travaux proposé]], 4, 1),"3.À risque","1.Très à risque")))</f>
        <v>#NUM!</v>
      </c>
      <c r="X156">
        <f xml:space="preserve"> (YEAR(Portefeuille_MNT_PPS_Access29[[#This Row],[PC-3]]) - YEAR(Portefeuille_MNT_PPS_Access29[[#This Row],[PC-1]])) * 12 + MONTH(Portefeuille_MNT_PPS_Access29[[#This Row],[PC-3]]) - MONTH(Portefeuille_MNT_PPS_Access29[[#This Row],[PC-1]])</f>
        <v>0</v>
      </c>
      <c r="Y156">
        <f xml:space="preserve"> (YEAR(Portefeuille_MNT_PPS_Access29[[#This Row],[PC-5]]) - YEAR(Portefeuille_MNT_PPS_Access29[[#This Row],[PC-3]])) * 12 + MONTH(Portefeuille_MNT_PPS_Access29[[#This Row],[PC-5]]) - MONTH(Portefeuille_MNT_PPS_Access29[[#This Row],[PC-3]])</f>
        <v>1484</v>
      </c>
      <c r="Z156">
        <f>Portefeuille_MNT_PPS_Access29[[#This Row],[Délais PC1 et PC3]]+Portefeuille_MNT_PPS_Access29[[#This Row],[Délais PC3 et PC5]]</f>
        <v>1484</v>
      </c>
      <c r="AB156">
        <v>1</v>
      </c>
      <c r="AD156" t="s">
        <v>349</v>
      </c>
      <c r="AE156">
        <v>4</v>
      </c>
      <c r="AF156" s="2" t="e">
        <f>_xlfn.XLOOKUP(Portefeuille_MNT_PPS_Access29[[#This Row],[Numéro projet]],Portefeuille_MNT_PPS_Access27[Numéro projet],Portefeuille_MNT_PPS_Access27[Critère Etat Infrastructure])</f>
        <v>#N/A</v>
      </c>
      <c r="AG156" s="12" t="e">
        <f>IF(Portefeuille_MNT_PPS_Access29[[#This Row],[IND_PARA_25-26]]=5,100, SUM(IF(Portefeuille_MNT_PPS_Access29[[#This Row],[INDICE OPC]]="",Portefeuille_MNT_PPS_Access29[[#This Row],[IND_Etat_avancement]]*$AF$8/5,Portefeuille_MNT_PPS_Access29[[#This Row],[INDICE OPC]]*$AF$8/5),Portefeuille_MNT_PPS_Access29[[#This Row],[Critère Etat Infrastructure]]* $AF$10/5,Portefeuille_MNT_PPS_Access29[[#This Row],[IND_SITE_PRIO_2024]]* $AF$9/5,Portefeuille_MNT_PPS_Access29[[#This Row],[IND_PROJT_ANNONCE_25-27]]* $AF$7/5)*100)</f>
        <v>#N/A</v>
      </c>
      <c r="AH156" s="221"/>
      <c r="AI156">
        <v>269</v>
      </c>
      <c r="AK156">
        <v>14</v>
      </c>
      <c r="AL156">
        <v>5</v>
      </c>
      <c r="AV156"/>
      <c r="BI156" s="14">
        <f>SUM(Portefeuille_MNT_PPS_Access29[[#This Row],[AC ANT]:[TR 2035]])</f>
        <v>288</v>
      </c>
    </row>
    <row r="157" spans="1:63" x14ac:dyDescent="0.3">
      <c r="K157" s="2">
        <f>SUBTOTAL(103,Portefeuille_MNT_PPS_Access29[Numéro projet])</f>
        <v>8</v>
      </c>
      <c r="L157">
        <f>SUBTOTAL(103,Portefeuille_MNT_PPS_Access29[Titre projet])</f>
        <v>8</v>
      </c>
      <c r="N157" s="8"/>
      <c r="AH157" s="25"/>
      <c r="AI157" s="14">
        <f>SUBTOTAL(109,Portefeuille_MNT_PPS_Access29[AC ANT])</f>
        <v>218</v>
      </c>
      <c r="AJ157" s="14">
        <f>SUBTOTAL(109,Portefeuille_MNT_PPS_Access29[TR ANT])</f>
        <v>5989</v>
      </c>
      <c r="AK157" s="14">
        <f>SUBTOTAL(109,Portefeuille_MNT_PPS_Access29[AC 2024])</f>
        <v>208</v>
      </c>
      <c r="AL157" s="14">
        <f>SUBTOTAL(109,Portefeuille_MNT_PPS_Access29[TR 2024])</f>
        <v>52</v>
      </c>
      <c r="AM157" s="14">
        <f>SUBTOTAL(109,Portefeuille_MNT_PPS_Access29[AC 2025])</f>
        <v>247</v>
      </c>
      <c r="AN157" s="14">
        <f>SUBTOTAL(109,Portefeuille_MNT_PPS_Access29[TR 2025])</f>
        <v>605</v>
      </c>
      <c r="AO157" s="14">
        <f>SUBTOTAL(109,Portefeuille_MNT_PPS_Access29[AC 2026])</f>
        <v>722</v>
      </c>
      <c r="AP157" s="14">
        <f>SUBTOTAL(109,Portefeuille_MNT_PPS_Access29[TR 2026])</f>
        <v>4764</v>
      </c>
      <c r="AQ157" s="14">
        <f>SUBTOTAL(109,Portefeuille_MNT_PPS_Access29[AC 2027])</f>
        <v>880</v>
      </c>
      <c r="AR157" s="14">
        <f>SUBTOTAL(109,Portefeuille_MNT_PPS_Access29[TR 2027])</f>
        <v>4139</v>
      </c>
      <c r="AS157" s="14">
        <f>SUBTOTAL(109,Portefeuille_MNT_PPS_Access29[AC 2028])</f>
        <v>350</v>
      </c>
      <c r="AT157" s="14">
        <f>SUBTOTAL(109,Portefeuille_MNT_PPS_Access29[TR 2028])</f>
        <v>4500</v>
      </c>
      <c r="AU157" s="14">
        <f>SUBTOTAL(109,Portefeuille_MNT_PPS_Access29[AC 2029])</f>
        <v>300</v>
      </c>
      <c r="AV157" s="14">
        <f>SUBTOTAL(109,Portefeuille_MNT_PPS_Access29[TR 2029])</f>
        <v>3000</v>
      </c>
      <c r="AW157" s="14">
        <f>SUBTOTAL(109,Portefeuille_MNT_PPS_Access29[AC 2030])</f>
        <v>800</v>
      </c>
      <c r="AX157" s="14">
        <f>SUBTOTAL(109,Portefeuille_MNT_PPS_Access29[TR 2030])</f>
        <v>5500</v>
      </c>
      <c r="AY157" s="14">
        <f>SUBTOTAL(109,Portefeuille_MNT_PPS_Access29[AC 2031])</f>
        <v>1050</v>
      </c>
      <c r="AZ157" s="14">
        <f>SUBTOTAL(109,Portefeuille_MNT_PPS_Access29[TR 2031])</f>
        <v>13500</v>
      </c>
      <c r="BA157" s="14">
        <f>SUBTOTAL(109,Portefeuille_MNT_PPS_Access29[AC 2032])</f>
        <v>600</v>
      </c>
      <c r="BB157" s="14">
        <f>SUBTOTAL(109,Portefeuille_MNT_PPS_Access29[TR 2032])</f>
        <v>6000</v>
      </c>
      <c r="BC157" s="14">
        <f>SUBTOTAL(109,Portefeuille_MNT_PPS_Access29[AC 2033])</f>
        <v>0</v>
      </c>
      <c r="BD157" s="14">
        <f>SUBTOTAL(109,Portefeuille_MNT_PPS_Access29[TR 2033])</f>
        <v>0</v>
      </c>
      <c r="BE157" s="14">
        <f>SUBTOTAL(109,Portefeuille_MNT_PPS_Access29[AC 2034])</f>
        <v>0</v>
      </c>
      <c r="BF157" s="14">
        <f>SUBTOTAL(109,Portefeuille_MNT_PPS_Access29[TR 2034])</f>
        <v>0</v>
      </c>
      <c r="BG157" s="14">
        <f>SUBTOTAL(109,Portefeuille_MNT_PPS_Access29[AC 2035])</f>
        <v>0</v>
      </c>
      <c r="BH157" s="14">
        <f>SUBTOTAL(109,Portefeuille_MNT_PPS_Access29[TR 2035])</f>
        <v>0</v>
      </c>
      <c r="BI157" s="14">
        <f>SUBTOTAL(109,Portefeuille_MNT_PPS_Access29[Total Projet])</f>
        <v>53424</v>
      </c>
    </row>
    <row r="159" spans="1:63" x14ac:dyDescent="0.3"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</row>
    <row r="169" spans="62:64" x14ac:dyDescent="0.3">
      <c r="BJ169" s="57"/>
      <c r="BK169" s="57"/>
      <c r="BL169" s="57"/>
    </row>
  </sheetData>
  <mergeCells count="186">
    <mergeCell ref="I3:J3"/>
    <mergeCell ref="AG3:AH3"/>
    <mergeCell ref="AI3:AJ3"/>
    <mergeCell ref="AK3:AL3"/>
    <mergeCell ref="AM3:AN3"/>
    <mergeCell ref="AO3:AP3"/>
    <mergeCell ref="AI4:AJ4"/>
    <mergeCell ref="AK4:AL4"/>
    <mergeCell ref="AM4:AN4"/>
    <mergeCell ref="AO4:AP4"/>
    <mergeCell ref="AQ4:AR4"/>
    <mergeCell ref="AS4:AT4"/>
    <mergeCell ref="AU4:AV4"/>
    <mergeCell ref="AQ3:AR3"/>
    <mergeCell ref="AS3:AT3"/>
    <mergeCell ref="AU3:AV3"/>
    <mergeCell ref="AW4:AX4"/>
    <mergeCell ref="AY4:AZ4"/>
    <mergeCell ref="BA4:BB4"/>
    <mergeCell ref="BC4:BD4"/>
    <mergeCell ref="BE4:BF4"/>
    <mergeCell ref="BG4:BH4"/>
    <mergeCell ref="BC3:BD3"/>
    <mergeCell ref="BE3:BF3"/>
    <mergeCell ref="BG3:BH3"/>
    <mergeCell ref="AW3:AX3"/>
    <mergeCell ref="AY3:AZ3"/>
    <mergeCell ref="BA3:BB3"/>
    <mergeCell ref="BG5:BH5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BA6:BB6"/>
    <mergeCell ref="BC6:BD6"/>
    <mergeCell ref="AQ8:AR8"/>
    <mergeCell ref="AS8:AT8"/>
    <mergeCell ref="AU8:AV8"/>
    <mergeCell ref="AW8:AX8"/>
    <mergeCell ref="AY8:AZ8"/>
    <mergeCell ref="BE6:BF6"/>
    <mergeCell ref="BG6:BH6"/>
    <mergeCell ref="AI7:AJ7"/>
    <mergeCell ref="AK7:AL7"/>
    <mergeCell ref="AM7:AN7"/>
    <mergeCell ref="AO7:AP7"/>
    <mergeCell ref="AQ7:AR7"/>
    <mergeCell ref="AS7:AT7"/>
    <mergeCell ref="BG7:BH7"/>
    <mergeCell ref="AU7:AV7"/>
    <mergeCell ref="AW7:AX7"/>
    <mergeCell ref="AY7:AZ7"/>
    <mergeCell ref="BA7:BB7"/>
    <mergeCell ref="BC7:BD7"/>
    <mergeCell ref="BE7:BF7"/>
    <mergeCell ref="AU10:AV10"/>
    <mergeCell ref="AW10:AX10"/>
    <mergeCell ref="AY10:AZ10"/>
    <mergeCell ref="BA8:BB8"/>
    <mergeCell ref="BC8:BD8"/>
    <mergeCell ref="BE8:BF8"/>
    <mergeCell ref="BG8:BH8"/>
    <mergeCell ref="AI9:AJ9"/>
    <mergeCell ref="AK9:AL9"/>
    <mergeCell ref="AM9:AN9"/>
    <mergeCell ref="AO9:AP9"/>
    <mergeCell ref="AQ9:AR9"/>
    <mergeCell ref="AS9:AT9"/>
    <mergeCell ref="BG9:BH9"/>
    <mergeCell ref="AU9:AV9"/>
    <mergeCell ref="AW9:AX9"/>
    <mergeCell ref="AY9:AZ9"/>
    <mergeCell ref="BA9:BB9"/>
    <mergeCell ref="BC9:BD9"/>
    <mergeCell ref="BE9:BF9"/>
    <mergeCell ref="AI8:AJ8"/>
    <mergeCell ref="AK8:AL8"/>
    <mergeCell ref="AM8:AN8"/>
    <mergeCell ref="AO8:AP8"/>
    <mergeCell ref="AS11:AT11"/>
    <mergeCell ref="AU11:AV11"/>
    <mergeCell ref="AW11:AX11"/>
    <mergeCell ref="BA10:BB10"/>
    <mergeCell ref="BC10:BD10"/>
    <mergeCell ref="BE10:BF10"/>
    <mergeCell ref="BG10:BH10"/>
    <mergeCell ref="AG11:AH11"/>
    <mergeCell ref="AI11:AJ11"/>
    <mergeCell ref="AK11:AL11"/>
    <mergeCell ref="AM11:AN11"/>
    <mergeCell ref="AO11:AP11"/>
    <mergeCell ref="AQ11:AR11"/>
    <mergeCell ref="BE11:BF11"/>
    <mergeCell ref="BG11:BH11"/>
    <mergeCell ref="AY11:AZ11"/>
    <mergeCell ref="BA11:BB11"/>
    <mergeCell ref="BC11:BD11"/>
    <mergeCell ref="AI10:AJ10"/>
    <mergeCell ref="AK10:AL10"/>
    <mergeCell ref="AM10:AN10"/>
    <mergeCell ref="AO10:AP10"/>
    <mergeCell ref="AQ10:AR10"/>
    <mergeCell ref="AS10:AT10"/>
    <mergeCell ref="AY12:AZ12"/>
    <mergeCell ref="BA12:BB12"/>
    <mergeCell ref="BC12:BD12"/>
    <mergeCell ref="BE12:BF12"/>
    <mergeCell ref="BG12:BH12"/>
    <mergeCell ref="AG13:AH13"/>
    <mergeCell ref="AI13:AJ13"/>
    <mergeCell ref="AK13:AL13"/>
    <mergeCell ref="AM13:AN13"/>
    <mergeCell ref="AO13:AP13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I14:AJ14"/>
    <mergeCell ref="AK14:AL14"/>
    <mergeCell ref="AM14:AN14"/>
    <mergeCell ref="AO14:AP14"/>
    <mergeCell ref="AQ14:AR14"/>
    <mergeCell ref="AS14:AT14"/>
    <mergeCell ref="AU14:AV14"/>
    <mergeCell ref="AQ13:AR13"/>
    <mergeCell ref="AS13:AT13"/>
    <mergeCell ref="AU13:AV13"/>
    <mergeCell ref="AQ15:AR15"/>
    <mergeCell ref="AS15:AT15"/>
    <mergeCell ref="AW14:AX14"/>
    <mergeCell ref="AY14:AZ14"/>
    <mergeCell ref="BA14:BB14"/>
    <mergeCell ref="BC14:BD14"/>
    <mergeCell ref="BE14:BF14"/>
    <mergeCell ref="BG14:BH14"/>
    <mergeCell ref="BC13:BD13"/>
    <mergeCell ref="BE13:BF13"/>
    <mergeCell ref="BG13:BH13"/>
    <mergeCell ref="AW13:AX13"/>
    <mergeCell ref="AY13:AZ13"/>
    <mergeCell ref="BA13:BB13"/>
    <mergeCell ref="BA16:BB16"/>
    <mergeCell ref="BC16:BD16"/>
    <mergeCell ref="BE16:BF16"/>
    <mergeCell ref="BG16:BH16"/>
    <mergeCell ref="BG15:BH15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AU15:AV15"/>
    <mergeCell ref="AW15:AX15"/>
    <mergeCell ref="AY15:AZ15"/>
    <mergeCell ref="BA15:BB15"/>
    <mergeCell ref="BC15:BD15"/>
    <mergeCell ref="BE15:BF15"/>
    <mergeCell ref="AI15:AJ15"/>
    <mergeCell ref="AK15:AL15"/>
    <mergeCell ref="AM15:AN15"/>
    <mergeCell ref="AO15:AP15"/>
  </mergeCells>
  <conditionalFormatting sqref="U19:AA156">
    <cfRule type="containsText" dxfId="93" priority="1" operator="containsText" text="1.Très à risque">
      <formula>NOT(ISERROR(SEARCH("1.Très à risque",U19)))</formula>
    </cfRule>
    <cfRule type="containsText" dxfId="92" priority="2" operator="containsText" text="3.À risque">
      <formula>NOT(ISERROR(SEARCH("3.À risque",U19)))</formula>
    </cfRule>
    <cfRule type="containsText" dxfId="91" priority="3" operator="containsText" text="5.Respect OPC">
      <formula>NOT(ISERROR(SEARCH("5.Respect OPC",U19)))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7A3AE02-FE70-4DC4-A658-32C3426B891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AF19:AH156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D6C0-3909-483C-B858-5D7D93EA3680}">
  <dimension ref="A1:BX169"/>
  <sheetViews>
    <sheetView topLeftCell="L1" zoomScale="90" zoomScaleNormal="90" workbookViewId="0">
      <pane ySplit="18" topLeftCell="A41" activePane="bottomLeft" state="frozen"/>
      <selection activeCell="P1" sqref="P1"/>
      <selection pane="bottomLeft" activeCell="X46" sqref="X46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8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1.33203125" customWidth="1" outlineLevel="1"/>
    <col min="8" max="8" width="12.44140625" customWidth="1" outlineLevel="1"/>
    <col min="9" max="9" width="17" customWidth="1" outlineLevel="1"/>
    <col min="10" max="10" width="14.33203125" customWidth="1"/>
    <col min="11" max="11" width="14.6640625" customWidth="1"/>
    <col min="12" max="12" width="80.6640625" customWidth="1" collapsed="1"/>
    <col min="13" max="13" width="22.5546875" customWidth="1"/>
    <col min="14" max="14" width="13.33203125" customWidth="1"/>
    <col min="15" max="18" width="10" customWidth="1"/>
    <col min="19" max="19" width="23" customWidth="1"/>
    <col min="20" max="20" width="12.5546875" hidden="1" customWidth="1" outlineLevel="1"/>
    <col min="21" max="21" width="12.33203125" hidden="1" customWidth="1" outlineLevel="1"/>
    <col min="22" max="22" width="15" hidden="1" customWidth="1" outlineLevel="1"/>
    <col min="23" max="23" width="14" bestFit="1" customWidth="1" collapsed="1"/>
    <col min="24" max="25" width="14.33203125" bestFit="1" customWidth="1"/>
    <col min="26" max="27" width="15" hidden="1" customWidth="1" outlineLevel="1"/>
    <col min="28" max="28" width="12.33203125" hidden="1" customWidth="1" outlineLevel="1"/>
    <col min="29" max="30" width="11.44140625" hidden="1" customWidth="1" outlineLevel="1"/>
    <col min="31" max="31" width="11.33203125" hidden="1" customWidth="1" outlineLevel="1"/>
    <col min="32" max="32" width="9.88671875" hidden="1" customWidth="1" outlineLevel="1"/>
    <col min="33" max="33" width="14.6640625" hidden="1" customWidth="1" outlineLevel="1"/>
    <col min="34" max="34" width="13.88671875" hidden="1" customWidth="1" outlineLevel="1"/>
    <col min="35" max="35" width="13.5546875" customWidth="1" collapsed="1"/>
    <col min="36" max="36" width="6.33203125" customWidth="1"/>
    <col min="37" max="37" width="9.33203125" hidden="1" customWidth="1" outlineLevel="1"/>
    <col min="38" max="38" width="10.44140625" hidden="1" customWidth="1" outlineLevel="1"/>
    <col min="39" max="39" width="9.88671875" hidden="1" customWidth="1" outlineLevel="1"/>
    <col min="40" max="40" width="9.88671875" style="25" hidden="1" customWidth="1" outlineLevel="1"/>
    <col min="41" max="42" width="9.88671875" hidden="1" customWidth="1" outlineLevel="1"/>
    <col min="43" max="43" width="11.109375" customWidth="1" collapsed="1"/>
    <col min="44" max="44" width="12.33203125" customWidth="1"/>
    <col min="45" max="45" width="11" customWidth="1"/>
    <col min="46" max="49" width="9.88671875" customWidth="1"/>
    <col min="50" max="50" width="9.88671875" style="8" customWidth="1"/>
    <col min="51" max="62" width="9.88671875" customWidth="1"/>
    <col min="63" max="63" width="14.44140625" bestFit="1" customWidth="1"/>
    <col min="64" max="64" width="12.6640625" bestFit="1" customWidth="1"/>
    <col min="65" max="67" width="9.88671875" customWidth="1"/>
    <col min="68" max="68" width="13.44140625" customWidth="1"/>
    <col min="69" max="69" width="13.5546875" customWidth="1"/>
    <col min="70" max="70" width="18" customWidth="1"/>
    <col min="71" max="71" width="17" customWidth="1"/>
    <col min="72" max="72" width="16.6640625" bestFit="1" customWidth="1"/>
    <col min="73" max="82" width="11.33203125" customWidth="1"/>
    <col min="83" max="83" width="12.5546875" customWidth="1"/>
    <col min="84" max="84" width="13.44140625" customWidth="1"/>
    <col min="85" max="85" width="13.109375" customWidth="1"/>
    <col min="86" max="86" width="14" customWidth="1"/>
    <col min="87" max="92" width="17.33203125" customWidth="1"/>
    <col min="93" max="93" width="18.109375" customWidth="1"/>
    <col min="94" max="94" width="17.5546875" customWidth="1"/>
  </cols>
  <sheetData>
    <row r="1" spans="1:76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7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85"/>
      <c r="BU1" s="85"/>
      <c r="BV1" s="85"/>
      <c r="BW1" s="85"/>
      <c r="BX1" s="85"/>
    </row>
    <row r="2" spans="1:76" x14ac:dyDescent="0.3">
      <c r="AE2" s="25"/>
      <c r="AF2" s="25"/>
      <c r="AG2" s="25"/>
      <c r="AH2" s="25"/>
      <c r="AI2" s="25"/>
      <c r="AJ2" s="25"/>
      <c r="AK2" s="25"/>
      <c r="AL2" s="25"/>
      <c r="AM2" s="25"/>
      <c r="AO2" s="8"/>
      <c r="AX2"/>
    </row>
    <row r="3" spans="1:76" ht="26.4" customHeight="1" x14ac:dyDescent="0.3">
      <c r="I3" s="306" t="s">
        <v>2</v>
      </c>
      <c r="J3" s="307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G3" s="4" t="s">
        <v>3</v>
      </c>
      <c r="AH3" s="80" t="s">
        <v>4</v>
      </c>
      <c r="AI3" s="342" t="s">
        <v>5</v>
      </c>
      <c r="AJ3" s="342"/>
      <c r="AK3" s="265" t="s">
        <v>6</v>
      </c>
      <c r="AL3" s="264"/>
      <c r="AM3" s="263">
        <v>2024</v>
      </c>
      <c r="AN3" s="264"/>
      <c r="AO3" s="263">
        <v>2025</v>
      </c>
      <c r="AP3" s="264"/>
      <c r="AQ3" s="263">
        <v>2026</v>
      </c>
      <c r="AR3" s="264"/>
      <c r="AS3" s="263">
        <v>2027</v>
      </c>
      <c r="AT3" s="264"/>
      <c r="AU3" s="263">
        <v>2028</v>
      </c>
      <c r="AV3" s="264"/>
      <c r="AW3" s="263">
        <v>2029</v>
      </c>
      <c r="AX3" s="264"/>
      <c r="AY3" s="263">
        <v>2030</v>
      </c>
      <c r="AZ3" s="264"/>
      <c r="BA3" s="263">
        <v>2031</v>
      </c>
      <c r="BB3" s="264"/>
      <c r="BC3" s="263">
        <v>2032</v>
      </c>
      <c r="BD3" s="264"/>
      <c r="BE3" s="263">
        <v>2033</v>
      </c>
      <c r="BF3" s="264"/>
      <c r="BG3" s="263">
        <v>2034</v>
      </c>
      <c r="BH3" s="264"/>
      <c r="BI3" s="263">
        <v>2035</v>
      </c>
      <c r="BJ3" s="264"/>
      <c r="BK3" s="26" t="s">
        <v>560</v>
      </c>
      <c r="BL3" s="26" t="s">
        <v>595</v>
      </c>
    </row>
    <row r="4" spans="1:76" x14ac:dyDescent="0.3">
      <c r="I4" s="27" t="s">
        <v>9</v>
      </c>
      <c r="J4" s="28" t="s">
        <v>10</v>
      </c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G4" s="66"/>
      <c r="AH4" s="138"/>
      <c r="AJ4" s="104" t="s">
        <v>11</v>
      </c>
      <c r="AK4" s="260"/>
      <c r="AL4" s="260"/>
      <c r="AM4" s="260">
        <f>SUMIFS(Portefeuille_MNT_PPS_Access30[AC 2024],Portefeuille_MNT_PPS_Access30[DES_COMPL_NATR_COMPB],"=Fonctionnement")+SUMIFS(Portefeuille_MNT_PPS_Access30[TR 2024],Portefeuille_MNT_PPS_Access30[DES_COMPL_NATR_COMPB],"=Fonctionnement")</f>
        <v>339</v>
      </c>
      <c r="AN4" s="260"/>
      <c r="AO4" s="260">
        <f>SUMIFS(Portefeuille_MNT_PPS_Access30[AC 2025],Portefeuille_MNT_PPS_Access30[DES_COMPL_NATR_COMPB],"=Fonctionnement")+SUMIFS(Portefeuille_MNT_PPS_Access30[TR 2025],Portefeuille_MNT_PPS_Access30[DES_COMPL_NATR_COMPB],"=Fonctionnement")</f>
        <v>300</v>
      </c>
      <c r="AP4" s="260"/>
      <c r="AQ4" s="260">
        <f>SUMIFS(Portefeuille_MNT_PPS_Access30[AC 2026],Portefeuille_MNT_PPS_Access30[DES_COMPL_NATR_COMPB],"=Fonctionnement")+SUMIFS(Portefeuille_MNT_PPS_Access30[TR 2026],Portefeuille_MNT_PPS_Access30[DES_COMPL_NATR_COMPB],"=Fonctionnement")</f>
        <v>300</v>
      </c>
      <c r="AR4" s="260"/>
      <c r="AS4" s="260">
        <f>SUMIFS(Portefeuille_MNT_PPS_Access30[AC 2027],Portefeuille_MNT_PPS_Access30[DES_COMPL_NATR_COMPB],"=Fonctionnement")+SUMIFS(Portefeuille_MNT_PPS_Access30[TR 2027],Portefeuille_MNT_PPS_Access30[DES_COMPL_NATR_COMPB],"=Fonctionnement")</f>
        <v>510</v>
      </c>
      <c r="AT4" s="260"/>
      <c r="AU4" s="260">
        <f>SUMIFS(Portefeuille_MNT_PPS_Access30[AC 2028],Portefeuille_MNT_PPS_Access30[DES_COMPL_NATR_COMPB],"=Fonctionnement")+SUMIFS(Portefeuille_MNT_PPS_Access30[TR 2028],Portefeuille_MNT_PPS_Access30[DES_COMPL_NATR_COMPB],"=Fonctionnement")</f>
        <v>0</v>
      </c>
      <c r="AV4" s="260"/>
      <c r="AW4" s="260">
        <f>SUMIFS(Portefeuille_MNT_PPS_Access30[AC 2029],Portefeuille_MNT_PPS_Access30[DES_COMPL_NATR_COMPB],"=Fonctionnement")+SUMIFS(Portefeuille_MNT_PPS_Access30[TR 2029],Portefeuille_MNT_PPS_Access30[DES_COMPL_NATR_COMPB],"=Fonctionnement")</f>
        <v>0</v>
      </c>
      <c r="AX4" s="260"/>
      <c r="AY4" s="260">
        <f>SUMIFS(Portefeuille_MNT_PPS_Access30[AC 2030],Portefeuille_MNT_PPS_Access30[DES_COMPL_NATR_COMPB],"=Fonctionnement")+SUMIFS(Portefeuille_MNT_PPS_Access30[TR 2030],Portefeuille_MNT_PPS_Access30[DES_COMPL_NATR_COMPB],"=Fonctionnement")</f>
        <v>0</v>
      </c>
      <c r="AZ4" s="260"/>
      <c r="BA4" s="260">
        <f>SUMIFS(Portefeuille_MNT_PPS_Access30[AC 2031],Portefeuille_MNT_PPS_Access30[DES_COMPL_NATR_COMPB],"=Fonctionnement")+SUMIFS(Portefeuille_MNT_PPS_Access30[TR 2031],Portefeuille_MNT_PPS_Access30[DES_COMPL_NATR_COMPB],"=Fonctionnement")</f>
        <v>0</v>
      </c>
      <c r="BB4" s="260"/>
      <c r="BC4" s="260">
        <f>SUMIFS(Portefeuille_MNT_PPS_Access30[AC 2032],Portefeuille_MNT_PPS_Access30[DES_COMPL_NATR_COMPB],"=Fonctionnement")+SUMIFS(Portefeuille_MNT_PPS_Access30[TR 2032],Portefeuille_MNT_PPS_Access30[DES_COMPL_NATR_COMPB],"=Fonctionnement")</f>
        <v>0</v>
      </c>
      <c r="BD4" s="260"/>
      <c r="BE4" s="260">
        <f>SUMIFS(Portefeuille_MNT_PPS_Access30[AC 2033],Portefeuille_MNT_PPS_Access30[DES_COMPL_NATR_COMPB],"=Fonctionnement")+SUMIFS(Portefeuille_MNT_PPS_Access30[TR 2033],Portefeuille_MNT_PPS_Access30[DES_COMPL_NATR_COMPB],"=Fonctionnement")</f>
        <v>0</v>
      </c>
      <c r="BF4" s="260"/>
      <c r="BG4" s="260">
        <f>SUMIFS(Portefeuille_MNT_PPS_Access30[AC 2034],Portefeuille_MNT_PPS_Access30[DES_COMPL_NATR_COMPB],"=Fonctionnement")+SUMIFS(Portefeuille_MNT_PPS_Access30[TR 2034],Portefeuille_MNT_PPS_Access30[DES_COMPL_NATR_COMPB],"=Fonctionnement")</f>
        <v>0</v>
      </c>
      <c r="BH4" s="260"/>
      <c r="BI4" s="260">
        <f>SUMIFS(Portefeuille_MNT_PPS_Access30[AC 2035],Portefeuille_MNT_PPS_Access30[DES_COMPL_NATR_COMPB],"=Fonctionnement")+SUMIFS(Portefeuille_MNT_PPS_Access30[TR 2035],Portefeuille_MNT_PPS_Access30[DES_COMPL_NATR_COMPB],"=Fonctionnement")</f>
        <v>0</v>
      </c>
      <c r="BJ4" s="260"/>
      <c r="BK4" s="16">
        <f>SUM(AQ4:AZ4)</f>
        <v>810</v>
      </c>
      <c r="BL4" s="16">
        <f>SUM(AQ4:BJ4)</f>
        <v>810</v>
      </c>
    </row>
    <row r="5" spans="1:76" x14ac:dyDescent="0.3">
      <c r="I5" s="27" t="s">
        <v>12</v>
      </c>
      <c r="J5" s="28" t="s">
        <v>13</v>
      </c>
      <c r="AG5" s="67"/>
      <c r="AH5" s="139" t="s">
        <v>299</v>
      </c>
      <c r="AJ5" s="104" t="s">
        <v>15</v>
      </c>
      <c r="AK5" s="260">
        <f>SUMIFS(Portefeuille_MNT_PPS_Access30[AC ANT],Portefeuille_MNT_PPS_Access30[État Composante AC],"=PR")</f>
        <v>24010</v>
      </c>
      <c r="AL5" s="260"/>
      <c r="AM5" s="260">
        <f>SUMIFS(Portefeuille_MNT_PPS_Access30[AC 2024],Portefeuille_MNT_PPS_Access30[État Composante AC],"=PR")</f>
        <v>4500</v>
      </c>
      <c r="AN5" s="260"/>
      <c r="AO5" s="260">
        <f>SUMIFS(Portefeuille_MNT_PPS_Access30[AC 2025],Portefeuille_MNT_PPS_Access30[État Composante AC],"=PR")</f>
        <v>10556</v>
      </c>
      <c r="AP5" s="260"/>
      <c r="AQ5" s="260">
        <f>SUMIFS(Portefeuille_MNT_PPS_Access30[AC 2026],Portefeuille_MNT_PPS_Access30[État Composante AC],"=PR")</f>
        <v>9813</v>
      </c>
      <c r="AR5" s="260"/>
      <c r="AS5" s="260">
        <f>SUMIFS(Portefeuille_MNT_PPS_Access30[AC 2027],Portefeuille_MNT_PPS_Access30[État Composante AC],"=PR")</f>
        <v>10238</v>
      </c>
      <c r="AT5" s="260"/>
      <c r="AU5" s="260">
        <f>SUMIFS(Portefeuille_MNT_PPS_Access30[AC 2028],Portefeuille_MNT_PPS_Access30[État Composante AC],"=PR")</f>
        <v>6912</v>
      </c>
      <c r="AV5" s="260"/>
      <c r="AW5" s="260">
        <f>SUMIFS(Portefeuille_MNT_PPS_Access30[AC 2029],Portefeuille_MNT_PPS_Access30[État Composante AC],"=PR")</f>
        <v>3646</v>
      </c>
      <c r="AX5" s="260"/>
      <c r="AY5" s="260">
        <f>SUMIFS(Portefeuille_MNT_PPS_Access30[AC 2030],Portefeuille_MNT_PPS_Access30[État Composante AC],"=PR")</f>
        <v>2007</v>
      </c>
      <c r="AZ5" s="260"/>
      <c r="BA5" s="260">
        <f>SUMIFS(Portefeuille_MNT_PPS_Access30[AC 2031],Portefeuille_MNT_PPS_Access30[État Composante AC],"=PR")</f>
        <v>2081</v>
      </c>
      <c r="BB5" s="260"/>
      <c r="BC5" s="260">
        <f>SUMIFS(Portefeuille_MNT_PPS_Access30[AC 2032],Portefeuille_MNT_PPS_Access30[État Composante AC],"=PR")</f>
        <v>0</v>
      </c>
      <c r="BD5" s="260"/>
      <c r="BE5" s="260">
        <f>SUMIFS(Portefeuille_MNT_PPS_Access30[AC 2033],Portefeuille_MNT_PPS_Access30[État Composante AC],"=PR")</f>
        <v>0</v>
      </c>
      <c r="BF5" s="260"/>
      <c r="BG5" s="260">
        <f>SUMIFS(Portefeuille_MNT_PPS_Access30[AC 2034],Portefeuille_MNT_PPS_Access30[État Composante AC],"=PR")</f>
        <v>0</v>
      </c>
      <c r="BH5" s="260"/>
      <c r="BI5" s="260">
        <f>SUMIFS(Portefeuille_MNT_PPS_Access30[AC 2035],Portefeuille_MNT_PPS_Access30[État Composante TR],"=PR")</f>
        <v>0</v>
      </c>
      <c r="BJ5" s="260"/>
      <c r="BK5" s="16">
        <f>SUM(AQ5:AZ5)</f>
        <v>32616</v>
      </c>
      <c r="BL5" s="16">
        <f>SUM(AQ5:BJ5)</f>
        <v>34697</v>
      </c>
    </row>
    <row r="6" spans="1:76" x14ac:dyDescent="0.3">
      <c r="I6" s="29" t="s">
        <v>16</v>
      </c>
      <c r="J6" s="28" t="s">
        <v>17</v>
      </c>
      <c r="AG6" s="35" t="s">
        <v>18</v>
      </c>
      <c r="AH6" s="140">
        <v>1</v>
      </c>
      <c r="AJ6" s="83" t="s">
        <v>19</v>
      </c>
      <c r="AK6" s="260">
        <f>SUMIFS(Portefeuille_MNT_PPS_Access30[TR ANT],Portefeuille_MNT_PPS_Access30[État Composante TR],"=PR")</f>
        <v>133660</v>
      </c>
      <c r="AL6" s="260"/>
      <c r="AM6" s="260">
        <f>SUMIFS(Portefeuille_MNT_PPS_Access30[TR 2024],Portefeuille_MNT_PPS_Access30[État Composante TR],"=PR")</f>
        <v>70599</v>
      </c>
      <c r="AN6" s="260"/>
      <c r="AO6" s="260">
        <f>SUMIFS(Portefeuille_MNT_PPS_Access30[TR 2025],Portefeuille_MNT_PPS_Access30[État Composante TR],"=PR")</f>
        <v>54630</v>
      </c>
      <c r="AP6" s="260"/>
      <c r="AQ6" s="260">
        <f>SUMIFS(Portefeuille_MNT_PPS_Access30[TR 2026],Portefeuille_MNT_PPS_Access30[État Composante TR],"=PR")</f>
        <v>50408</v>
      </c>
      <c r="AR6" s="260"/>
      <c r="AS6" s="260">
        <f>SUMIFS(Portefeuille_MNT_PPS_Access30[TR 2027],Portefeuille_MNT_PPS_Access30[État Composante TR],"=PR")</f>
        <v>21488</v>
      </c>
      <c r="AT6" s="260"/>
      <c r="AU6" s="260">
        <f>SUMIFS(Portefeuille_MNT_PPS_Access30[TR 2028],Portefeuille_MNT_PPS_Access30[État Composante TR],"=PR")</f>
        <v>4929</v>
      </c>
      <c r="AV6" s="260"/>
      <c r="AW6" s="260">
        <f>SUMIFS(Portefeuille_MNT_PPS_Access30[TR 2029],Portefeuille_MNT_PPS_Access30[État Composante TR],"=PR")</f>
        <v>6707.0000000000018</v>
      </c>
      <c r="AX6" s="260"/>
      <c r="AY6" s="260">
        <f>SUMIFS(Portefeuille_MNT_PPS_Access30[TR 2030],Portefeuille_MNT_PPS_Access30[État Composante TR],"=PR")</f>
        <v>6846.0000000000018</v>
      </c>
      <c r="AZ6" s="260"/>
      <c r="BA6" s="260">
        <f>SUMIFS(Portefeuille_MNT_PPS_Access30[TR 2031],Portefeuille_MNT_PPS_Access30[État Composante TR],"=PR")</f>
        <v>0</v>
      </c>
      <c r="BB6" s="260"/>
      <c r="BC6" s="260">
        <f>SUMIFS(Portefeuille_MNT_PPS_Access30[TR 2032],Portefeuille_MNT_PPS_Access30[État Composante TR],"=PR")</f>
        <v>0</v>
      </c>
      <c r="BD6" s="260"/>
      <c r="BE6" s="260">
        <f>SUMIFS(Portefeuille_MNT_PPS_Access30[TR 2033],Portefeuille_MNT_PPS_Access30[État Composante TR],"=PR")</f>
        <v>0</v>
      </c>
      <c r="BF6" s="260"/>
      <c r="BG6" s="260">
        <f>SUMIFS(Portefeuille_MNT_PPS_Access30[TR 2034],Portefeuille_MNT_PPS_Access30[État Composante TR],"=PR")</f>
        <v>0</v>
      </c>
      <c r="BH6" s="260"/>
      <c r="BI6" s="260">
        <f>SUMIFS(Portefeuille_MNT_PPS_Access30[TR 2035],Portefeuille_MNT_PPS_Access30[Région],"=PR")</f>
        <v>0</v>
      </c>
      <c r="BJ6" s="260"/>
      <c r="BK6" s="16">
        <f>SUM(AQ6:AZ6)</f>
        <v>90378</v>
      </c>
      <c r="BL6" s="16">
        <f>SUM(AQ6:BJ6)</f>
        <v>90378</v>
      </c>
    </row>
    <row r="7" spans="1:76" x14ac:dyDescent="0.3">
      <c r="I7" s="30" t="s">
        <v>20</v>
      </c>
      <c r="J7" s="31" t="s">
        <v>21</v>
      </c>
      <c r="AG7" s="35" t="s">
        <v>22</v>
      </c>
      <c r="AH7" s="140">
        <v>0.25</v>
      </c>
      <c r="AJ7" s="83" t="s">
        <v>23</v>
      </c>
      <c r="AK7" s="262">
        <f>AK5+AK6</f>
        <v>157670</v>
      </c>
      <c r="AL7" s="262"/>
      <c r="AM7" s="262">
        <f>AM5+AM6</f>
        <v>75099</v>
      </c>
      <c r="AN7" s="262"/>
      <c r="AO7" s="262">
        <f>AO5+AO6</f>
        <v>65186</v>
      </c>
      <c r="AP7" s="262"/>
      <c r="AQ7" s="262">
        <f>AQ5+AQ6</f>
        <v>60221</v>
      </c>
      <c r="AR7" s="262"/>
      <c r="AS7" s="262">
        <f>AS5+AS6</f>
        <v>31726</v>
      </c>
      <c r="AT7" s="262"/>
      <c r="AU7" s="262">
        <f>AU5+AU6</f>
        <v>11841</v>
      </c>
      <c r="AV7" s="262"/>
      <c r="AW7" s="262">
        <f>AW5+AW6</f>
        <v>10353.000000000002</v>
      </c>
      <c r="AX7" s="262"/>
      <c r="AY7" s="262">
        <f>AY5+AY6</f>
        <v>8853.0000000000018</v>
      </c>
      <c r="AZ7" s="262"/>
      <c r="BA7" s="262">
        <f>BA5+BA6</f>
        <v>2081</v>
      </c>
      <c r="BB7" s="262"/>
      <c r="BC7" s="262">
        <f>BC5+BC6</f>
        <v>0</v>
      </c>
      <c r="BD7" s="262"/>
      <c r="BE7" s="262">
        <f>BE5+BE6</f>
        <v>0</v>
      </c>
      <c r="BF7" s="262"/>
      <c r="BG7" s="262">
        <f>BG5+BG6</f>
        <v>0</v>
      </c>
      <c r="BH7" s="262"/>
      <c r="BI7" s="262">
        <f>BI5+BI6</f>
        <v>0</v>
      </c>
      <c r="BJ7" s="262"/>
      <c r="BK7" s="20">
        <f>BK6+BK5+BK4</f>
        <v>123804</v>
      </c>
      <c r="BL7" s="20">
        <f>BL6+BL5+BL4</f>
        <v>125885</v>
      </c>
    </row>
    <row r="8" spans="1:76" x14ac:dyDescent="0.3">
      <c r="I8" s="131"/>
      <c r="J8" s="28" t="s">
        <v>270</v>
      </c>
      <c r="AG8" s="35" t="s">
        <v>24</v>
      </c>
      <c r="AH8" s="140">
        <v>0.25</v>
      </c>
      <c r="AJ8" s="83" t="s">
        <v>25</v>
      </c>
      <c r="AK8" s="260">
        <f>SUMIFS(Portefeuille_MNT_PPS_Access30[AC ANT],Portefeuille_MNT_PPS_Access30[État Composante AC],"&lt;&gt;PR")</f>
        <v>0</v>
      </c>
      <c r="AL8" s="260"/>
      <c r="AM8" s="260">
        <f>SUMIFS(Portefeuille_MNT_PPS_Access30[AC 2024],Portefeuille_MNT_PPS_Access30[État Composante AC],"&lt;&gt;PR")</f>
        <v>0</v>
      </c>
      <c r="AN8" s="260"/>
      <c r="AO8" s="260">
        <f>SUMIFS(Portefeuille_MNT_PPS_Access30[AC 2025],Portefeuille_MNT_PPS_Access30[État Composante AC],"&lt;&gt;PR")</f>
        <v>0</v>
      </c>
      <c r="AP8" s="260"/>
      <c r="AQ8" s="260">
        <f>SUMIFS(Portefeuille_MNT_PPS_Access30[AC 2026],Portefeuille_MNT_PPS_Access30[État Composante AC],"&lt;&gt;PR")</f>
        <v>1056</v>
      </c>
      <c r="AR8" s="260"/>
      <c r="AS8" s="260">
        <f>SUMIFS(Portefeuille_MNT_PPS_Access30[AC 2027],Portefeuille_MNT_PPS_Access30[État Composante AC],"&lt;&gt;PR")</f>
        <v>2555</v>
      </c>
      <c r="AT8" s="260"/>
      <c r="AU8" s="260">
        <f>SUMIFS(Portefeuille_MNT_PPS_Access30[AC 2028],Portefeuille_MNT_PPS_Access30[État Composante AC],"&lt;&gt;PR")</f>
        <v>5745</v>
      </c>
      <c r="AV8" s="260"/>
      <c r="AW8" s="260">
        <f>SUMIFS(Portefeuille_MNT_PPS_Access30[AC 2029],Portefeuille_MNT_PPS_Access30[État Composante AC],"&lt;&gt;PR")</f>
        <v>5845</v>
      </c>
      <c r="AX8" s="260"/>
      <c r="AY8" s="260">
        <f>SUMIFS(Portefeuille_MNT_PPS_Access30[AC 2030],Portefeuille_MNT_PPS_Access30[État Composante AC],"&lt;&gt;PR")</f>
        <v>6375</v>
      </c>
      <c r="AZ8" s="260"/>
      <c r="BA8" s="260">
        <f>SUMIFS(Portefeuille_MNT_PPS_Access30[AC 2031],Portefeuille_MNT_PPS_Access30[État Composante AC],"&lt;&gt;PR")</f>
        <v>6300</v>
      </c>
      <c r="BB8" s="260"/>
      <c r="BC8" s="260">
        <f>SUMIFS(Portefeuille_MNT_PPS_Access30[AC 2032],Portefeuille_MNT_PPS_Access30[État Composante AC],"&lt;&gt;PR")</f>
        <v>7850</v>
      </c>
      <c r="BD8" s="260"/>
      <c r="BE8" s="260">
        <f>SUMIFS(Portefeuille_MNT_PPS_Access30[AC 2033],Portefeuille_MNT_PPS_Access30[État Composante AC],"&lt;&gt;PR")</f>
        <v>7225</v>
      </c>
      <c r="BF8" s="260"/>
      <c r="BG8" s="260">
        <f>SUMIFS(Portefeuille_MNT_PPS_Access30[AC 2034],Portefeuille_MNT_PPS_Access30[État Composante AC],"&lt;&gt;PR")</f>
        <v>5125</v>
      </c>
      <c r="BH8" s="260"/>
      <c r="BI8" s="260">
        <f>SUMIFS(Portefeuille_MNT_PPS_Access30[AC 2035],Portefeuille_MNT_PPS_Access30[État Composante TR],"&lt;&gt;PR")</f>
        <v>3350</v>
      </c>
      <c r="BJ8" s="260"/>
      <c r="BK8" s="16">
        <f>SUM(AQ8:AZ8)</f>
        <v>21576</v>
      </c>
      <c r="BL8" s="16">
        <f>SUM(AQ8:BJ8)</f>
        <v>51426</v>
      </c>
    </row>
    <row r="9" spans="1:76" x14ac:dyDescent="0.3">
      <c r="I9" s="176"/>
      <c r="J9" s="28" t="s">
        <v>271</v>
      </c>
      <c r="AG9" s="35" t="s">
        <v>26</v>
      </c>
      <c r="AH9" s="140">
        <v>0.25</v>
      </c>
      <c r="AJ9" s="83" t="s">
        <v>27</v>
      </c>
      <c r="AK9" s="260">
        <f>SUMIFS(Portefeuille_MNT_PPS_Access30[TR ANT],Portefeuille_MNT_PPS_Access30[État Composante TR],"&lt;&gt;PR")</f>
        <v>19531</v>
      </c>
      <c r="AL9" s="260"/>
      <c r="AM9" s="260">
        <f>SUMIFS(Portefeuille_MNT_PPS_Access30[TR 2024],Portefeuille_MNT_PPS_Access30[État Composante TR],"&lt;&gt;PR")</f>
        <v>0</v>
      </c>
      <c r="AN9" s="260"/>
      <c r="AO9" s="260">
        <f>SUMIFS(Portefeuille_MNT_PPS_Access30[TR 2025],Portefeuille_MNT_PPS_Access30[État Composante TR],"&lt;&gt;PR")</f>
        <v>0</v>
      </c>
      <c r="AP9" s="260"/>
      <c r="AQ9" s="260">
        <f>SUMIFS(Portefeuille_MNT_PPS_Access30[TR 2026],Portefeuille_MNT_PPS_Access30[État Composante TR],"&lt;&gt;PR")</f>
        <v>4536</v>
      </c>
      <c r="AR9" s="260"/>
      <c r="AS9" s="260">
        <f>SUMIFS(Portefeuille_MNT_PPS_Access30[TR 2027],Portefeuille_MNT_PPS_Access30[État Composante TR],"&lt;&gt;PR")</f>
        <v>50816</v>
      </c>
      <c r="AT9" s="260"/>
      <c r="AU9" s="260">
        <f>SUMIFS(Portefeuille_MNT_PPS_Access30[TR 2028],Portefeuille_MNT_PPS_Access30[État Composante TR],"&lt;&gt;PR")</f>
        <v>83022</v>
      </c>
      <c r="AV9" s="260"/>
      <c r="AW9" s="260">
        <f>SUMIFS(Portefeuille_MNT_PPS_Access30[TR 2029],Portefeuille_MNT_PPS_Access30[État Composante TR],"&lt;&gt;PR")</f>
        <v>82044</v>
      </c>
      <c r="AX9" s="260"/>
      <c r="AY9" s="260">
        <f>SUMIFS(Portefeuille_MNT_PPS_Access30[TR 2030],Portefeuille_MNT_PPS_Access30[État Composante TR],"&lt;&gt;PR")</f>
        <v>87362</v>
      </c>
      <c r="AZ9" s="260"/>
      <c r="BA9" s="260">
        <f>SUMIFS(Portefeuille_MNT_PPS_Access30[TR 2031],Portefeuille_MNT_PPS_Access30[État Composante TR],"&lt;&gt;PR")</f>
        <v>93819</v>
      </c>
      <c r="BB9" s="260"/>
      <c r="BC9" s="260">
        <f>SUMIFS(Portefeuille_MNT_PPS_Access30[TR 2032],Portefeuille_MNT_PPS_Access30[État Composante TR],"&lt;&gt;PR")</f>
        <v>83200</v>
      </c>
      <c r="BD9" s="260"/>
      <c r="BE9" s="260">
        <f>SUMIFS(Portefeuille_MNT_PPS_Access30[TR 2033],Portefeuille_MNT_PPS_Access30[État Composante TR],"&lt;&gt;PR")</f>
        <v>82000</v>
      </c>
      <c r="BF9" s="260"/>
      <c r="BG9" s="260">
        <f>SUMIFS(Portefeuille_MNT_PPS_Access30[TR 2034],Portefeuille_MNT_PPS_Access30[État Composante TR],"&lt;&gt;PR")</f>
        <v>102000</v>
      </c>
      <c r="BH9" s="260"/>
      <c r="BI9" s="260">
        <f>SUMIFS(Portefeuille_MNT_PPS_Access30[TR 2035],Portefeuille_MNT_PPS_Access30[Région],"&lt;&gt;PR")</f>
        <v>112000</v>
      </c>
      <c r="BJ9" s="260"/>
      <c r="BK9" s="16">
        <f>SUM(AQ9:AZ9)</f>
        <v>307780</v>
      </c>
      <c r="BL9" s="16">
        <f>SUM(AQ9:BJ9)</f>
        <v>780799</v>
      </c>
    </row>
    <row r="10" spans="1:76" x14ac:dyDescent="0.3">
      <c r="I10" s="175"/>
      <c r="J10" s="31" t="s">
        <v>521</v>
      </c>
      <c r="AG10" s="35" t="s">
        <v>28</v>
      </c>
      <c r="AH10" s="140">
        <v>0.25</v>
      </c>
      <c r="AJ10" s="83" t="s">
        <v>29</v>
      </c>
      <c r="AK10" s="262">
        <f>AK8+AK9</f>
        <v>19531</v>
      </c>
      <c r="AL10" s="262"/>
      <c r="AM10" s="262">
        <f>AM8+AM9</f>
        <v>0</v>
      </c>
      <c r="AN10" s="262"/>
      <c r="AO10" s="262">
        <f>AO8+AO9</f>
        <v>0</v>
      </c>
      <c r="AP10" s="262"/>
      <c r="AQ10" s="262">
        <f>AQ8+AQ9</f>
        <v>5592</v>
      </c>
      <c r="AR10" s="262"/>
      <c r="AS10" s="262">
        <f>AS8+AS9</f>
        <v>53371</v>
      </c>
      <c r="AT10" s="262"/>
      <c r="AU10" s="262">
        <f>AU8+AU9</f>
        <v>88767</v>
      </c>
      <c r="AV10" s="262"/>
      <c r="AW10" s="262">
        <f>AW8+AW9</f>
        <v>87889</v>
      </c>
      <c r="AX10" s="262"/>
      <c r="AY10" s="262">
        <f>AY8+AY9</f>
        <v>93737</v>
      </c>
      <c r="AZ10" s="262"/>
      <c r="BA10" s="262">
        <f>BA8+BA9</f>
        <v>100119</v>
      </c>
      <c r="BB10" s="262"/>
      <c r="BC10" s="262">
        <f>BC8+BC9</f>
        <v>91050</v>
      </c>
      <c r="BD10" s="262"/>
      <c r="BE10" s="262">
        <f>BE8+BE9</f>
        <v>89225</v>
      </c>
      <c r="BF10" s="262"/>
      <c r="BG10" s="262">
        <f>BG8+BG9</f>
        <v>107125</v>
      </c>
      <c r="BH10" s="262"/>
      <c r="BI10" s="262">
        <f>BI8+BI9</f>
        <v>115350</v>
      </c>
      <c r="BJ10" s="262"/>
      <c r="BK10" s="20">
        <f>BK9+BK8</f>
        <v>329356</v>
      </c>
      <c r="BL10" s="20">
        <f>BL9+BL8</f>
        <v>832225</v>
      </c>
    </row>
    <row r="11" spans="1:76" ht="15.6" x14ac:dyDescent="0.3">
      <c r="AG11" s="24" t="s">
        <v>30</v>
      </c>
      <c r="AH11" s="212">
        <f>SUM(AH7:AH10)</f>
        <v>1</v>
      </c>
      <c r="AI11" s="343" t="s">
        <v>31</v>
      </c>
      <c r="AJ11" s="344"/>
      <c r="AK11" s="261">
        <f>AK10+AK7</f>
        <v>177201</v>
      </c>
      <c r="AL11" s="259"/>
      <c r="AM11" s="258">
        <f>AM10+AM7</f>
        <v>75099</v>
      </c>
      <c r="AN11" s="259"/>
      <c r="AO11" s="258">
        <f>AO10+AO7</f>
        <v>65186</v>
      </c>
      <c r="AP11" s="259"/>
      <c r="AQ11" s="258">
        <f>AQ10+AQ7</f>
        <v>65813</v>
      </c>
      <c r="AR11" s="259"/>
      <c r="AS11" s="258">
        <f>AS10+AS7</f>
        <v>85097</v>
      </c>
      <c r="AT11" s="259"/>
      <c r="AU11" s="258">
        <f>AU10+AU7</f>
        <v>100608</v>
      </c>
      <c r="AV11" s="259"/>
      <c r="AW11" s="258">
        <f>AW10+AW7</f>
        <v>98242</v>
      </c>
      <c r="AX11" s="259"/>
      <c r="AY11" s="258">
        <f>AY10+AY7</f>
        <v>102590</v>
      </c>
      <c r="AZ11" s="259"/>
      <c r="BA11" s="258">
        <f t="shared" ref="BA11" si="0">BA10+BA7</f>
        <v>102200</v>
      </c>
      <c r="BB11" s="259"/>
      <c r="BC11" s="258">
        <f t="shared" ref="BC11" si="1">BC10+BC7</f>
        <v>91050</v>
      </c>
      <c r="BD11" s="259"/>
      <c r="BE11" s="258">
        <f t="shared" ref="BE11" si="2">BE10+BE7</f>
        <v>89225</v>
      </c>
      <c r="BF11" s="259"/>
      <c r="BG11" s="258">
        <f t="shared" ref="BG11" si="3">BG10+BG7</f>
        <v>107125</v>
      </c>
      <c r="BH11" s="259"/>
      <c r="BI11" s="258">
        <f>BI10+BI7</f>
        <v>115350</v>
      </c>
      <c r="BJ11" s="259"/>
      <c r="BK11" s="21">
        <f>BK7+BK10</f>
        <v>453160</v>
      </c>
      <c r="BL11" s="21">
        <f>BL7+BL10</f>
        <v>958110</v>
      </c>
    </row>
    <row r="12" spans="1:76" ht="15.6" x14ac:dyDescent="0.3">
      <c r="AI12" s="209"/>
      <c r="AJ12" s="83"/>
      <c r="AK12" s="260"/>
      <c r="AL12" s="260"/>
      <c r="AM12" s="260"/>
      <c r="AN12" s="28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60">
        <v>0</v>
      </c>
      <c r="BH12" s="260"/>
      <c r="BI12" s="260">
        <v>0</v>
      </c>
      <c r="BJ12" s="260"/>
      <c r="BK12" s="76">
        <v>0</v>
      </c>
      <c r="BL12" s="76">
        <v>0</v>
      </c>
    </row>
    <row r="13" spans="1:76" ht="15.6" x14ac:dyDescent="0.3">
      <c r="AI13" s="345" t="s">
        <v>592</v>
      </c>
      <c r="AJ13" s="346"/>
      <c r="AK13" s="258">
        <f>AK12+AK11</f>
        <v>177201</v>
      </c>
      <c r="AL13" s="259"/>
      <c r="AM13" s="258">
        <f>AM12+AM11</f>
        <v>75099</v>
      </c>
      <c r="AN13" s="259"/>
      <c r="AO13" s="258">
        <f>AO12+AO11</f>
        <v>65186</v>
      </c>
      <c r="AP13" s="259"/>
      <c r="AQ13" s="258">
        <f>AQ12+AQ11</f>
        <v>65813</v>
      </c>
      <c r="AR13" s="259"/>
      <c r="AS13" s="258">
        <f>AS12+AS11</f>
        <v>85097</v>
      </c>
      <c r="AT13" s="259"/>
      <c r="AU13" s="258">
        <f>AU12+AU11</f>
        <v>100608</v>
      </c>
      <c r="AV13" s="259"/>
      <c r="AW13" s="258">
        <f>AW12+AW11</f>
        <v>98242</v>
      </c>
      <c r="AX13" s="259"/>
      <c r="AY13" s="258">
        <f>AY12+AY11</f>
        <v>102590</v>
      </c>
      <c r="AZ13" s="259"/>
      <c r="BA13" s="258">
        <f>BA12+BA11</f>
        <v>102200</v>
      </c>
      <c r="BB13" s="259"/>
      <c r="BC13" s="258">
        <f>BC12+BC11</f>
        <v>91050</v>
      </c>
      <c r="BD13" s="259"/>
      <c r="BE13" s="258">
        <f>BE12+BE11</f>
        <v>89225</v>
      </c>
      <c r="BF13" s="259"/>
      <c r="BG13" s="258">
        <f>BG12+BG11</f>
        <v>107125</v>
      </c>
      <c r="BH13" s="259"/>
      <c r="BI13" s="258">
        <f>BI12+BI11</f>
        <v>115350</v>
      </c>
      <c r="BJ13" s="259"/>
      <c r="BK13" s="21">
        <f>BK12+BK11</f>
        <v>453160</v>
      </c>
      <c r="BL13" s="21">
        <f>BL12+BL11</f>
        <v>958110</v>
      </c>
    </row>
    <row r="14" spans="1:76" ht="15.6" x14ac:dyDescent="0.3">
      <c r="AI14" s="210"/>
      <c r="AJ14" s="144" t="s">
        <v>539</v>
      </c>
      <c r="AK14" s="256"/>
      <c r="AL14" s="257"/>
      <c r="AM14" s="256">
        <v>64600</v>
      </c>
      <c r="AN14" s="257"/>
      <c r="AO14" s="256">
        <v>75500</v>
      </c>
      <c r="AP14" s="257"/>
      <c r="AQ14" s="256">
        <v>75500</v>
      </c>
      <c r="AR14" s="257"/>
      <c r="AS14" s="256">
        <v>80500</v>
      </c>
      <c r="AT14" s="257"/>
      <c r="AU14" s="256">
        <v>80500</v>
      </c>
      <c r="AV14" s="257"/>
      <c r="AW14" s="256">
        <v>80500</v>
      </c>
      <c r="AX14" s="257"/>
      <c r="AY14" s="256">
        <v>80500</v>
      </c>
      <c r="AZ14" s="257"/>
      <c r="BA14" s="256">
        <v>80500</v>
      </c>
      <c r="BB14" s="257"/>
      <c r="BC14" s="256">
        <v>80500</v>
      </c>
      <c r="BD14" s="257"/>
      <c r="BE14" s="256">
        <v>80500</v>
      </c>
      <c r="BF14" s="257"/>
      <c r="BG14" s="256">
        <v>80500</v>
      </c>
      <c r="BH14" s="257"/>
      <c r="BI14" s="256">
        <v>80500</v>
      </c>
      <c r="BJ14" s="257"/>
      <c r="BK14" s="17">
        <f>SUM(AO14:AX14)</f>
        <v>392500</v>
      </c>
      <c r="BL14" s="17">
        <f>SUM(AP14:AY14)</f>
        <v>397500</v>
      </c>
    </row>
    <row r="15" spans="1:76" ht="15.6" x14ac:dyDescent="0.3">
      <c r="AI15" s="210"/>
      <c r="AJ15" s="84" t="s">
        <v>555</v>
      </c>
      <c r="AK15" s="252">
        <f>AK14-AK13</f>
        <v>-177201</v>
      </c>
      <c r="AL15" s="348"/>
      <c r="AM15" s="252">
        <f>AM14-AM13</f>
        <v>-10499</v>
      </c>
      <c r="AN15" s="253"/>
      <c r="AO15" s="252">
        <f>AO14-AO13</f>
        <v>10314</v>
      </c>
      <c r="AP15" s="253"/>
      <c r="AQ15" s="252">
        <f>AQ14-AQ13</f>
        <v>9687</v>
      </c>
      <c r="AR15" s="253"/>
      <c r="AS15" s="252">
        <f t="shared" ref="AS15" si="4">AS14-AS13</f>
        <v>-4597</v>
      </c>
      <c r="AT15" s="253"/>
      <c r="AU15" s="252">
        <f t="shared" ref="AU15" si="5">AU14-AU13</f>
        <v>-20108</v>
      </c>
      <c r="AV15" s="253"/>
      <c r="AW15" s="252">
        <f t="shared" ref="AW15" si="6">AW14-AW13</f>
        <v>-17742</v>
      </c>
      <c r="AX15" s="253"/>
      <c r="AY15" s="252">
        <f t="shared" ref="AY15" si="7">AY14-AY13</f>
        <v>-22090</v>
      </c>
      <c r="AZ15" s="253"/>
      <c r="BA15" s="252">
        <f t="shared" ref="BA15" si="8">BA14-BA13</f>
        <v>-21700</v>
      </c>
      <c r="BB15" s="253"/>
      <c r="BC15" s="252">
        <f t="shared" ref="BC15" si="9">BC14-BC13</f>
        <v>-10550</v>
      </c>
      <c r="BD15" s="253"/>
      <c r="BE15" s="252">
        <f>BE14-BE13</f>
        <v>-8725</v>
      </c>
      <c r="BF15" s="253"/>
      <c r="BG15" s="252">
        <f>BG14-BG13</f>
        <v>-26625</v>
      </c>
      <c r="BH15" s="253"/>
      <c r="BI15" s="252">
        <f>BI14-BI13</f>
        <v>-34850</v>
      </c>
      <c r="BJ15" s="253"/>
      <c r="BK15" s="23">
        <f>BK14-BK13</f>
        <v>-60660</v>
      </c>
      <c r="BL15" s="23">
        <f>BL14-BL13</f>
        <v>-560610</v>
      </c>
    </row>
    <row r="16" spans="1:76" ht="15.6" x14ac:dyDescent="0.3">
      <c r="AI16" s="211"/>
      <c r="AJ16" s="145" t="s">
        <v>556</v>
      </c>
      <c r="AK16" s="254" t="e">
        <f>(AK13-AK14)/AK14</f>
        <v>#DIV/0!</v>
      </c>
      <c r="AL16" s="347"/>
      <c r="AM16" s="254">
        <f t="shared" ref="AM16" si="10">(AM13-AM14)/AM14</f>
        <v>0.16252321981424148</v>
      </c>
      <c r="AN16" s="255"/>
      <c r="AO16" s="254">
        <f>(AO14-AO13)/AO14</f>
        <v>0.13660927152317881</v>
      </c>
      <c r="AP16" s="255"/>
      <c r="AQ16" s="254">
        <f>(AQ14-AQ13)/AQ14</f>
        <v>0.1283046357615894</v>
      </c>
      <c r="AR16" s="255"/>
      <c r="AS16" s="254">
        <f t="shared" ref="AS16" si="11">(AS14-AS13)/AS14</f>
        <v>-5.71055900621118E-2</v>
      </c>
      <c r="AT16" s="255"/>
      <c r="AU16" s="254">
        <f t="shared" ref="AU16" si="12">(AU14-AU13)/AU14</f>
        <v>-0.24978881987577639</v>
      </c>
      <c r="AV16" s="255"/>
      <c r="AW16" s="254">
        <f t="shared" ref="AW16" si="13">(AW14-AW13)/AW14</f>
        <v>-0.22039751552795031</v>
      </c>
      <c r="AX16" s="255"/>
      <c r="AY16" s="254">
        <f t="shared" ref="AY16" si="14">(AY14-AY13)/AY14</f>
        <v>-0.27440993788819878</v>
      </c>
      <c r="AZ16" s="255"/>
      <c r="BA16" s="254">
        <f t="shared" ref="BA16" si="15">(BA14-BA13)/BA14</f>
        <v>-0.26956521739130435</v>
      </c>
      <c r="BB16" s="255"/>
      <c r="BC16" s="254">
        <f t="shared" ref="BC16" si="16">(BC14-BC13)/BC14</f>
        <v>-0.13105590062111802</v>
      </c>
      <c r="BD16" s="255"/>
      <c r="BE16" s="254">
        <f>(BE14-BE13)/BE14</f>
        <v>-0.10838509316770187</v>
      </c>
      <c r="BF16" s="255"/>
      <c r="BG16" s="254">
        <f>(BG14-BG13)/BG14</f>
        <v>-0.33074534161490682</v>
      </c>
      <c r="BH16" s="255"/>
      <c r="BI16" s="254">
        <f>(BI14-BI13)/BI14</f>
        <v>-0.4329192546583851</v>
      </c>
      <c r="BJ16" s="255"/>
      <c r="BK16" s="22">
        <f>(BK14-BK13)/BK14</f>
        <v>-0.15454777070063694</v>
      </c>
      <c r="BL16" s="22">
        <f>(BL14-BL13)/BL14</f>
        <v>-1.4103396226415095</v>
      </c>
    </row>
    <row r="17" spans="1:63" ht="13.95" customHeight="1" thickBot="1" x14ac:dyDescent="0.35">
      <c r="AM17" s="8"/>
      <c r="AN17"/>
      <c r="AX17"/>
    </row>
    <row r="18" spans="1:63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684</v>
      </c>
      <c r="O18" s="11" t="s">
        <v>681</v>
      </c>
      <c r="P18" s="11" t="s">
        <v>685</v>
      </c>
      <c r="Q18" s="11" t="s">
        <v>688</v>
      </c>
      <c r="R18" s="11" t="s">
        <v>689</v>
      </c>
      <c r="S18" s="11" t="s">
        <v>49</v>
      </c>
      <c r="T18" s="11" t="s">
        <v>50</v>
      </c>
      <c r="U18" s="11" t="s">
        <v>51</v>
      </c>
      <c r="V18" s="11" t="s">
        <v>52</v>
      </c>
      <c r="W18" s="11" t="s">
        <v>548</v>
      </c>
      <c r="X18" s="11" t="s">
        <v>538</v>
      </c>
      <c r="Y18" s="11" t="s">
        <v>537</v>
      </c>
      <c r="Z18" s="11" t="s">
        <v>535</v>
      </c>
      <c r="AA18" s="11" t="s">
        <v>534</v>
      </c>
      <c r="AB18" s="11" t="s">
        <v>536</v>
      </c>
      <c r="AC18" s="11" t="s">
        <v>657</v>
      </c>
      <c r="AD18" s="11" t="s">
        <v>658</v>
      </c>
      <c r="AE18" s="11" t="s">
        <v>659</v>
      </c>
      <c r="AF18" s="11" t="s">
        <v>69</v>
      </c>
      <c r="AG18" s="11" t="s">
        <v>660</v>
      </c>
      <c r="AH18" s="9" t="s">
        <v>73</v>
      </c>
      <c r="AI18" s="9" t="s">
        <v>74</v>
      </c>
      <c r="AJ18" s="10" t="s">
        <v>75</v>
      </c>
      <c r="AK18" s="9" t="s">
        <v>76</v>
      </c>
      <c r="AL18" s="9" t="s">
        <v>77</v>
      </c>
      <c r="AM18" s="9" t="s">
        <v>78</v>
      </c>
      <c r="AN18" s="9" t="s">
        <v>79</v>
      </c>
      <c r="AO18" s="9" t="s">
        <v>80</v>
      </c>
      <c r="AP18" s="9" t="s">
        <v>81</v>
      </c>
      <c r="AQ18" s="9" t="s">
        <v>82</v>
      </c>
      <c r="AR18" s="9" t="s">
        <v>83</v>
      </c>
      <c r="AS18" s="9" t="s">
        <v>84</v>
      </c>
      <c r="AT18" s="9" t="s">
        <v>85</v>
      </c>
      <c r="AU18" s="9" t="s">
        <v>86</v>
      </c>
      <c r="AV18" s="9" t="s">
        <v>87</v>
      </c>
      <c r="AW18" s="9" t="s">
        <v>88</v>
      </c>
      <c r="AX18" s="9" t="s">
        <v>89</v>
      </c>
      <c r="AY18" s="9" t="s">
        <v>90</v>
      </c>
      <c r="AZ18" s="9" t="s">
        <v>91</v>
      </c>
      <c r="BA18" s="9" t="s">
        <v>92</v>
      </c>
      <c r="BB18" s="9" t="s">
        <v>93</v>
      </c>
      <c r="BC18" s="9" t="s">
        <v>94</v>
      </c>
      <c r="BD18" s="9" t="s">
        <v>95</v>
      </c>
      <c r="BE18" s="9" t="s">
        <v>96</v>
      </c>
      <c r="BF18" s="9" t="s">
        <v>97</v>
      </c>
      <c r="BG18" s="9" t="s">
        <v>98</v>
      </c>
      <c r="BH18" s="9" t="s">
        <v>99</v>
      </c>
      <c r="BI18" s="9" t="s">
        <v>593</v>
      </c>
      <c r="BJ18" s="9" t="s">
        <v>594</v>
      </c>
      <c r="BK18" s="9" t="s">
        <v>100</v>
      </c>
    </row>
    <row r="19" spans="1:63" hidden="1" x14ac:dyDescent="0.3">
      <c r="A19" t="s">
        <v>286</v>
      </c>
      <c r="B19" t="s">
        <v>664</v>
      </c>
      <c r="D19" t="s">
        <v>101</v>
      </c>
      <c r="E19" t="s">
        <v>102</v>
      </c>
      <c r="F19" t="s">
        <v>103</v>
      </c>
      <c r="G19" t="s">
        <v>206</v>
      </c>
      <c r="H19" t="s">
        <v>16</v>
      </c>
      <c r="I19" t="s">
        <v>16</v>
      </c>
      <c r="J19" t="s">
        <v>105</v>
      </c>
      <c r="K19" s="2">
        <v>154160743</v>
      </c>
      <c r="L19" t="s">
        <v>315</v>
      </c>
      <c r="M19" t="s">
        <v>316</v>
      </c>
      <c r="N19">
        <f>_xlfn.XLOOKUP(Portefeuille_MNT_PPS_Access30[[#This Row],[Numéro projet]], Portefeuille_MNT_PPS_Access20[Numéro projet], Portefeuille_MNT_PPS_Access20[Année DÉBUT Travaux prévu], "")</f>
        <v>2025</v>
      </c>
      <c r="O19">
        <v>2025</v>
      </c>
      <c r="P19">
        <f>Portefeuille_MNT_PPS_Access30[[#This Row],[Année DÉBUT Travaux proposé]]-Portefeuille_MNT_PPS_Access30[[#This Row],[Année DÉBUT Travaux prog actuelle]]</f>
        <v>0</v>
      </c>
      <c r="Q19" s="8" t="e">
        <f>_xlfn.XLOOKUP(Portefeuille_MNT_PPS_Access30[[#This Row],[Numéro projet]],#REF!,#REF!, "")</f>
        <v>#REF!</v>
      </c>
      <c r="R19" s="8" t="e">
        <f>Portefeuille_MNT_PPS_Access30[[#This Row],[Année prog actuelle à jour]]-Portefeuille_MNT_PPS_Access30[[#This Row],[Année DÉBUT Travaux proposé]]</f>
        <v>#REF!</v>
      </c>
      <c r="S19" t="s">
        <v>164</v>
      </c>
      <c r="T19" s="1">
        <v>43882</v>
      </c>
      <c r="U19" s="1">
        <v>44033</v>
      </c>
      <c r="V19" s="1">
        <v>45225</v>
      </c>
      <c r="W1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1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1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1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5</v>
      </c>
      <c r="AA1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39</v>
      </c>
      <c r="AB19">
        <f>Portefeuille_MNT_PPS_Access30[[#This Row],[Délais PC1 et PC3]]+Portefeuille_MNT_PPS_Access30[[#This Row],[Délais PC3 et PC5]]</f>
        <v>44</v>
      </c>
      <c r="AC19">
        <v>1</v>
      </c>
      <c r="AD19">
        <v>1</v>
      </c>
      <c r="AF19" t="s">
        <v>165</v>
      </c>
      <c r="AG19">
        <v>3</v>
      </c>
      <c r="AH19" s="2">
        <f>_xlfn.XLOOKUP(Portefeuille_MNT_PPS_Access30[[#This Row],[Numéro projet]],Portefeuille_MNT_PPS_Access27[Numéro projet],Portefeuille_MNT_PPS_Access27[Critère Etat Infrastructure])</f>
        <v>4</v>
      </c>
      <c r="AI1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75.000000000000014</v>
      </c>
      <c r="AJ19" s="221"/>
      <c r="AK19">
        <v>257</v>
      </c>
      <c r="AL19">
        <v>2407</v>
      </c>
      <c r="AM19">
        <v>439</v>
      </c>
      <c r="AN19">
        <v>7751</v>
      </c>
      <c r="AO19">
        <v>79</v>
      </c>
      <c r="AP19">
        <v>385</v>
      </c>
      <c r="AX19"/>
      <c r="BK19" s="14">
        <f>SUM(Portefeuille_MNT_PPS_Access30[[#This Row],[AC ANT]:[TR 2035]])</f>
        <v>11318</v>
      </c>
    </row>
    <row r="20" spans="1:63" hidden="1" x14ac:dyDescent="0.3">
      <c r="A20" t="s">
        <v>286</v>
      </c>
      <c r="B20" t="s">
        <v>664</v>
      </c>
      <c r="D20" t="s">
        <v>101</v>
      </c>
      <c r="E20" t="s">
        <v>102</v>
      </c>
      <c r="F20" t="s">
        <v>103</v>
      </c>
      <c r="G20" t="s">
        <v>104</v>
      </c>
      <c r="H20" t="s">
        <v>16</v>
      </c>
      <c r="I20" t="s">
        <v>16</v>
      </c>
      <c r="J20" t="s">
        <v>105</v>
      </c>
      <c r="K20" s="2">
        <v>154101261</v>
      </c>
      <c r="L20" t="s">
        <v>216</v>
      </c>
      <c r="M20" t="s">
        <v>217</v>
      </c>
      <c r="N20">
        <f>_xlfn.XLOOKUP(Portefeuille_MNT_PPS_Access30[[#This Row],[Numéro projet]], Portefeuille_MNT_PPS_Access20[Numéro projet], Portefeuille_MNT_PPS_Access20[Année DÉBUT Travaux prévu], "")</f>
        <v>2025</v>
      </c>
      <c r="O20">
        <v>2025</v>
      </c>
      <c r="P20">
        <f>Portefeuille_MNT_PPS_Access30[[#This Row],[Année DÉBUT Travaux proposé]]-Portefeuille_MNT_PPS_Access30[[#This Row],[Année DÉBUT Travaux prog actuelle]]</f>
        <v>0</v>
      </c>
      <c r="Q20" s="8" t="e">
        <f>_xlfn.XLOOKUP(Portefeuille_MNT_PPS_Access30[[#This Row],[Numéro projet]],#REF!,#REF!, "")</f>
        <v>#REF!</v>
      </c>
      <c r="R20" s="8" t="e">
        <f>Portefeuille_MNT_PPS_Access30[[#This Row],[Année prog actuelle à jour]]-Portefeuille_MNT_PPS_Access30[[#This Row],[Année DÉBUT Travaux proposé]]</f>
        <v>#REF!</v>
      </c>
      <c r="S20" t="s">
        <v>164</v>
      </c>
      <c r="T20" s="1">
        <v>44838</v>
      </c>
      <c r="U20" s="1">
        <v>45441</v>
      </c>
      <c r="V20" s="1">
        <v>45623</v>
      </c>
      <c r="W2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2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2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2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19</v>
      </c>
      <c r="AA2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6</v>
      </c>
      <c r="AB20">
        <f>Portefeuille_MNT_PPS_Access30[[#This Row],[Délais PC1 et PC3]]+Portefeuille_MNT_PPS_Access30[[#This Row],[Délais PC3 et PC5]]</f>
        <v>25</v>
      </c>
      <c r="AC20">
        <v>1</v>
      </c>
      <c r="AD20">
        <v>5</v>
      </c>
      <c r="AF20" t="s">
        <v>165</v>
      </c>
      <c r="AG20">
        <v>2.6666666666666665</v>
      </c>
      <c r="AH20" s="2">
        <f>_xlfn.XLOOKUP(Portefeuille_MNT_PPS_Access30[[#This Row],[Numéro projet]],Portefeuille_MNT_PPS_Access27[Numéro projet],Portefeuille_MNT_PPS_Access27[Critère Etat Infrastructure])</f>
        <v>4</v>
      </c>
      <c r="AI2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93.333333333333329</v>
      </c>
      <c r="AJ20" s="221"/>
      <c r="AK20">
        <v>218</v>
      </c>
      <c r="AL20">
        <v>3</v>
      </c>
      <c r="AM20">
        <v>96</v>
      </c>
      <c r="AN20"/>
      <c r="AO20">
        <v>643</v>
      </c>
      <c r="AP20">
        <v>12563</v>
      </c>
      <c r="AX20"/>
      <c r="BK20" s="14">
        <f>SUM(Portefeuille_MNT_PPS_Access30[[#This Row],[AC ANT]:[TR 2035]])</f>
        <v>13523</v>
      </c>
    </row>
    <row r="21" spans="1:63" hidden="1" x14ac:dyDescent="0.3">
      <c r="A21" t="s">
        <v>286</v>
      </c>
      <c r="B21" t="s">
        <v>662</v>
      </c>
      <c r="D21" t="s">
        <v>118</v>
      </c>
      <c r="E21" t="s">
        <v>102</v>
      </c>
      <c r="F21" t="s">
        <v>103</v>
      </c>
      <c r="G21" t="s">
        <v>149</v>
      </c>
      <c r="H21" t="s">
        <v>16</v>
      </c>
      <c r="I21" t="s">
        <v>16</v>
      </c>
      <c r="J21" t="s">
        <v>131</v>
      </c>
      <c r="K21" s="2">
        <v>154190478</v>
      </c>
      <c r="L21" t="s">
        <v>193</v>
      </c>
      <c r="M21" t="s">
        <v>194</v>
      </c>
      <c r="N21">
        <f>_xlfn.XLOOKUP(Portefeuille_MNT_PPS_Access30[[#This Row],[Numéro projet]], Portefeuille_MNT_PPS_Access20[Numéro projet], Portefeuille_MNT_PPS_Access20[Année DÉBUT Travaux prévu], "")</f>
        <v>2025</v>
      </c>
      <c r="O21">
        <v>2025</v>
      </c>
      <c r="P21">
        <f>Portefeuille_MNT_PPS_Access30[[#This Row],[Année DÉBUT Travaux proposé]]-Portefeuille_MNT_PPS_Access30[[#This Row],[Année DÉBUT Travaux prog actuelle]]</f>
        <v>0</v>
      </c>
      <c r="Q21" s="8" t="e">
        <f>_xlfn.XLOOKUP(Portefeuille_MNT_PPS_Access30[[#This Row],[Numéro projet]],#REF!,#REF!, "")</f>
        <v>#REF!</v>
      </c>
      <c r="R21" s="8" t="e">
        <f>Portefeuille_MNT_PPS_Access30[[#This Row],[Année prog actuelle à jour]]-Portefeuille_MNT_PPS_Access30[[#This Row],[Année DÉBUT Travaux proposé]]</f>
        <v>#REF!</v>
      </c>
      <c r="S21" t="s">
        <v>164</v>
      </c>
      <c r="T21" s="1">
        <v>44547</v>
      </c>
      <c r="U21" s="1">
        <v>45091</v>
      </c>
      <c r="V21" s="1">
        <v>45375</v>
      </c>
      <c r="W2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2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2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2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18</v>
      </c>
      <c r="AA2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21">
        <f>Portefeuille_MNT_PPS_Access30[[#This Row],[Délais PC1 et PC3]]+Portefeuille_MNT_PPS_Access30[[#This Row],[Délais PC3 et PC5]]</f>
        <v>27</v>
      </c>
      <c r="AC21">
        <v>1</v>
      </c>
      <c r="AD21">
        <v>5</v>
      </c>
      <c r="AF21" t="s">
        <v>165</v>
      </c>
      <c r="AG21">
        <v>3.3333333333333335</v>
      </c>
      <c r="AH21" s="2">
        <f>_xlfn.XLOOKUP(Portefeuille_MNT_PPS_Access30[[#This Row],[Numéro projet]],Portefeuille_MNT_PPS_Access27[Numéro projet],Portefeuille_MNT_PPS_Access27[Critère Etat Infrastructure])</f>
        <v>5</v>
      </c>
      <c r="AI2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101.66666666666666</v>
      </c>
      <c r="AJ21" s="221"/>
      <c r="AK21">
        <v>7</v>
      </c>
      <c r="AM21">
        <v>45</v>
      </c>
      <c r="AN21">
        <v>1057</v>
      </c>
      <c r="AO21">
        <v>221</v>
      </c>
      <c r="AP21">
        <v>4691</v>
      </c>
      <c r="AX21"/>
      <c r="BK21" s="14">
        <f>SUM(Portefeuille_MNT_PPS_Access30[[#This Row],[AC ANT]:[TR 2035]])</f>
        <v>6021</v>
      </c>
    </row>
    <row r="22" spans="1:63" hidden="1" x14ac:dyDescent="0.3">
      <c r="A22" t="s">
        <v>286</v>
      </c>
      <c r="B22" t="s">
        <v>295</v>
      </c>
      <c r="D22" t="s">
        <v>126</v>
      </c>
      <c r="E22" t="s">
        <v>127</v>
      </c>
      <c r="F22" t="s">
        <v>128</v>
      </c>
      <c r="G22" t="s">
        <v>252</v>
      </c>
      <c r="H22" t="s">
        <v>16</v>
      </c>
      <c r="I22" t="s">
        <v>16</v>
      </c>
      <c r="J22" t="s">
        <v>131</v>
      </c>
      <c r="K22" s="2">
        <v>154240500</v>
      </c>
      <c r="L22" t="s">
        <v>260</v>
      </c>
      <c r="M22" t="s">
        <v>159</v>
      </c>
      <c r="N22">
        <f>_xlfn.XLOOKUP(Portefeuille_MNT_PPS_Access30[[#This Row],[Numéro projet]], Portefeuille_MNT_PPS_Access20[Numéro projet], Portefeuille_MNT_PPS_Access20[Année DÉBUT Travaux prévu], "")</f>
        <v>2025</v>
      </c>
      <c r="O22">
        <v>2025</v>
      </c>
      <c r="P22">
        <f>Portefeuille_MNT_PPS_Access30[[#This Row],[Année DÉBUT Travaux proposé]]-Portefeuille_MNT_PPS_Access30[[#This Row],[Année DÉBUT Travaux prog actuelle]]</f>
        <v>0</v>
      </c>
      <c r="Q22" s="8" t="e">
        <f>_xlfn.XLOOKUP(Portefeuille_MNT_PPS_Access30[[#This Row],[Numéro projet]],#REF!,#REF!, "")</f>
        <v>#REF!</v>
      </c>
      <c r="R22" s="8" t="e">
        <f>Portefeuille_MNT_PPS_Access30[[#This Row],[Année prog actuelle à jour]]-Portefeuille_MNT_PPS_Access30[[#This Row],[Année DÉBUT Travaux proposé]]</f>
        <v>#REF!</v>
      </c>
      <c r="S22" t="s">
        <v>291</v>
      </c>
      <c r="T22" s="1"/>
      <c r="U22" s="1"/>
      <c r="V22" s="1"/>
      <c r="W2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2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2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2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22">
        <f>Portefeuille_MNT_PPS_Access30[[#This Row],[Délais PC1 et PC3]]+Portefeuille_MNT_PPS_Access30[[#This Row],[Délais PC3 et PC5]]</f>
        <v>0</v>
      </c>
      <c r="AC22">
        <v>1</v>
      </c>
      <c r="AD22">
        <v>5</v>
      </c>
      <c r="AF22" t="s">
        <v>311</v>
      </c>
      <c r="AG22">
        <v>4.333333333333333</v>
      </c>
      <c r="AH22" s="2">
        <f>_xlfn.XLOOKUP(Portefeuille_MNT_PPS_Access30[[#This Row],[Numéro projet]],Portefeuille_MNT_PPS_Access27[Numéro projet],Portefeuille_MNT_PPS_Access27[Critère Etat Infrastructure])</f>
        <v>4</v>
      </c>
      <c r="AI2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66.666666666666657</v>
      </c>
      <c r="AJ22" s="221"/>
      <c r="AN22"/>
      <c r="AO22">
        <v>15</v>
      </c>
      <c r="AP22">
        <v>85</v>
      </c>
      <c r="AX22"/>
      <c r="BK22" s="14">
        <f>SUM(Portefeuille_MNT_PPS_Access30[[#This Row],[AC ANT]:[TR 2035]])</f>
        <v>100</v>
      </c>
    </row>
    <row r="23" spans="1:63" hidden="1" x14ac:dyDescent="0.3">
      <c r="A23" t="s">
        <v>286</v>
      </c>
      <c r="B23" t="s">
        <v>295</v>
      </c>
      <c r="D23" t="s">
        <v>126</v>
      </c>
      <c r="E23" t="s">
        <v>127</v>
      </c>
      <c r="F23" t="s">
        <v>128</v>
      </c>
      <c r="G23" t="s">
        <v>252</v>
      </c>
      <c r="H23" t="s">
        <v>16</v>
      </c>
      <c r="I23" t="s">
        <v>16</v>
      </c>
      <c r="J23" t="s">
        <v>131</v>
      </c>
      <c r="K23" s="2">
        <v>154240039</v>
      </c>
      <c r="L23" t="s">
        <v>254</v>
      </c>
      <c r="M23" t="s">
        <v>147</v>
      </c>
      <c r="N23">
        <f>_xlfn.XLOOKUP(Portefeuille_MNT_PPS_Access30[[#This Row],[Numéro projet]], Portefeuille_MNT_PPS_Access20[Numéro projet], Portefeuille_MNT_PPS_Access20[Année DÉBUT Travaux prévu], "")</f>
        <v>2025</v>
      </c>
      <c r="O23">
        <v>2025</v>
      </c>
      <c r="P23">
        <f>Portefeuille_MNT_PPS_Access30[[#This Row],[Année DÉBUT Travaux proposé]]-Portefeuille_MNT_PPS_Access30[[#This Row],[Année DÉBUT Travaux prog actuelle]]</f>
        <v>0</v>
      </c>
      <c r="Q23" s="8" t="e">
        <f>_xlfn.XLOOKUP(Portefeuille_MNT_PPS_Access30[[#This Row],[Numéro projet]],#REF!,#REF!, "")</f>
        <v>#REF!</v>
      </c>
      <c r="R23" s="8" t="e">
        <f>Portefeuille_MNT_PPS_Access30[[#This Row],[Année prog actuelle à jour]]-Portefeuille_MNT_PPS_Access30[[#This Row],[Année DÉBUT Travaux proposé]]</f>
        <v>#REF!</v>
      </c>
      <c r="S23" t="s">
        <v>291</v>
      </c>
      <c r="T23" s="1"/>
      <c r="U23" s="1"/>
      <c r="V23" s="1"/>
      <c r="W2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2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2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2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23">
        <f>Portefeuille_MNT_PPS_Access30[[#This Row],[Délais PC1 et PC3]]+Portefeuille_MNT_PPS_Access30[[#This Row],[Délais PC3 et PC5]]</f>
        <v>0</v>
      </c>
      <c r="AC23">
        <v>1</v>
      </c>
      <c r="AD23">
        <v>1</v>
      </c>
      <c r="AF23" t="s">
        <v>311</v>
      </c>
      <c r="AG23">
        <v>2.6666666666666665</v>
      </c>
      <c r="AH23" s="2">
        <f>_xlfn.XLOOKUP(Portefeuille_MNT_PPS_Access30[[#This Row],[Numéro projet]],Portefeuille_MNT_PPS_Access27[Numéro projet],Portefeuille_MNT_PPS_Access27[Critère Etat Infrastructure])</f>
        <v>4</v>
      </c>
      <c r="AI2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38.333333333333336</v>
      </c>
      <c r="AJ23" s="221"/>
      <c r="AN23"/>
      <c r="AO23">
        <v>10</v>
      </c>
      <c r="AP23">
        <v>39</v>
      </c>
      <c r="AX23"/>
      <c r="BK23" s="14">
        <f>SUM(Portefeuille_MNT_PPS_Access30[[#This Row],[AC ANT]:[TR 2035]])</f>
        <v>49</v>
      </c>
    </row>
    <row r="24" spans="1:63" hidden="1" x14ac:dyDescent="0.3">
      <c r="A24" t="s">
        <v>286</v>
      </c>
      <c r="B24" t="s">
        <v>664</v>
      </c>
      <c r="D24" t="s">
        <v>101</v>
      </c>
      <c r="E24" t="s">
        <v>102</v>
      </c>
      <c r="F24" t="s">
        <v>103</v>
      </c>
      <c r="G24" t="s">
        <v>113</v>
      </c>
      <c r="H24" t="s">
        <v>16</v>
      </c>
      <c r="I24" t="s">
        <v>16</v>
      </c>
      <c r="J24" t="s">
        <v>105</v>
      </c>
      <c r="K24" s="2">
        <v>154160152</v>
      </c>
      <c r="L24" t="s">
        <v>313</v>
      </c>
      <c r="M24" t="s">
        <v>168</v>
      </c>
      <c r="N24">
        <f>_xlfn.XLOOKUP(Portefeuille_MNT_PPS_Access30[[#This Row],[Numéro projet]], Portefeuille_MNT_PPS_Access20[Numéro projet], Portefeuille_MNT_PPS_Access20[Année DÉBUT Travaux prévu], "")</f>
        <v>2025</v>
      </c>
      <c r="O24">
        <v>2025</v>
      </c>
      <c r="P24">
        <f>Portefeuille_MNT_PPS_Access30[[#This Row],[Année DÉBUT Travaux proposé]]-Portefeuille_MNT_PPS_Access30[[#This Row],[Année DÉBUT Travaux prog actuelle]]</f>
        <v>0</v>
      </c>
      <c r="Q24" s="8" t="e">
        <f>_xlfn.XLOOKUP(Portefeuille_MNT_PPS_Access30[[#This Row],[Numéro projet]],#REF!,#REF!, "")</f>
        <v>#REF!</v>
      </c>
      <c r="R24" s="8" t="e">
        <f>Portefeuille_MNT_PPS_Access30[[#This Row],[Année prog actuelle à jour]]-Portefeuille_MNT_PPS_Access30[[#This Row],[Année DÉBUT Travaux proposé]]</f>
        <v>#REF!</v>
      </c>
      <c r="S24" t="s">
        <v>164</v>
      </c>
      <c r="T24" s="1">
        <v>44055</v>
      </c>
      <c r="U24" s="1">
        <v>44315</v>
      </c>
      <c r="V24" s="1">
        <v>44589</v>
      </c>
      <c r="W2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2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2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2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8</v>
      </c>
      <c r="AA2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24">
        <f>Portefeuille_MNT_PPS_Access30[[#This Row],[Délais PC1 et PC3]]+Portefeuille_MNT_PPS_Access30[[#This Row],[Délais PC3 et PC5]]</f>
        <v>17</v>
      </c>
      <c r="AC24">
        <v>1</v>
      </c>
      <c r="AD24">
        <v>1</v>
      </c>
      <c r="AF24" t="s">
        <v>165</v>
      </c>
      <c r="AG24">
        <v>3.3333333333333335</v>
      </c>
      <c r="AH24" s="2">
        <f>_xlfn.XLOOKUP(Portefeuille_MNT_PPS_Access30[[#This Row],[Numéro projet]],Portefeuille_MNT_PPS_Access27[Numéro projet],Portefeuille_MNT_PPS_Access27[Critère Etat Infrastructure])</f>
        <v>2</v>
      </c>
      <c r="AI2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24" s="221"/>
      <c r="AK24">
        <v>448</v>
      </c>
      <c r="AL24">
        <v>5849</v>
      </c>
      <c r="AM24">
        <v>290</v>
      </c>
      <c r="AN24">
        <v>3895</v>
      </c>
      <c r="AO24">
        <v>93</v>
      </c>
      <c r="AP24">
        <v>390</v>
      </c>
      <c r="AX24"/>
      <c r="BK24" s="14">
        <f>SUM(Portefeuille_MNT_PPS_Access30[[#This Row],[AC ANT]:[TR 2035]])</f>
        <v>10965</v>
      </c>
    </row>
    <row r="25" spans="1:63" hidden="1" x14ac:dyDescent="0.3">
      <c r="A25" t="s">
        <v>286</v>
      </c>
      <c r="B25" t="s">
        <v>664</v>
      </c>
      <c r="D25" t="s">
        <v>101</v>
      </c>
      <c r="E25" t="s">
        <v>102</v>
      </c>
      <c r="F25" t="s">
        <v>103</v>
      </c>
      <c r="H25" t="s">
        <v>16</v>
      </c>
      <c r="I25" t="s">
        <v>16</v>
      </c>
      <c r="J25" t="s">
        <v>105</v>
      </c>
      <c r="K25" s="2">
        <v>154150340</v>
      </c>
      <c r="L25" t="s">
        <v>310</v>
      </c>
      <c r="M25" t="s">
        <v>108</v>
      </c>
      <c r="N25">
        <f>_xlfn.XLOOKUP(Portefeuille_MNT_PPS_Access30[[#This Row],[Numéro projet]], Portefeuille_MNT_PPS_Access20[Numéro projet], Portefeuille_MNT_PPS_Access20[Année DÉBUT Travaux prévu], "")</f>
        <v>2025</v>
      </c>
      <c r="O25">
        <v>2025</v>
      </c>
      <c r="P25">
        <f>Portefeuille_MNT_PPS_Access30[[#This Row],[Année DÉBUT Travaux proposé]]-Portefeuille_MNT_PPS_Access30[[#This Row],[Année DÉBUT Travaux prog actuelle]]</f>
        <v>0</v>
      </c>
      <c r="Q25" s="8" t="e">
        <f>_xlfn.XLOOKUP(Portefeuille_MNT_PPS_Access30[[#This Row],[Numéro projet]],#REF!,#REF!, "")</f>
        <v>#REF!</v>
      </c>
      <c r="R25" s="8" t="e">
        <f>Portefeuille_MNT_PPS_Access30[[#This Row],[Année prog actuelle à jour]]-Portefeuille_MNT_PPS_Access30[[#This Row],[Année DÉBUT Travaux proposé]]</f>
        <v>#REF!</v>
      </c>
      <c r="S25" t="s">
        <v>291</v>
      </c>
      <c r="T25" s="1"/>
      <c r="U25" s="1"/>
      <c r="V25" s="1"/>
      <c r="W2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2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2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2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25">
        <f>Portefeuille_MNT_PPS_Access30[[#This Row],[Délais PC1 et PC3]]+Portefeuille_MNT_PPS_Access30[[#This Row],[Délais PC3 et PC5]]</f>
        <v>0</v>
      </c>
      <c r="AC25">
        <v>1</v>
      </c>
      <c r="AD25">
        <v>1</v>
      </c>
      <c r="AF25" t="s">
        <v>311</v>
      </c>
      <c r="AG25">
        <v>4</v>
      </c>
      <c r="AH25" s="2">
        <f>_xlfn.XLOOKUP(Portefeuille_MNT_PPS_Access30[[#This Row],[Numéro projet]],Portefeuille_MNT_PPS_Access27[Numéro projet],Portefeuille_MNT_PPS_Access27[Critère Etat Infrastructure])</f>
        <v>0</v>
      </c>
      <c r="AI2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25</v>
      </c>
      <c r="AJ25" s="221"/>
      <c r="AK25">
        <v>467</v>
      </c>
      <c r="AL25">
        <v>5053</v>
      </c>
      <c r="AN25"/>
      <c r="AO25">
        <v>27</v>
      </c>
      <c r="AP25">
        <v>135</v>
      </c>
      <c r="AX25"/>
      <c r="BK25" s="14">
        <f>SUM(Portefeuille_MNT_PPS_Access30[[#This Row],[AC ANT]:[TR 2035]])</f>
        <v>5682</v>
      </c>
    </row>
    <row r="26" spans="1:63" hidden="1" x14ac:dyDescent="0.3">
      <c r="A26" t="s">
        <v>286</v>
      </c>
      <c r="B26" t="s">
        <v>662</v>
      </c>
      <c r="D26" t="s">
        <v>118</v>
      </c>
      <c r="E26" t="s">
        <v>102</v>
      </c>
      <c r="F26" t="s">
        <v>136</v>
      </c>
      <c r="G26" t="s">
        <v>129</v>
      </c>
      <c r="H26" t="s">
        <v>16</v>
      </c>
      <c r="I26" t="s">
        <v>16</v>
      </c>
      <c r="J26" t="s">
        <v>131</v>
      </c>
      <c r="K26" s="2">
        <v>154101520</v>
      </c>
      <c r="L26" t="s">
        <v>219</v>
      </c>
      <c r="M26" t="s">
        <v>152</v>
      </c>
      <c r="N26">
        <f>_xlfn.XLOOKUP(Portefeuille_MNT_PPS_Access30[[#This Row],[Numéro projet]], Portefeuille_MNT_PPS_Access20[Numéro projet], Portefeuille_MNT_PPS_Access20[Année DÉBUT Travaux prévu], "")</f>
        <v>2025</v>
      </c>
      <c r="O26">
        <v>2025</v>
      </c>
      <c r="P26">
        <f>Portefeuille_MNT_PPS_Access30[[#This Row],[Année DÉBUT Travaux proposé]]-Portefeuille_MNT_PPS_Access30[[#This Row],[Année DÉBUT Travaux prog actuelle]]</f>
        <v>0</v>
      </c>
      <c r="Q26" s="8" t="e">
        <f>_xlfn.XLOOKUP(Portefeuille_MNT_PPS_Access30[[#This Row],[Numéro projet]],#REF!,#REF!, "")</f>
        <v>#REF!</v>
      </c>
      <c r="R26" s="8" t="e">
        <f>Portefeuille_MNT_PPS_Access30[[#This Row],[Année prog actuelle à jour]]-Portefeuille_MNT_PPS_Access30[[#This Row],[Année DÉBUT Travaux proposé]]</f>
        <v>#REF!</v>
      </c>
      <c r="S26" t="s">
        <v>164</v>
      </c>
      <c r="T26" s="1">
        <v>45370</v>
      </c>
      <c r="U26" s="1"/>
      <c r="V26" s="1">
        <v>45706</v>
      </c>
      <c r="W2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2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2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-1490</v>
      </c>
      <c r="AA2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1501</v>
      </c>
      <c r="AB26">
        <f>Portefeuille_MNT_PPS_Access30[[#This Row],[Délais PC1 et PC3]]+Portefeuille_MNT_PPS_Access30[[#This Row],[Délais PC3 et PC5]]</f>
        <v>11</v>
      </c>
      <c r="AC26">
        <v>1</v>
      </c>
      <c r="AD26">
        <v>5</v>
      </c>
      <c r="AF26" t="s">
        <v>165</v>
      </c>
      <c r="AG26">
        <v>3.3333333333333335</v>
      </c>
      <c r="AH26" s="2">
        <f>_xlfn.XLOOKUP(Portefeuille_MNT_PPS_Access30[[#This Row],[Numéro projet]],Portefeuille_MNT_PPS_Access27[Numéro projet],Portefeuille_MNT_PPS_Access27[Critère Etat Infrastructure])</f>
        <v>5</v>
      </c>
      <c r="AI2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101.66666666666666</v>
      </c>
      <c r="AJ26" s="221"/>
      <c r="AK26">
        <v>6</v>
      </c>
      <c r="AM26">
        <v>45</v>
      </c>
      <c r="AN26"/>
      <c r="AO26">
        <v>38</v>
      </c>
      <c r="AP26" s="102">
        <v>760</v>
      </c>
      <c r="AX26"/>
      <c r="BK26" s="14">
        <f>SUM(Portefeuille_MNT_PPS_Access30[[#This Row],[AC ANT]:[TR 2035]])</f>
        <v>849</v>
      </c>
    </row>
    <row r="27" spans="1:63" hidden="1" x14ac:dyDescent="0.3">
      <c r="A27" t="s">
        <v>286</v>
      </c>
      <c r="D27" t="s">
        <v>118</v>
      </c>
      <c r="E27" t="s">
        <v>102</v>
      </c>
      <c r="F27" t="s">
        <v>136</v>
      </c>
      <c r="G27" t="s">
        <v>252</v>
      </c>
      <c r="H27" t="s">
        <v>20</v>
      </c>
      <c r="I27" t="s">
        <v>16</v>
      </c>
      <c r="J27" t="s">
        <v>131</v>
      </c>
      <c r="K27" s="2">
        <v>154250180</v>
      </c>
      <c r="L27" t="s">
        <v>638</v>
      </c>
      <c r="M27" t="s">
        <v>139</v>
      </c>
      <c r="N27">
        <f>_xlfn.XLOOKUP(Portefeuille_MNT_PPS_Access30[[#This Row],[Numéro projet]], Portefeuille_MNT_PPS_Access20[Numéro projet], Portefeuille_MNT_PPS_Access20[Année DÉBUT Travaux prévu], "")</f>
        <v>2025</v>
      </c>
      <c r="O27">
        <v>2025</v>
      </c>
      <c r="P27">
        <f>Portefeuille_MNT_PPS_Access30[[#This Row],[Année DÉBUT Travaux proposé]]-Portefeuille_MNT_PPS_Access30[[#This Row],[Année DÉBUT Travaux prog actuelle]]</f>
        <v>0</v>
      </c>
      <c r="Q27" s="8" t="e">
        <f>_xlfn.XLOOKUP(Portefeuille_MNT_PPS_Access30[[#This Row],[Numéro projet]],#REF!,#REF!, "")</f>
        <v>#REF!</v>
      </c>
      <c r="R27" s="8" t="e">
        <f>Portefeuille_MNT_PPS_Access30[[#This Row],[Année prog actuelle à jour]]-Portefeuille_MNT_PPS_Access30[[#This Row],[Année DÉBUT Travaux proposé]]</f>
        <v>#REF!</v>
      </c>
      <c r="S27" t="s">
        <v>291</v>
      </c>
      <c r="T27" s="1"/>
      <c r="U27" s="1"/>
      <c r="V27" s="1"/>
      <c r="W2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2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2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2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27">
        <f>Portefeuille_MNT_PPS_Access30[[#This Row],[Délais PC1 et PC3]]+Portefeuille_MNT_PPS_Access30[[#This Row],[Délais PC3 et PC5]]</f>
        <v>0</v>
      </c>
      <c r="AC27">
        <v>1</v>
      </c>
      <c r="AD27">
        <v>1</v>
      </c>
      <c r="AF27" t="s">
        <v>311</v>
      </c>
      <c r="AG27">
        <v>2</v>
      </c>
      <c r="AH27" s="2">
        <f>_xlfn.XLOOKUP(Portefeuille_MNT_PPS_Access30[[#This Row],[Numéro projet]],Portefeuille_MNT_PPS_Access27[Numéro projet],Portefeuille_MNT_PPS_Access27[Critère Etat Infrastructure])</f>
        <v>5</v>
      </c>
      <c r="AI2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27" s="221"/>
      <c r="AN27"/>
      <c r="AP27">
        <v>35</v>
      </c>
      <c r="AX27"/>
      <c r="BK27" s="14">
        <f>SUM(Portefeuille_MNT_PPS_Access30[[#This Row],[AC ANT]:[TR 2035]])</f>
        <v>35</v>
      </c>
    </row>
    <row r="28" spans="1:63" hidden="1" x14ac:dyDescent="0.3">
      <c r="A28" t="s">
        <v>286</v>
      </c>
      <c r="B28" t="s">
        <v>664</v>
      </c>
      <c r="D28" t="s">
        <v>101</v>
      </c>
      <c r="E28" t="s">
        <v>102</v>
      </c>
      <c r="F28" t="s">
        <v>103</v>
      </c>
      <c r="G28" t="s">
        <v>149</v>
      </c>
      <c r="H28" t="s">
        <v>16</v>
      </c>
      <c r="I28" t="s">
        <v>16</v>
      </c>
      <c r="J28" t="s">
        <v>105</v>
      </c>
      <c r="K28" s="2">
        <v>154190480</v>
      </c>
      <c r="L28" t="s">
        <v>229</v>
      </c>
      <c r="M28" t="s">
        <v>230</v>
      </c>
      <c r="N28">
        <f>_xlfn.XLOOKUP(Portefeuille_MNT_PPS_Access30[[#This Row],[Numéro projet]], Portefeuille_MNT_PPS_Access20[Numéro projet], Portefeuille_MNT_PPS_Access20[Année DÉBUT Travaux prévu], "")</f>
        <v>2025</v>
      </c>
      <c r="O28">
        <v>2025</v>
      </c>
      <c r="P28">
        <f>Portefeuille_MNT_PPS_Access30[[#This Row],[Année DÉBUT Travaux proposé]]-Portefeuille_MNT_PPS_Access30[[#This Row],[Année DÉBUT Travaux prog actuelle]]</f>
        <v>0</v>
      </c>
      <c r="Q28" s="8" t="e">
        <f>_xlfn.XLOOKUP(Portefeuille_MNT_PPS_Access30[[#This Row],[Numéro projet]],#REF!,#REF!, "")</f>
        <v>#REF!</v>
      </c>
      <c r="R28" s="8" t="e">
        <f>Portefeuille_MNT_PPS_Access30[[#This Row],[Année prog actuelle à jour]]-Portefeuille_MNT_PPS_Access30[[#This Row],[Année DÉBUT Travaux proposé]]</f>
        <v>#REF!</v>
      </c>
      <c r="S28" t="s">
        <v>164</v>
      </c>
      <c r="T28" s="1">
        <v>45022</v>
      </c>
      <c r="U28" s="1">
        <v>45463</v>
      </c>
      <c r="V28" s="1">
        <v>45590</v>
      </c>
      <c r="W2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2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2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2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2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4</v>
      </c>
      <c r="AB28">
        <f>Portefeuille_MNT_PPS_Access30[[#This Row],[Délais PC1 et PC3]]+Portefeuille_MNT_PPS_Access30[[#This Row],[Délais PC3 et PC5]]</f>
        <v>18</v>
      </c>
      <c r="AC28">
        <v>1</v>
      </c>
      <c r="AD28">
        <v>5</v>
      </c>
      <c r="AF28" t="s">
        <v>165</v>
      </c>
      <c r="AG28">
        <v>3</v>
      </c>
      <c r="AH28" s="2">
        <f>_xlfn.XLOOKUP(Portefeuille_MNT_PPS_Access30[[#This Row],[Numéro projet]],Portefeuille_MNT_PPS_Access27[Numéro projet],Portefeuille_MNT_PPS_Access27[Critère Etat Infrastructure])</f>
        <v>4</v>
      </c>
      <c r="AI2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95</v>
      </c>
      <c r="AJ28" s="221"/>
      <c r="AK28">
        <v>61</v>
      </c>
      <c r="AN28"/>
      <c r="AO28">
        <v>601</v>
      </c>
      <c r="AP28">
        <v>11581</v>
      </c>
      <c r="AX28"/>
      <c r="BK28" s="14">
        <f>SUM(Portefeuille_MNT_PPS_Access30[[#This Row],[AC ANT]:[TR 2035]])</f>
        <v>12243</v>
      </c>
    </row>
    <row r="29" spans="1:63" hidden="1" x14ac:dyDescent="0.3">
      <c r="A29" t="s">
        <v>286</v>
      </c>
      <c r="B29" t="s">
        <v>295</v>
      </c>
      <c r="D29" t="s">
        <v>126</v>
      </c>
      <c r="E29" t="s">
        <v>127</v>
      </c>
      <c r="F29" t="s">
        <v>136</v>
      </c>
      <c r="G29" t="s">
        <v>104</v>
      </c>
      <c r="H29" t="s">
        <v>16</v>
      </c>
      <c r="I29" t="s">
        <v>16</v>
      </c>
      <c r="J29" t="s">
        <v>105</v>
      </c>
      <c r="K29" s="2">
        <v>154061996</v>
      </c>
      <c r="L29" t="s">
        <v>163</v>
      </c>
      <c r="M29" t="s">
        <v>122</v>
      </c>
      <c r="N29">
        <f>_xlfn.XLOOKUP(Portefeuille_MNT_PPS_Access30[[#This Row],[Numéro projet]], Portefeuille_MNT_PPS_Access20[Numéro projet], Portefeuille_MNT_PPS_Access20[Année DÉBUT Travaux prévu], "")</f>
        <v>2025</v>
      </c>
      <c r="O29">
        <v>2025</v>
      </c>
      <c r="P29">
        <f>Portefeuille_MNT_PPS_Access30[[#This Row],[Année DÉBUT Travaux proposé]]-Portefeuille_MNT_PPS_Access30[[#This Row],[Année DÉBUT Travaux prog actuelle]]</f>
        <v>0</v>
      </c>
      <c r="Q29" s="8" t="e">
        <f>_xlfn.XLOOKUP(Portefeuille_MNT_PPS_Access30[[#This Row],[Numéro projet]],#REF!,#REF!, "")</f>
        <v>#REF!</v>
      </c>
      <c r="R29" s="8" t="e">
        <f>Portefeuille_MNT_PPS_Access30[[#This Row],[Année prog actuelle à jour]]-Portefeuille_MNT_PPS_Access30[[#This Row],[Année DÉBUT Travaux proposé]]</f>
        <v>#REF!</v>
      </c>
      <c r="S29" t="s">
        <v>164</v>
      </c>
      <c r="T29" s="1"/>
      <c r="U29" s="1"/>
      <c r="V29" s="1"/>
      <c r="W2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2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2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2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2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29">
        <f>Portefeuille_MNT_PPS_Access30[[#This Row],[Délais PC1 et PC3]]+Portefeuille_MNT_PPS_Access30[[#This Row],[Délais PC3 et PC5]]</f>
        <v>0</v>
      </c>
      <c r="AC29">
        <v>1</v>
      </c>
      <c r="AD29">
        <v>1</v>
      </c>
      <c r="AF29" t="s">
        <v>165</v>
      </c>
      <c r="AG29">
        <v>4</v>
      </c>
      <c r="AH29" s="2">
        <f>_xlfn.XLOOKUP(Portefeuille_MNT_PPS_Access30[[#This Row],[Numéro projet]],Portefeuille_MNT_PPS_Access27[Numéro projet],Portefeuille_MNT_PPS_Access27[Critère Etat Infrastructure])</f>
        <v>0</v>
      </c>
      <c r="AI2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60.000000000000007</v>
      </c>
      <c r="AJ29" s="221"/>
      <c r="AK29">
        <v>5398</v>
      </c>
      <c r="AL29">
        <v>28152</v>
      </c>
      <c r="AM29">
        <v>46</v>
      </c>
      <c r="AN29">
        <v>891</v>
      </c>
      <c r="AO29">
        <v>109</v>
      </c>
      <c r="AP29">
        <v>155</v>
      </c>
      <c r="AQ29">
        <v>45</v>
      </c>
      <c r="AX29"/>
      <c r="BK29" s="14">
        <f>SUM(Portefeuille_MNT_PPS_Access30[[#This Row],[AC ANT]:[TR 2035]])</f>
        <v>34796</v>
      </c>
    </row>
    <row r="30" spans="1:63" hidden="1" x14ac:dyDescent="0.3">
      <c r="A30" t="s">
        <v>286</v>
      </c>
      <c r="B30" t="s">
        <v>664</v>
      </c>
      <c r="D30" t="s">
        <v>101</v>
      </c>
      <c r="E30" t="s">
        <v>102</v>
      </c>
      <c r="F30" t="s">
        <v>128</v>
      </c>
      <c r="G30" t="s">
        <v>113</v>
      </c>
      <c r="H30" t="s">
        <v>16</v>
      </c>
      <c r="I30" t="s">
        <v>16</v>
      </c>
      <c r="J30" t="s">
        <v>105</v>
      </c>
      <c r="K30" s="2">
        <v>154171105</v>
      </c>
      <c r="L30" t="s">
        <v>161</v>
      </c>
      <c r="M30" t="s">
        <v>122</v>
      </c>
      <c r="N30">
        <f>_xlfn.XLOOKUP(Portefeuille_MNT_PPS_Access30[[#This Row],[Numéro projet]], Portefeuille_MNT_PPS_Access20[Numéro projet], Portefeuille_MNT_PPS_Access20[Année DÉBUT Travaux prévu], "")</f>
        <v>2025</v>
      </c>
      <c r="O30">
        <v>2025</v>
      </c>
      <c r="P30">
        <f>Portefeuille_MNT_PPS_Access30[[#This Row],[Année DÉBUT Travaux proposé]]-Portefeuille_MNT_PPS_Access30[[#This Row],[Année DÉBUT Travaux prog actuelle]]</f>
        <v>0</v>
      </c>
      <c r="Q30" s="8" t="e">
        <f>_xlfn.XLOOKUP(Portefeuille_MNT_PPS_Access30[[#This Row],[Numéro projet]],#REF!,#REF!, "")</f>
        <v>#REF!</v>
      </c>
      <c r="R30" s="8" t="e">
        <f>Portefeuille_MNT_PPS_Access30[[#This Row],[Année prog actuelle à jour]]-Portefeuille_MNT_PPS_Access30[[#This Row],[Année DÉBUT Travaux proposé]]</f>
        <v>#REF!</v>
      </c>
      <c r="S30" t="s">
        <v>164</v>
      </c>
      <c r="T30" s="1">
        <v>44956</v>
      </c>
      <c r="U30" s="1">
        <v>45321</v>
      </c>
      <c r="V30" s="1">
        <v>45687</v>
      </c>
      <c r="W3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3.À risque</v>
      </c>
      <c r="X3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3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3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3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30">
        <f>Portefeuille_MNT_PPS_Access30[[#This Row],[Délais PC1 et PC3]]+Portefeuille_MNT_PPS_Access30[[#This Row],[Délais PC3 et PC5]]</f>
        <v>24</v>
      </c>
      <c r="AC30">
        <v>1</v>
      </c>
      <c r="AD30">
        <v>5</v>
      </c>
      <c r="AF30" t="s">
        <v>165</v>
      </c>
      <c r="AG30">
        <v>4</v>
      </c>
      <c r="AH30" s="2">
        <f>_xlfn.XLOOKUP(Portefeuille_MNT_PPS_Access30[[#This Row],[Numéro projet]],Portefeuille_MNT_PPS_Access27[Numéro projet],Portefeuille_MNT_PPS_Access27[Critère Etat Infrastructure])</f>
        <v>0</v>
      </c>
      <c r="AI3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80</v>
      </c>
      <c r="AJ30" s="221"/>
      <c r="AK30">
        <v>6</v>
      </c>
      <c r="AM30">
        <v>14</v>
      </c>
      <c r="AN30"/>
      <c r="AO30">
        <v>291</v>
      </c>
      <c r="AP30">
        <v>4537</v>
      </c>
      <c r="AQ30">
        <v>34</v>
      </c>
      <c r="AX30"/>
      <c r="BK30" s="14">
        <f>SUM(Portefeuille_MNT_PPS_Access30[[#This Row],[AC ANT]:[TR 2035]])</f>
        <v>4882</v>
      </c>
    </row>
    <row r="31" spans="1:63" hidden="1" x14ac:dyDescent="0.3">
      <c r="A31" t="s">
        <v>286</v>
      </c>
      <c r="B31" t="s">
        <v>662</v>
      </c>
      <c r="D31" t="s">
        <v>118</v>
      </c>
      <c r="E31" t="s">
        <v>102</v>
      </c>
      <c r="F31" t="s">
        <v>119</v>
      </c>
      <c r="G31" t="s">
        <v>113</v>
      </c>
      <c r="H31" t="s">
        <v>16</v>
      </c>
      <c r="I31" t="s">
        <v>16</v>
      </c>
      <c r="J31" t="s">
        <v>105</v>
      </c>
      <c r="K31" s="2">
        <v>154230987</v>
      </c>
      <c r="L31" t="s">
        <v>289</v>
      </c>
      <c r="M31" t="s">
        <v>122</v>
      </c>
      <c r="N31">
        <f>_xlfn.XLOOKUP(Portefeuille_MNT_PPS_Access30[[#This Row],[Numéro projet]], Portefeuille_MNT_PPS_Access20[Numéro projet], Portefeuille_MNT_PPS_Access20[Année DÉBUT Travaux prévu], "")</f>
        <v>2025</v>
      </c>
      <c r="O31">
        <v>2025</v>
      </c>
      <c r="P31">
        <f>Portefeuille_MNT_PPS_Access30[[#This Row],[Année DÉBUT Travaux proposé]]-Portefeuille_MNT_PPS_Access30[[#This Row],[Année DÉBUT Travaux prog actuelle]]</f>
        <v>0</v>
      </c>
      <c r="Q31" s="8" t="e">
        <f>_xlfn.XLOOKUP(Portefeuille_MNT_PPS_Access30[[#This Row],[Numéro projet]],#REF!,#REF!, "")</f>
        <v>#REF!</v>
      </c>
      <c r="R31" s="8" t="e">
        <f>Portefeuille_MNT_PPS_Access30[[#This Row],[Année prog actuelle à jour]]-Portefeuille_MNT_PPS_Access30[[#This Row],[Année DÉBUT Travaux proposé]]</f>
        <v>#REF!</v>
      </c>
      <c r="S31" t="s">
        <v>164</v>
      </c>
      <c r="T31" s="1"/>
      <c r="U31" s="1"/>
      <c r="V31" s="1">
        <v>45712</v>
      </c>
      <c r="W3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3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3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3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3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1501</v>
      </c>
      <c r="AB31">
        <f>Portefeuille_MNT_PPS_Access30[[#This Row],[Délais PC1 et PC3]]+Portefeuille_MNT_PPS_Access30[[#This Row],[Délais PC3 et PC5]]</f>
        <v>1501</v>
      </c>
      <c r="AC31">
        <v>1</v>
      </c>
      <c r="AD31">
        <v>5</v>
      </c>
      <c r="AF31" t="s">
        <v>165</v>
      </c>
      <c r="AG31">
        <v>4</v>
      </c>
      <c r="AH31" s="2">
        <f>_xlfn.XLOOKUP(Portefeuille_MNT_PPS_Access30[[#This Row],[Numéro projet]],Portefeuille_MNT_PPS_Access27[Numéro projet],Portefeuille_MNT_PPS_Access27[Critère Etat Infrastructure])</f>
        <v>5</v>
      </c>
      <c r="AI3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105</v>
      </c>
      <c r="AJ31" s="221"/>
      <c r="AN31"/>
      <c r="AO31">
        <v>20</v>
      </c>
      <c r="AP31">
        <v>895</v>
      </c>
      <c r="AX31"/>
      <c r="BK31" s="14">
        <f>SUM(Portefeuille_MNT_PPS_Access30[[#This Row],[AC ANT]:[TR 2035]])</f>
        <v>915</v>
      </c>
    </row>
    <row r="32" spans="1:63" hidden="1" x14ac:dyDescent="0.3">
      <c r="A32" t="s">
        <v>286</v>
      </c>
      <c r="B32" t="s">
        <v>663</v>
      </c>
      <c r="D32" t="s">
        <v>101</v>
      </c>
      <c r="E32" t="s">
        <v>102</v>
      </c>
      <c r="F32" t="s">
        <v>119</v>
      </c>
      <c r="G32" t="s">
        <v>113</v>
      </c>
      <c r="H32" t="s">
        <v>16</v>
      </c>
      <c r="I32" t="s">
        <v>16</v>
      </c>
      <c r="J32" t="s">
        <v>105</v>
      </c>
      <c r="K32" s="2">
        <v>154180091</v>
      </c>
      <c r="L32" t="s">
        <v>333</v>
      </c>
      <c r="M32" t="s">
        <v>122</v>
      </c>
      <c r="N32">
        <f>_xlfn.XLOOKUP(Portefeuille_MNT_PPS_Access30[[#This Row],[Numéro projet]], Portefeuille_MNT_PPS_Access20[Numéro projet], Portefeuille_MNT_PPS_Access20[Année DÉBUT Travaux prévu], "")</f>
        <v>2025</v>
      </c>
      <c r="O32">
        <v>2025</v>
      </c>
      <c r="P32">
        <f>Portefeuille_MNT_PPS_Access30[[#This Row],[Année DÉBUT Travaux proposé]]-Portefeuille_MNT_PPS_Access30[[#This Row],[Année DÉBUT Travaux prog actuelle]]</f>
        <v>0</v>
      </c>
      <c r="Q32" s="8" t="e">
        <f>_xlfn.XLOOKUP(Portefeuille_MNT_PPS_Access30[[#This Row],[Numéro projet]],#REF!,#REF!, "")</f>
        <v>#REF!</v>
      </c>
      <c r="R32" s="8" t="e">
        <f>Portefeuille_MNT_PPS_Access30[[#This Row],[Année prog actuelle à jour]]-Portefeuille_MNT_PPS_Access30[[#This Row],[Année DÉBUT Travaux proposé]]</f>
        <v>#REF!</v>
      </c>
      <c r="S32" t="s">
        <v>164</v>
      </c>
      <c r="T32" s="1">
        <v>44162</v>
      </c>
      <c r="U32" s="1">
        <v>44489</v>
      </c>
      <c r="V32" s="1">
        <v>44608</v>
      </c>
      <c r="W3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3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3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3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3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4</v>
      </c>
      <c r="AB32">
        <f>Portefeuille_MNT_PPS_Access30[[#This Row],[Délais PC1 et PC3]]+Portefeuille_MNT_PPS_Access30[[#This Row],[Délais PC3 et PC5]]</f>
        <v>15</v>
      </c>
      <c r="AC32">
        <v>1</v>
      </c>
      <c r="AD32">
        <v>1</v>
      </c>
      <c r="AF32" t="s">
        <v>165</v>
      </c>
      <c r="AG32">
        <v>4</v>
      </c>
      <c r="AH32" s="2">
        <f>_xlfn.XLOOKUP(Portefeuille_MNT_PPS_Access30[[#This Row],[Numéro projet]],Portefeuille_MNT_PPS_Access27[Numéro projet],Portefeuille_MNT_PPS_Access27[Critère Etat Infrastructure])</f>
        <v>5</v>
      </c>
      <c r="AI3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85.000000000000014</v>
      </c>
      <c r="AJ32" s="221"/>
      <c r="AK32">
        <v>183</v>
      </c>
      <c r="AL32">
        <v>33</v>
      </c>
      <c r="AM32">
        <v>297</v>
      </c>
      <c r="AN32">
        <v>6350</v>
      </c>
      <c r="AO32">
        <v>162</v>
      </c>
      <c r="AP32">
        <v>50</v>
      </c>
      <c r="AX32"/>
      <c r="BK32" s="14">
        <f>SUM(Portefeuille_MNT_PPS_Access30[[#This Row],[AC ANT]:[TR 2035]])</f>
        <v>7075</v>
      </c>
    </row>
    <row r="33" spans="1:63" hidden="1" x14ac:dyDescent="0.3">
      <c r="A33" t="s">
        <v>286</v>
      </c>
      <c r="B33" t="s">
        <v>662</v>
      </c>
      <c r="D33" t="s">
        <v>118</v>
      </c>
      <c r="E33" t="s">
        <v>102</v>
      </c>
      <c r="F33" t="s">
        <v>177</v>
      </c>
      <c r="G33" t="s">
        <v>129</v>
      </c>
      <c r="H33" t="s">
        <v>16</v>
      </c>
      <c r="I33" t="s">
        <v>16</v>
      </c>
      <c r="J33" t="s">
        <v>131</v>
      </c>
      <c r="K33" s="2">
        <v>154240647</v>
      </c>
      <c r="L33" t="s">
        <v>294</v>
      </c>
      <c r="M33" t="s">
        <v>134</v>
      </c>
      <c r="N33">
        <f>_xlfn.XLOOKUP(Portefeuille_MNT_PPS_Access30[[#This Row],[Numéro projet]], Portefeuille_MNT_PPS_Access20[Numéro projet], Portefeuille_MNT_PPS_Access20[Année DÉBUT Travaux prévu], "")</f>
        <v>2025</v>
      </c>
      <c r="O33">
        <v>2025</v>
      </c>
      <c r="P33">
        <f>Portefeuille_MNT_PPS_Access30[[#This Row],[Année DÉBUT Travaux proposé]]-Portefeuille_MNT_PPS_Access30[[#This Row],[Année DÉBUT Travaux prog actuelle]]</f>
        <v>0</v>
      </c>
      <c r="Q33" s="8" t="e">
        <f>_xlfn.XLOOKUP(Portefeuille_MNT_PPS_Access30[[#This Row],[Numéro projet]],#REF!,#REF!, "")</f>
        <v>#REF!</v>
      </c>
      <c r="R33" s="8" t="e">
        <f>Portefeuille_MNT_PPS_Access30[[#This Row],[Année prog actuelle à jour]]-Portefeuille_MNT_PPS_Access30[[#This Row],[Année DÉBUT Travaux proposé]]</f>
        <v>#REF!</v>
      </c>
      <c r="S33" t="s">
        <v>164</v>
      </c>
      <c r="T33" s="1">
        <v>45702</v>
      </c>
      <c r="U33" s="1">
        <v>45702</v>
      </c>
      <c r="V33" s="1">
        <v>45702</v>
      </c>
      <c r="W3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3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3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3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3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33">
        <f>Portefeuille_MNT_PPS_Access30[[#This Row],[Délais PC1 et PC3]]+Portefeuille_MNT_PPS_Access30[[#This Row],[Délais PC3 et PC5]]</f>
        <v>0</v>
      </c>
      <c r="AC33">
        <v>1</v>
      </c>
      <c r="AD33">
        <v>1</v>
      </c>
      <c r="AF33" t="s">
        <v>165</v>
      </c>
      <c r="AG33">
        <v>2.3333333333333335</v>
      </c>
      <c r="AH33" s="2" t="e">
        <f>_xlfn.XLOOKUP(Portefeuille_MNT_PPS_Access30[[#This Row],[Numéro projet]],Portefeuille_MNT_PPS_Access27[Numéro projet],Portefeuille_MNT_PPS_Access27[Critère Etat Infrastructure])</f>
        <v>#N/A</v>
      </c>
      <c r="AI33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33" s="221"/>
      <c r="AN33"/>
      <c r="AO33">
        <v>50</v>
      </c>
      <c r="AP33">
        <v>2894</v>
      </c>
      <c r="AX33"/>
      <c r="BK33" s="14">
        <f>SUM(Portefeuille_MNT_PPS_Access30[[#This Row],[AC ANT]:[TR 2035]])</f>
        <v>2944</v>
      </c>
    </row>
    <row r="34" spans="1:63" hidden="1" x14ac:dyDescent="0.3">
      <c r="A34" t="s">
        <v>286</v>
      </c>
      <c r="B34" t="s">
        <v>664</v>
      </c>
      <c r="D34" t="s">
        <v>101</v>
      </c>
      <c r="E34" t="s">
        <v>102</v>
      </c>
      <c r="F34" t="s">
        <v>200</v>
      </c>
      <c r="G34" t="s">
        <v>149</v>
      </c>
      <c r="H34" t="s">
        <v>16</v>
      </c>
      <c r="I34" t="s">
        <v>16</v>
      </c>
      <c r="J34" t="s">
        <v>105</v>
      </c>
      <c r="K34" s="2">
        <v>154180629</v>
      </c>
      <c r="L34" t="s">
        <v>335</v>
      </c>
      <c r="M34" t="s">
        <v>205</v>
      </c>
      <c r="N34">
        <f>_xlfn.XLOOKUP(Portefeuille_MNT_PPS_Access30[[#This Row],[Numéro projet]], Portefeuille_MNT_PPS_Access20[Numéro projet], Portefeuille_MNT_PPS_Access20[Année DÉBUT Travaux prévu], "")</f>
        <v>2025</v>
      </c>
      <c r="O34">
        <v>2025</v>
      </c>
      <c r="P34">
        <f>Portefeuille_MNT_PPS_Access30[[#This Row],[Année DÉBUT Travaux proposé]]-Portefeuille_MNT_PPS_Access30[[#This Row],[Année DÉBUT Travaux prog actuelle]]</f>
        <v>0</v>
      </c>
      <c r="Q34" s="8" t="e">
        <f>_xlfn.XLOOKUP(Portefeuille_MNT_PPS_Access30[[#This Row],[Numéro projet]],#REF!,#REF!, "")</f>
        <v>#REF!</v>
      </c>
      <c r="R34" s="8" t="e">
        <f>Portefeuille_MNT_PPS_Access30[[#This Row],[Année prog actuelle à jour]]-Portefeuille_MNT_PPS_Access30[[#This Row],[Année DÉBUT Travaux proposé]]</f>
        <v>#REF!</v>
      </c>
      <c r="S34" t="s">
        <v>164</v>
      </c>
      <c r="T34" s="1">
        <v>44228</v>
      </c>
      <c r="U34" s="1">
        <v>44579</v>
      </c>
      <c r="V34" s="1">
        <v>44865</v>
      </c>
      <c r="W3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3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3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3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3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34">
        <f>Portefeuille_MNT_PPS_Access30[[#This Row],[Délais PC1 et PC3]]+Portefeuille_MNT_PPS_Access30[[#This Row],[Délais PC3 et PC5]]</f>
        <v>20</v>
      </c>
      <c r="AC34">
        <v>1</v>
      </c>
      <c r="AD34">
        <v>1</v>
      </c>
      <c r="AF34" t="s">
        <v>165</v>
      </c>
      <c r="AG34">
        <v>3</v>
      </c>
      <c r="AH34" s="2">
        <f>_xlfn.XLOOKUP(Portefeuille_MNT_PPS_Access30[[#This Row],[Numéro projet]],Portefeuille_MNT_PPS_Access27[Numéro projet],Portefeuille_MNT_PPS_Access27[Critère Etat Infrastructure])</f>
        <v>0</v>
      </c>
      <c r="AI3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55.000000000000007</v>
      </c>
      <c r="AJ34" s="221"/>
      <c r="AK34">
        <v>262</v>
      </c>
      <c r="AL34">
        <v>16</v>
      </c>
      <c r="AM34">
        <v>265</v>
      </c>
      <c r="AN34">
        <v>6205</v>
      </c>
      <c r="AO34">
        <v>183</v>
      </c>
      <c r="AP34">
        <v>282</v>
      </c>
      <c r="AX34"/>
      <c r="BK34" s="14">
        <f>SUM(Portefeuille_MNT_PPS_Access30[[#This Row],[AC ANT]:[TR 2035]])</f>
        <v>7213</v>
      </c>
    </row>
    <row r="35" spans="1:63" hidden="1" x14ac:dyDescent="0.3">
      <c r="A35" t="s">
        <v>286</v>
      </c>
      <c r="B35" t="s">
        <v>663</v>
      </c>
      <c r="D35" t="s">
        <v>101</v>
      </c>
      <c r="E35" t="s">
        <v>102</v>
      </c>
      <c r="F35" t="s">
        <v>177</v>
      </c>
      <c r="G35" t="s">
        <v>129</v>
      </c>
      <c r="H35" t="s">
        <v>16</v>
      </c>
      <c r="I35" t="s">
        <v>16</v>
      </c>
      <c r="J35" t="s">
        <v>131</v>
      </c>
      <c r="K35" s="2">
        <v>154180922</v>
      </c>
      <c r="L35" t="s">
        <v>179</v>
      </c>
      <c r="M35" t="s">
        <v>180</v>
      </c>
      <c r="N35">
        <f>_xlfn.XLOOKUP(Portefeuille_MNT_PPS_Access30[[#This Row],[Numéro projet]], Portefeuille_MNT_PPS_Access20[Numéro projet], Portefeuille_MNT_PPS_Access20[Année DÉBUT Travaux prévu], "")</f>
        <v>2025</v>
      </c>
      <c r="O35">
        <v>2025</v>
      </c>
      <c r="P35">
        <f>Portefeuille_MNT_PPS_Access30[[#This Row],[Année DÉBUT Travaux proposé]]-Portefeuille_MNT_PPS_Access30[[#This Row],[Année DÉBUT Travaux prog actuelle]]</f>
        <v>0</v>
      </c>
      <c r="Q35" s="8" t="e">
        <f>_xlfn.XLOOKUP(Portefeuille_MNT_PPS_Access30[[#This Row],[Numéro projet]],#REF!,#REF!, "")</f>
        <v>#REF!</v>
      </c>
      <c r="R35" s="8" t="e">
        <f>Portefeuille_MNT_PPS_Access30[[#This Row],[Année prog actuelle à jour]]-Portefeuille_MNT_PPS_Access30[[#This Row],[Année DÉBUT Travaux proposé]]</f>
        <v>#REF!</v>
      </c>
      <c r="S35" t="s">
        <v>164</v>
      </c>
      <c r="T35" s="1"/>
      <c r="U35" s="1"/>
      <c r="V35" s="1">
        <v>45195</v>
      </c>
      <c r="W3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3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3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3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3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1484</v>
      </c>
      <c r="AB35">
        <f>Portefeuille_MNT_PPS_Access30[[#This Row],[Délais PC1 et PC3]]+Portefeuille_MNT_PPS_Access30[[#This Row],[Délais PC3 et PC5]]</f>
        <v>1484</v>
      </c>
      <c r="AC35">
        <v>1</v>
      </c>
      <c r="AD35">
        <v>5</v>
      </c>
      <c r="AF35" t="s">
        <v>165</v>
      </c>
      <c r="AG35">
        <v>2.6</v>
      </c>
      <c r="AH35" s="2">
        <f>_xlfn.XLOOKUP(Portefeuille_MNT_PPS_Access30[[#This Row],[Numéro projet]],Portefeuille_MNT_PPS_Access27[Numéro projet],Portefeuille_MNT_PPS_Access27[Critère Etat Infrastructure])</f>
        <v>0</v>
      </c>
      <c r="AI3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73</v>
      </c>
      <c r="AJ35" s="221"/>
      <c r="AK35">
        <v>75</v>
      </c>
      <c r="AL35">
        <v>101.00000000000001</v>
      </c>
      <c r="AM35">
        <v>25</v>
      </c>
      <c r="AN35">
        <v>1137</v>
      </c>
      <c r="AO35">
        <v>73</v>
      </c>
      <c r="AP35">
        <v>596</v>
      </c>
      <c r="AX35"/>
      <c r="BK35" s="14">
        <f>SUM(Portefeuille_MNT_PPS_Access30[[#This Row],[AC ANT]:[TR 2035]])</f>
        <v>2007</v>
      </c>
    </row>
    <row r="36" spans="1:63" hidden="1" x14ac:dyDescent="0.3">
      <c r="A36" t="s">
        <v>286</v>
      </c>
      <c r="B36" t="s">
        <v>664</v>
      </c>
      <c r="D36" t="s">
        <v>101</v>
      </c>
      <c r="E36" t="s">
        <v>102</v>
      </c>
      <c r="F36" t="s">
        <v>200</v>
      </c>
      <c r="G36" t="s">
        <v>113</v>
      </c>
      <c r="H36" t="s">
        <v>16</v>
      </c>
      <c r="I36" t="s">
        <v>16</v>
      </c>
      <c r="J36" t="s">
        <v>131</v>
      </c>
      <c r="K36" s="2">
        <v>154190163</v>
      </c>
      <c r="L36" t="s">
        <v>337</v>
      </c>
      <c r="M36" t="s">
        <v>180</v>
      </c>
      <c r="N36">
        <f>_xlfn.XLOOKUP(Portefeuille_MNT_PPS_Access30[[#This Row],[Numéro projet]], Portefeuille_MNT_PPS_Access20[Numéro projet], Portefeuille_MNT_PPS_Access20[Année DÉBUT Travaux prévu], "")</f>
        <v>2025</v>
      </c>
      <c r="O36">
        <v>2025</v>
      </c>
      <c r="P36">
        <f>Portefeuille_MNT_PPS_Access30[[#This Row],[Année DÉBUT Travaux proposé]]-Portefeuille_MNT_PPS_Access30[[#This Row],[Année DÉBUT Travaux prog actuelle]]</f>
        <v>0</v>
      </c>
      <c r="Q36" s="8" t="e">
        <f>_xlfn.XLOOKUP(Portefeuille_MNT_PPS_Access30[[#This Row],[Numéro projet]],#REF!,#REF!, "")</f>
        <v>#REF!</v>
      </c>
      <c r="R36" s="8" t="e">
        <f>Portefeuille_MNT_PPS_Access30[[#This Row],[Année prog actuelle à jour]]-Portefeuille_MNT_PPS_Access30[[#This Row],[Année DÉBUT Travaux proposé]]</f>
        <v>#REF!</v>
      </c>
      <c r="S36" t="s">
        <v>164</v>
      </c>
      <c r="T36" s="1"/>
      <c r="U36" s="1">
        <v>44518</v>
      </c>
      <c r="V36" s="1">
        <v>44657</v>
      </c>
      <c r="W3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3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3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3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1462</v>
      </c>
      <c r="AA3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5</v>
      </c>
      <c r="AB36">
        <f>Portefeuille_MNT_PPS_Access30[[#This Row],[Délais PC1 et PC3]]+Portefeuille_MNT_PPS_Access30[[#This Row],[Délais PC3 et PC5]]</f>
        <v>1467</v>
      </c>
      <c r="AC36">
        <v>1</v>
      </c>
      <c r="AD36">
        <v>1</v>
      </c>
      <c r="AF36" t="s">
        <v>165</v>
      </c>
      <c r="AG36">
        <v>2.6666666666666665</v>
      </c>
      <c r="AH36" s="2">
        <f>_xlfn.XLOOKUP(Portefeuille_MNT_PPS_Access30[[#This Row],[Numéro projet]],Portefeuille_MNT_PPS_Access27[Numéro projet],Portefeuille_MNT_PPS_Access27[Critère Etat Infrastructure])</f>
        <v>5</v>
      </c>
      <c r="AI3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78.333333333333329</v>
      </c>
      <c r="AJ36" s="221"/>
      <c r="AK36">
        <v>594</v>
      </c>
      <c r="AL36">
        <v>3359</v>
      </c>
      <c r="AM36">
        <v>264</v>
      </c>
      <c r="AN36">
        <v>2717</v>
      </c>
      <c r="AO36">
        <v>63</v>
      </c>
      <c r="AP36">
        <v>462</v>
      </c>
      <c r="AX36"/>
      <c r="BK36" s="14">
        <f>SUM(Portefeuille_MNT_PPS_Access30[[#This Row],[AC ANT]:[TR 2035]])</f>
        <v>7459</v>
      </c>
    </row>
    <row r="37" spans="1:63" hidden="1" x14ac:dyDescent="0.3">
      <c r="A37" t="s">
        <v>286</v>
      </c>
      <c r="B37" t="s">
        <v>664</v>
      </c>
      <c r="D37" t="s">
        <v>101</v>
      </c>
      <c r="E37" t="s">
        <v>102</v>
      </c>
      <c r="F37" t="s">
        <v>200</v>
      </c>
      <c r="G37" t="s">
        <v>104</v>
      </c>
      <c r="H37" t="s">
        <v>16</v>
      </c>
      <c r="I37" t="s">
        <v>16</v>
      </c>
      <c r="J37" t="s">
        <v>105</v>
      </c>
      <c r="K37" s="2">
        <v>154180001</v>
      </c>
      <c r="L37" t="s">
        <v>331</v>
      </c>
      <c r="M37" t="s">
        <v>180</v>
      </c>
      <c r="N37">
        <f>_xlfn.XLOOKUP(Portefeuille_MNT_PPS_Access30[[#This Row],[Numéro projet]], Portefeuille_MNT_PPS_Access20[Numéro projet], Portefeuille_MNT_PPS_Access20[Année DÉBUT Travaux prévu], "")</f>
        <v>2025</v>
      </c>
      <c r="O37">
        <v>2025</v>
      </c>
      <c r="P37">
        <f>Portefeuille_MNT_PPS_Access30[[#This Row],[Année DÉBUT Travaux proposé]]-Portefeuille_MNT_PPS_Access30[[#This Row],[Année DÉBUT Travaux prog actuelle]]</f>
        <v>0</v>
      </c>
      <c r="Q37" s="8" t="e">
        <f>_xlfn.XLOOKUP(Portefeuille_MNT_PPS_Access30[[#This Row],[Numéro projet]],#REF!,#REF!, "")</f>
        <v>#REF!</v>
      </c>
      <c r="R37" s="8" t="e">
        <f>Portefeuille_MNT_PPS_Access30[[#This Row],[Année prog actuelle à jour]]-Portefeuille_MNT_PPS_Access30[[#This Row],[Année DÉBUT Travaux proposé]]</f>
        <v>#REF!</v>
      </c>
      <c r="S37" t="s">
        <v>164</v>
      </c>
      <c r="T37" s="1">
        <v>43360</v>
      </c>
      <c r="U37" s="1">
        <v>43671</v>
      </c>
      <c r="V37" s="1">
        <v>44217</v>
      </c>
      <c r="W3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3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3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3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10</v>
      </c>
      <c r="AA3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18</v>
      </c>
      <c r="AB37">
        <f>Portefeuille_MNT_PPS_Access30[[#This Row],[Délais PC1 et PC3]]+Portefeuille_MNT_PPS_Access30[[#This Row],[Délais PC3 et PC5]]</f>
        <v>28</v>
      </c>
      <c r="AC37">
        <v>1</v>
      </c>
      <c r="AD37">
        <v>1</v>
      </c>
      <c r="AF37" t="s">
        <v>165</v>
      </c>
      <c r="AG37">
        <v>3</v>
      </c>
      <c r="AH37" s="2">
        <f>_xlfn.XLOOKUP(Portefeuille_MNT_PPS_Access30[[#This Row],[Numéro projet]],Portefeuille_MNT_PPS_Access27[Numéro projet],Portefeuille_MNT_PPS_Access27[Critère Etat Infrastructure])</f>
        <v>0</v>
      </c>
      <c r="AI3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55.000000000000007</v>
      </c>
      <c r="AJ37" s="221"/>
      <c r="AK37">
        <v>432</v>
      </c>
      <c r="AL37">
        <v>3057</v>
      </c>
      <c r="AM37">
        <v>136</v>
      </c>
      <c r="AN37"/>
      <c r="AO37">
        <v>137</v>
      </c>
      <c r="AP37">
        <v>73</v>
      </c>
      <c r="AX37"/>
      <c r="BK37" s="14">
        <f>SUM(Portefeuille_MNT_PPS_Access30[[#This Row],[AC ANT]:[TR 2035]])</f>
        <v>3835</v>
      </c>
    </row>
    <row r="38" spans="1:63" hidden="1" x14ac:dyDescent="0.3">
      <c r="A38" t="s">
        <v>11</v>
      </c>
      <c r="D38" t="s">
        <v>118</v>
      </c>
      <c r="E38" t="s">
        <v>102</v>
      </c>
      <c r="F38" t="s">
        <v>103</v>
      </c>
      <c r="G38" t="s">
        <v>252</v>
      </c>
      <c r="H38" t="s">
        <v>20</v>
      </c>
      <c r="I38" t="s">
        <v>16</v>
      </c>
      <c r="J38" t="s">
        <v>131</v>
      </c>
      <c r="K38" s="2">
        <v>154240498</v>
      </c>
      <c r="L38" t="s">
        <v>258</v>
      </c>
      <c r="M38" t="s">
        <v>180</v>
      </c>
      <c r="N38">
        <f>_xlfn.XLOOKUP(Portefeuille_MNT_PPS_Access30[[#This Row],[Numéro projet]], Portefeuille_MNT_PPS_Access20[Numéro projet], Portefeuille_MNT_PPS_Access20[Année DÉBUT Travaux prévu], "")</f>
        <v>2025</v>
      </c>
      <c r="O38">
        <v>2025</v>
      </c>
      <c r="P38">
        <f>Portefeuille_MNT_PPS_Access30[[#This Row],[Année DÉBUT Travaux proposé]]-Portefeuille_MNT_PPS_Access30[[#This Row],[Année DÉBUT Travaux prog actuelle]]</f>
        <v>0</v>
      </c>
      <c r="Q38" s="8" t="e">
        <f>_xlfn.XLOOKUP(Portefeuille_MNT_PPS_Access30[[#This Row],[Numéro projet]],#REF!,#REF!, "")</f>
        <v>#REF!</v>
      </c>
      <c r="R38" s="8" t="e">
        <f>Portefeuille_MNT_PPS_Access30[[#This Row],[Année prog actuelle à jour]]-Portefeuille_MNT_PPS_Access30[[#This Row],[Année DÉBUT Travaux proposé]]</f>
        <v>#REF!</v>
      </c>
      <c r="S38" t="s">
        <v>291</v>
      </c>
      <c r="T38" s="1"/>
      <c r="U38" s="1"/>
      <c r="V38" s="1"/>
      <c r="W3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3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3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3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3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38">
        <f>Portefeuille_MNT_PPS_Access30[[#This Row],[Délais PC1 et PC3]]+Portefeuille_MNT_PPS_Access30[[#This Row],[Délais PC3 et PC5]]</f>
        <v>0</v>
      </c>
      <c r="AC38">
        <v>1</v>
      </c>
      <c r="AD38">
        <v>1</v>
      </c>
      <c r="AF38" t="s">
        <v>311</v>
      </c>
      <c r="AG38">
        <v>2.8787878787878789</v>
      </c>
      <c r="AH38" s="2">
        <f>_xlfn.XLOOKUP(Portefeuille_MNT_PPS_Access30[[#This Row],[Numéro projet]],Portefeuille_MNT_PPS_Access27[Numéro projet],Portefeuille_MNT_PPS_Access27[Critère Etat Infrastructure])</f>
        <v>3</v>
      </c>
      <c r="AI3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34.393939393939391</v>
      </c>
      <c r="AJ38" s="221"/>
      <c r="AN38"/>
      <c r="AP38">
        <v>300</v>
      </c>
      <c r="AX38"/>
      <c r="BK38" s="14">
        <f>SUM(Portefeuille_MNT_PPS_Access30[[#This Row],[AC ANT]:[TR 2035]])</f>
        <v>300</v>
      </c>
    </row>
    <row r="39" spans="1:63" hidden="1" x14ac:dyDescent="0.3">
      <c r="A39" t="s">
        <v>286</v>
      </c>
      <c r="D39" t="s">
        <v>126</v>
      </c>
      <c r="E39" t="s">
        <v>127</v>
      </c>
      <c r="F39" t="s">
        <v>136</v>
      </c>
      <c r="G39" t="s">
        <v>252</v>
      </c>
      <c r="H39" t="s">
        <v>20</v>
      </c>
      <c r="I39" t="s">
        <v>16</v>
      </c>
      <c r="J39" t="s">
        <v>131</v>
      </c>
      <c r="K39" s="2">
        <v>154250374</v>
      </c>
      <c r="L39" t="s">
        <v>646</v>
      </c>
      <c r="M39" t="s">
        <v>139</v>
      </c>
      <c r="N39" t="str">
        <f>_xlfn.XLOOKUP(Portefeuille_MNT_PPS_Access30[[#This Row],[Numéro projet]], Portefeuille_MNT_PPS_Access20[Numéro projet], Portefeuille_MNT_PPS_Access20[Année DÉBUT Travaux prévu], "")</f>
        <v/>
      </c>
      <c r="O39" s="8">
        <v>2025</v>
      </c>
      <c r="P39" s="8" t="e">
        <f>Portefeuille_MNT_PPS_Access30[[#This Row],[Année DÉBUT Travaux proposé]]-Portefeuille_MNT_PPS_Access30[[#This Row],[Année DÉBUT Travaux prog actuelle]]</f>
        <v>#VALUE!</v>
      </c>
      <c r="Q39" s="8" t="e">
        <f>_xlfn.XLOOKUP(Portefeuille_MNT_PPS_Access30[[#This Row],[Numéro projet]],#REF!,#REF!, "")</f>
        <v>#REF!</v>
      </c>
      <c r="R39" s="8" t="e">
        <f>Portefeuille_MNT_PPS_Access30[[#This Row],[Année prog actuelle à jour]]-Portefeuille_MNT_PPS_Access30[[#This Row],[Année DÉBUT Travaux proposé]]</f>
        <v>#REF!</v>
      </c>
      <c r="S39" t="s">
        <v>291</v>
      </c>
      <c r="T39" s="1"/>
      <c r="U39" s="1"/>
      <c r="V39" s="1"/>
      <c r="W3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3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3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3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3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39">
        <f>Portefeuille_MNT_PPS_Access30[[#This Row],[Délais PC1 et PC3]]+Portefeuille_MNT_PPS_Access30[[#This Row],[Délais PC3 et PC5]]</f>
        <v>0</v>
      </c>
      <c r="AC39">
        <v>1</v>
      </c>
      <c r="AD39">
        <v>1</v>
      </c>
      <c r="AF39" t="s">
        <v>311</v>
      </c>
      <c r="AG39">
        <v>2</v>
      </c>
      <c r="AH39" s="2">
        <f>_xlfn.XLOOKUP(Portefeuille_MNT_PPS_Access30[[#This Row],[Numéro projet]],Portefeuille_MNT_PPS_Access27[Numéro projet],Portefeuille_MNT_PPS_Access27[Critère Etat Infrastructure])</f>
        <v>4</v>
      </c>
      <c r="AI3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35</v>
      </c>
      <c r="AJ39" s="221"/>
      <c r="AN39"/>
      <c r="AP39">
        <v>100</v>
      </c>
      <c r="AX39"/>
      <c r="BK39" s="14">
        <f>SUM(Portefeuille_MNT_PPS_Access30[[#This Row],[AC ANT]:[TR 2035]])</f>
        <v>100</v>
      </c>
    </row>
    <row r="40" spans="1:63" hidden="1" x14ac:dyDescent="0.3">
      <c r="A40" t="s">
        <v>286</v>
      </c>
      <c r="B40" t="s">
        <v>664</v>
      </c>
      <c r="D40" t="s">
        <v>101</v>
      </c>
      <c r="E40" t="s">
        <v>102</v>
      </c>
      <c r="F40" t="s">
        <v>103</v>
      </c>
      <c r="G40" t="s">
        <v>113</v>
      </c>
      <c r="H40" t="s">
        <v>16</v>
      </c>
      <c r="I40" t="s">
        <v>16</v>
      </c>
      <c r="J40" t="s">
        <v>105</v>
      </c>
      <c r="K40" s="2">
        <v>154180736</v>
      </c>
      <c r="L40" t="s">
        <v>115</v>
      </c>
      <c r="M40" t="s">
        <v>116</v>
      </c>
      <c r="N40">
        <f>_xlfn.XLOOKUP(Portefeuille_MNT_PPS_Access30[[#This Row],[Numéro projet]], Portefeuille_MNT_PPS_Access20[Numéro projet], Portefeuille_MNT_PPS_Access20[Année DÉBUT Travaux prévu], "")</f>
        <v>2026</v>
      </c>
      <c r="O40" s="8">
        <v>2026</v>
      </c>
      <c r="P40">
        <f>Portefeuille_MNT_PPS_Access30[[#This Row],[Année DÉBUT Travaux proposé]]-Portefeuille_MNT_PPS_Access30[[#This Row],[Année DÉBUT Travaux prog actuelle]]</f>
        <v>0</v>
      </c>
      <c r="Q40" s="8" t="e">
        <f>_xlfn.XLOOKUP(Portefeuille_MNT_PPS_Access30[[#This Row],[Numéro projet]],#REF!,#REF!, "")</f>
        <v>#REF!</v>
      </c>
      <c r="R40" s="8" t="e">
        <f>Portefeuille_MNT_PPS_Access30[[#This Row],[Année prog actuelle à jour]]-Portefeuille_MNT_PPS_Access30[[#This Row],[Année DÉBUT Travaux proposé]]</f>
        <v>#REF!</v>
      </c>
      <c r="S40" t="s">
        <v>123</v>
      </c>
      <c r="T40" s="1">
        <v>45105</v>
      </c>
      <c r="U40" s="1">
        <v>45789</v>
      </c>
      <c r="V40" s="1">
        <v>45932</v>
      </c>
      <c r="W40" s="1"/>
      <c r="X40" s="1"/>
      <c r="Y4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23</v>
      </c>
      <c r="AA4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5</v>
      </c>
      <c r="AB40">
        <f>Portefeuille_MNT_PPS_Access30[[#This Row],[Délais PC1 et PC3]]+Portefeuille_MNT_PPS_Access30[[#This Row],[Délais PC3 et PC5]]</f>
        <v>28</v>
      </c>
      <c r="AC40">
        <v>1</v>
      </c>
      <c r="AD40">
        <v>5</v>
      </c>
      <c r="AE40">
        <v>5</v>
      </c>
      <c r="AF40" t="s">
        <v>125</v>
      </c>
      <c r="AG40">
        <v>3.3333333333333335</v>
      </c>
      <c r="AH40" s="2">
        <f>_xlfn.XLOOKUP(Portefeuille_MNT_PPS_Access30[[#This Row],[Numéro projet]],Portefeuille_MNT_PPS_Access27[Numéro projet],Portefeuille_MNT_PPS_Access27[Critère Etat Infrastructure])</f>
        <v>4</v>
      </c>
      <c r="AI4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86.666666666666671</v>
      </c>
      <c r="AJ40" s="221"/>
      <c r="AK40">
        <v>25</v>
      </c>
      <c r="AM40">
        <v>17</v>
      </c>
      <c r="AN40"/>
      <c r="AO40">
        <v>48</v>
      </c>
      <c r="AQ40">
        <v>520</v>
      </c>
      <c r="AR40">
        <v>19125</v>
      </c>
      <c r="AX40"/>
      <c r="BK40" s="14">
        <f>SUM(Portefeuille_MNT_PPS_Access30[[#This Row],[AC ANT]:[TR 2035]])</f>
        <v>19735</v>
      </c>
    </row>
    <row r="41" spans="1:63" x14ac:dyDescent="0.3">
      <c r="A41" t="s">
        <v>286</v>
      </c>
      <c r="B41" t="s">
        <v>664</v>
      </c>
      <c r="D41" t="s">
        <v>101</v>
      </c>
      <c r="E41" t="s">
        <v>102</v>
      </c>
      <c r="F41" t="s">
        <v>103</v>
      </c>
      <c r="G41" t="s">
        <v>104</v>
      </c>
      <c r="H41" t="s">
        <v>16</v>
      </c>
      <c r="I41" t="s">
        <v>16</v>
      </c>
      <c r="J41" t="s">
        <v>105</v>
      </c>
      <c r="K41" s="2">
        <v>154190692</v>
      </c>
      <c r="L41" t="s">
        <v>107</v>
      </c>
      <c r="M41" t="s">
        <v>108</v>
      </c>
      <c r="N41">
        <f>_xlfn.XLOOKUP(Portefeuille_MNT_PPS_Access30[[#This Row],[Numéro projet]], Portefeuille_MNT_PPS_Access20[Numéro projet], Portefeuille_MNT_PPS_Access20[Année DÉBUT Travaux prévu], "")</f>
        <v>2026</v>
      </c>
      <c r="O41" s="8">
        <v>2026</v>
      </c>
      <c r="P41" s="2">
        <f>Portefeuille_MNT_PPS_Access30[[#This Row],[Année DÉBUT Travaux proposé]]-Portefeuille_MNT_PPS_Access30[[#This Row],[Année DÉBUT Travaux prog actuelle]]</f>
        <v>0</v>
      </c>
      <c r="Q41" s="8" t="e">
        <f>_xlfn.XLOOKUP(Portefeuille_MNT_PPS_Access30[[#This Row],[Numéro projet]],#REF!,#REF!, "")</f>
        <v>#REF!</v>
      </c>
      <c r="R41" s="8" t="e">
        <f>Portefeuille_MNT_PPS_Access30[[#This Row],[Année prog actuelle à jour]]-Portefeuille_MNT_PPS_Access30[[#This Row],[Année DÉBUT Travaux proposé]]</f>
        <v>#REF!</v>
      </c>
      <c r="S41" t="s">
        <v>123</v>
      </c>
      <c r="T41" s="1">
        <v>45014</v>
      </c>
      <c r="U41" s="1">
        <v>45799</v>
      </c>
      <c r="V41" s="1">
        <v>46006</v>
      </c>
      <c r="W41" s="1"/>
      <c r="X41" s="1"/>
      <c r="Y4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26</v>
      </c>
      <c r="AA4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7</v>
      </c>
      <c r="AB41">
        <f>Portefeuille_MNT_PPS_Access30[[#This Row],[Délais PC1 et PC3]]+Portefeuille_MNT_PPS_Access30[[#This Row],[Délais PC3 et PC5]]</f>
        <v>33</v>
      </c>
      <c r="AC41">
        <v>1</v>
      </c>
      <c r="AD41">
        <v>5</v>
      </c>
      <c r="AE41">
        <v>5</v>
      </c>
      <c r="AF41" t="s">
        <v>125</v>
      </c>
      <c r="AG41">
        <v>4</v>
      </c>
      <c r="AH41" s="2">
        <f>_xlfn.XLOOKUP(Portefeuille_MNT_PPS_Access30[[#This Row],[Numéro projet]],Portefeuille_MNT_PPS_Access27[Numéro projet],Portefeuille_MNT_PPS_Access27[Critère Etat Infrastructure])</f>
        <v>4</v>
      </c>
      <c r="AI4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90</v>
      </c>
      <c r="AJ41" s="221"/>
      <c r="AK41">
        <v>69</v>
      </c>
      <c r="AM41">
        <v>213</v>
      </c>
      <c r="AN41"/>
      <c r="AO41">
        <v>213</v>
      </c>
      <c r="AQ41">
        <v>318</v>
      </c>
      <c r="AR41">
        <v>8253</v>
      </c>
      <c r="AS41">
        <v>294</v>
      </c>
      <c r="AT41">
        <v>8254</v>
      </c>
      <c r="AX41"/>
      <c r="BK41" s="14">
        <f>SUM(Portefeuille_MNT_PPS_Access30[[#This Row],[AC ANT]:[TR 2035]])</f>
        <v>17614</v>
      </c>
    </row>
    <row r="42" spans="1:63" hidden="1" x14ac:dyDescent="0.3">
      <c r="A42" t="s">
        <v>286</v>
      </c>
      <c r="B42" t="s">
        <v>663</v>
      </c>
      <c r="D42" t="s">
        <v>101</v>
      </c>
      <c r="E42" t="s">
        <v>102</v>
      </c>
      <c r="F42" t="s">
        <v>136</v>
      </c>
      <c r="G42" t="s">
        <v>113</v>
      </c>
      <c r="H42" t="s">
        <v>16</v>
      </c>
      <c r="I42" t="s">
        <v>16</v>
      </c>
      <c r="J42" t="s">
        <v>131</v>
      </c>
      <c r="K42" s="2">
        <v>154081840</v>
      </c>
      <c r="L42" t="s">
        <v>138</v>
      </c>
      <c r="M42" t="s">
        <v>139</v>
      </c>
      <c r="N42">
        <f>_xlfn.XLOOKUP(Portefeuille_MNT_PPS_Access30[[#This Row],[Numéro projet]], Portefeuille_MNT_PPS_Access20[Numéro projet], Portefeuille_MNT_PPS_Access20[Année DÉBUT Travaux prévu], "")</f>
        <v>2026</v>
      </c>
      <c r="O42">
        <v>2026</v>
      </c>
      <c r="P42">
        <f>Portefeuille_MNT_PPS_Access30[[#This Row],[Année DÉBUT Travaux proposé]]-Portefeuille_MNT_PPS_Access30[[#This Row],[Année DÉBUT Travaux prog actuelle]]</f>
        <v>0</v>
      </c>
      <c r="Q42" s="8" t="e">
        <f>_xlfn.XLOOKUP(Portefeuille_MNT_PPS_Access30[[#This Row],[Numéro projet]],#REF!,#REF!, "")</f>
        <v>#REF!</v>
      </c>
      <c r="R42" s="8" t="e">
        <f>Portefeuille_MNT_PPS_Access30[[#This Row],[Année prog actuelle à jour]]-Portefeuille_MNT_PPS_Access30[[#This Row],[Année DÉBUT Travaux proposé]]</f>
        <v>#REF!</v>
      </c>
      <c r="S42" t="s">
        <v>123</v>
      </c>
      <c r="T42" s="1">
        <v>45062</v>
      </c>
      <c r="U42" s="1">
        <v>45754</v>
      </c>
      <c r="V42" s="1">
        <v>45945</v>
      </c>
      <c r="W42" s="1"/>
      <c r="X42" s="1"/>
      <c r="Y4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23</v>
      </c>
      <c r="AA4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6</v>
      </c>
      <c r="AB42">
        <f>Portefeuille_MNT_PPS_Access30[[#This Row],[Délais PC1 et PC3]]+Portefeuille_MNT_PPS_Access30[[#This Row],[Délais PC3 et PC5]]</f>
        <v>29</v>
      </c>
      <c r="AC42">
        <v>1</v>
      </c>
      <c r="AD42">
        <v>5</v>
      </c>
      <c r="AE42">
        <v>5</v>
      </c>
      <c r="AF42" t="s">
        <v>125</v>
      </c>
      <c r="AG42">
        <v>2</v>
      </c>
      <c r="AH42" s="2">
        <f>_xlfn.XLOOKUP(Portefeuille_MNT_PPS_Access30[[#This Row],[Numéro projet]],Portefeuille_MNT_PPS_Access27[Numéro projet],Portefeuille_MNT_PPS_Access27[Critère Etat Infrastructure])</f>
        <v>4</v>
      </c>
      <c r="AI4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80</v>
      </c>
      <c r="AJ42" s="221"/>
      <c r="AK42">
        <v>337</v>
      </c>
      <c r="AL42">
        <v>41</v>
      </c>
      <c r="AM42">
        <v>327</v>
      </c>
      <c r="AN42"/>
      <c r="AO42">
        <v>363</v>
      </c>
      <c r="AQ42">
        <v>907</v>
      </c>
      <c r="AR42">
        <v>5500</v>
      </c>
      <c r="AS42">
        <v>99</v>
      </c>
      <c r="AT42">
        <v>370</v>
      </c>
      <c r="AX42"/>
      <c r="BK42" s="14">
        <f>SUM(Portefeuille_MNT_PPS_Access30[[#This Row],[AC ANT]:[TR 2035]])</f>
        <v>7944</v>
      </c>
    </row>
    <row r="43" spans="1:63" hidden="1" x14ac:dyDescent="0.3">
      <c r="A43" t="s">
        <v>286</v>
      </c>
      <c r="B43" t="s">
        <v>664</v>
      </c>
      <c r="D43" t="s">
        <v>101</v>
      </c>
      <c r="E43" t="s">
        <v>102</v>
      </c>
      <c r="F43" t="s">
        <v>128</v>
      </c>
      <c r="G43" t="s">
        <v>140</v>
      </c>
      <c r="H43" t="s">
        <v>16</v>
      </c>
      <c r="I43" t="s">
        <v>16</v>
      </c>
      <c r="J43" t="s">
        <v>105</v>
      </c>
      <c r="K43" s="2">
        <v>154160008</v>
      </c>
      <c r="L43" t="s">
        <v>142</v>
      </c>
      <c r="M43" t="s">
        <v>143</v>
      </c>
      <c r="N43">
        <f>_xlfn.XLOOKUP(Portefeuille_MNT_PPS_Access30[[#This Row],[Numéro projet]], Portefeuille_MNT_PPS_Access20[Numéro projet], Portefeuille_MNT_PPS_Access20[Année DÉBUT Travaux prévu], "")</f>
        <v>2026</v>
      </c>
      <c r="O43" s="8">
        <v>2026</v>
      </c>
      <c r="P43">
        <f>Portefeuille_MNT_PPS_Access30[[#This Row],[Année DÉBUT Travaux proposé]]-Portefeuille_MNT_PPS_Access30[[#This Row],[Année DÉBUT Travaux prog actuelle]]</f>
        <v>0</v>
      </c>
      <c r="Q43" s="8" t="e">
        <f>_xlfn.XLOOKUP(Portefeuille_MNT_PPS_Access30[[#This Row],[Numéro projet]],#REF!,#REF!, "")</f>
        <v>#REF!</v>
      </c>
      <c r="R43" s="8" t="e">
        <f>Portefeuille_MNT_PPS_Access30[[#This Row],[Année prog actuelle à jour]]-Portefeuille_MNT_PPS_Access30[[#This Row],[Année DÉBUT Travaux proposé]]</f>
        <v>#REF!</v>
      </c>
      <c r="S43" t="s">
        <v>123</v>
      </c>
      <c r="T43" s="1">
        <v>42900</v>
      </c>
      <c r="U43" s="1">
        <v>45323</v>
      </c>
      <c r="V43" s="1">
        <v>45889</v>
      </c>
      <c r="W43" s="1"/>
      <c r="X43" s="1"/>
      <c r="Y4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80</v>
      </c>
      <c r="AA4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18</v>
      </c>
      <c r="AB43">
        <f>Portefeuille_MNT_PPS_Access30[[#This Row],[Délais PC1 et PC3]]+Portefeuille_MNT_PPS_Access30[[#This Row],[Délais PC3 et PC5]]</f>
        <v>98</v>
      </c>
      <c r="AC43">
        <v>1</v>
      </c>
      <c r="AD43">
        <v>5</v>
      </c>
      <c r="AE43">
        <v>5</v>
      </c>
      <c r="AF43" t="s">
        <v>125</v>
      </c>
      <c r="AG43">
        <v>4.333333333333333</v>
      </c>
      <c r="AH43" s="2">
        <f>_xlfn.XLOOKUP(Portefeuille_MNT_PPS_Access30[[#This Row],[Numéro projet]],Portefeuille_MNT_PPS_Access27[Numéro projet],Portefeuille_MNT_PPS_Access27[Critère Etat Infrastructure])</f>
        <v>5</v>
      </c>
      <c r="AI4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96.666666666666671</v>
      </c>
      <c r="AJ43" s="221"/>
      <c r="AK43">
        <v>61</v>
      </c>
      <c r="AN43"/>
      <c r="AQ43">
        <v>400</v>
      </c>
      <c r="AR43">
        <v>5141</v>
      </c>
      <c r="AX43"/>
      <c r="BK43" s="14">
        <f>SUM(Portefeuille_MNT_PPS_Access30[[#This Row],[AC ANT]:[TR 2035]])</f>
        <v>5602</v>
      </c>
    </row>
    <row r="44" spans="1:63" hidden="1" x14ac:dyDescent="0.3">
      <c r="A44" t="s">
        <v>286</v>
      </c>
      <c r="B44" t="s">
        <v>664</v>
      </c>
      <c r="D44" t="s">
        <v>101</v>
      </c>
      <c r="E44" t="s">
        <v>102</v>
      </c>
      <c r="F44" t="s">
        <v>103</v>
      </c>
      <c r="G44" t="s">
        <v>129</v>
      </c>
      <c r="H44" t="s">
        <v>16</v>
      </c>
      <c r="I44" t="s">
        <v>16</v>
      </c>
      <c r="J44" t="s">
        <v>131</v>
      </c>
      <c r="K44" s="2">
        <v>154151060</v>
      </c>
      <c r="L44" t="s">
        <v>288</v>
      </c>
      <c r="M44" t="s">
        <v>134</v>
      </c>
      <c r="N44">
        <f>_xlfn.XLOOKUP(Portefeuille_MNT_PPS_Access30[[#This Row],[Numéro projet]], Portefeuille_MNT_PPS_Access20[Numéro projet], Portefeuille_MNT_PPS_Access20[Année DÉBUT Travaux prévu], "")</f>
        <v>2026</v>
      </c>
      <c r="O44" s="8">
        <v>2026</v>
      </c>
      <c r="P44">
        <f>Portefeuille_MNT_PPS_Access30[[#This Row],[Année DÉBUT Travaux proposé]]-Portefeuille_MNT_PPS_Access30[[#This Row],[Année DÉBUT Travaux prog actuelle]]</f>
        <v>0</v>
      </c>
      <c r="Q44" s="8" t="e">
        <f>_xlfn.XLOOKUP(Portefeuille_MNT_PPS_Access30[[#This Row],[Numéro projet]],#REF!,#REF!, "")</f>
        <v>#REF!</v>
      </c>
      <c r="R44" s="8" t="e">
        <f>Portefeuille_MNT_PPS_Access30[[#This Row],[Année prog actuelle à jour]]-Portefeuille_MNT_PPS_Access30[[#This Row],[Année DÉBUT Travaux proposé]]</f>
        <v>#REF!</v>
      </c>
      <c r="S44" t="s">
        <v>123</v>
      </c>
      <c r="T44" s="1">
        <v>45218</v>
      </c>
      <c r="U44" s="1">
        <v>45722</v>
      </c>
      <c r="V44" s="1">
        <v>45976</v>
      </c>
      <c r="W44" s="1"/>
      <c r="X44" s="1"/>
      <c r="Y4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17</v>
      </c>
      <c r="AA4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8</v>
      </c>
      <c r="AB44">
        <f>Portefeuille_MNT_PPS_Access30[[#This Row],[Délais PC1 et PC3]]+Portefeuille_MNT_PPS_Access30[[#This Row],[Délais PC3 et PC5]]</f>
        <v>25</v>
      </c>
      <c r="AC44">
        <v>1</v>
      </c>
      <c r="AD44">
        <v>5</v>
      </c>
      <c r="AE44">
        <v>5</v>
      </c>
      <c r="AF44" t="s">
        <v>125</v>
      </c>
      <c r="AG44">
        <v>2.3333333333333335</v>
      </c>
      <c r="AH44" s="2">
        <f>_xlfn.XLOOKUP(Portefeuille_MNT_PPS_Access30[[#This Row],[Numéro projet]],Portefeuille_MNT_PPS_Access27[Numéro projet],Portefeuille_MNT_PPS_Access27[Critère Etat Infrastructure])</f>
        <v>5</v>
      </c>
      <c r="AI4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86.666666666666671</v>
      </c>
      <c r="AJ44" s="221"/>
      <c r="AM44">
        <v>12</v>
      </c>
      <c r="AN44"/>
      <c r="AO44">
        <v>10</v>
      </c>
      <c r="AQ44">
        <v>350</v>
      </c>
      <c r="AR44">
        <v>4669</v>
      </c>
      <c r="AX44"/>
      <c r="BK44" s="14">
        <f>SUM(Portefeuille_MNT_PPS_Access30[[#This Row],[AC ANT]:[TR 2035]])</f>
        <v>5041</v>
      </c>
    </row>
    <row r="45" spans="1:63" x14ac:dyDescent="0.3">
      <c r="A45" t="s">
        <v>286</v>
      </c>
      <c r="B45" t="s">
        <v>664</v>
      </c>
      <c r="D45" t="s">
        <v>101</v>
      </c>
      <c r="E45" t="s">
        <v>102</v>
      </c>
      <c r="F45" t="s">
        <v>128</v>
      </c>
      <c r="G45" t="s">
        <v>149</v>
      </c>
      <c r="H45" t="s">
        <v>16</v>
      </c>
      <c r="I45" t="s">
        <v>16</v>
      </c>
      <c r="J45" t="s">
        <v>131</v>
      </c>
      <c r="K45" s="2">
        <v>154200665</v>
      </c>
      <c r="L45" t="s">
        <v>151</v>
      </c>
      <c r="M45" t="s">
        <v>152</v>
      </c>
      <c r="N45">
        <f>_xlfn.XLOOKUP(Portefeuille_MNT_PPS_Access30[[#This Row],[Numéro projet]], Portefeuille_MNT_PPS_Access20[Numéro projet], Portefeuille_MNT_PPS_Access20[Année DÉBUT Travaux prévu], "")</f>
        <v>2026</v>
      </c>
      <c r="O45">
        <v>2026</v>
      </c>
      <c r="P45">
        <f>Portefeuille_MNT_PPS_Access30[[#This Row],[Année DÉBUT Travaux proposé]]-Portefeuille_MNT_PPS_Access30[[#This Row],[Année DÉBUT Travaux prog actuelle]]</f>
        <v>0</v>
      </c>
      <c r="Q45" s="8" t="e">
        <f>_xlfn.XLOOKUP(Portefeuille_MNT_PPS_Access30[[#This Row],[Numéro projet]],#REF!,#REF!, "")</f>
        <v>#REF!</v>
      </c>
      <c r="R45" s="8" t="e">
        <f>Portefeuille_MNT_PPS_Access30[[#This Row],[Année prog actuelle à jour]]-Portefeuille_MNT_PPS_Access30[[#This Row],[Année DÉBUT Travaux proposé]]</f>
        <v>#REF!</v>
      </c>
      <c r="S45" t="s">
        <v>123</v>
      </c>
      <c r="T45" s="1">
        <v>45079</v>
      </c>
      <c r="U45" s="1">
        <v>45685</v>
      </c>
      <c r="V45" s="1">
        <v>46142</v>
      </c>
      <c r="W45" s="1"/>
      <c r="X45" s="1"/>
      <c r="Y4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1.Très à risque</v>
      </c>
      <c r="Z4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19</v>
      </c>
      <c r="AA4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</v>
      </c>
      <c r="AB45">
        <f>Portefeuille_MNT_PPS_Access30[[#This Row],[Délais PC1 et PC3]]+Portefeuille_MNT_PPS_Access30[[#This Row],[Délais PC3 et PC5]]</f>
        <v>34</v>
      </c>
      <c r="AC45">
        <v>1</v>
      </c>
      <c r="AD45">
        <v>5</v>
      </c>
      <c r="AE45">
        <v>1</v>
      </c>
      <c r="AF45" t="s">
        <v>125</v>
      </c>
      <c r="AG45">
        <v>3.3333333333333335</v>
      </c>
      <c r="AH45" s="2">
        <f>_xlfn.XLOOKUP(Portefeuille_MNT_PPS_Access30[[#This Row],[Numéro projet]],Portefeuille_MNT_PPS_Access27[Numéro projet],Portefeuille_MNT_PPS_Access27[Critère Etat Infrastructure])</f>
        <v>4</v>
      </c>
      <c r="AI4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45" s="221"/>
      <c r="AK45">
        <v>12</v>
      </c>
      <c r="AM45">
        <v>163</v>
      </c>
      <c r="AN45"/>
      <c r="AO45">
        <v>120</v>
      </c>
      <c r="AQ45">
        <v>172</v>
      </c>
      <c r="AR45">
        <v>2500</v>
      </c>
      <c r="AS45">
        <v>150</v>
      </c>
      <c r="AT45">
        <v>3991</v>
      </c>
      <c r="AX45"/>
      <c r="BK45" s="14">
        <f>SUM(Portefeuille_MNT_PPS_Access30[[#This Row],[AC ANT]:[TR 2035]])</f>
        <v>7108</v>
      </c>
    </row>
    <row r="46" spans="1:63" x14ac:dyDescent="0.3">
      <c r="A46" t="s">
        <v>286</v>
      </c>
      <c r="B46" t="s">
        <v>295</v>
      </c>
      <c r="D46" t="s">
        <v>126</v>
      </c>
      <c r="E46" t="s">
        <v>127</v>
      </c>
      <c r="F46" t="s">
        <v>103</v>
      </c>
      <c r="G46" t="s">
        <v>144</v>
      </c>
      <c r="H46" t="s">
        <v>16</v>
      </c>
      <c r="I46" t="s">
        <v>16</v>
      </c>
      <c r="J46" t="s">
        <v>131</v>
      </c>
      <c r="K46" s="2">
        <v>154190674</v>
      </c>
      <c r="L46" t="s">
        <v>146</v>
      </c>
      <c r="M46" t="s">
        <v>147</v>
      </c>
      <c r="N46">
        <f>_xlfn.XLOOKUP(Portefeuille_MNT_PPS_Access30[[#This Row],[Numéro projet]], Portefeuille_MNT_PPS_Access20[Numéro projet], Portefeuille_MNT_PPS_Access20[Année DÉBUT Travaux prévu], "")</f>
        <v>2026</v>
      </c>
      <c r="O46" s="8">
        <v>2026</v>
      </c>
      <c r="P46">
        <f>Portefeuille_MNT_PPS_Access30[[#This Row],[Année DÉBUT Travaux proposé]]-Portefeuille_MNT_PPS_Access30[[#This Row],[Année DÉBUT Travaux prog actuelle]]</f>
        <v>0</v>
      </c>
      <c r="Q46" s="8" t="e">
        <f>_xlfn.XLOOKUP(Portefeuille_MNT_PPS_Access30[[#This Row],[Numéro projet]],#REF!,#REF!, "")</f>
        <v>#REF!</v>
      </c>
      <c r="R46" s="8" t="e">
        <f>Portefeuille_MNT_PPS_Access30[[#This Row],[Année prog actuelle à jour]]-Portefeuille_MNT_PPS_Access30[[#This Row],[Année DÉBUT Travaux proposé]]</f>
        <v>#REF!</v>
      </c>
      <c r="S46" t="s">
        <v>110</v>
      </c>
      <c r="T46" s="1">
        <v>44609</v>
      </c>
      <c r="U46" s="1">
        <v>45996</v>
      </c>
      <c r="V46" s="1">
        <v>46310</v>
      </c>
      <c r="W46" s="1"/>
      <c r="X4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4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1.Très à risque</v>
      </c>
      <c r="Z4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46</v>
      </c>
      <c r="AA4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10</v>
      </c>
      <c r="AB46">
        <f>Portefeuille_MNT_PPS_Access30[[#This Row],[Délais PC1 et PC3]]+Portefeuille_MNT_PPS_Access30[[#This Row],[Délais PC3 et PC5]]</f>
        <v>56</v>
      </c>
      <c r="AC46">
        <v>1</v>
      </c>
      <c r="AD46">
        <v>5</v>
      </c>
      <c r="AE46">
        <v>1</v>
      </c>
      <c r="AF46" t="s">
        <v>112</v>
      </c>
      <c r="AG46">
        <v>2.6666666666666665</v>
      </c>
      <c r="AH46" s="2">
        <f>_xlfn.XLOOKUP(Portefeuille_MNT_PPS_Access30[[#This Row],[Numéro projet]],Portefeuille_MNT_PPS_Access27[Numéro projet],Portefeuille_MNT_PPS_Access27[Critère Etat Infrastructure])</f>
        <v>3</v>
      </c>
      <c r="AI4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58.333333333333336</v>
      </c>
      <c r="AJ46" s="221"/>
      <c r="AK46">
        <v>117</v>
      </c>
      <c r="AM46">
        <v>84</v>
      </c>
      <c r="AN46"/>
      <c r="AO46">
        <v>195</v>
      </c>
      <c r="AQ46">
        <v>125</v>
      </c>
      <c r="AR46">
        <v>2421</v>
      </c>
      <c r="AS46">
        <v>202</v>
      </c>
      <c r="AT46">
        <v>7263</v>
      </c>
      <c r="AX46"/>
      <c r="BK46" s="14">
        <f>SUM(Portefeuille_MNT_PPS_Access30[[#This Row],[AC ANT]:[TR 2035]])</f>
        <v>10407</v>
      </c>
    </row>
    <row r="47" spans="1:63" hidden="1" x14ac:dyDescent="0.3">
      <c r="A47" t="s">
        <v>286</v>
      </c>
      <c r="B47" t="s">
        <v>662</v>
      </c>
      <c r="D47" t="s">
        <v>118</v>
      </c>
      <c r="E47" t="s">
        <v>102</v>
      </c>
      <c r="F47" t="s">
        <v>188</v>
      </c>
      <c r="G47" t="s">
        <v>113</v>
      </c>
      <c r="H47" t="s">
        <v>16</v>
      </c>
      <c r="I47" t="s">
        <v>130</v>
      </c>
      <c r="J47" t="s">
        <v>131</v>
      </c>
      <c r="K47" s="2">
        <v>154151031</v>
      </c>
      <c r="L47" t="s">
        <v>190</v>
      </c>
      <c r="M47" t="s">
        <v>191</v>
      </c>
      <c r="N47" s="227">
        <f>_xlfn.XLOOKUP(Portefeuille_MNT_PPS_Access30[[#This Row],[Numéro projet]], Portefeuille_MNT_PPS_Access20[Numéro projet], Portefeuille_MNT_PPS_Access20[Année DÉBUT Travaux prévu], "")</f>
        <v>2027</v>
      </c>
      <c r="O47" s="229">
        <v>2026</v>
      </c>
      <c r="P47" s="8">
        <f>Portefeuille_MNT_PPS_Access30[[#This Row],[Année DÉBUT Travaux proposé]]-Portefeuille_MNT_PPS_Access30[[#This Row],[Année DÉBUT Travaux prog actuelle]]</f>
        <v>-1</v>
      </c>
      <c r="Q47" s="8" t="e">
        <f>_xlfn.XLOOKUP(Portefeuille_MNT_PPS_Access30[[#This Row],[Numéro projet]],#REF!,#REF!, "")</f>
        <v>#REF!</v>
      </c>
      <c r="R47" s="8" t="e">
        <f>Portefeuille_MNT_PPS_Access30[[#This Row],[Année prog actuelle à jour]]-Portefeuille_MNT_PPS_Access30[[#This Row],[Année DÉBUT Travaux proposé]]</f>
        <v>#REF!</v>
      </c>
      <c r="S47" t="s">
        <v>123</v>
      </c>
      <c r="T47" s="1">
        <v>45684</v>
      </c>
      <c r="U47" s="1"/>
      <c r="V47" s="1">
        <v>46006</v>
      </c>
      <c r="W47" s="1"/>
      <c r="X47" s="1"/>
      <c r="Y4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-1500</v>
      </c>
      <c r="AA4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1511</v>
      </c>
      <c r="AB47">
        <f>Portefeuille_MNT_PPS_Access30[[#This Row],[Délais PC1 et PC3]]+Portefeuille_MNT_PPS_Access30[[#This Row],[Délais PC3 et PC5]]</f>
        <v>11</v>
      </c>
      <c r="AC47">
        <v>1</v>
      </c>
      <c r="AD47">
        <v>1</v>
      </c>
      <c r="AE47">
        <v>5</v>
      </c>
      <c r="AF47" t="s">
        <v>125</v>
      </c>
      <c r="AG47">
        <v>1.6666666666666667</v>
      </c>
      <c r="AH47" s="2">
        <f>_xlfn.XLOOKUP(Portefeuille_MNT_PPS_Access30[[#This Row],[Numéro projet]],Portefeuille_MNT_PPS_Access27[Numéro projet],Portefeuille_MNT_PPS_Access27[Critère Etat Infrastructure])</f>
        <v>5</v>
      </c>
      <c r="AI4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63.333333333333343</v>
      </c>
      <c r="AJ47" s="221"/>
      <c r="AN47"/>
      <c r="AO47">
        <v>132</v>
      </c>
      <c r="AQ47">
        <v>262</v>
      </c>
      <c r="AR47" s="103">
        <v>1711</v>
      </c>
      <c r="AX47"/>
      <c r="BK47" s="14">
        <f>SUM(Portefeuille_MNT_PPS_Access30[[#This Row],[AC ANT]:[TR 2035]])</f>
        <v>2105</v>
      </c>
    </row>
    <row r="48" spans="1:63" hidden="1" x14ac:dyDescent="0.3">
      <c r="A48" t="s">
        <v>286</v>
      </c>
      <c r="B48" t="s">
        <v>664</v>
      </c>
      <c r="D48" t="s">
        <v>101</v>
      </c>
      <c r="E48" t="s">
        <v>102</v>
      </c>
      <c r="F48" t="s">
        <v>103</v>
      </c>
      <c r="G48" t="s">
        <v>140</v>
      </c>
      <c r="H48" t="s">
        <v>16</v>
      </c>
      <c r="I48" t="s">
        <v>16</v>
      </c>
      <c r="J48" t="s">
        <v>105</v>
      </c>
      <c r="K48" s="2">
        <v>154171517</v>
      </c>
      <c r="L48" t="s">
        <v>175</v>
      </c>
      <c r="M48" t="s">
        <v>143</v>
      </c>
      <c r="N48">
        <f>_xlfn.XLOOKUP(Portefeuille_MNT_PPS_Access30[[#This Row],[Numéro projet]], Portefeuille_MNT_PPS_Access20[Numéro projet], Portefeuille_MNT_PPS_Access20[Année DÉBUT Travaux prévu], "")</f>
        <v>2025</v>
      </c>
      <c r="O48">
        <v>2025</v>
      </c>
      <c r="P48">
        <f>Portefeuille_MNT_PPS_Access30[[#This Row],[Année DÉBUT Travaux proposé]]-Portefeuille_MNT_PPS_Access30[[#This Row],[Année DÉBUT Travaux prog actuelle]]</f>
        <v>0</v>
      </c>
      <c r="Q48" s="8" t="e">
        <f>_xlfn.XLOOKUP(Portefeuille_MNT_PPS_Access30[[#This Row],[Numéro projet]],#REF!,#REF!, "")</f>
        <v>#REF!</v>
      </c>
      <c r="R48" s="8" t="e">
        <f>Portefeuille_MNT_PPS_Access30[[#This Row],[Année prog actuelle à jour]]-Portefeuille_MNT_PPS_Access30[[#This Row],[Année DÉBUT Travaux proposé]]</f>
        <v>#REF!</v>
      </c>
      <c r="S48" t="s">
        <v>164</v>
      </c>
      <c r="T48" s="1">
        <v>44014</v>
      </c>
      <c r="U48" s="1">
        <v>44294</v>
      </c>
      <c r="V48" s="1">
        <v>45239</v>
      </c>
      <c r="W4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4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4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9</v>
      </c>
      <c r="AA4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31</v>
      </c>
      <c r="AB48">
        <f>Portefeuille_MNT_PPS_Access30[[#This Row],[Délais PC1 et PC3]]+Portefeuille_MNT_PPS_Access30[[#This Row],[Délais PC3 et PC5]]</f>
        <v>40</v>
      </c>
      <c r="AC48">
        <v>1</v>
      </c>
      <c r="AD48">
        <v>5</v>
      </c>
      <c r="AF48" t="s">
        <v>165</v>
      </c>
      <c r="AG48">
        <v>4.333333333333333</v>
      </c>
      <c r="AH48" s="2">
        <f>_xlfn.XLOOKUP(Portefeuille_MNT_PPS_Access30[[#This Row],[Numéro projet]],Portefeuille_MNT_PPS_Access27[Numéro projet],Portefeuille_MNT_PPS_Access27[Critère Etat Infrastructure])</f>
        <v>4</v>
      </c>
      <c r="AI4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101.66666666666666</v>
      </c>
      <c r="AJ48" s="221"/>
      <c r="AK48">
        <v>389</v>
      </c>
      <c r="AL48">
        <v>4986</v>
      </c>
      <c r="AM48">
        <v>450</v>
      </c>
      <c r="AN48">
        <v>25618</v>
      </c>
      <c r="AO48">
        <v>623</v>
      </c>
      <c r="AP48">
        <v>13622</v>
      </c>
      <c r="AQ48">
        <v>55</v>
      </c>
      <c r="AR48">
        <v>1361</v>
      </c>
      <c r="AX48"/>
      <c r="BK48" s="14">
        <f>SUM(Portefeuille_MNT_PPS_Access30[[#This Row],[AC ANT]:[TR 2035]])</f>
        <v>47104</v>
      </c>
    </row>
    <row r="49" spans="1:63" hidden="1" x14ac:dyDescent="0.3">
      <c r="A49" t="s">
        <v>286</v>
      </c>
      <c r="B49" t="s">
        <v>662</v>
      </c>
      <c r="D49" t="s">
        <v>118</v>
      </c>
      <c r="E49" t="s">
        <v>102</v>
      </c>
      <c r="F49" t="s">
        <v>136</v>
      </c>
      <c r="G49" t="s">
        <v>113</v>
      </c>
      <c r="H49" t="s">
        <v>16</v>
      </c>
      <c r="I49" t="s">
        <v>20</v>
      </c>
      <c r="J49" t="s">
        <v>105</v>
      </c>
      <c r="K49" s="2">
        <v>154230630</v>
      </c>
      <c r="L49" t="s">
        <v>249</v>
      </c>
      <c r="M49" t="s">
        <v>180</v>
      </c>
      <c r="N49" s="227">
        <f>_xlfn.XLOOKUP(Portefeuille_MNT_PPS_Access30[[#This Row],[Numéro projet]], Portefeuille_MNT_PPS_Access20[Numéro projet], Portefeuille_MNT_PPS_Access20[Année DÉBUT Travaux prévu], "")</f>
        <v>2027</v>
      </c>
      <c r="O49" s="227">
        <v>2026</v>
      </c>
      <c r="P49">
        <f>Portefeuille_MNT_PPS_Access30[[#This Row],[Année DÉBUT Travaux proposé]]-Portefeuille_MNT_PPS_Access30[[#This Row],[Année DÉBUT Travaux prog actuelle]]</f>
        <v>-1</v>
      </c>
      <c r="Q49" s="8" t="e">
        <f>_xlfn.XLOOKUP(Portefeuille_MNT_PPS_Access30[[#This Row],[Numéro projet]],#REF!,#REF!, "")</f>
        <v>#REF!</v>
      </c>
      <c r="R49" s="8" t="e">
        <f>Portefeuille_MNT_PPS_Access30[[#This Row],[Année prog actuelle à jour]]-Portefeuille_MNT_PPS_Access30[[#This Row],[Année DÉBUT Travaux proposé]]</f>
        <v>#REF!</v>
      </c>
      <c r="S49" t="s">
        <v>110</v>
      </c>
      <c r="T49" s="1">
        <v>45476</v>
      </c>
      <c r="U49" s="1">
        <v>46006</v>
      </c>
      <c r="V49" s="1">
        <v>46006</v>
      </c>
      <c r="W49" s="1"/>
      <c r="X4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4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4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17</v>
      </c>
      <c r="AA4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49">
        <f>Portefeuille_MNT_PPS_Access30[[#This Row],[Délais PC1 et PC3]]+Portefeuille_MNT_PPS_Access30[[#This Row],[Délais PC3 et PC5]]</f>
        <v>17</v>
      </c>
      <c r="AD49">
        <v>1</v>
      </c>
      <c r="AE49">
        <v>5</v>
      </c>
      <c r="AF49" t="s">
        <v>112</v>
      </c>
      <c r="AG49">
        <v>3.1666666666666665</v>
      </c>
      <c r="AH49" s="2">
        <f>_xlfn.XLOOKUP(Portefeuille_MNT_PPS_Access30[[#This Row],[Numéro projet]],Portefeuille_MNT_PPS_Access27[Numéro projet],Portefeuille_MNT_PPS_Access27[Critère Etat Infrastructure])</f>
        <v>5</v>
      </c>
      <c r="AI4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70.833333333333343</v>
      </c>
      <c r="AJ49" s="221"/>
      <c r="AN49"/>
      <c r="AO49">
        <v>35</v>
      </c>
      <c r="AQ49">
        <v>110</v>
      </c>
      <c r="AR49">
        <v>1000</v>
      </c>
      <c r="AS49">
        <v>175</v>
      </c>
      <c r="AT49">
        <v>500</v>
      </c>
      <c r="AX49"/>
      <c r="BK49" s="14">
        <f>SUM(Portefeuille_MNT_PPS_Access30[[#This Row],[AC ANT]:[TR 2035]])</f>
        <v>1820</v>
      </c>
    </row>
    <row r="50" spans="1:63" hidden="1" x14ac:dyDescent="0.3">
      <c r="A50" t="s">
        <v>286</v>
      </c>
      <c r="B50" t="s">
        <v>663</v>
      </c>
      <c r="D50" t="s">
        <v>101</v>
      </c>
      <c r="E50" t="s">
        <v>102</v>
      </c>
      <c r="F50" t="s">
        <v>119</v>
      </c>
      <c r="G50" t="s">
        <v>129</v>
      </c>
      <c r="H50" t="s">
        <v>16</v>
      </c>
      <c r="I50" t="s">
        <v>16</v>
      </c>
      <c r="J50" t="s">
        <v>131</v>
      </c>
      <c r="K50" s="2">
        <v>154200653</v>
      </c>
      <c r="L50" t="s">
        <v>154</v>
      </c>
      <c r="M50" t="s">
        <v>134</v>
      </c>
      <c r="N50">
        <f>_xlfn.XLOOKUP(Portefeuille_MNT_PPS_Access30[[#This Row],[Numéro projet]], Portefeuille_MNT_PPS_Access20[Numéro projet], Portefeuille_MNT_PPS_Access20[Année DÉBUT Travaux prévu], "")</f>
        <v>2026</v>
      </c>
      <c r="O50">
        <v>2026</v>
      </c>
      <c r="P50">
        <f>Portefeuille_MNT_PPS_Access30[[#This Row],[Année DÉBUT Travaux proposé]]-Portefeuille_MNT_PPS_Access30[[#This Row],[Année DÉBUT Travaux prog actuelle]]</f>
        <v>0</v>
      </c>
      <c r="Q50" s="8" t="e">
        <f>_xlfn.XLOOKUP(Portefeuille_MNT_PPS_Access30[[#This Row],[Numéro projet]],#REF!,#REF!, "")</f>
        <v>#REF!</v>
      </c>
      <c r="R50" s="8" t="e">
        <f>Portefeuille_MNT_PPS_Access30[[#This Row],[Année prog actuelle à jour]]-Portefeuille_MNT_PPS_Access30[[#This Row],[Année DÉBUT Travaux proposé]]</f>
        <v>#REF!</v>
      </c>
      <c r="S50" t="s">
        <v>123</v>
      </c>
      <c r="T50" s="1">
        <v>45601</v>
      </c>
      <c r="U50" s="1">
        <v>45731</v>
      </c>
      <c r="V50" s="1">
        <v>45976</v>
      </c>
      <c r="W50" s="1"/>
      <c r="X50" s="1"/>
      <c r="Y5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5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</v>
      </c>
      <c r="AA5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8</v>
      </c>
      <c r="AB50">
        <f>Portefeuille_MNT_PPS_Access30[[#This Row],[Délais PC1 et PC3]]+Portefeuille_MNT_PPS_Access30[[#This Row],[Délais PC3 et PC5]]</f>
        <v>12</v>
      </c>
      <c r="AC50">
        <v>1</v>
      </c>
      <c r="AD50">
        <v>5</v>
      </c>
      <c r="AE50">
        <v>5</v>
      </c>
      <c r="AF50" t="s">
        <v>125</v>
      </c>
      <c r="AG50">
        <v>2.3333333333333335</v>
      </c>
      <c r="AH50" s="2">
        <f>_xlfn.XLOOKUP(Portefeuille_MNT_PPS_Access30[[#This Row],[Numéro projet]],Portefeuille_MNT_PPS_Access27[Numéro projet],Portefeuille_MNT_PPS_Access27[Critère Etat Infrastructure])</f>
        <v>3</v>
      </c>
      <c r="AI5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76.666666666666671</v>
      </c>
      <c r="AJ50" s="221"/>
      <c r="AN50"/>
      <c r="AO50">
        <v>20</v>
      </c>
      <c r="AQ50">
        <v>55</v>
      </c>
      <c r="AR50">
        <v>543</v>
      </c>
      <c r="AX50"/>
      <c r="BK50" s="14">
        <f>SUM(Portefeuille_MNT_PPS_Access30[[#This Row],[AC ANT]:[TR 2035]])</f>
        <v>618</v>
      </c>
    </row>
    <row r="51" spans="1:63" hidden="1" x14ac:dyDescent="0.3">
      <c r="A51" t="s">
        <v>286</v>
      </c>
      <c r="B51" t="s">
        <v>663</v>
      </c>
      <c r="D51" t="s">
        <v>101</v>
      </c>
      <c r="E51" t="s">
        <v>102</v>
      </c>
      <c r="F51" t="s">
        <v>119</v>
      </c>
      <c r="G51" t="s">
        <v>129</v>
      </c>
      <c r="H51" t="s">
        <v>20</v>
      </c>
      <c r="I51" t="s">
        <v>20</v>
      </c>
      <c r="J51" t="s">
        <v>131</v>
      </c>
      <c r="K51" s="2">
        <v>154230793</v>
      </c>
      <c r="L51" t="s">
        <v>441</v>
      </c>
      <c r="M51" t="s">
        <v>152</v>
      </c>
      <c r="N51">
        <f>_xlfn.XLOOKUP(Portefeuille_MNT_PPS_Access30[[#This Row],[Numéro projet]], Portefeuille_MNT_PPS_Access20[Numéro projet], Portefeuille_MNT_PPS_Access20[Année DÉBUT Travaux prévu], "")</f>
        <v>2026</v>
      </c>
      <c r="O51">
        <v>2026</v>
      </c>
      <c r="P51">
        <f>Portefeuille_MNT_PPS_Access30[[#This Row],[Année DÉBUT Travaux proposé]]-Portefeuille_MNT_PPS_Access30[[#This Row],[Année DÉBUT Travaux prog actuelle]]</f>
        <v>0</v>
      </c>
      <c r="Q51" s="8" t="e">
        <f>_xlfn.XLOOKUP(Portefeuille_MNT_PPS_Access30[[#This Row],[Numéro projet]],#REF!,#REF!, "")</f>
        <v>#REF!</v>
      </c>
      <c r="R51" s="8" t="e">
        <f>Portefeuille_MNT_PPS_Access30[[#This Row],[Année prog actuelle à jour]]-Portefeuille_MNT_PPS_Access30[[#This Row],[Année DÉBUT Travaux proposé]]</f>
        <v>#REF!</v>
      </c>
      <c r="S51" t="s">
        <v>155</v>
      </c>
      <c r="T51" s="1">
        <v>45992</v>
      </c>
      <c r="U51" s="1"/>
      <c r="V51" s="1">
        <v>45992</v>
      </c>
      <c r="W51" s="1"/>
      <c r="X51" s="1"/>
      <c r="Y5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5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-1511</v>
      </c>
      <c r="AA5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1511</v>
      </c>
      <c r="AB51">
        <f>Portefeuille_MNT_PPS_Access30[[#This Row],[Délais PC1 et PC3]]+Portefeuille_MNT_PPS_Access30[[#This Row],[Délais PC3 et PC5]]</f>
        <v>0</v>
      </c>
      <c r="AC51">
        <v>1</v>
      </c>
      <c r="AD51">
        <v>1</v>
      </c>
      <c r="AE51">
        <v>5</v>
      </c>
      <c r="AF51" t="s">
        <v>156</v>
      </c>
      <c r="AG51">
        <v>3.3333333333333335</v>
      </c>
      <c r="AH51" s="2">
        <f>_xlfn.XLOOKUP(Portefeuille_MNT_PPS_Access30[[#This Row],[Numéro projet]],Portefeuille_MNT_PPS_Access27[Numéro projet],Portefeuille_MNT_PPS_Access27[Critère Etat Infrastructure])</f>
        <v>3</v>
      </c>
      <c r="AI5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61.666666666666671</v>
      </c>
      <c r="AJ51" s="221"/>
      <c r="AN51"/>
      <c r="AQ51">
        <v>55</v>
      </c>
      <c r="AR51">
        <v>543</v>
      </c>
      <c r="AX51"/>
      <c r="BK51" s="14">
        <f>SUM(Portefeuille_MNT_PPS_Access30[[#This Row],[AC ANT]:[TR 2035]])</f>
        <v>598</v>
      </c>
    </row>
    <row r="52" spans="1:63" hidden="1" x14ac:dyDescent="0.3">
      <c r="A52" t="s">
        <v>286</v>
      </c>
      <c r="B52" t="s">
        <v>662</v>
      </c>
      <c r="D52" t="s">
        <v>118</v>
      </c>
      <c r="E52" t="s">
        <v>102</v>
      </c>
      <c r="F52" t="s">
        <v>136</v>
      </c>
      <c r="G52" t="s">
        <v>252</v>
      </c>
      <c r="H52" t="s">
        <v>16</v>
      </c>
      <c r="I52" t="s">
        <v>16</v>
      </c>
      <c r="J52" t="s">
        <v>131</v>
      </c>
      <c r="K52" s="2">
        <v>154240497</v>
      </c>
      <c r="L52" t="s">
        <v>529</v>
      </c>
      <c r="M52" t="s">
        <v>209</v>
      </c>
      <c r="N52">
        <f>_xlfn.XLOOKUP(Portefeuille_MNT_PPS_Access30[[#This Row],[Numéro projet]], Portefeuille_MNT_PPS_Access20[Numéro projet], Portefeuille_MNT_PPS_Access20[Année DÉBUT Travaux prévu], "")</f>
        <v>2026</v>
      </c>
      <c r="O52">
        <v>2026</v>
      </c>
      <c r="P52">
        <f>Portefeuille_MNT_PPS_Access30[[#This Row],[Année DÉBUT Travaux proposé]]-Portefeuille_MNT_PPS_Access30[[#This Row],[Année DÉBUT Travaux prog actuelle]]</f>
        <v>0</v>
      </c>
      <c r="Q52" s="8" t="e">
        <f>_xlfn.XLOOKUP(Portefeuille_MNT_PPS_Access30[[#This Row],[Numéro projet]],#REF!,#REF!, "")</f>
        <v>#REF!</v>
      </c>
      <c r="R52" s="8" t="e">
        <f>Portefeuille_MNT_PPS_Access30[[#This Row],[Année prog actuelle à jour]]-Portefeuille_MNT_PPS_Access30[[#This Row],[Année DÉBUT Travaux proposé]]</f>
        <v>#REF!</v>
      </c>
      <c r="S52" t="s">
        <v>291</v>
      </c>
      <c r="T52" s="1"/>
      <c r="U52" s="1"/>
      <c r="V52" s="1">
        <v>46006</v>
      </c>
      <c r="W5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5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5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5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5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1511</v>
      </c>
      <c r="AB52">
        <f>Portefeuille_MNT_PPS_Access30[[#This Row],[Délais PC1 et PC3]]+Portefeuille_MNT_PPS_Access30[[#This Row],[Délais PC3 et PC5]]</f>
        <v>1511</v>
      </c>
      <c r="AC52">
        <v>1</v>
      </c>
      <c r="AD52">
        <v>1</v>
      </c>
      <c r="AE52">
        <v>5</v>
      </c>
      <c r="AF52" t="s">
        <v>311</v>
      </c>
      <c r="AG52">
        <v>3.3333333333333335</v>
      </c>
      <c r="AH52" s="2">
        <f>_xlfn.XLOOKUP(Portefeuille_MNT_PPS_Access30[[#This Row],[Numéro projet]],Portefeuille_MNT_PPS_Access27[Numéro projet],Portefeuille_MNT_PPS_Access27[Critère Etat Infrastructure])</f>
        <v>4</v>
      </c>
      <c r="AI5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52" s="221"/>
      <c r="AN52"/>
      <c r="AO52">
        <v>60</v>
      </c>
      <c r="AQ52">
        <v>20</v>
      </c>
      <c r="AR52">
        <v>540</v>
      </c>
      <c r="AX52"/>
      <c r="BK52" s="14">
        <f>SUM(Portefeuille_MNT_PPS_Access30[[#This Row],[AC ANT]:[TR 2035]])</f>
        <v>620</v>
      </c>
    </row>
    <row r="53" spans="1:63" hidden="1" x14ac:dyDescent="0.3">
      <c r="A53" t="s">
        <v>286</v>
      </c>
      <c r="B53" t="s">
        <v>662</v>
      </c>
      <c r="D53" t="s">
        <v>118</v>
      </c>
      <c r="E53" t="s">
        <v>102</v>
      </c>
      <c r="F53" t="s">
        <v>136</v>
      </c>
      <c r="G53" t="s">
        <v>104</v>
      </c>
      <c r="H53" t="s">
        <v>16</v>
      </c>
      <c r="I53" t="s">
        <v>20</v>
      </c>
      <c r="J53" t="s">
        <v>105</v>
      </c>
      <c r="K53" s="2">
        <v>154240756</v>
      </c>
      <c r="L53" t="s">
        <v>517</v>
      </c>
      <c r="M53" t="s">
        <v>302</v>
      </c>
      <c r="N53" s="227">
        <f>_xlfn.XLOOKUP(Portefeuille_MNT_PPS_Access30[[#This Row],[Numéro projet]], Portefeuille_MNT_PPS_Access20[Numéro projet], Portefeuille_MNT_PPS_Access20[Année DÉBUT Travaux prévu], "")</f>
        <v>2027</v>
      </c>
      <c r="O53" s="229">
        <v>2026</v>
      </c>
      <c r="P53" s="8">
        <f>Portefeuille_MNT_PPS_Access30[[#This Row],[Année DÉBUT Travaux proposé]]-Portefeuille_MNT_PPS_Access30[[#This Row],[Année DÉBUT Travaux prog actuelle]]</f>
        <v>-1</v>
      </c>
      <c r="Q53" s="8" t="e">
        <f>_xlfn.XLOOKUP(Portefeuille_MNT_PPS_Access30[[#This Row],[Numéro projet]],#REF!,#REF!, "")</f>
        <v>#REF!</v>
      </c>
      <c r="R53" s="8" t="e">
        <f>Portefeuille_MNT_PPS_Access30[[#This Row],[Année prog actuelle à jour]]-Portefeuille_MNT_PPS_Access30[[#This Row],[Année DÉBUT Travaux proposé]]</f>
        <v>#REF!</v>
      </c>
      <c r="S53" t="s">
        <v>110</v>
      </c>
      <c r="T53" s="1">
        <v>45904</v>
      </c>
      <c r="U53" s="1"/>
      <c r="V53" s="1">
        <v>46096</v>
      </c>
      <c r="W53" s="1"/>
      <c r="X5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5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5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-1508</v>
      </c>
      <c r="AA5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1514</v>
      </c>
      <c r="AB53">
        <f>Portefeuille_MNT_PPS_Access30[[#This Row],[Délais PC1 et PC3]]+Portefeuille_MNT_PPS_Access30[[#This Row],[Délais PC3 et PC5]]</f>
        <v>6</v>
      </c>
      <c r="AC53">
        <v>1</v>
      </c>
      <c r="AD53">
        <v>1</v>
      </c>
      <c r="AE53">
        <v>3</v>
      </c>
      <c r="AF53" t="s">
        <v>112</v>
      </c>
      <c r="AG53">
        <v>4</v>
      </c>
      <c r="AH53" s="2">
        <f>_xlfn.XLOOKUP(Portefeuille_MNT_PPS_Access30[[#This Row],[Numéro projet]],Portefeuille_MNT_PPS_Access27[Numéro projet],Portefeuille_MNT_PPS_Access27[Critère Etat Infrastructure])</f>
        <v>5</v>
      </c>
      <c r="AI5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65.000000000000014</v>
      </c>
      <c r="AJ53" s="221"/>
      <c r="AN53"/>
      <c r="AO53">
        <v>59</v>
      </c>
      <c r="AQ53">
        <v>131</v>
      </c>
      <c r="AR53">
        <v>478</v>
      </c>
      <c r="AX53"/>
      <c r="BK53" s="14">
        <f>SUM(Portefeuille_MNT_PPS_Access30[[#This Row],[AC ANT]:[TR 2035]])</f>
        <v>668</v>
      </c>
    </row>
    <row r="54" spans="1:63" hidden="1" x14ac:dyDescent="0.3">
      <c r="A54" t="s">
        <v>286</v>
      </c>
      <c r="B54" t="s">
        <v>295</v>
      </c>
      <c r="D54" t="s">
        <v>126</v>
      </c>
      <c r="E54" t="s">
        <v>127</v>
      </c>
      <c r="F54" t="s">
        <v>177</v>
      </c>
      <c r="G54" t="s">
        <v>206</v>
      </c>
      <c r="H54" t="s">
        <v>16</v>
      </c>
      <c r="I54" t="s">
        <v>16</v>
      </c>
      <c r="J54" t="s">
        <v>223</v>
      </c>
      <c r="K54" s="2">
        <v>154190529</v>
      </c>
      <c r="L54" t="s">
        <v>520</v>
      </c>
      <c r="M54" t="s">
        <v>180</v>
      </c>
      <c r="N54" s="227">
        <f>_xlfn.XLOOKUP(Portefeuille_MNT_PPS_Access30[[#This Row],[Numéro projet]], Portefeuille_MNT_PPS_Access20[Numéro projet], Portefeuille_MNT_PPS_Access20[Année DÉBUT Travaux prévu], "")</f>
        <v>2026</v>
      </c>
      <c r="O54" s="229">
        <v>2027</v>
      </c>
      <c r="P54">
        <f>Portefeuille_MNT_PPS_Access30[[#This Row],[Année DÉBUT Travaux proposé]]-Portefeuille_MNT_PPS_Access30[[#This Row],[Année DÉBUT Travaux prog actuelle]]</f>
        <v>1</v>
      </c>
      <c r="Q54" s="8" t="e">
        <f>_xlfn.XLOOKUP(Portefeuille_MNT_PPS_Access30[[#This Row],[Numéro projet]],#REF!,#REF!, "")</f>
        <v>#REF!</v>
      </c>
      <c r="R54" s="8" t="e">
        <f>Portefeuille_MNT_PPS_Access30[[#This Row],[Année prog actuelle à jour]]-Portefeuille_MNT_PPS_Access30[[#This Row],[Année DÉBUT Travaux proposé]]</f>
        <v>#REF!</v>
      </c>
      <c r="S54" t="s">
        <v>123</v>
      </c>
      <c r="T54" s="1">
        <v>44623</v>
      </c>
      <c r="U54" s="1">
        <v>45698</v>
      </c>
      <c r="V54" s="1">
        <v>46341</v>
      </c>
      <c r="W54" s="1"/>
      <c r="X54" s="1"/>
      <c r="Y5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5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35</v>
      </c>
      <c r="AA5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21</v>
      </c>
      <c r="AB54">
        <f>Portefeuille_MNT_PPS_Access30[[#This Row],[Délais PC1 et PC3]]+Portefeuille_MNT_PPS_Access30[[#This Row],[Délais PC3 et PC5]]</f>
        <v>56</v>
      </c>
      <c r="AC54">
        <v>1</v>
      </c>
      <c r="AD54">
        <v>1</v>
      </c>
      <c r="AE54">
        <v>1</v>
      </c>
      <c r="AF54" t="s">
        <v>125</v>
      </c>
      <c r="AG54">
        <v>3.35</v>
      </c>
      <c r="AH54" s="2">
        <f>_xlfn.XLOOKUP(Portefeuille_MNT_PPS_Access30[[#This Row],[Numéro projet]],Portefeuille_MNT_PPS_Access27[Numéro projet],Portefeuille_MNT_PPS_Access27[Critère Etat Infrastructure])</f>
        <v>5</v>
      </c>
      <c r="AI5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51.750000000000007</v>
      </c>
      <c r="AJ54" s="221"/>
      <c r="AK54">
        <v>180.00000000000003</v>
      </c>
      <c r="AM54">
        <v>53</v>
      </c>
      <c r="AN54"/>
      <c r="AO54">
        <v>344</v>
      </c>
      <c r="AQ54">
        <v>53</v>
      </c>
      <c r="AR54">
        <v>354.99999999999994</v>
      </c>
      <c r="AS54">
        <v>53.000000000000014</v>
      </c>
      <c r="AT54">
        <v>1610</v>
      </c>
      <c r="AU54">
        <v>106</v>
      </c>
      <c r="AV54">
        <v>4929</v>
      </c>
      <c r="AW54">
        <v>212</v>
      </c>
      <c r="AX54">
        <v>6707.0000000000018</v>
      </c>
      <c r="AY54">
        <v>200</v>
      </c>
      <c r="AZ54">
        <v>6846.0000000000018</v>
      </c>
      <c r="BK54" s="14">
        <f>SUM(Portefeuille_MNT_PPS_Access30[[#This Row],[AC ANT]:[TR 2035]])</f>
        <v>21648.000000000004</v>
      </c>
    </row>
    <row r="55" spans="1:63" hidden="1" x14ac:dyDescent="0.3">
      <c r="A55" t="s">
        <v>286</v>
      </c>
      <c r="B55" t="s">
        <v>662</v>
      </c>
      <c r="D55" t="s">
        <v>118</v>
      </c>
      <c r="E55" t="s">
        <v>102</v>
      </c>
      <c r="F55" t="s">
        <v>136</v>
      </c>
      <c r="G55" t="s">
        <v>104</v>
      </c>
      <c r="H55" t="s">
        <v>16</v>
      </c>
      <c r="I55" t="s">
        <v>20</v>
      </c>
      <c r="J55" t="s">
        <v>131</v>
      </c>
      <c r="K55" s="2">
        <v>154230792</v>
      </c>
      <c r="L55" t="s">
        <v>158</v>
      </c>
      <c r="M55" t="s">
        <v>159</v>
      </c>
      <c r="N55" s="227">
        <f>_xlfn.XLOOKUP(Portefeuille_MNT_PPS_Access30[[#This Row],[Numéro projet]], Portefeuille_MNT_PPS_Access20[Numéro projet], Portefeuille_MNT_PPS_Access20[Année DÉBUT Travaux prévu], "")</f>
        <v>2027</v>
      </c>
      <c r="O55" s="229">
        <v>2026</v>
      </c>
      <c r="P55" s="8">
        <f>Portefeuille_MNT_PPS_Access30[[#This Row],[Année DÉBUT Travaux proposé]]-Portefeuille_MNT_PPS_Access30[[#This Row],[Année DÉBUT Travaux prog actuelle]]</f>
        <v>-1</v>
      </c>
      <c r="Q55" s="8" t="e">
        <f>_xlfn.XLOOKUP(Portefeuille_MNT_PPS_Access30[[#This Row],[Numéro projet]],#REF!,#REF!, "")</f>
        <v>#REF!</v>
      </c>
      <c r="R55" s="8" t="e">
        <f>Portefeuille_MNT_PPS_Access30[[#This Row],[Année prog actuelle à jour]]-Portefeuille_MNT_PPS_Access30[[#This Row],[Année DÉBUT Travaux proposé]]</f>
        <v>#REF!</v>
      </c>
      <c r="S55" t="s">
        <v>155</v>
      </c>
      <c r="T55" s="87">
        <v>45991</v>
      </c>
      <c r="U55" s="1"/>
      <c r="V55" s="1">
        <v>46249</v>
      </c>
      <c r="W5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5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5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1.Très à risque</v>
      </c>
      <c r="Z5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-1510</v>
      </c>
      <c r="AA5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1519</v>
      </c>
      <c r="AB55">
        <f>Portefeuille_MNT_PPS_Access30[[#This Row],[Délais PC1 et PC3]]+Portefeuille_MNT_PPS_Access30[[#This Row],[Délais PC3 et PC5]]</f>
        <v>9</v>
      </c>
      <c r="AC55">
        <v>1</v>
      </c>
      <c r="AD55">
        <v>1</v>
      </c>
      <c r="AE55">
        <v>1</v>
      </c>
      <c r="AF55" t="s">
        <v>156</v>
      </c>
      <c r="AG55">
        <v>4.333333333333333</v>
      </c>
      <c r="AH55" s="2">
        <f>_xlfn.XLOOKUP(Portefeuille_MNT_PPS_Access30[[#This Row],[Numéro projet]],Portefeuille_MNT_PPS_Access27[Numéro projet],Portefeuille_MNT_PPS_Access27[Critère Etat Infrastructure])</f>
        <v>3</v>
      </c>
      <c r="AI5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55" s="221"/>
      <c r="AN55"/>
      <c r="AO55">
        <v>75</v>
      </c>
      <c r="AQ55">
        <v>75</v>
      </c>
      <c r="AR55">
        <v>325</v>
      </c>
      <c r="AS55">
        <v>150</v>
      </c>
      <c r="AT55">
        <v>325</v>
      </c>
      <c r="AX55"/>
      <c r="BK55" s="14">
        <f>SUM(Portefeuille_MNT_PPS_Access30[[#This Row],[AC ANT]:[TR 2035]])</f>
        <v>950</v>
      </c>
    </row>
    <row r="56" spans="1:63" hidden="1" x14ac:dyDescent="0.3">
      <c r="A56" t="s">
        <v>11</v>
      </c>
      <c r="D56" t="s">
        <v>118</v>
      </c>
      <c r="E56" t="s">
        <v>102</v>
      </c>
      <c r="F56" t="s">
        <v>103</v>
      </c>
      <c r="G56" t="s">
        <v>252</v>
      </c>
      <c r="H56" t="s">
        <v>20</v>
      </c>
      <c r="I56" t="s">
        <v>20</v>
      </c>
      <c r="J56" t="s">
        <v>131</v>
      </c>
      <c r="K56" s="2">
        <v>154250176</v>
      </c>
      <c r="L56" t="s">
        <v>598</v>
      </c>
      <c r="M56" t="s">
        <v>214</v>
      </c>
      <c r="N56">
        <f>_xlfn.XLOOKUP(Portefeuille_MNT_PPS_Access30[[#This Row],[Numéro projet]], Portefeuille_MNT_PPS_Access20[Numéro projet], Portefeuille_MNT_PPS_Access20[Année DÉBUT Travaux prévu], "")</f>
        <v>2026</v>
      </c>
      <c r="O56">
        <v>2026</v>
      </c>
      <c r="P56">
        <f>Portefeuille_MNT_PPS_Access30[[#This Row],[Année DÉBUT Travaux proposé]]-Portefeuille_MNT_PPS_Access30[[#This Row],[Année DÉBUT Travaux prog actuelle]]</f>
        <v>0</v>
      </c>
      <c r="Q56" s="8" t="e">
        <f>_xlfn.XLOOKUP(Portefeuille_MNT_PPS_Access30[[#This Row],[Numéro projet]],#REF!,#REF!, "")</f>
        <v>#REF!</v>
      </c>
      <c r="R56" s="8" t="e">
        <f>Portefeuille_MNT_PPS_Access30[[#This Row],[Année prog actuelle à jour]]-Portefeuille_MNT_PPS_Access30[[#This Row],[Année DÉBUT Travaux proposé]]</f>
        <v>#REF!</v>
      </c>
      <c r="S56" t="s">
        <v>291</v>
      </c>
      <c r="T56" s="1"/>
      <c r="U56" s="1"/>
      <c r="V56" s="1"/>
      <c r="W5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5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5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5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5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56">
        <f>Portefeuille_MNT_PPS_Access30[[#This Row],[Délais PC1 et PC3]]+Portefeuille_MNT_PPS_Access30[[#This Row],[Délais PC3 et PC5]]</f>
        <v>0</v>
      </c>
      <c r="AC56">
        <v>1</v>
      </c>
      <c r="AD56">
        <v>1</v>
      </c>
      <c r="AE56">
        <v>3</v>
      </c>
      <c r="AF56" t="s">
        <v>311</v>
      </c>
      <c r="AG56">
        <v>3</v>
      </c>
      <c r="AH56" s="2">
        <f>_xlfn.XLOOKUP(Portefeuille_MNT_PPS_Access30[[#This Row],[Numéro projet]],Portefeuille_MNT_PPS_Access27[Numéro projet],Portefeuille_MNT_PPS_Access27[Critère Etat Infrastructure])</f>
        <v>3</v>
      </c>
      <c r="AI5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49.999999999999993</v>
      </c>
      <c r="AJ56" s="221"/>
      <c r="AN56"/>
      <c r="AR56">
        <v>300</v>
      </c>
      <c r="AX56"/>
      <c r="BK56" s="14">
        <f>SUM(Portefeuille_MNT_PPS_Access30[[#This Row],[AC ANT]:[TR 2035]])</f>
        <v>300</v>
      </c>
    </row>
    <row r="57" spans="1:63" hidden="1" x14ac:dyDescent="0.3">
      <c r="A57" t="s">
        <v>286</v>
      </c>
      <c r="B57" t="s">
        <v>662</v>
      </c>
      <c r="D57" t="s">
        <v>118</v>
      </c>
      <c r="E57" t="s">
        <v>102</v>
      </c>
      <c r="F57" t="s">
        <v>136</v>
      </c>
      <c r="G57" t="s">
        <v>113</v>
      </c>
      <c r="H57" t="s">
        <v>20</v>
      </c>
      <c r="I57" t="s">
        <v>20</v>
      </c>
      <c r="J57" t="s">
        <v>131</v>
      </c>
      <c r="K57" s="2">
        <v>154250021</v>
      </c>
      <c r="L57" t="s">
        <v>544</v>
      </c>
      <c r="M57" t="s">
        <v>187</v>
      </c>
      <c r="N57">
        <f>_xlfn.XLOOKUP(Portefeuille_MNT_PPS_Access30[[#This Row],[Numéro projet]], Portefeuille_MNT_PPS_Access20[Numéro projet], Portefeuille_MNT_PPS_Access20[Année DÉBUT Travaux prévu], "")</f>
        <v>2026</v>
      </c>
      <c r="O57">
        <v>2026</v>
      </c>
      <c r="P57">
        <f>Portefeuille_MNT_PPS_Access30[[#This Row],[Année DÉBUT Travaux proposé]]-Portefeuille_MNT_PPS_Access30[[#This Row],[Année DÉBUT Travaux prog actuelle]]</f>
        <v>0</v>
      </c>
      <c r="Q57" s="8" t="e">
        <f>_xlfn.XLOOKUP(Portefeuille_MNT_PPS_Access30[[#This Row],[Numéro projet]],#REF!,#REF!, "")</f>
        <v>#REF!</v>
      </c>
      <c r="R57" s="8" t="e">
        <f>Portefeuille_MNT_PPS_Access30[[#This Row],[Année prog actuelle à jour]]-Portefeuille_MNT_PPS_Access30[[#This Row],[Année DÉBUT Travaux proposé]]</f>
        <v>#REF!</v>
      </c>
      <c r="S57" t="s">
        <v>123</v>
      </c>
      <c r="T57" s="1">
        <v>45762</v>
      </c>
      <c r="U57" s="1">
        <v>46096</v>
      </c>
      <c r="V57" s="1">
        <v>46096</v>
      </c>
      <c r="W57" s="1"/>
      <c r="X57" s="1"/>
      <c r="Y5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5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5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57">
        <f>Portefeuille_MNT_PPS_Access30[[#This Row],[Délais PC1 et PC3]]+Portefeuille_MNT_PPS_Access30[[#This Row],[Délais PC3 et PC5]]</f>
        <v>11</v>
      </c>
      <c r="AC57">
        <v>1</v>
      </c>
      <c r="AD57">
        <v>1</v>
      </c>
      <c r="AE57">
        <v>3</v>
      </c>
      <c r="AF57" t="s">
        <v>125</v>
      </c>
      <c r="AG57">
        <v>3</v>
      </c>
      <c r="AH57" s="2">
        <f>_xlfn.XLOOKUP(Portefeuille_MNT_PPS_Access30[[#This Row],[Numéro projet]],Portefeuille_MNT_PPS_Access27[Numéro projet],Portefeuille_MNT_PPS_Access27[Critère Etat Infrastructure])</f>
        <v>3</v>
      </c>
      <c r="AI5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49.999999999999993</v>
      </c>
      <c r="AJ57" s="221"/>
      <c r="AN57"/>
      <c r="AQ57">
        <v>1</v>
      </c>
      <c r="AR57">
        <v>164</v>
      </c>
      <c r="AX57"/>
      <c r="BK57" s="14">
        <f>SUM(Portefeuille_MNT_PPS_Access30[[#This Row],[AC ANT]:[TR 2035]])</f>
        <v>165</v>
      </c>
    </row>
    <row r="58" spans="1:63" hidden="1" x14ac:dyDescent="0.3">
      <c r="A58" t="s">
        <v>286</v>
      </c>
      <c r="B58" t="s">
        <v>662</v>
      </c>
      <c r="D58" t="s">
        <v>118</v>
      </c>
      <c r="E58" t="s">
        <v>102</v>
      </c>
      <c r="F58" t="s">
        <v>242</v>
      </c>
      <c r="G58" t="s">
        <v>113</v>
      </c>
      <c r="H58" t="s">
        <v>16</v>
      </c>
      <c r="I58" t="s">
        <v>20</v>
      </c>
      <c r="J58" t="s">
        <v>131</v>
      </c>
      <c r="K58" s="2">
        <v>154210524</v>
      </c>
      <c r="L58" t="s">
        <v>244</v>
      </c>
      <c r="M58" t="s">
        <v>245</v>
      </c>
      <c r="N58" s="227">
        <f>_xlfn.XLOOKUP(Portefeuille_MNT_PPS_Access30[[#This Row],[Numéro projet]], Portefeuille_MNT_PPS_Access20[Numéro projet], Portefeuille_MNT_PPS_Access20[Année DÉBUT Travaux prévu], "")</f>
        <v>2027</v>
      </c>
      <c r="O58" s="229">
        <v>2027</v>
      </c>
      <c r="P58" s="229">
        <f>Portefeuille_MNT_PPS_Access30[[#This Row],[Année DÉBUT Travaux proposé]]-Portefeuille_MNT_PPS_Access30[[#This Row],[Année DÉBUT Travaux prog actuelle]]</f>
        <v>0</v>
      </c>
      <c r="Q58" s="229" t="e">
        <f>_xlfn.XLOOKUP(Portefeuille_MNT_PPS_Access30[[#This Row],[Numéro projet]],#REF!,#REF!, "")</f>
        <v>#REF!</v>
      </c>
      <c r="R58" s="229" t="e">
        <f>Portefeuille_MNT_PPS_Access30[[#This Row],[Année prog actuelle à jour]]-Portefeuille_MNT_PPS_Access30[[#This Row],[Année DÉBUT Travaux proposé]]</f>
        <v>#REF!</v>
      </c>
      <c r="S58" t="s">
        <v>155</v>
      </c>
      <c r="T58" s="1">
        <v>45976</v>
      </c>
      <c r="U58" s="1">
        <v>46280</v>
      </c>
      <c r="V58" s="1">
        <v>46433</v>
      </c>
      <c r="W5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5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5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5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10</v>
      </c>
      <c r="AA5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5</v>
      </c>
      <c r="AB58">
        <f>Portefeuille_MNT_PPS_Access30[[#This Row],[Délais PC1 et PC3]]+Portefeuille_MNT_PPS_Access30[[#This Row],[Délais PC3 et PC5]]</f>
        <v>15</v>
      </c>
      <c r="AD58">
        <v>1</v>
      </c>
      <c r="AE58">
        <v>5</v>
      </c>
      <c r="AF58" t="s">
        <v>156</v>
      </c>
      <c r="AG58">
        <v>1.6666666666666667</v>
      </c>
      <c r="AH58" s="2">
        <f>_xlfn.XLOOKUP(Portefeuille_MNT_PPS_Access30[[#This Row],[Numéro projet]],Portefeuille_MNT_PPS_Access27[Numéro projet],Portefeuille_MNT_PPS_Access27[Critère Etat Infrastructure])</f>
        <v>4</v>
      </c>
      <c r="AI5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58.333333333333336</v>
      </c>
      <c r="AJ58" s="221"/>
      <c r="AN58"/>
      <c r="AO58">
        <v>5</v>
      </c>
      <c r="AQ58">
        <v>150</v>
      </c>
      <c r="AS58">
        <v>195</v>
      </c>
      <c r="AT58">
        <v>2000</v>
      </c>
      <c r="AX58"/>
      <c r="BK58" s="14">
        <f>SUM(Portefeuille_MNT_PPS_Access30[[#This Row],[AC ANT]:[TR 2035]])</f>
        <v>2350</v>
      </c>
    </row>
    <row r="59" spans="1:63" hidden="1" x14ac:dyDescent="0.3">
      <c r="A59" t="s">
        <v>286</v>
      </c>
      <c r="B59" t="s">
        <v>662</v>
      </c>
      <c r="D59" t="s">
        <v>118</v>
      </c>
      <c r="E59" t="s">
        <v>102</v>
      </c>
      <c r="F59" t="s">
        <v>119</v>
      </c>
      <c r="G59" t="s">
        <v>206</v>
      </c>
      <c r="H59" t="s">
        <v>16</v>
      </c>
      <c r="I59" t="s">
        <v>130</v>
      </c>
      <c r="J59" t="s">
        <v>131</v>
      </c>
      <c r="K59" s="2">
        <v>154180745</v>
      </c>
      <c r="L59" t="s">
        <v>208</v>
      </c>
      <c r="M59" t="s">
        <v>209</v>
      </c>
      <c r="N59">
        <f>_xlfn.XLOOKUP(Portefeuille_MNT_PPS_Access30[[#This Row],[Numéro projet]], Portefeuille_MNT_PPS_Access20[Numéro projet], Portefeuille_MNT_PPS_Access20[Année DÉBUT Travaux prévu], "")</f>
        <v>2027</v>
      </c>
      <c r="O59">
        <v>2027</v>
      </c>
      <c r="P59">
        <f>Portefeuille_MNT_PPS_Access30[[#This Row],[Année DÉBUT Travaux proposé]]-Portefeuille_MNT_PPS_Access30[[#This Row],[Année DÉBUT Travaux prog actuelle]]</f>
        <v>0</v>
      </c>
      <c r="Q59" s="8" t="e">
        <f>_xlfn.XLOOKUP(Portefeuille_MNT_PPS_Access30[[#This Row],[Numéro projet]],#REF!,#REF!, "")</f>
        <v>#REF!</v>
      </c>
      <c r="R59" s="8" t="e">
        <f>Portefeuille_MNT_PPS_Access30[[#This Row],[Année prog actuelle à jour]]-Portefeuille_MNT_PPS_Access30[[#This Row],[Année DÉBUT Travaux proposé]]</f>
        <v>#REF!</v>
      </c>
      <c r="S59" t="s">
        <v>155</v>
      </c>
      <c r="T59" s="1">
        <v>45976</v>
      </c>
      <c r="U59" s="1">
        <v>46096</v>
      </c>
      <c r="V59" s="1">
        <v>46280</v>
      </c>
      <c r="W5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5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5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5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</v>
      </c>
      <c r="AA5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6</v>
      </c>
      <c r="AB59">
        <f>Portefeuille_MNT_PPS_Access30[[#This Row],[Délais PC1 et PC3]]+Portefeuille_MNT_PPS_Access30[[#This Row],[Délais PC3 et PC5]]</f>
        <v>10</v>
      </c>
      <c r="AD59">
        <v>1</v>
      </c>
      <c r="AE59">
        <v>3</v>
      </c>
      <c r="AF59" t="s">
        <v>156</v>
      </c>
      <c r="AG59">
        <v>3.3333333333333335</v>
      </c>
      <c r="AH59" s="2">
        <f>_xlfn.XLOOKUP(Portefeuille_MNT_PPS_Access30[[#This Row],[Numéro projet]],Portefeuille_MNT_PPS_Access27[Numéro projet],Portefeuille_MNT_PPS_Access27[Critère Etat Infrastructure])</f>
        <v>3</v>
      </c>
      <c r="AI5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51.666666666666671</v>
      </c>
      <c r="AJ59" s="221"/>
      <c r="AK59">
        <v>196</v>
      </c>
      <c r="AN59"/>
      <c r="AO59">
        <v>40</v>
      </c>
      <c r="AQ59">
        <v>255</v>
      </c>
      <c r="AS59">
        <v>396</v>
      </c>
      <c r="AT59">
        <v>1500</v>
      </c>
      <c r="AX59"/>
      <c r="BK59" s="14">
        <f>SUM(Portefeuille_MNT_PPS_Access30[[#This Row],[AC ANT]:[TR 2035]])</f>
        <v>2387</v>
      </c>
    </row>
    <row r="60" spans="1:63" hidden="1" x14ac:dyDescent="0.3">
      <c r="A60" t="s">
        <v>286</v>
      </c>
      <c r="B60" t="s">
        <v>295</v>
      </c>
      <c r="D60" t="s">
        <v>126</v>
      </c>
      <c r="E60" t="s">
        <v>127</v>
      </c>
      <c r="F60" t="s">
        <v>136</v>
      </c>
      <c r="G60" t="s">
        <v>144</v>
      </c>
      <c r="H60" t="s">
        <v>16</v>
      </c>
      <c r="I60" t="s">
        <v>20</v>
      </c>
      <c r="J60" t="s">
        <v>131</v>
      </c>
      <c r="K60" s="2">
        <v>154190675</v>
      </c>
      <c r="L60" t="s">
        <v>232</v>
      </c>
      <c r="M60" t="s">
        <v>147</v>
      </c>
      <c r="N60">
        <f>_xlfn.XLOOKUP(Portefeuille_MNT_PPS_Access30[[#This Row],[Numéro projet]], Portefeuille_MNT_PPS_Access20[Numéro projet], Portefeuille_MNT_PPS_Access20[Année DÉBUT Travaux prévu], "")</f>
        <v>2027</v>
      </c>
      <c r="O60">
        <v>2027</v>
      </c>
      <c r="P60">
        <f>Portefeuille_MNT_PPS_Access30[[#This Row],[Année DÉBUT Travaux proposé]]-Portefeuille_MNT_PPS_Access30[[#This Row],[Année DÉBUT Travaux prog actuelle]]</f>
        <v>0</v>
      </c>
      <c r="Q60" s="8" t="e">
        <f>_xlfn.XLOOKUP(Portefeuille_MNT_PPS_Access30[[#This Row],[Numéro projet]],#REF!,#REF!, "")</f>
        <v>#REF!</v>
      </c>
      <c r="R60" s="8" t="e">
        <f>Portefeuille_MNT_PPS_Access30[[#This Row],[Année prog actuelle à jour]]-Portefeuille_MNT_PPS_Access30[[#This Row],[Année DÉBUT Travaux proposé]]</f>
        <v>#REF!</v>
      </c>
      <c r="S60" t="s">
        <v>110</v>
      </c>
      <c r="T60" s="1">
        <v>45099</v>
      </c>
      <c r="U60" s="1">
        <v>46037</v>
      </c>
      <c r="V60" s="1">
        <v>46283</v>
      </c>
      <c r="W6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6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6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31</v>
      </c>
      <c r="AA6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8</v>
      </c>
      <c r="AB60">
        <f>Portefeuille_MNT_PPS_Access30[[#This Row],[Délais PC1 et PC3]]+Portefeuille_MNT_PPS_Access30[[#This Row],[Délais PC3 et PC5]]</f>
        <v>39</v>
      </c>
      <c r="AD60">
        <v>1</v>
      </c>
      <c r="AE60">
        <v>3</v>
      </c>
      <c r="AF60" t="s">
        <v>112</v>
      </c>
      <c r="AG60">
        <v>2.6666666666666665</v>
      </c>
      <c r="AH60" s="2">
        <f>_xlfn.XLOOKUP(Portefeuille_MNT_PPS_Access30[[#This Row],[Numéro projet]],Portefeuille_MNT_PPS_Access27[Numéro projet],Portefeuille_MNT_PPS_Access27[Critère Etat Infrastructure])</f>
        <v>3</v>
      </c>
      <c r="AI6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48.333333333333336</v>
      </c>
      <c r="AJ60" s="221"/>
      <c r="AK60">
        <v>9</v>
      </c>
      <c r="AM60">
        <v>21</v>
      </c>
      <c r="AN60"/>
      <c r="AO60">
        <v>631</v>
      </c>
      <c r="AQ60">
        <v>457</v>
      </c>
      <c r="AS60">
        <v>987</v>
      </c>
      <c r="AT60">
        <v>6475</v>
      </c>
      <c r="AU60">
        <v>1927</v>
      </c>
      <c r="AV60">
        <v>6677</v>
      </c>
      <c r="AX60"/>
      <c r="BK60" s="14">
        <f>SUM(Portefeuille_MNT_PPS_Access30[[#This Row],[AC ANT]:[TR 2035]])</f>
        <v>17184</v>
      </c>
    </row>
    <row r="61" spans="1:63" hidden="1" x14ac:dyDescent="0.3">
      <c r="A61" t="s">
        <v>286</v>
      </c>
      <c r="B61" t="s">
        <v>663</v>
      </c>
      <c r="D61" t="s">
        <v>101</v>
      </c>
      <c r="E61" t="s">
        <v>102</v>
      </c>
      <c r="F61" t="s">
        <v>136</v>
      </c>
      <c r="G61" t="s">
        <v>104</v>
      </c>
      <c r="H61" t="s">
        <v>16</v>
      </c>
      <c r="I61" t="s">
        <v>130</v>
      </c>
      <c r="J61" t="s">
        <v>105</v>
      </c>
      <c r="K61" s="2">
        <v>154062002</v>
      </c>
      <c r="L61" t="s">
        <v>171</v>
      </c>
      <c r="M61" t="s">
        <v>172</v>
      </c>
      <c r="N61">
        <f>_xlfn.XLOOKUP(Portefeuille_MNT_PPS_Access30[[#This Row],[Numéro projet]], Portefeuille_MNT_PPS_Access20[Numéro projet], Portefeuille_MNT_PPS_Access20[Année DÉBUT Travaux prévu], "")</f>
        <v>2027</v>
      </c>
      <c r="O61">
        <v>2027</v>
      </c>
      <c r="P61">
        <f>Portefeuille_MNT_PPS_Access30[[#This Row],[Année DÉBUT Travaux proposé]]-Portefeuille_MNT_PPS_Access30[[#This Row],[Année DÉBUT Travaux prog actuelle]]</f>
        <v>0</v>
      </c>
      <c r="Q61" s="8" t="e">
        <f>_xlfn.XLOOKUP(Portefeuille_MNT_PPS_Access30[[#This Row],[Numéro projet]],#REF!,#REF!, "")</f>
        <v>#REF!</v>
      </c>
      <c r="R61" s="8" t="e">
        <f>Portefeuille_MNT_PPS_Access30[[#This Row],[Année prog actuelle à jour]]-Portefeuille_MNT_PPS_Access30[[#This Row],[Année DÉBUT Travaux proposé]]</f>
        <v>#REF!</v>
      </c>
      <c r="S61" t="s">
        <v>110</v>
      </c>
      <c r="T61" s="1">
        <v>44833</v>
      </c>
      <c r="U61" s="1">
        <v>45976</v>
      </c>
      <c r="V61" s="1">
        <v>46310</v>
      </c>
      <c r="W6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6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6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38</v>
      </c>
      <c r="AA6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11</v>
      </c>
      <c r="AB61">
        <f>Portefeuille_MNT_PPS_Access30[[#This Row],[Délais PC1 et PC3]]+Portefeuille_MNT_PPS_Access30[[#This Row],[Délais PC3 et PC5]]</f>
        <v>49</v>
      </c>
      <c r="AD61">
        <v>1</v>
      </c>
      <c r="AE61">
        <v>5</v>
      </c>
      <c r="AF61" t="s">
        <v>112</v>
      </c>
      <c r="AG61">
        <v>3.6666666666666665</v>
      </c>
      <c r="AH61" s="2">
        <f>_xlfn.XLOOKUP(Portefeuille_MNT_PPS_Access30[[#This Row],[Numéro projet]],Portefeuille_MNT_PPS_Access27[Numéro projet],Portefeuille_MNT_PPS_Access27[Critère Etat Infrastructure])</f>
        <v>4</v>
      </c>
      <c r="AI6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68.333333333333329</v>
      </c>
      <c r="AJ61" s="221"/>
      <c r="AK61">
        <v>497</v>
      </c>
      <c r="AL61">
        <v>8</v>
      </c>
      <c r="AM61">
        <v>199</v>
      </c>
      <c r="AN61"/>
      <c r="AO61">
        <v>1213</v>
      </c>
      <c r="AQ61">
        <v>1008</v>
      </c>
      <c r="AS61">
        <v>842</v>
      </c>
      <c r="AT61">
        <v>6580</v>
      </c>
      <c r="AU61">
        <v>982</v>
      </c>
      <c r="AV61">
        <v>6581</v>
      </c>
      <c r="AW61">
        <v>635</v>
      </c>
      <c r="AX61">
        <v>6576</v>
      </c>
      <c r="BK61" s="14">
        <f>SUM(Portefeuille_MNT_PPS_Access30[[#This Row],[AC ANT]:[TR 2035]])</f>
        <v>25121</v>
      </c>
    </row>
    <row r="62" spans="1:63" hidden="1" x14ac:dyDescent="0.3">
      <c r="A62" t="s">
        <v>286</v>
      </c>
      <c r="B62" t="s">
        <v>663</v>
      </c>
      <c r="D62" t="s">
        <v>101</v>
      </c>
      <c r="E62" t="s">
        <v>102</v>
      </c>
      <c r="F62" t="s">
        <v>136</v>
      </c>
      <c r="G62" t="s">
        <v>140</v>
      </c>
      <c r="H62" t="s">
        <v>16</v>
      </c>
      <c r="I62" t="s">
        <v>20</v>
      </c>
      <c r="J62" t="s">
        <v>131</v>
      </c>
      <c r="K62" s="2">
        <v>154101522</v>
      </c>
      <c r="L62" t="s">
        <v>296</v>
      </c>
      <c r="M62" t="s">
        <v>183</v>
      </c>
      <c r="N62">
        <f>_xlfn.XLOOKUP(Portefeuille_MNT_PPS_Access30[[#This Row],[Numéro projet]], Portefeuille_MNT_PPS_Access20[Numéro projet], Portefeuille_MNT_PPS_Access20[Année DÉBUT Travaux prévu], "")</f>
        <v>2027</v>
      </c>
      <c r="O62">
        <v>2027</v>
      </c>
      <c r="P62">
        <f>Portefeuille_MNT_PPS_Access30[[#This Row],[Année DÉBUT Travaux proposé]]-Portefeuille_MNT_PPS_Access30[[#This Row],[Année DÉBUT Travaux prog actuelle]]</f>
        <v>0</v>
      </c>
      <c r="Q62" s="8" t="e">
        <f>_xlfn.XLOOKUP(Portefeuille_MNT_PPS_Access30[[#This Row],[Numéro projet]],#REF!,#REF!, "")</f>
        <v>#REF!</v>
      </c>
      <c r="R62" s="8" t="e">
        <f>Portefeuille_MNT_PPS_Access30[[#This Row],[Année prog actuelle à jour]]-Portefeuille_MNT_PPS_Access30[[#This Row],[Année DÉBUT Travaux proposé]]</f>
        <v>#REF!</v>
      </c>
      <c r="S62" t="s">
        <v>110</v>
      </c>
      <c r="T62" s="1">
        <v>45590</v>
      </c>
      <c r="U62" s="1">
        <v>46157</v>
      </c>
      <c r="V62" s="1">
        <v>46157</v>
      </c>
      <c r="W6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62" s="1"/>
      <c r="Y6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19</v>
      </c>
      <c r="AA6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62">
        <f>Portefeuille_MNT_PPS_Access30[[#This Row],[Délais PC1 et PC3]]+Portefeuille_MNT_PPS_Access30[[#This Row],[Délais PC3 et PC5]]</f>
        <v>19</v>
      </c>
      <c r="AD62">
        <v>1</v>
      </c>
      <c r="AE62">
        <v>1</v>
      </c>
      <c r="AF62" t="s">
        <v>112</v>
      </c>
      <c r="AG62">
        <v>2.3333333333333335</v>
      </c>
      <c r="AH62" s="2">
        <f>_xlfn.XLOOKUP(Portefeuille_MNT_PPS_Access30[[#This Row],[Numéro projet]],Portefeuille_MNT_PPS_Access27[Numéro projet],Portefeuille_MNT_PPS_Access27[Critère Etat Infrastructure])</f>
        <v>3</v>
      </c>
      <c r="AI6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62" s="221"/>
      <c r="AN62"/>
      <c r="AO62">
        <v>99</v>
      </c>
      <c r="AQ62">
        <v>66</v>
      </c>
      <c r="AS62">
        <v>305</v>
      </c>
      <c r="AT62">
        <v>1461</v>
      </c>
      <c r="AX62"/>
      <c r="BK62" s="14">
        <f>SUM(Portefeuille_MNT_PPS_Access30[[#This Row],[AC ANT]:[TR 2035]])</f>
        <v>1931</v>
      </c>
    </row>
    <row r="63" spans="1:63" hidden="1" x14ac:dyDescent="0.3">
      <c r="A63" t="s">
        <v>286</v>
      </c>
      <c r="B63" t="s">
        <v>663</v>
      </c>
      <c r="D63" t="s">
        <v>101</v>
      </c>
      <c r="E63" t="s">
        <v>102</v>
      </c>
      <c r="F63" t="s">
        <v>136</v>
      </c>
      <c r="G63" t="s">
        <v>149</v>
      </c>
      <c r="H63" t="s">
        <v>20</v>
      </c>
      <c r="I63" t="s">
        <v>20</v>
      </c>
      <c r="J63" t="s">
        <v>131</v>
      </c>
      <c r="K63" s="2">
        <v>154220313</v>
      </c>
      <c r="L63" t="s">
        <v>382</v>
      </c>
      <c r="M63" t="s">
        <v>194</v>
      </c>
      <c r="N63">
        <f>_xlfn.XLOOKUP(Portefeuille_MNT_PPS_Access30[[#This Row],[Numéro projet]], Portefeuille_MNT_PPS_Access20[Numéro projet], Portefeuille_MNT_PPS_Access20[Année DÉBUT Travaux prévu], "")</f>
        <v>2027</v>
      </c>
      <c r="O63">
        <v>2027</v>
      </c>
      <c r="P63">
        <f>Portefeuille_MNT_PPS_Access30[[#This Row],[Année DÉBUT Travaux proposé]]-Portefeuille_MNT_PPS_Access30[[#This Row],[Année DÉBUT Travaux prog actuelle]]</f>
        <v>0</v>
      </c>
      <c r="Q63" s="8" t="e">
        <f>_xlfn.XLOOKUP(Portefeuille_MNT_PPS_Access30[[#This Row],[Numéro projet]],#REF!,#REF!, "")</f>
        <v>#REF!</v>
      </c>
      <c r="R63" s="8" t="e">
        <f>Portefeuille_MNT_PPS_Access30[[#This Row],[Année prog actuelle à jour]]-Portefeuille_MNT_PPS_Access30[[#This Row],[Année DÉBUT Travaux proposé]]</f>
        <v>#REF!</v>
      </c>
      <c r="S63" t="s">
        <v>291</v>
      </c>
      <c r="T63" s="1"/>
      <c r="U63" s="1"/>
      <c r="V63" s="1"/>
      <c r="W6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6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6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6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6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63">
        <f>Portefeuille_MNT_PPS_Access30[[#This Row],[Délais PC1 et PC3]]+Portefeuille_MNT_PPS_Access30[[#This Row],[Délais PC3 et PC5]]</f>
        <v>0</v>
      </c>
      <c r="AD63">
        <v>1</v>
      </c>
      <c r="AE63">
        <v>3</v>
      </c>
      <c r="AF63" t="s">
        <v>311</v>
      </c>
      <c r="AG63">
        <v>3.3333333333333335</v>
      </c>
      <c r="AH63" s="2">
        <f>_xlfn.XLOOKUP(Portefeuille_MNT_PPS_Access30[[#This Row],[Numéro projet]],Portefeuille_MNT_PPS_Access27[Numéro projet],Portefeuille_MNT_PPS_Access27[Critère Etat Infrastructure])</f>
        <v>5</v>
      </c>
      <c r="AI6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61.666666666666671</v>
      </c>
      <c r="AJ63" s="221"/>
      <c r="AN63"/>
      <c r="AQ63">
        <v>50</v>
      </c>
      <c r="AS63">
        <v>50</v>
      </c>
      <c r="AT63">
        <v>250</v>
      </c>
      <c r="AX63"/>
      <c r="BK63" s="14">
        <f>SUM(Portefeuille_MNT_PPS_Access30[[#This Row],[AC ANT]:[TR 2035]])</f>
        <v>350</v>
      </c>
    </row>
    <row r="64" spans="1:63" hidden="1" x14ac:dyDescent="0.3">
      <c r="A64" t="s">
        <v>286</v>
      </c>
      <c r="B64" t="s">
        <v>663</v>
      </c>
      <c r="D64" t="s">
        <v>101</v>
      </c>
      <c r="E64" t="s">
        <v>102</v>
      </c>
      <c r="F64" t="s">
        <v>103</v>
      </c>
      <c r="G64" t="s">
        <v>140</v>
      </c>
      <c r="H64" t="s">
        <v>16</v>
      </c>
      <c r="I64" t="s">
        <v>20</v>
      </c>
      <c r="J64" t="s">
        <v>131</v>
      </c>
      <c r="K64" s="2">
        <v>154210528</v>
      </c>
      <c r="L64" t="s">
        <v>515</v>
      </c>
      <c r="M64" t="s">
        <v>180</v>
      </c>
      <c r="N64">
        <f>_xlfn.XLOOKUP(Portefeuille_MNT_PPS_Access30[[#This Row],[Numéro projet]], Portefeuille_MNT_PPS_Access20[Numéro projet], Portefeuille_MNT_PPS_Access20[Année DÉBUT Travaux prévu], "")</f>
        <v>2027</v>
      </c>
      <c r="O64">
        <v>2027</v>
      </c>
      <c r="P64">
        <f>Portefeuille_MNT_PPS_Access30[[#This Row],[Année DÉBUT Travaux proposé]]-Portefeuille_MNT_PPS_Access30[[#This Row],[Année DÉBUT Travaux prog actuelle]]</f>
        <v>0</v>
      </c>
      <c r="Q64" s="8" t="e">
        <f>_xlfn.XLOOKUP(Portefeuille_MNT_PPS_Access30[[#This Row],[Numéro projet]],#REF!,#REF!, "")</f>
        <v>#REF!</v>
      </c>
      <c r="R64" s="8" t="e">
        <f>Portefeuille_MNT_PPS_Access30[[#This Row],[Année prog actuelle à jour]]-Portefeuille_MNT_PPS_Access30[[#This Row],[Année DÉBUT Travaux proposé]]</f>
        <v>#REF!</v>
      </c>
      <c r="S64" t="s">
        <v>110</v>
      </c>
      <c r="T64" s="1">
        <v>45679</v>
      </c>
      <c r="U64" s="1">
        <v>46096</v>
      </c>
      <c r="V64" s="1">
        <v>46371</v>
      </c>
      <c r="W64" s="1"/>
      <c r="X6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6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6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64">
        <f>Portefeuille_MNT_PPS_Access30[[#This Row],[Délais PC1 et PC3]]+Portefeuille_MNT_PPS_Access30[[#This Row],[Délais PC3 et PC5]]</f>
        <v>23</v>
      </c>
      <c r="AD64">
        <v>1</v>
      </c>
      <c r="AE64">
        <v>3</v>
      </c>
      <c r="AF64" t="s">
        <v>112</v>
      </c>
      <c r="AG64">
        <v>1.8333333333333335</v>
      </c>
      <c r="AH64" s="2">
        <f>_xlfn.XLOOKUP(Portefeuille_MNT_PPS_Access30[[#This Row],[Numéro projet]],Portefeuille_MNT_PPS_Access27[Numéro projet],Portefeuille_MNT_PPS_Access27[Critère Etat Infrastructure])</f>
        <v>5</v>
      </c>
      <c r="AI6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54.166666666666671</v>
      </c>
      <c r="AJ64" s="221"/>
      <c r="AN64"/>
      <c r="AO64">
        <v>200</v>
      </c>
      <c r="AQ64">
        <v>110</v>
      </c>
      <c r="AS64">
        <v>82</v>
      </c>
      <c r="AT64">
        <v>1951</v>
      </c>
      <c r="AU64">
        <v>82</v>
      </c>
      <c r="AV64">
        <v>1951</v>
      </c>
      <c r="AX64"/>
      <c r="BK64" s="14">
        <f>SUM(Portefeuille_MNT_PPS_Access30[[#This Row],[AC ANT]:[TR 2035]])</f>
        <v>4376</v>
      </c>
    </row>
    <row r="65" spans="1:63" hidden="1" x14ac:dyDescent="0.3">
      <c r="A65" t="s">
        <v>286</v>
      </c>
      <c r="B65" t="s">
        <v>664</v>
      </c>
      <c r="D65" t="s">
        <v>101</v>
      </c>
      <c r="E65" t="s">
        <v>102</v>
      </c>
      <c r="F65" t="s">
        <v>103</v>
      </c>
      <c r="G65" t="s">
        <v>149</v>
      </c>
      <c r="H65" t="s">
        <v>16</v>
      </c>
      <c r="I65" t="s">
        <v>20</v>
      </c>
      <c r="J65" t="s">
        <v>105</v>
      </c>
      <c r="K65" s="2">
        <v>154190686</v>
      </c>
      <c r="L65" t="s">
        <v>665</v>
      </c>
      <c r="M65" t="s">
        <v>239</v>
      </c>
      <c r="N65">
        <f>_xlfn.XLOOKUP(Portefeuille_MNT_PPS_Access30[[#This Row],[Numéro projet]], Portefeuille_MNT_PPS_Access20[Numéro projet], Portefeuille_MNT_PPS_Access20[Année DÉBUT Travaux prévu], "")</f>
        <v>2027</v>
      </c>
      <c r="O65">
        <v>2027</v>
      </c>
      <c r="P65">
        <f>Portefeuille_MNT_PPS_Access30[[#This Row],[Année DÉBUT Travaux proposé]]-Portefeuille_MNT_PPS_Access30[[#This Row],[Année DÉBUT Travaux prog actuelle]]</f>
        <v>0</v>
      </c>
      <c r="Q65" s="8" t="e">
        <f>_xlfn.XLOOKUP(Portefeuille_MNT_PPS_Access30[[#This Row],[Numéro projet]],#REF!,#REF!, "")</f>
        <v>#REF!</v>
      </c>
      <c r="R65" s="8" t="e">
        <f>Portefeuille_MNT_PPS_Access30[[#This Row],[Année prog actuelle à jour]]-Portefeuille_MNT_PPS_Access30[[#This Row],[Année DÉBUT Travaux proposé]]</f>
        <v>#REF!</v>
      </c>
      <c r="S65" t="s">
        <v>110</v>
      </c>
      <c r="T65" s="1">
        <v>45915</v>
      </c>
      <c r="U65" s="1">
        <v>46037</v>
      </c>
      <c r="V65" s="1">
        <v>46310</v>
      </c>
      <c r="W65" s="1"/>
      <c r="X6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6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</v>
      </c>
      <c r="AA6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65">
        <f>Portefeuille_MNT_PPS_Access30[[#This Row],[Délais PC1 et PC3]]+Portefeuille_MNT_PPS_Access30[[#This Row],[Délais PC3 et PC5]]</f>
        <v>13</v>
      </c>
      <c r="AD65">
        <v>1</v>
      </c>
      <c r="AE65">
        <v>3</v>
      </c>
      <c r="AF65" t="s">
        <v>112</v>
      </c>
      <c r="AG65">
        <v>3.3333333333333335</v>
      </c>
      <c r="AH65" s="2">
        <f>_xlfn.XLOOKUP(Portefeuille_MNT_PPS_Access30[[#This Row],[Numéro projet]],Portefeuille_MNT_PPS_Access27[Numéro projet],Portefeuille_MNT_PPS_Access27[Critère Etat Infrastructure])</f>
        <v>4</v>
      </c>
      <c r="AI6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56.666666666666664</v>
      </c>
      <c r="AJ65" s="221"/>
      <c r="AN65"/>
      <c r="AO65">
        <v>25</v>
      </c>
      <c r="AQ65">
        <v>26</v>
      </c>
      <c r="AS65">
        <v>723</v>
      </c>
      <c r="AT65">
        <v>10494</v>
      </c>
      <c r="AX65"/>
      <c r="BK65" s="14">
        <f>SUM(Portefeuille_MNT_PPS_Access30[[#This Row],[AC ANT]:[TR 2035]])</f>
        <v>11268</v>
      </c>
    </row>
    <row r="66" spans="1:63" hidden="1" x14ac:dyDescent="0.3">
      <c r="A66" t="s">
        <v>286</v>
      </c>
      <c r="B66" t="s">
        <v>664</v>
      </c>
      <c r="D66" t="s">
        <v>101</v>
      </c>
      <c r="E66" t="s">
        <v>102</v>
      </c>
      <c r="F66" t="s">
        <v>103</v>
      </c>
      <c r="G66" t="s">
        <v>149</v>
      </c>
      <c r="H66" t="s">
        <v>16</v>
      </c>
      <c r="I66" t="s">
        <v>20</v>
      </c>
      <c r="J66" t="s">
        <v>105</v>
      </c>
      <c r="K66" s="2">
        <v>154190684</v>
      </c>
      <c r="L66" t="s">
        <v>510</v>
      </c>
      <c r="M66" t="s">
        <v>205</v>
      </c>
      <c r="N66">
        <f>_xlfn.XLOOKUP(Portefeuille_MNT_PPS_Access30[[#This Row],[Numéro projet]], Portefeuille_MNT_PPS_Access20[Numéro projet], Portefeuille_MNT_PPS_Access20[Année DÉBUT Travaux prévu], "")</f>
        <v>2027</v>
      </c>
      <c r="O66">
        <v>2027</v>
      </c>
      <c r="P66">
        <f>Portefeuille_MNT_PPS_Access30[[#This Row],[Année DÉBUT Travaux proposé]]-Portefeuille_MNT_PPS_Access30[[#This Row],[Année DÉBUT Travaux prog actuelle]]</f>
        <v>0</v>
      </c>
      <c r="Q66" s="8" t="e">
        <f>_xlfn.XLOOKUP(Portefeuille_MNT_PPS_Access30[[#This Row],[Numéro projet]],#REF!,#REF!, "")</f>
        <v>#REF!</v>
      </c>
      <c r="R66" s="8" t="e">
        <f>Portefeuille_MNT_PPS_Access30[[#This Row],[Année prog actuelle à jour]]-Portefeuille_MNT_PPS_Access30[[#This Row],[Année DÉBUT Travaux proposé]]</f>
        <v>#REF!</v>
      </c>
      <c r="S66" t="s">
        <v>110</v>
      </c>
      <c r="T66" s="1">
        <v>45706</v>
      </c>
      <c r="U66" s="1">
        <v>46055</v>
      </c>
      <c r="V66" s="1">
        <v>46273</v>
      </c>
      <c r="W66" s="1"/>
      <c r="X6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6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6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7</v>
      </c>
      <c r="AB66">
        <f>Portefeuille_MNT_PPS_Access30[[#This Row],[Délais PC1 et PC3]]+Portefeuille_MNT_PPS_Access30[[#This Row],[Délais PC3 et PC5]]</f>
        <v>19</v>
      </c>
      <c r="AD66">
        <v>1</v>
      </c>
      <c r="AE66">
        <v>3</v>
      </c>
      <c r="AF66" t="s">
        <v>112</v>
      </c>
      <c r="AG66">
        <v>3</v>
      </c>
      <c r="AH66" s="2">
        <f>_xlfn.XLOOKUP(Portefeuille_MNT_PPS_Access30[[#This Row],[Numéro projet]],Portefeuille_MNT_PPS_Access27[Numéro projet],Portefeuille_MNT_PPS_Access27[Critère Etat Infrastructure])</f>
        <v>4</v>
      </c>
      <c r="AI6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55.000000000000007</v>
      </c>
      <c r="AJ66" s="221"/>
      <c r="AN66"/>
      <c r="AO66">
        <v>102</v>
      </c>
      <c r="AQ66">
        <v>200</v>
      </c>
      <c r="AS66">
        <v>958</v>
      </c>
      <c r="AT66">
        <v>13608</v>
      </c>
      <c r="AX66"/>
      <c r="BK66" s="14">
        <f>SUM(Portefeuille_MNT_PPS_Access30[[#This Row],[AC ANT]:[TR 2035]])</f>
        <v>14868</v>
      </c>
    </row>
    <row r="67" spans="1:63" hidden="1" x14ac:dyDescent="0.3">
      <c r="A67" t="s">
        <v>286</v>
      </c>
      <c r="B67" t="s">
        <v>662</v>
      </c>
      <c r="D67" t="s">
        <v>118</v>
      </c>
      <c r="E67" t="s">
        <v>102</v>
      </c>
      <c r="F67" t="s">
        <v>177</v>
      </c>
      <c r="G67" t="s">
        <v>113</v>
      </c>
      <c r="H67" t="s">
        <v>16</v>
      </c>
      <c r="I67" t="s">
        <v>20</v>
      </c>
      <c r="J67" t="s">
        <v>131</v>
      </c>
      <c r="K67" s="2">
        <v>154200650</v>
      </c>
      <c r="L67" t="s">
        <v>241</v>
      </c>
      <c r="M67" t="s">
        <v>187</v>
      </c>
      <c r="N67">
        <f>_xlfn.XLOOKUP(Portefeuille_MNT_PPS_Access30[[#This Row],[Numéro projet]], Portefeuille_MNT_PPS_Access20[Numéro projet], Portefeuille_MNT_PPS_Access20[Année DÉBUT Travaux prévu], "")</f>
        <v>2027</v>
      </c>
      <c r="O67">
        <v>2027</v>
      </c>
      <c r="P67">
        <f>Portefeuille_MNT_PPS_Access30[[#This Row],[Année DÉBUT Travaux proposé]]-Portefeuille_MNT_PPS_Access30[[#This Row],[Année DÉBUT Travaux prog actuelle]]</f>
        <v>0</v>
      </c>
      <c r="Q67" s="8" t="e">
        <f>_xlfn.XLOOKUP(Portefeuille_MNT_PPS_Access30[[#This Row],[Numéro projet]],#REF!,#REF!, "")</f>
        <v>#REF!</v>
      </c>
      <c r="R67" s="8" t="e">
        <f>Portefeuille_MNT_PPS_Access30[[#This Row],[Année prog actuelle à jour]]-Portefeuille_MNT_PPS_Access30[[#This Row],[Année DÉBUT Travaux proposé]]</f>
        <v>#REF!</v>
      </c>
      <c r="S67" t="s">
        <v>110</v>
      </c>
      <c r="T67" s="1">
        <v>45708</v>
      </c>
      <c r="U67" s="1">
        <v>45923</v>
      </c>
      <c r="V67" s="1">
        <v>46296</v>
      </c>
      <c r="W67" s="1"/>
      <c r="X6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6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6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7</v>
      </c>
      <c r="AA6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13</v>
      </c>
      <c r="AB67">
        <f>Portefeuille_MNT_PPS_Access30[[#This Row],[Délais PC1 et PC3]]+Portefeuille_MNT_PPS_Access30[[#This Row],[Délais PC3 et PC5]]</f>
        <v>20</v>
      </c>
      <c r="AD67">
        <v>1</v>
      </c>
      <c r="AE67">
        <v>5</v>
      </c>
      <c r="AF67" t="s">
        <v>112</v>
      </c>
      <c r="AG67">
        <v>3</v>
      </c>
      <c r="AH67" s="2">
        <f>_xlfn.XLOOKUP(Portefeuille_MNT_PPS_Access30[[#This Row],[Numéro projet]],Portefeuille_MNT_PPS_Access27[Numéro projet],Portefeuille_MNT_PPS_Access27[Critère Etat Infrastructure])</f>
        <v>5</v>
      </c>
      <c r="AI6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70</v>
      </c>
      <c r="AJ67" s="221"/>
      <c r="AN67"/>
      <c r="AO67">
        <v>214</v>
      </c>
      <c r="AQ67">
        <v>61</v>
      </c>
      <c r="AS67">
        <v>295</v>
      </c>
      <c r="AT67">
        <v>5162</v>
      </c>
      <c r="AX67"/>
      <c r="BK67" s="14">
        <f>SUM(Portefeuille_MNT_PPS_Access30[[#This Row],[AC ANT]:[TR 2035]])</f>
        <v>5732</v>
      </c>
    </row>
    <row r="68" spans="1:63" hidden="1" x14ac:dyDescent="0.3">
      <c r="A68" t="s">
        <v>11</v>
      </c>
      <c r="D68" t="s">
        <v>118</v>
      </c>
      <c r="E68" t="s">
        <v>102</v>
      </c>
      <c r="F68" t="s">
        <v>177</v>
      </c>
      <c r="G68" t="s">
        <v>252</v>
      </c>
      <c r="H68" t="s">
        <v>20</v>
      </c>
      <c r="I68" t="s">
        <v>20</v>
      </c>
      <c r="J68" t="s">
        <v>131</v>
      </c>
      <c r="K68" s="2">
        <v>154240494</v>
      </c>
      <c r="L68" t="s">
        <v>449</v>
      </c>
      <c r="M68" t="s">
        <v>159</v>
      </c>
      <c r="N68" s="227">
        <f>_xlfn.XLOOKUP(Portefeuille_MNT_PPS_Access30[[#This Row],[Numéro projet]], Portefeuille_MNT_PPS_Access20[Numéro projet], Portefeuille_MNT_PPS_Access20[Année DÉBUT Travaux prévu], "")</f>
        <v>2026</v>
      </c>
      <c r="O68" s="229">
        <v>2027</v>
      </c>
      <c r="P68" s="8">
        <f>Portefeuille_MNT_PPS_Access30[[#This Row],[Année DÉBUT Travaux proposé]]-Portefeuille_MNT_PPS_Access30[[#This Row],[Année DÉBUT Travaux prog actuelle]]</f>
        <v>1</v>
      </c>
      <c r="Q68" s="8" t="e">
        <f>_xlfn.XLOOKUP(Portefeuille_MNT_PPS_Access30[[#This Row],[Numéro projet]],#REF!,#REF!, "")</f>
        <v>#REF!</v>
      </c>
      <c r="R68" s="8" t="e">
        <f>Portefeuille_MNT_PPS_Access30[[#This Row],[Année prog actuelle à jour]]-Portefeuille_MNT_PPS_Access30[[#This Row],[Année DÉBUT Travaux proposé]]</f>
        <v>#REF!</v>
      </c>
      <c r="S68" t="s">
        <v>291</v>
      </c>
      <c r="T68" s="1"/>
      <c r="U68" s="1"/>
      <c r="V68" s="1"/>
      <c r="W6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6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6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6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6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68">
        <f>Portefeuille_MNT_PPS_Access30[[#This Row],[Délais PC1 et PC3]]+Portefeuille_MNT_PPS_Access30[[#This Row],[Délais PC3 et PC5]]</f>
        <v>0</v>
      </c>
      <c r="AD68">
        <v>1</v>
      </c>
      <c r="AE68">
        <v>3</v>
      </c>
      <c r="AF68" t="s">
        <v>311</v>
      </c>
      <c r="AG68">
        <v>4.333333333333333</v>
      </c>
      <c r="AH68" s="2">
        <f>_xlfn.XLOOKUP(Portefeuille_MNT_PPS_Access30[[#This Row],[Numéro projet]],Portefeuille_MNT_PPS_Access27[Numéro projet],Portefeuille_MNT_PPS_Access27[Critère Etat Infrastructure])</f>
        <v>4</v>
      </c>
      <c r="AI6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61.666666666666671</v>
      </c>
      <c r="AJ68" s="221"/>
      <c r="AN68"/>
      <c r="AT68">
        <v>100</v>
      </c>
      <c r="AX68"/>
      <c r="BK68" s="14">
        <f>SUM(Portefeuille_MNT_PPS_Access30[[#This Row],[AC ANT]:[TR 2035]])</f>
        <v>100</v>
      </c>
    </row>
    <row r="69" spans="1:63" hidden="1" x14ac:dyDescent="0.3">
      <c r="A69" t="s">
        <v>11</v>
      </c>
      <c r="D69" t="s">
        <v>118</v>
      </c>
      <c r="E69" t="s">
        <v>102</v>
      </c>
      <c r="F69" t="s">
        <v>103</v>
      </c>
      <c r="G69" t="s">
        <v>252</v>
      </c>
      <c r="H69" t="s">
        <v>20</v>
      </c>
      <c r="I69" t="s">
        <v>20</v>
      </c>
      <c r="J69" t="s">
        <v>131</v>
      </c>
      <c r="K69" s="2">
        <v>154250200</v>
      </c>
      <c r="L69" t="s">
        <v>607</v>
      </c>
      <c r="M69" t="s">
        <v>180</v>
      </c>
      <c r="N69" t="str">
        <f>_xlfn.XLOOKUP(Portefeuille_MNT_PPS_Access30[[#This Row],[Numéro projet]], Portefeuille_MNT_PPS_Access20[Numéro projet], Portefeuille_MNT_PPS_Access20[Année DÉBUT Travaux prévu], "")</f>
        <v/>
      </c>
      <c r="O69" s="8">
        <v>2027</v>
      </c>
      <c r="P69" s="8" t="e">
        <f>Portefeuille_MNT_PPS_Access30[[#This Row],[Année DÉBUT Travaux proposé]]-Portefeuille_MNT_PPS_Access30[[#This Row],[Année DÉBUT Travaux prog actuelle]]</f>
        <v>#VALUE!</v>
      </c>
      <c r="Q69" s="8" t="e">
        <f>_xlfn.XLOOKUP(Portefeuille_MNT_PPS_Access30[[#This Row],[Numéro projet]],#REF!,#REF!, "")</f>
        <v>#REF!</v>
      </c>
      <c r="R69" s="8" t="e">
        <f>Portefeuille_MNT_PPS_Access30[[#This Row],[Année prog actuelle à jour]]-Portefeuille_MNT_PPS_Access30[[#This Row],[Année DÉBUT Travaux proposé]]</f>
        <v>#REF!</v>
      </c>
      <c r="S69" t="s">
        <v>291</v>
      </c>
      <c r="T69" s="1"/>
      <c r="U69" s="1"/>
      <c r="V69" s="1"/>
      <c r="W6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6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6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6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6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69">
        <f>Portefeuille_MNT_PPS_Access30[[#This Row],[Délais PC1 et PC3]]+Portefeuille_MNT_PPS_Access30[[#This Row],[Délais PC3 et PC5]]</f>
        <v>0</v>
      </c>
      <c r="AD69">
        <v>1</v>
      </c>
      <c r="AE69">
        <v>3</v>
      </c>
      <c r="AF69" t="s">
        <v>311</v>
      </c>
      <c r="AG69">
        <v>3</v>
      </c>
      <c r="AH69" s="2">
        <f>_xlfn.XLOOKUP(Portefeuille_MNT_PPS_Access30[[#This Row],[Numéro projet]],Portefeuille_MNT_PPS_Access27[Numéro projet],Portefeuille_MNT_PPS_Access27[Critère Etat Infrastructure])</f>
        <v>3</v>
      </c>
      <c r="AI6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49.999999999999993</v>
      </c>
      <c r="AJ69" s="221"/>
      <c r="AN69"/>
      <c r="AT69">
        <v>300</v>
      </c>
      <c r="AX69"/>
      <c r="BK69" s="14">
        <f>SUM(Portefeuille_MNT_PPS_Access30[[#This Row],[AC ANT]:[TR 2035]])</f>
        <v>300</v>
      </c>
    </row>
    <row r="70" spans="1:63" hidden="1" x14ac:dyDescent="0.3">
      <c r="A70" t="s">
        <v>11</v>
      </c>
      <c r="D70" t="s">
        <v>118</v>
      </c>
      <c r="E70" t="s">
        <v>102</v>
      </c>
      <c r="F70" t="s">
        <v>103</v>
      </c>
      <c r="G70" t="s">
        <v>252</v>
      </c>
      <c r="H70" t="s">
        <v>20</v>
      </c>
      <c r="I70" t="s">
        <v>20</v>
      </c>
      <c r="J70" t="s">
        <v>131</v>
      </c>
      <c r="K70" s="2">
        <v>154250377</v>
      </c>
      <c r="L70" t="s">
        <v>648</v>
      </c>
      <c r="M70" t="s">
        <v>147</v>
      </c>
      <c r="N70" t="str">
        <f>_xlfn.XLOOKUP(Portefeuille_MNT_PPS_Access30[[#This Row],[Numéro projet]], Portefeuille_MNT_PPS_Access20[Numéro projet], Portefeuille_MNT_PPS_Access20[Année DÉBUT Travaux prévu], "")</f>
        <v/>
      </c>
      <c r="O70" s="8">
        <v>2027</v>
      </c>
      <c r="P70" s="8" t="e">
        <f>Portefeuille_MNT_PPS_Access30[[#This Row],[Année DÉBUT Travaux proposé]]-Portefeuille_MNT_PPS_Access30[[#This Row],[Année DÉBUT Travaux prog actuelle]]</f>
        <v>#VALUE!</v>
      </c>
      <c r="Q70" s="8" t="e">
        <f>_xlfn.XLOOKUP(Portefeuille_MNT_PPS_Access30[[#This Row],[Numéro projet]],#REF!,#REF!, "")</f>
        <v>#REF!</v>
      </c>
      <c r="R70" s="8" t="e">
        <f>Portefeuille_MNT_PPS_Access30[[#This Row],[Année prog actuelle à jour]]-Portefeuille_MNT_PPS_Access30[[#This Row],[Année DÉBUT Travaux proposé]]</f>
        <v>#REF!</v>
      </c>
      <c r="S70" t="s">
        <v>291</v>
      </c>
      <c r="T70" s="1"/>
      <c r="U70" s="1"/>
      <c r="V70" s="1"/>
      <c r="W7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7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7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7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7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70">
        <f>Portefeuille_MNT_PPS_Access30[[#This Row],[Délais PC1 et PC3]]+Portefeuille_MNT_PPS_Access30[[#This Row],[Délais PC3 et PC5]]</f>
        <v>0</v>
      </c>
      <c r="AD70">
        <v>1</v>
      </c>
      <c r="AE70">
        <v>3</v>
      </c>
      <c r="AF70" t="s">
        <v>311</v>
      </c>
      <c r="AG70">
        <v>2.6666666666666665</v>
      </c>
      <c r="AH70" s="2">
        <f>_xlfn.XLOOKUP(Portefeuille_MNT_PPS_Access30[[#This Row],[Numéro projet]],Portefeuille_MNT_PPS_Access27[Numéro projet],Portefeuille_MNT_PPS_Access27[Critère Etat Infrastructure])</f>
        <v>4</v>
      </c>
      <c r="AI7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53.333333333333336</v>
      </c>
      <c r="AJ70" s="221"/>
      <c r="AN70"/>
      <c r="AT70">
        <v>10</v>
      </c>
      <c r="AX70"/>
      <c r="BK70" s="14">
        <f>SUM(Portefeuille_MNT_PPS_Access30[[#This Row],[AC ANT]:[TR 2035]])</f>
        <v>10</v>
      </c>
    </row>
    <row r="71" spans="1:63" hidden="1" x14ac:dyDescent="0.3">
      <c r="A71" t="s">
        <v>11</v>
      </c>
      <c r="D71" t="s">
        <v>118</v>
      </c>
      <c r="E71" t="s">
        <v>102</v>
      </c>
      <c r="F71" t="s">
        <v>242</v>
      </c>
      <c r="G71" t="s">
        <v>252</v>
      </c>
      <c r="H71" t="s">
        <v>20</v>
      </c>
      <c r="I71" t="s">
        <v>20</v>
      </c>
      <c r="J71" t="s">
        <v>131</v>
      </c>
      <c r="K71" s="2">
        <v>154250378</v>
      </c>
      <c r="L71" t="s">
        <v>650</v>
      </c>
      <c r="M71" t="s">
        <v>414</v>
      </c>
      <c r="N71" t="str">
        <f>_xlfn.XLOOKUP(Portefeuille_MNT_PPS_Access30[[#This Row],[Numéro projet]], Portefeuille_MNT_PPS_Access20[Numéro projet], Portefeuille_MNT_PPS_Access20[Année DÉBUT Travaux prévu], "")</f>
        <v/>
      </c>
      <c r="O71" s="8">
        <v>2027</v>
      </c>
      <c r="P71" s="8" t="e">
        <f>Portefeuille_MNT_PPS_Access30[[#This Row],[Année DÉBUT Travaux proposé]]-Portefeuille_MNT_PPS_Access30[[#This Row],[Année DÉBUT Travaux prog actuelle]]</f>
        <v>#VALUE!</v>
      </c>
      <c r="Q71" s="8" t="e">
        <f>_xlfn.XLOOKUP(Portefeuille_MNT_PPS_Access30[[#This Row],[Numéro projet]],#REF!,#REF!, "")</f>
        <v>#REF!</v>
      </c>
      <c r="R71" s="8" t="e">
        <f>Portefeuille_MNT_PPS_Access30[[#This Row],[Année prog actuelle à jour]]-Portefeuille_MNT_PPS_Access30[[#This Row],[Année DÉBUT Travaux proposé]]</f>
        <v>#REF!</v>
      </c>
      <c r="S71" t="s">
        <v>291</v>
      </c>
      <c r="T71" s="1"/>
      <c r="U71" s="1"/>
      <c r="V71" s="1"/>
      <c r="W7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7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7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7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7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71">
        <f>Portefeuille_MNT_PPS_Access30[[#This Row],[Délais PC1 et PC3]]+Portefeuille_MNT_PPS_Access30[[#This Row],[Délais PC3 et PC5]]</f>
        <v>0</v>
      </c>
      <c r="AD71">
        <v>1</v>
      </c>
      <c r="AE71">
        <v>3</v>
      </c>
      <c r="AF71" t="s">
        <v>311</v>
      </c>
      <c r="AG71">
        <v>1</v>
      </c>
      <c r="AH71" s="2">
        <f>_xlfn.XLOOKUP(Portefeuille_MNT_PPS_Access30[[#This Row],[Numéro projet]],Portefeuille_MNT_PPS_Access27[Numéro projet],Portefeuille_MNT_PPS_Access27[Critère Etat Infrastructure])</f>
        <v>3</v>
      </c>
      <c r="AI7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71" s="221"/>
      <c r="AN71"/>
      <c r="AT71">
        <v>100</v>
      </c>
      <c r="AX71"/>
      <c r="BK71" s="14">
        <f>SUM(Portefeuille_MNT_PPS_Access30[[#This Row],[AC ANT]:[TR 2035]])</f>
        <v>100</v>
      </c>
    </row>
    <row r="72" spans="1:63" hidden="1" x14ac:dyDescent="0.3">
      <c r="A72" t="s">
        <v>286</v>
      </c>
      <c r="D72" t="s">
        <v>126</v>
      </c>
      <c r="E72" t="s">
        <v>127</v>
      </c>
      <c r="F72" t="s">
        <v>200</v>
      </c>
      <c r="G72" t="s">
        <v>252</v>
      </c>
      <c r="H72" t="s">
        <v>20</v>
      </c>
      <c r="I72" t="s">
        <v>20</v>
      </c>
      <c r="J72" t="s">
        <v>131</v>
      </c>
      <c r="K72" s="2">
        <v>154250379</v>
      </c>
      <c r="L72" t="s">
        <v>652</v>
      </c>
      <c r="M72" t="s">
        <v>139</v>
      </c>
      <c r="N72" t="str">
        <f>_xlfn.XLOOKUP(Portefeuille_MNT_PPS_Access30[[#This Row],[Numéro projet]], Portefeuille_MNT_PPS_Access20[Numéro projet], Portefeuille_MNT_PPS_Access20[Année DÉBUT Travaux prévu], "")</f>
        <v/>
      </c>
      <c r="O72" s="8">
        <v>2026</v>
      </c>
      <c r="P72" s="8" t="e">
        <f>Portefeuille_MNT_PPS_Access30[[#This Row],[Année DÉBUT Travaux proposé]]-Portefeuille_MNT_PPS_Access30[[#This Row],[Année DÉBUT Travaux prog actuelle]]</f>
        <v>#VALUE!</v>
      </c>
      <c r="Q72" s="8" t="e">
        <f>_xlfn.XLOOKUP(Portefeuille_MNT_PPS_Access30[[#This Row],[Numéro projet]],#REF!,#REF!, "")</f>
        <v>#REF!</v>
      </c>
      <c r="R72" s="8" t="e">
        <f>Portefeuille_MNT_PPS_Access30[[#This Row],[Année prog actuelle à jour]]-Portefeuille_MNT_PPS_Access30[[#This Row],[Année DÉBUT Travaux proposé]]</f>
        <v>#REF!</v>
      </c>
      <c r="S72" t="s">
        <v>291</v>
      </c>
      <c r="T72" s="1"/>
      <c r="U72" s="1"/>
      <c r="V72" s="1"/>
      <c r="W7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7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7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7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7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72">
        <f>Portefeuille_MNT_PPS_Access30[[#This Row],[Délais PC1 et PC3]]+Portefeuille_MNT_PPS_Access30[[#This Row],[Délais PC3 et PC5]]</f>
        <v>0</v>
      </c>
      <c r="AC72">
        <v>1</v>
      </c>
      <c r="AD72">
        <v>1</v>
      </c>
      <c r="AE72">
        <v>3</v>
      </c>
      <c r="AF72" t="s">
        <v>311</v>
      </c>
      <c r="AG72">
        <v>2</v>
      </c>
      <c r="AH72" s="2">
        <f>_xlfn.XLOOKUP(Portefeuille_MNT_PPS_Access30[[#This Row],[Numéro projet]],Portefeuille_MNT_PPS_Access27[Numéro projet],Portefeuille_MNT_PPS_Access27[Critère Etat Infrastructure])</f>
        <v>2</v>
      </c>
      <c r="AI7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72" s="221"/>
      <c r="AN72"/>
      <c r="AR72">
        <v>15</v>
      </c>
      <c r="AX72"/>
      <c r="BK72" s="14">
        <f>SUM(Portefeuille_MNT_PPS_Access30[[#This Row],[AC ANT]:[TR 2035]])</f>
        <v>15</v>
      </c>
    </row>
    <row r="73" spans="1:63" hidden="1" x14ac:dyDescent="0.3">
      <c r="A73" t="s">
        <v>286</v>
      </c>
      <c r="B73" t="s">
        <v>663</v>
      </c>
      <c r="D73" t="s">
        <v>101</v>
      </c>
      <c r="E73" t="s">
        <v>102</v>
      </c>
      <c r="F73" t="s">
        <v>136</v>
      </c>
      <c r="G73" t="s">
        <v>149</v>
      </c>
      <c r="H73" t="s">
        <v>16</v>
      </c>
      <c r="I73" t="s">
        <v>20</v>
      </c>
      <c r="J73" t="s">
        <v>105</v>
      </c>
      <c r="K73" s="2">
        <v>154180731</v>
      </c>
      <c r="L73" t="s">
        <v>204</v>
      </c>
      <c r="M73" t="s">
        <v>205</v>
      </c>
      <c r="N73" s="227">
        <f>_xlfn.XLOOKUP(Portefeuille_MNT_PPS_Access30[[#This Row],[Numéro projet]], Portefeuille_MNT_PPS_Access20[Numéro projet], Portefeuille_MNT_PPS_Access20[Année DÉBUT Travaux prévu], "")</f>
        <v>2027</v>
      </c>
      <c r="O73" s="229">
        <v>2028</v>
      </c>
      <c r="P73" s="8">
        <f>Portefeuille_MNT_PPS_Access30[[#This Row],[Année DÉBUT Travaux proposé]]-Portefeuille_MNT_PPS_Access30[[#This Row],[Année DÉBUT Travaux prog actuelle]]</f>
        <v>1</v>
      </c>
      <c r="Q73" s="8" t="e">
        <f>_xlfn.XLOOKUP(Portefeuille_MNT_PPS_Access30[[#This Row],[Numéro projet]],#REF!,#REF!, "")</f>
        <v>#REF!</v>
      </c>
      <c r="R73" s="8" t="e">
        <f>Portefeuille_MNT_PPS_Access30[[#This Row],[Année prog actuelle à jour]]-Portefeuille_MNT_PPS_Access30[[#This Row],[Année DÉBUT Travaux proposé]]</f>
        <v>#REF!</v>
      </c>
      <c r="S73" t="s">
        <v>155</v>
      </c>
      <c r="T73" s="1">
        <v>45960</v>
      </c>
      <c r="U73" s="1">
        <v>46264</v>
      </c>
      <c r="V73" s="1">
        <v>46629</v>
      </c>
      <c r="W7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7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10</v>
      </c>
      <c r="AA7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73">
        <f>Portefeuille_MNT_PPS_Access30[[#This Row],[Délais PC1 et PC3]]+Portefeuille_MNT_PPS_Access30[[#This Row],[Délais PC3 et PC5]]</f>
        <v>22</v>
      </c>
      <c r="AD73">
        <v>1</v>
      </c>
      <c r="AE73">
        <v>5</v>
      </c>
      <c r="AF73" t="s">
        <v>156</v>
      </c>
      <c r="AG73">
        <v>3</v>
      </c>
      <c r="AH73" s="2">
        <f>_xlfn.XLOOKUP(Portefeuille_MNT_PPS_Access30[[#This Row],[Numéro projet]],Portefeuille_MNT_PPS_Access27[Numéro projet],Portefeuille_MNT_PPS_Access27[Critère Etat Infrastructure])</f>
        <v>5</v>
      </c>
      <c r="AI7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70</v>
      </c>
      <c r="AJ73" s="221"/>
      <c r="AN73"/>
      <c r="AO73">
        <v>85</v>
      </c>
      <c r="AQ73">
        <v>85</v>
      </c>
      <c r="AS73">
        <v>170</v>
      </c>
      <c r="AV73">
        <v>2000</v>
      </c>
      <c r="AX73"/>
      <c r="BK73" s="14">
        <f>SUM(Portefeuille_MNT_PPS_Access30[[#This Row],[AC ANT]:[TR 2035]])</f>
        <v>2340</v>
      </c>
    </row>
    <row r="74" spans="1:63" hidden="1" x14ac:dyDescent="0.3">
      <c r="A74" t="s">
        <v>286</v>
      </c>
      <c r="B74" t="s">
        <v>662</v>
      </c>
      <c r="D74" t="s">
        <v>118</v>
      </c>
      <c r="E74" t="s">
        <v>102</v>
      </c>
      <c r="F74" t="s">
        <v>177</v>
      </c>
      <c r="G74" t="s">
        <v>113</v>
      </c>
      <c r="H74" t="s">
        <v>20</v>
      </c>
      <c r="I74" t="s">
        <v>20</v>
      </c>
      <c r="J74" t="s">
        <v>131</v>
      </c>
      <c r="K74" s="2">
        <v>154240709</v>
      </c>
      <c r="L74" t="s">
        <v>512</v>
      </c>
      <c r="M74" t="s">
        <v>187</v>
      </c>
      <c r="N74">
        <f>_xlfn.XLOOKUP(Portefeuille_MNT_PPS_Access30[[#This Row],[Numéro projet]], Portefeuille_MNT_PPS_Access20[Numéro projet], Portefeuille_MNT_PPS_Access20[Année DÉBUT Travaux prévu], "")</f>
        <v>2028</v>
      </c>
      <c r="O74">
        <v>2028</v>
      </c>
      <c r="P74">
        <f>Portefeuille_MNT_PPS_Access30[[#This Row],[Année DÉBUT Travaux proposé]]-Portefeuille_MNT_PPS_Access30[[#This Row],[Année DÉBUT Travaux prog actuelle]]</f>
        <v>0</v>
      </c>
      <c r="Q74" s="8" t="e">
        <f>_xlfn.XLOOKUP(Portefeuille_MNT_PPS_Access30[[#This Row],[Numéro projet]],#REF!,#REF!, "")</f>
        <v>#REF!</v>
      </c>
      <c r="R74" s="8" t="e">
        <f>Portefeuille_MNT_PPS_Access30[[#This Row],[Année prog actuelle à jour]]-Portefeuille_MNT_PPS_Access30[[#This Row],[Année DÉBUT Travaux proposé]]</f>
        <v>#REF!</v>
      </c>
      <c r="S74" t="s">
        <v>155</v>
      </c>
      <c r="T74" s="1">
        <v>46006</v>
      </c>
      <c r="U74" s="1">
        <v>46341</v>
      </c>
      <c r="V74" s="1">
        <v>46706</v>
      </c>
      <c r="W7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7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7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74">
        <f>Portefeuille_MNT_PPS_Access30[[#This Row],[Délais PC1 et PC3]]+Portefeuille_MNT_PPS_Access30[[#This Row],[Délais PC3 et PC5]]</f>
        <v>23</v>
      </c>
      <c r="AD74">
        <v>1</v>
      </c>
      <c r="AE74">
        <v>5</v>
      </c>
      <c r="AF74" t="s">
        <v>156</v>
      </c>
      <c r="AG74">
        <v>3</v>
      </c>
      <c r="AH74" s="2">
        <f>_xlfn.XLOOKUP(Portefeuille_MNT_PPS_Access30[[#This Row],[Numéro projet]],Portefeuille_MNT_PPS_Access27[Numéro projet],Portefeuille_MNT_PPS_Access27[Critère Etat Infrastructure])</f>
        <v>5</v>
      </c>
      <c r="AI7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70</v>
      </c>
      <c r="AJ74" s="221"/>
      <c r="AN74"/>
      <c r="AQ74">
        <v>75</v>
      </c>
      <c r="AS74">
        <v>75</v>
      </c>
      <c r="AU74">
        <v>150</v>
      </c>
      <c r="AV74">
        <v>1000</v>
      </c>
      <c r="AX74"/>
      <c r="BK74" s="14">
        <f>SUM(Portefeuille_MNT_PPS_Access30[[#This Row],[AC ANT]:[TR 2035]])</f>
        <v>1300</v>
      </c>
    </row>
    <row r="75" spans="1:63" hidden="1" x14ac:dyDescent="0.3">
      <c r="A75" t="s">
        <v>286</v>
      </c>
      <c r="B75" t="s">
        <v>664</v>
      </c>
      <c r="D75" t="s">
        <v>101</v>
      </c>
      <c r="E75" t="s">
        <v>102</v>
      </c>
      <c r="F75" t="s">
        <v>128</v>
      </c>
      <c r="G75" t="s">
        <v>129</v>
      </c>
      <c r="H75" t="s">
        <v>16</v>
      </c>
      <c r="I75" t="s">
        <v>20</v>
      </c>
      <c r="J75" t="s">
        <v>131</v>
      </c>
      <c r="K75" s="2">
        <v>154240034</v>
      </c>
      <c r="L75" t="s">
        <v>251</v>
      </c>
      <c r="M75" t="s">
        <v>214</v>
      </c>
      <c r="N75">
        <f>_xlfn.XLOOKUP(Portefeuille_MNT_PPS_Access30[[#This Row],[Numéro projet]], Portefeuille_MNT_PPS_Access20[Numéro projet], Portefeuille_MNT_PPS_Access20[Année DÉBUT Travaux prévu], "")</f>
        <v>2028</v>
      </c>
      <c r="O75">
        <v>2028</v>
      </c>
      <c r="P75">
        <f>Portefeuille_MNT_PPS_Access30[[#This Row],[Année DÉBUT Travaux proposé]]-Portefeuille_MNT_PPS_Access30[[#This Row],[Année DÉBUT Travaux prog actuelle]]</f>
        <v>0</v>
      </c>
      <c r="Q75" s="8" t="e">
        <f>_xlfn.XLOOKUP(Portefeuille_MNT_PPS_Access30[[#This Row],[Numéro projet]],#REF!,#REF!, "")</f>
        <v>#REF!</v>
      </c>
      <c r="R75" s="8" t="e">
        <f>Portefeuille_MNT_PPS_Access30[[#This Row],[Année prog actuelle à jour]]-Portefeuille_MNT_PPS_Access30[[#This Row],[Année DÉBUT Travaux proposé]]</f>
        <v>#REF!</v>
      </c>
      <c r="S75" t="s">
        <v>110</v>
      </c>
      <c r="T75" s="1">
        <v>45490</v>
      </c>
      <c r="U75" s="1"/>
      <c r="V75" s="1">
        <v>46447</v>
      </c>
      <c r="W7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7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-1494</v>
      </c>
      <c r="AA7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1526</v>
      </c>
      <c r="AB75">
        <f>Portefeuille_MNT_PPS_Access30[[#This Row],[Délais PC1 et PC3]]+Portefeuille_MNT_PPS_Access30[[#This Row],[Délais PC3 et PC5]]</f>
        <v>32</v>
      </c>
      <c r="AD75">
        <v>1</v>
      </c>
      <c r="AE75">
        <v>5</v>
      </c>
      <c r="AF75" t="s">
        <v>112</v>
      </c>
      <c r="AG75">
        <v>3</v>
      </c>
      <c r="AH75" s="2">
        <v>5</v>
      </c>
      <c r="AI7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70</v>
      </c>
      <c r="AJ75" s="221"/>
      <c r="AN75"/>
      <c r="AO75">
        <v>37</v>
      </c>
      <c r="AQ75">
        <v>10</v>
      </c>
      <c r="AS75">
        <v>12</v>
      </c>
      <c r="AU75">
        <v>30</v>
      </c>
      <c r="AV75">
        <v>194</v>
      </c>
      <c r="AX75"/>
      <c r="BK75" s="14">
        <f>SUM(Portefeuille_MNT_PPS_Access30[[#This Row],[AC ANT]:[TR 2035]])</f>
        <v>283</v>
      </c>
    </row>
    <row r="76" spans="1:63" hidden="1" x14ac:dyDescent="0.3">
      <c r="A76" t="s">
        <v>286</v>
      </c>
      <c r="B76" t="s">
        <v>662</v>
      </c>
      <c r="D76" t="s">
        <v>118</v>
      </c>
      <c r="E76" t="s">
        <v>102</v>
      </c>
      <c r="F76" t="s">
        <v>136</v>
      </c>
      <c r="G76" t="s">
        <v>104</v>
      </c>
      <c r="H76" t="s">
        <v>16</v>
      </c>
      <c r="I76" t="s">
        <v>20</v>
      </c>
      <c r="J76" t="s">
        <v>105</v>
      </c>
      <c r="K76" s="2">
        <v>154240757</v>
      </c>
      <c r="L76" t="s">
        <v>519</v>
      </c>
      <c r="M76" t="s">
        <v>143</v>
      </c>
      <c r="N76" s="227">
        <f>_xlfn.XLOOKUP(Portefeuille_MNT_PPS_Access30[[#This Row],[Numéro projet]], Portefeuille_MNT_PPS_Access20[Numéro projet], Portefeuille_MNT_PPS_Access20[Année DÉBUT Travaux prévu], "")</f>
        <v>2027</v>
      </c>
      <c r="O76" s="227">
        <v>2028</v>
      </c>
      <c r="P76">
        <f>Portefeuille_MNT_PPS_Access30[[#This Row],[Année DÉBUT Travaux proposé]]-Portefeuille_MNT_PPS_Access30[[#This Row],[Année DÉBUT Travaux prog actuelle]]</f>
        <v>1</v>
      </c>
      <c r="Q76" s="8" t="e">
        <f>_xlfn.XLOOKUP(Portefeuille_MNT_PPS_Access30[[#This Row],[Numéro projet]],#REF!,#REF!, "")</f>
        <v>#REF!</v>
      </c>
      <c r="R76" s="8" t="e">
        <f>Portefeuille_MNT_PPS_Access30[[#This Row],[Année prog actuelle à jour]]-Portefeuille_MNT_PPS_Access30[[#This Row],[Année DÉBUT Travaux proposé]]</f>
        <v>#REF!</v>
      </c>
      <c r="S76" t="s">
        <v>155</v>
      </c>
      <c r="T76" s="1">
        <v>46127</v>
      </c>
      <c r="U76" s="1"/>
      <c r="V76" s="1"/>
      <c r="W7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7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7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7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-1515</v>
      </c>
      <c r="AA7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76">
        <f>Portefeuille_MNT_PPS_Access30[[#This Row],[Délais PC1 et PC3]]+Portefeuille_MNT_PPS_Access30[[#This Row],[Délais PC3 et PC5]]</f>
        <v>-1515</v>
      </c>
      <c r="AD76">
        <v>1</v>
      </c>
      <c r="AE76">
        <v>3</v>
      </c>
      <c r="AF76" t="s">
        <v>156</v>
      </c>
      <c r="AG76">
        <v>4.333333333333333</v>
      </c>
      <c r="AH76" s="2">
        <f>_xlfn.XLOOKUP(Portefeuille_MNT_PPS_Access30[[#This Row],[Numéro projet]],Portefeuille_MNT_PPS_Access27[Numéro projet],Portefeuille_MNT_PPS_Access27[Critère Etat Infrastructure])</f>
        <v>5</v>
      </c>
      <c r="AI7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76" s="221"/>
      <c r="AN76"/>
      <c r="AQ76">
        <v>10</v>
      </c>
      <c r="AS76">
        <v>15</v>
      </c>
      <c r="AU76">
        <v>25</v>
      </c>
      <c r="AV76">
        <v>250</v>
      </c>
      <c r="AX76"/>
      <c r="BK76" s="14">
        <f>SUM(Portefeuille_MNT_PPS_Access30[[#This Row],[AC ANT]:[TR 2035]])</f>
        <v>300</v>
      </c>
    </row>
    <row r="77" spans="1:63" hidden="1" x14ac:dyDescent="0.3">
      <c r="A77" t="s">
        <v>286</v>
      </c>
      <c r="B77" t="s">
        <v>295</v>
      </c>
      <c r="D77" t="s">
        <v>126</v>
      </c>
      <c r="E77" t="s">
        <v>127</v>
      </c>
      <c r="F77" t="s">
        <v>103</v>
      </c>
      <c r="G77" t="s">
        <v>104</v>
      </c>
      <c r="H77" t="s">
        <v>16</v>
      </c>
      <c r="I77" t="s">
        <v>130</v>
      </c>
      <c r="J77" t="s">
        <v>131</v>
      </c>
      <c r="K77" s="2">
        <v>154190517</v>
      </c>
      <c r="L77" t="s">
        <v>221</v>
      </c>
      <c r="M77" t="s">
        <v>159</v>
      </c>
      <c r="N77" s="227">
        <f>_xlfn.XLOOKUP(Portefeuille_MNT_PPS_Access30[[#This Row],[Numéro projet]], Portefeuille_MNT_PPS_Access20[Numéro projet], Portefeuille_MNT_PPS_Access20[Année DÉBUT Travaux prévu], "")</f>
        <v>2027</v>
      </c>
      <c r="O77" s="229">
        <v>2028</v>
      </c>
      <c r="P77" s="229">
        <f>Portefeuille_MNT_PPS_Access30[[#This Row],[Année DÉBUT Travaux proposé]]-Portefeuille_MNT_PPS_Access30[[#This Row],[Année DÉBUT Travaux prog actuelle]]</f>
        <v>1</v>
      </c>
      <c r="Q77" s="229" t="e">
        <f>_xlfn.XLOOKUP(Portefeuille_MNT_PPS_Access30[[#This Row],[Numéro projet]],#REF!,#REF!, "")</f>
        <v>#REF!</v>
      </c>
      <c r="R77" s="229" t="e">
        <f>Portefeuille_MNT_PPS_Access30[[#This Row],[Année prog actuelle à jour]]-Portefeuille_MNT_PPS_Access30[[#This Row],[Année DÉBUT Travaux proposé]]</f>
        <v>#REF!</v>
      </c>
      <c r="S77" t="s">
        <v>155</v>
      </c>
      <c r="T77" s="1">
        <v>45976</v>
      </c>
      <c r="U77" s="1">
        <v>46264</v>
      </c>
      <c r="V77" s="1">
        <v>46553</v>
      </c>
      <c r="W7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7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9</v>
      </c>
      <c r="AA7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10</v>
      </c>
      <c r="AB77">
        <f>Portefeuille_MNT_PPS_Access30[[#This Row],[Délais PC1 et PC3]]+Portefeuille_MNT_PPS_Access30[[#This Row],[Délais PC3 et PC5]]</f>
        <v>19</v>
      </c>
      <c r="AD77">
        <v>1</v>
      </c>
      <c r="AE77">
        <v>5</v>
      </c>
      <c r="AF77" t="s">
        <v>156</v>
      </c>
      <c r="AG77">
        <v>4.333333333333333</v>
      </c>
      <c r="AH77" s="2">
        <f>_xlfn.XLOOKUP(Portefeuille_MNT_PPS_Access30[[#This Row],[Numéro projet]],Portefeuille_MNT_PPS_Access27[Numéro projet],Portefeuille_MNT_PPS_Access27[Critère Etat Infrastructure])</f>
        <v>3</v>
      </c>
      <c r="AI7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77" s="221"/>
      <c r="AN77"/>
      <c r="AO77">
        <v>44</v>
      </c>
      <c r="AQ77">
        <v>130</v>
      </c>
      <c r="AS77">
        <v>94</v>
      </c>
      <c r="AU77">
        <v>106</v>
      </c>
      <c r="AV77">
        <v>14000</v>
      </c>
      <c r="AW77">
        <v>106</v>
      </c>
      <c r="AX77">
        <v>16662</v>
      </c>
      <c r="BK77" s="14">
        <f>SUM(Portefeuille_MNT_PPS_Access30[[#This Row],[AC ANT]:[TR 2035]])</f>
        <v>31142</v>
      </c>
    </row>
    <row r="78" spans="1:63" hidden="1" x14ac:dyDescent="0.3">
      <c r="A78" t="s">
        <v>286</v>
      </c>
      <c r="B78" t="s">
        <v>662</v>
      </c>
      <c r="D78" t="s">
        <v>118</v>
      </c>
      <c r="E78" t="s">
        <v>102</v>
      </c>
      <c r="F78" t="s">
        <v>103</v>
      </c>
      <c r="G78" t="s">
        <v>206</v>
      </c>
      <c r="H78" t="s">
        <v>16</v>
      </c>
      <c r="I78" t="s">
        <v>20</v>
      </c>
      <c r="J78" t="s">
        <v>131</v>
      </c>
      <c r="K78" s="2">
        <v>154180768</v>
      </c>
      <c r="L78" t="s">
        <v>211</v>
      </c>
      <c r="M78" t="s">
        <v>209</v>
      </c>
      <c r="N78">
        <f>_xlfn.XLOOKUP(Portefeuille_MNT_PPS_Access30[[#This Row],[Numéro projet]], Portefeuille_MNT_PPS_Access20[Numéro projet], Portefeuille_MNT_PPS_Access20[Année DÉBUT Travaux prévu], "")</f>
        <v>2028</v>
      </c>
      <c r="O78">
        <v>2028</v>
      </c>
      <c r="P78">
        <f>Portefeuille_MNT_PPS_Access30[[#This Row],[Année DÉBUT Travaux proposé]]-Portefeuille_MNT_PPS_Access30[[#This Row],[Année DÉBUT Travaux prog actuelle]]</f>
        <v>0</v>
      </c>
      <c r="Q78" s="8" t="e">
        <f>_xlfn.XLOOKUP(Portefeuille_MNT_PPS_Access30[[#This Row],[Numéro projet]],#REF!,#REF!, "")</f>
        <v>#REF!</v>
      </c>
      <c r="R78" s="8" t="e">
        <f>Portefeuille_MNT_PPS_Access30[[#This Row],[Année prog actuelle à jour]]-Portefeuille_MNT_PPS_Access30[[#This Row],[Année DÉBUT Travaux proposé]]</f>
        <v>#REF!</v>
      </c>
      <c r="S78" t="s">
        <v>155</v>
      </c>
      <c r="T78" s="1">
        <v>45976</v>
      </c>
      <c r="U78" s="1">
        <v>46341</v>
      </c>
      <c r="V78" s="1">
        <v>46706</v>
      </c>
      <c r="W7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7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7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78">
        <f>Portefeuille_MNT_PPS_Access30[[#This Row],[Délais PC1 et PC3]]+Portefeuille_MNT_PPS_Access30[[#This Row],[Délais PC3 et PC5]]</f>
        <v>24</v>
      </c>
      <c r="AD78">
        <v>1</v>
      </c>
      <c r="AE78">
        <v>5</v>
      </c>
      <c r="AF78" t="s">
        <v>156</v>
      </c>
      <c r="AG78">
        <v>3.3333333333333335</v>
      </c>
      <c r="AH78" s="2">
        <f>_xlfn.XLOOKUP(Portefeuille_MNT_PPS_Access30[[#This Row],[Numéro projet]],Portefeuille_MNT_PPS_Access27[Numéro projet],Portefeuille_MNT_PPS_Access27[Critère Etat Infrastructure])</f>
        <v>4</v>
      </c>
      <c r="AI7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66.666666666666671</v>
      </c>
      <c r="AJ78" s="221"/>
      <c r="AK78">
        <v>8</v>
      </c>
      <c r="AN78"/>
      <c r="AO78">
        <v>100</v>
      </c>
      <c r="AQ78">
        <v>100</v>
      </c>
      <c r="AS78">
        <v>100</v>
      </c>
      <c r="AU78">
        <v>250</v>
      </c>
      <c r="AV78">
        <v>7500</v>
      </c>
      <c r="AX78"/>
      <c r="BK78" s="14">
        <f>SUM(Portefeuille_MNT_PPS_Access30[[#This Row],[AC ANT]:[TR 2035]])</f>
        <v>8058</v>
      </c>
    </row>
    <row r="79" spans="1:63" hidden="1" x14ac:dyDescent="0.3">
      <c r="A79" t="s">
        <v>286</v>
      </c>
      <c r="B79" t="s">
        <v>663</v>
      </c>
      <c r="D79" t="s">
        <v>101</v>
      </c>
      <c r="E79" t="s">
        <v>102</v>
      </c>
      <c r="F79" t="s">
        <v>136</v>
      </c>
      <c r="G79" t="s">
        <v>144</v>
      </c>
      <c r="H79" t="s">
        <v>16</v>
      </c>
      <c r="I79" t="s">
        <v>20</v>
      </c>
      <c r="J79" t="s">
        <v>131</v>
      </c>
      <c r="K79" s="2">
        <v>154171403</v>
      </c>
      <c r="L79" t="s">
        <v>196</v>
      </c>
      <c r="M79" t="s">
        <v>180</v>
      </c>
      <c r="N79">
        <f>_xlfn.XLOOKUP(Portefeuille_MNT_PPS_Access30[[#This Row],[Numéro projet]], Portefeuille_MNT_PPS_Access20[Numéro projet], Portefeuille_MNT_PPS_Access20[Année DÉBUT Travaux prévu], "")</f>
        <v>2028</v>
      </c>
      <c r="O79">
        <v>2028</v>
      </c>
      <c r="P79">
        <f>Portefeuille_MNT_PPS_Access30[[#This Row],[Année DÉBUT Travaux proposé]]-Portefeuille_MNT_PPS_Access30[[#This Row],[Année DÉBUT Travaux prog actuelle]]</f>
        <v>0</v>
      </c>
      <c r="Q79" s="8" t="e">
        <f>_xlfn.XLOOKUP(Portefeuille_MNT_PPS_Access30[[#This Row],[Numéro projet]],#REF!,#REF!, "")</f>
        <v>#REF!</v>
      </c>
      <c r="R79" s="8" t="e">
        <f>Portefeuille_MNT_PPS_Access30[[#This Row],[Année prog actuelle à jour]]-Portefeuille_MNT_PPS_Access30[[#This Row],[Année DÉBUT Travaux proposé]]</f>
        <v>#REF!</v>
      </c>
      <c r="S79" t="s">
        <v>110</v>
      </c>
      <c r="T79" s="1">
        <v>44889</v>
      </c>
      <c r="U79" s="1">
        <v>46068</v>
      </c>
      <c r="V79" s="1">
        <v>46583</v>
      </c>
      <c r="W7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7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7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7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39</v>
      </c>
      <c r="AA7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17</v>
      </c>
      <c r="AB79">
        <f>Portefeuille_MNT_PPS_Access30[[#This Row],[Délais PC1 et PC3]]+Portefeuille_MNT_PPS_Access30[[#This Row],[Délais PC3 et PC5]]</f>
        <v>56</v>
      </c>
      <c r="AD79">
        <v>1</v>
      </c>
      <c r="AE79">
        <v>5</v>
      </c>
      <c r="AF79" t="s">
        <v>112</v>
      </c>
      <c r="AG79">
        <v>2.6666666666666665</v>
      </c>
      <c r="AH79" s="2">
        <f>_xlfn.XLOOKUP(Portefeuille_MNT_PPS_Access30[[#This Row],[Numéro projet]],Portefeuille_MNT_PPS_Access27[Numéro projet],Portefeuille_MNT_PPS_Access27[Critère Etat Infrastructure])</f>
        <v>4</v>
      </c>
      <c r="AI7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63.333333333333343</v>
      </c>
      <c r="AJ79" s="221"/>
      <c r="AK79">
        <v>336.99999999999994</v>
      </c>
      <c r="AM79">
        <v>76</v>
      </c>
      <c r="AN79"/>
      <c r="AO79">
        <v>1535</v>
      </c>
      <c r="AQ79">
        <v>1611</v>
      </c>
      <c r="AS79">
        <v>1611</v>
      </c>
      <c r="AU79">
        <v>1611</v>
      </c>
      <c r="AV79">
        <v>7500</v>
      </c>
      <c r="AW79">
        <v>1200</v>
      </c>
      <c r="AX79">
        <v>9500</v>
      </c>
      <c r="AY79">
        <v>112</v>
      </c>
      <c r="AZ79">
        <v>18000</v>
      </c>
      <c r="BK79" s="14">
        <f>SUM(Portefeuille_MNT_PPS_Access30[[#This Row],[AC ANT]:[TR 2035]])</f>
        <v>43093</v>
      </c>
    </row>
    <row r="80" spans="1:63" hidden="1" x14ac:dyDescent="0.3">
      <c r="A80" t="s">
        <v>286</v>
      </c>
      <c r="B80" t="s">
        <v>663</v>
      </c>
      <c r="D80" t="s">
        <v>101</v>
      </c>
      <c r="E80" t="s">
        <v>102</v>
      </c>
      <c r="F80" t="s">
        <v>136</v>
      </c>
      <c r="G80" t="s">
        <v>113</v>
      </c>
      <c r="H80" t="s">
        <v>16</v>
      </c>
      <c r="I80" t="s">
        <v>20</v>
      </c>
      <c r="J80" t="s">
        <v>131</v>
      </c>
      <c r="K80" s="2">
        <v>154140339</v>
      </c>
      <c r="L80" t="s">
        <v>186</v>
      </c>
      <c r="M80" t="s">
        <v>187</v>
      </c>
      <c r="N80" s="227">
        <f>_xlfn.XLOOKUP(Portefeuille_MNT_PPS_Access30[[#This Row],[Numéro projet]], Portefeuille_MNT_PPS_Access20[Numéro projet], Portefeuille_MNT_PPS_Access20[Année DÉBUT Travaux prévu], "")</f>
        <v>2027</v>
      </c>
      <c r="O80" s="229">
        <v>2028</v>
      </c>
      <c r="P80" s="8">
        <f>Portefeuille_MNT_PPS_Access30[[#This Row],[Année DÉBUT Travaux proposé]]-Portefeuille_MNT_PPS_Access30[[#This Row],[Année DÉBUT Travaux prog actuelle]]</f>
        <v>1</v>
      </c>
      <c r="Q80" s="8" t="e">
        <f>_xlfn.XLOOKUP(Portefeuille_MNT_PPS_Access30[[#This Row],[Numéro projet]],#REF!,#REF!, "")</f>
        <v>#REF!</v>
      </c>
      <c r="R80" s="8" t="e">
        <f>Portefeuille_MNT_PPS_Access30[[#This Row],[Année prog actuelle à jour]]-Portefeuille_MNT_PPS_Access30[[#This Row],[Année DÉBUT Travaux proposé]]</f>
        <v>#REF!</v>
      </c>
      <c r="S80" t="s">
        <v>110</v>
      </c>
      <c r="T80" s="1">
        <v>44823</v>
      </c>
      <c r="U80" s="1">
        <v>46310</v>
      </c>
      <c r="V80" s="1">
        <v>46521</v>
      </c>
      <c r="W8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49</v>
      </c>
      <c r="AA8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7</v>
      </c>
      <c r="AB80">
        <f>Portefeuille_MNT_PPS_Access30[[#This Row],[Délais PC1 et PC3]]+Portefeuille_MNT_PPS_Access30[[#This Row],[Délais PC3 et PC5]]</f>
        <v>56</v>
      </c>
      <c r="AD80">
        <v>1</v>
      </c>
      <c r="AE80">
        <v>5</v>
      </c>
      <c r="AF80" t="s">
        <v>112</v>
      </c>
      <c r="AG80">
        <v>3</v>
      </c>
      <c r="AH80" s="2">
        <f>_xlfn.XLOOKUP(Portefeuille_MNT_PPS_Access30[[#This Row],[Numéro projet]],Portefeuille_MNT_PPS_Access27[Numéro projet],Portefeuille_MNT_PPS_Access27[Critère Etat Infrastructure])</f>
        <v>3</v>
      </c>
      <c r="AI8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60.000000000000007</v>
      </c>
      <c r="AJ80" s="221"/>
      <c r="AK80">
        <v>282</v>
      </c>
      <c r="AM80">
        <v>175</v>
      </c>
      <c r="AN80"/>
      <c r="AO80">
        <v>424</v>
      </c>
      <c r="AQ80">
        <v>835</v>
      </c>
      <c r="AS80">
        <v>657</v>
      </c>
      <c r="AU80">
        <v>212</v>
      </c>
      <c r="AV80">
        <v>5369</v>
      </c>
      <c r="AW80">
        <v>400</v>
      </c>
      <c r="AX80">
        <v>10806</v>
      </c>
      <c r="BK80" s="14">
        <f>SUM(Portefeuille_MNT_PPS_Access30[[#This Row],[AC ANT]:[TR 2035]])</f>
        <v>19160</v>
      </c>
    </row>
    <row r="81" spans="1:63" hidden="1" x14ac:dyDescent="0.3">
      <c r="A81" t="s">
        <v>286</v>
      </c>
      <c r="B81" t="s">
        <v>662</v>
      </c>
      <c r="D81" t="s">
        <v>118</v>
      </c>
      <c r="E81" t="s">
        <v>102</v>
      </c>
      <c r="F81" t="s">
        <v>242</v>
      </c>
      <c r="G81" t="s">
        <v>129</v>
      </c>
      <c r="H81" t="s">
        <v>16</v>
      </c>
      <c r="I81" t="s">
        <v>20</v>
      </c>
      <c r="J81" t="s">
        <v>131</v>
      </c>
      <c r="K81" s="2">
        <v>154180774</v>
      </c>
      <c r="L81" t="s">
        <v>386</v>
      </c>
      <c r="M81" t="s">
        <v>134</v>
      </c>
      <c r="N81">
        <f>_xlfn.XLOOKUP(Portefeuille_MNT_PPS_Access30[[#This Row],[Numéro projet]], Portefeuille_MNT_PPS_Access20[Numéro projet], Portefeuille_MNT_PPS_Access20[Année DÉBUT Travaux prévu], "")</f>
        <v>2028</v>
      </c>
      <c r="O81">
        <v>2028</v>
      </c>
      <c r="P81">
        <f>Portefeuille_MNT_PPS_Access30[[#This Row],[Année DÉBUT Travaux proposé]]-Portefeuille_MNT_PPS_Access30[[#This Row],[Année DÉBUT Travaux prog actuelle]]</f>
        <v>0</v>
      </c>
      <c r="Q81" s="8" t="e">
        <f>_xlfn.XLOOKUP(Portefeuille_MNT_PPS_Access30[[#This Row],[Numéro projet]],#REF!,#REF!, "")</f>
        <v>#REF!</v>
      </c>
      <c r="R81" s="8" t="e">
        <f>Portefeuille_MNT_PPS_Access30[[#This Row],[Année prog actuelle à jour]]-Portefeuille_MNT_PPS_Access30[[#This Row],[Année DÉBUT Travaux proposé]]</f>
        <v>#REF!</v>
      </c>
      <c r="S81" t="s">
        <v>155</v>
      </c>
      <c r="T81" s="1">
        <v>45960</v>
      </c>
      <c r="U81" s="1">
        <v>46266</v>
      </c>
      <c r="V81" s="1">
        <v>46631</v>
      </c>
      <c r="W8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8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81">
        <f>Portefeuille_MNT_PPS_Access30[[#This Row],[Délais PC1 et PC3]]+Portefeuille_MNT_PPS_Access30[[#This Row],[Délais PC3 et PC5]]</f>
        <v>23</v>
      </c>
      <c r="AD81">
        <v>1</v>
      </c>
      <c r="AE81">
        <v>5</v>
      </c>
      <c r="AF81" t="s">
        <v>156</v>
      </c>
      <c r="AG81">
        <v>1.3333333333333333</v>
      </c>
      <c r="AH81" s="2">
        <f>_xlfn.XLOOKUP(Portefeuille_MNT_PPS_Access30[[#This Row],[Numéro projet]],Portefeuille_MNT_PPS_Access27[Numéro projet],Portefeuille_MNT_PPS_Access27[Critère Etat Infrastructure])</f>
        <v>4</v>
      </c>
      <c r="AI8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56.666666666666679</v>
      </c>
      <c r="AJ81" s="221"/>
      <c r="AN81"/>
      <c r="AQ81">
        <v>50</v>
      </c>
      <c r="AS81">
        <v>50</v>
      </c>
      <c r="AU81">
        <v>200</v>
      </c>
      <c r="AV81">
        <v>2000</v>
      </c>
      <c r="AX81"/>
      <c r="BK81" s="14">
        <f>SUM(Portefeuille_MNT_PPS_Access30[[#This Row],[AC ANT]:[TR 2035]])</f>
        <v>2300</v>
      </c>
    </row>
    <row r="82" spans="1:63" hidden="1" x14ac:dyDescent="0.3">
      <c r="A82" t="s">
        <v>286</v>
      </c>
      <c r="B82" t="s">
        <v>663</v>
      </c>
      <c r="D82" t="s">
        <v>101</v>
      </c>
      <c r="E82" t="s">
        <v>102</v>
      </c>
      <c r="F82" t="s">
        <v>136</v>
      </c>
      <c r="G82" t="s">
        <v>104</v>
      </c>
      <c r="H82" t="s">
        <v>130</v>
      </c>
      <c r="I82" t="s">
        <v>130</v>
      </c>
      <c r="J82" t="s">
        <v>105</v>
      </c>
      <c r="K82" s="2">
        <v>154200684</v>
      </c>
      <c r="L82" t="s">
        <v>514</v>
      </c>
      <c r="M82" t="s">
        <v>108</v>
      </c>
      <c r="N82">
        <f>_xlfn.XLOOKUP(Portefeuille_MNT_PPS_Access30[[#This Row],[Numéro projet]], Portefeuille_MNT_PPS_Access20[Numéro projet], Portefeuille_MNT_PPS_Access20[Année DÉBUT Travaux prévu], "")</f>
        <v>2028</v>
      </c>
      <c r="O82">
        <v>2028</v>
      </c>
      <c r="P82">
        <f>Portefeuille_MNT_PPS_Access30[[#This Row],[Année DÉBUT Travaux proposé]]-Portefeuille_MNT_PPS_Access30[[#This Row],[Année DÉBUT Travaux prog actuelle]]</f>
        <v>0</v>
      </c>
      <c r="Q82" s="8" t="e">
        <f>_xlfn.XLOOKUP(Portefeuille_MNT_PPS_Access30[[#This Row],[Numéro projet]],#REF!,#REF!, "")</f>
        <v>#REF!</v>
      </c>
      <c r="R82" s="8" t="e">
        <f>Portefeuille_MNT_PPS_Access30[[#This Row],[Année prog actuelle à jour]]-Portefeuille_MNT_PPS_Access30[[#This Row],[Année DÉBUT Travaux proposé]]</f>
        <v>#REF!</v>
      </c>
      <c r="S82" t="s">
        <v>155</v>
      </c>
      <c r="T82" s="1">
        <v>46127</v>
      </c>
      <c r="U82" s="1">
        <v>46492</v>
      </c>
      <c r="V82" s="1">
        <v>46706</v>
      </c>
      <c r="W8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1.Très à risque</v>
      </c>
      <c r="X8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1.Très à risque</v>
      </c>
      <c r="Y8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8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7</v>
      </c>
      <c r="AB82">
        <f>Portefeuille_MNT_PPS_Access30[[#This Row],[Délais PC1 et PC3]]+Portefeuille_MNT_PPS_Access30[[#This Row],[Délais PC3 et PC5]]</f>
        <v>19</v>
      </c>
      <c r="AD82">
        <v>1</v>
      </c>
      <c r="AE82">
        <v>1</v>
      </c>
      <c r="AF82" t="s">
        <v>156</v>
      </c>
      <c r="AG82">
        <v>4</v>
      </c>
      <c r="AH82" s="2">
        <f>_xlfn.XLOOKUP(Portefeuille_MNT_PPS_Access30[[#This Row],[Numéro projet]],Portefeuille_MNT_PPS_Access27[Numéro projet],Portefeuille_MNT_PPS_Access27[Critère Etat Infrastructure])</f>
        <v>5</v>
      </c>
      <c r="AI8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55.000000000000007</v>
      </c>
      <c r="AJ82" s="221"/>
      <c r="AN82"/>
      <c r="AQ82">
        <v>150</v>
      </c>
      <c r="AS82">
        <v>150</v>
      </c>
      <c r="AU82">
        <v>550</v>
      </c>
      <c r="AV82">
        <v>4000</v>
      </c>
      <c r="AX82"/>
      <c r="BK82" s="14">
        <f>SUM(Portefeuille_MNT_PPS_Access30[[#This Row],[AC ANT]:[TR 2035]])</f>
        <v>4850</v>
      </c>
    </row>
    <row r="83" spans="1:63" hidden="1" x14ac:dyDescent="0.3">
      <c r="A83" t="s">
        <v>286</v>
      </c>
      <c r="B83" t="s">
        <v>664</v>
      </c>
      <c r="D83" t="s">
        <v>101</v>
      </c>
      <c r="E83" t="s">
        <v>102</v>
      </c>
      <c r="F83" t="s">
        <v>103</v>
      </c>
      <c r="G83" t="s">
        <v>129</v>
      </c>
      <c r="H83" t="s">
        <v>20</v>
      </c>
      <c r="I83" t="s">
        <v>20</v>
      </c>
      <c r="J83" t="s">
        <v>105</v>
      </c>
      <c r="K83" s="2">
        <v>154190687</v>
      </c>
      <c r="L83" t="s">
        <v>401</v>
      </c>
      <c r="M83" t="s">
        <v>402</v>
      </c>
      <c r="N83">
        <f>_xlfn.XLOOKUP(Portefeuille_MNT_PPS_Access30[[#This Row],[Numéro projet]], Portefeuille_MNT_PPS_Access20[Numéro projet], Portefeuille_MNT_PPS_Access20[Année DÉBUT Travaux prévu], "")</f>
        <v>2028</v>
      </c>
      <c r="O83" s="8">
        <v>2028</v>
      </c>
      <c r="P83" s="8">
        <f>Portefeuille_MNT_PPS_Access30[[#This Row],[Année DÉBUT Travaux proposé]]-Portefeuille_MNT_PPS_Access30[[#This Row],[Année DÉBUT Travaux prog actuelle]]</f>
        <v>0</v>
      </c>
      <c r="Q83" s="8" t="e">
        <f>_xlfn.XLOOKUP(Portefeuille_MNT_PPS_Access30[[#This Row],[Numéro projet]],#REF!,#REF!, "")</f>
        <v>#REF!</v>
      </c>
      <c r="R83" s="8" t="e">
        <f>Portefeuille_MNT_PPS_Access30[[#This Row],[Année prog actuelle à jour]]-Portefeuille_MNT_PPS_Access30[[#This Row],[Année DÉBUT Travaux proposé]]</f>
        <v>#REF!</v>
      </c>
      <c r="S83" t="s">
        <v>155</v>
      </c>
      <c r="T83" s="1">
        <v>46002</v>
      </c>
      <c r="U83" s="1">
        <v>46461</v>
      </c>
      <c r="V83" s="1">
        <v>46794</v>
      </c>
      <c r="W8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8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3.À risque</v>
      </c>
      <c r="Z8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15</v>
      </c>
      <c r="AA8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11</v>
      </c>
      <c r="AB83">
        <f>Portefeuille_MNT_PPS_Access30[[#This Row],[Délais PC1 et PC3]]+Portefeuille_MNT_PPS_Access30[[#This Row],[Délais PC3 et PC5]]</f>
        <v>26</v>
      </c>
      <c r="AD83">
        <v>1</v>
      </c>
      <c r="AF83" t="s">
        <v>156</v>
      </c>
      <c r="AG83">
        <v>2.6666666666666665</v>
      </c>
      <c r="AH83" s="2">
        <f>_xlfn.XLOOKUP(Portefeuille_MNT_PPS_Access30[[#This Row],[Numéro projet]],Portefeuille_MNT_PPS_Access27[Numéro projet],Portefeuille_MNT_PPS_Access27[Critère Etat Infrastructure])</f>
        <v>4</v>
      </c>
      <c r="AI8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43.333333333333329</v>
      </c>
      <c r="AJ83" s="221"/>
      <c r="AN83"/>
      <c r="AQ83">
        <v>200</v>
      </c>
      <c r="AS83">
        <v>200</v>
      </c>
      <c r="AU83">
        <v>800</v>
      </c>
      <c r="AV83">
        <v>16000</v>
      </c>
      <c r="BK83" s="14">
        <f>SUM(Portefeuille_MNT_PPS_Access30[[#This Row],[AC ANT]:[TR 2035]])</f>
        <v>17200</v>
      </c>
    </row>
    <row r="84" spans="1:63" hidden="1" x14ac:dyDescent="0.3">
      <c r="A84" t="s">
        <v>286</v>
      </c>
      <c r="B84" t="s">
        <v>662</v>
      </c>
      <c r="D84" t="s">
        <v>118</v>
      </c>
      <c r="E84" t="s">
        <v>102</v>
      </c>
      <c r="F84" t="s">
        <v>103</v>
      </c>
      <c r="G84" t="s">
        <v>113</v>
      </c>
      <c r="H84" t="s">
        <v>20</v>
      </c>
      <c r="I84" t="s">
        <v>20</v>
      </c>
      <c r="J84" t="s">
        <v>131</v>
      </c>
      <c r="K84" s="2">
        <v>154180766</v>
      </c>
      <c r="L84" t="s">
        <v>378</v>
      </c>
      <c r="M84" t="s">
        <v>191</v>
      </c>
      <c r="N84">
        <f>_xlfn.XLOOKUP(Portefeuille_MNT_PPS_Access30[[#This Row],[Numéro projet]], Portefeuille_MNT_PPS_Access20[Numéro projet], Portefeuille_MNT_PPS_Access20[Année DÉBUT Travaux prévu], "")</f>
        <v>2028</v>
      </c>
      <c r="O84" s="8">
        <v>2028</v>
      </c>
      <c r="P84" s="8">
        <f>Portefeuille_MNT_PPS_Access30[[#This Row],[Année DÉBUT Travaux proposé]]-Portefeuille_MNT_PPS_Access30[[#This Row],[Année DÉBUT Travaux prog actuelle]]</f>
        <v>0</v>
      </c>
      <c r="Q84" s="8" t="e">
        <f>_xlfn.XLOOKUP(Portefeuille_MNT_PPS_Access30[[#This Row],[Numéro projet]],#REF!,#REF!, "")</f>
        <v>#REF!</v>
      </c>
      <c r="R84" s="8" t="e">
        <f>Portefeuille_MNT_PPS_Access30[[#This Row],[Année prog actuelle à jour]]-Portefeuille_MNT_PPS_Access30[[#This Row],[Année DÉBUT Travaux proposé]]</f>
        <v>#REF!</v>
      </c>
      <c r="S84" t="s">
        <v>155</v>
      </c>
      <c r="T84" s="1">
        <v>46068</v>
      </c>
      <c r="U84" s="1">
        <v>46461</v>
      </c>
      <c r="V84" s="1">
        <v>46888</v>
      </c>
      <c r="W8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3.À risque</v>
      </c>
      <c r="X8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3.À risque</v>
      </c>
      <c r="Y8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1.Très à risque</v>
      </c>
      <c r="Z8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13</v>
      </c>
      <c r="AA8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</v>
      </c>
      <c r="AB84">
        <f>Portefeuille_MNT_PPS_Access30[[#This Row],[Délais PC1 et PC3]]+Portefeuille_MNT_PPS_Access30[[#This Row],[Délais PC3 et PC5]]</f>
        <v>27</v>
      </c>
      <c r="AD84">
        <v>1</v>
      </c>
      <c r="AF84" t="s">
        <v>156</v>
      </c>
      <c r="AG84">
        <v>1.6666666666666667</v>
      </c>
      <c r="AH84" s="2">
        <f>_xlfn.XLOOKUP(Portefeuille_MNT_PPS_Access30[[#This Row],[Numéro projet]],Portefeuille_MNT_PPS_Access27[Numéro projet],Portefeuille_MNT_PPS_Access27[Critère Etat Infrastructure])</f>
        <v>4</v>
      </c>
      <c r="AI8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38.333333333333336</v>
      </c>
      <c r="AJ84" s="221"/>
      <c r="AN84"/>
      <c r="AQ84">
        <v>100</v>
      </c>
      <c r="AS84">
        <v>200</v>
      </c>
      <c r="AU84">
        <v>495</v>
      </c>
      <c r="AV84">
        <v>8000</v>
      </c>
      <c r="BK84" s="14">
        <f>SUM(Portefeuille_MNT_PPS_Access30[[#This Row],[AC ANT]:[TR 2035]])</f>
        <v>8795</v>
      </c>
    </row>
    <row r="85" spans="1:63" hidden="1" x14ac:dyDescent="0.3">
      <c r="A85" t="s">
        <v>286</v>
      </c>
      <c r="B85" t="s">
        <v>662</v>
      </c>
      <c r="D85" t="s">
        <v>118</v>
      </c>
      <c r="E85" t="s">
        <v>102</v>
      </c>
      <c r="F85" t="s">
        <v>103</v>
      </c>
      <c r="G85" t="s">
        <v>149</v>
      </c>
      <c r="H85" t="s">
        <v>20</v>
      </c>
      <c r="I85" t="s">
        <v>20</v>
      </c>
      <c r="J85" t="s">
        <v>131</v>
      </c>
      <c r="K85" s="2">
        <v>154220351</v>
      </c>
      <c r="L85" t="s">
        <v>397</v>
      </c>
      <c r="M85" t="s">
        <v>194</v>
      </c>
      <c r="N85" s="227">
        <f>_xlfn.XLOOKUP(Portefeuille_MNT_PPS_Access30[[#This Row],[Numéro projet]], Portefeuille_MNT_PPS_Access20[Numéro projet], Portefeuille_MNT_PPS_Access20[Année DÉBUT Travaux prévu], "")</f>
        <v>2028</v>
      </c>
      <c r="O85" s="229">
        <v>2029</v>
      </c>
      <c r="P85" s="8">
        <f>Portefeuille_MNT_PPS_Access30[[#This Row],[Année DÉBUT Travaux proposé]]-Portefeuille_MNT_PPS_Access30[[#This Row],[Année DÉBUT Travaux prog actuelle]]</f>
        <v>1</v>
      </c>
      <c r="Q85" s="8" t="e">
        <f>_xlfn.XLOOKUP(Portefeuille_MNT_PPS_Access30[[#This Row],[Numéro projet]],#REF!,#REF!, "")</f>
        <v>#REF!</v>
      </c>
      <c r="R85" s="8" t="e">
        <f>Portefeuille_MNT_PPS_Access30[[#This Row],[Année prog actuelle à jour]]-Portefeuille_MNT_PPS_Access30[[#This Row],[Année DÉBUT Travaux proposé]]</f>
        <v>#REF!</v>
      </c>
      <c r="S85" t="s">
        <v>155</v>
      </c>
      <c r="T85" s="1">
        <v>46371</v>
      </c>
      <c r="U85" s="1">
        <v>46736</v>
      </c>
      <c r="V85" s="1">
        <v>47102</v>
      </c>
      <c r="W8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8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85">
        <f>Portefeuille_MNT_PPS_Access30[[#This Row],[Délais PC1 et PC3]]+Portefeuille_MNT_PPS_Access30[[#This Row],[Délais PC3 et PC5]]</f>
        <v>24</v>
      </c>
      <c r="AD85">
        <v>1</v>
      </c>
      <c r="AF85" t="s">
        <v>156</v>
      </c>
      <c r="AG85">
        <v>3.3333333333333335</v>
      </c>
      <c r="AH85" s="2">
        <f>_xlfn.XLOOKUP(Portefeuille_MNT_PPS_Access30[[#This Row],[Numéro projet]],Portefeuille_MNT_PPS_Access27[Numéro projet],Portefeuille_MNT_PPS_Access27[Critère Etat Infrastructure])</f>
        <v>4</v>
      </c>
      <c r="AI8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85" s="221"/>
      <c r="AN85"/>
      <c r="AQ85">
        <v>75</v>
      </c>
      <c r="AS85">
        <v>75</v>
      </c>
      <c r="AU85">
        <v>250</v>
      </c>
      <c r="AW85">
        <v>600</v>
      </c>
      <c r="AX85">
        <v>10500</v>
      </c>
      <c r="BK85" s="14">
        <f>SUM(Portefeuille_MNT_PPS_Access30[[#This Row],[AC ANT]:[TR 2035]])</f>
        <v>11500</v>
      </c>
    </row>
    <row r="86" spans="1:63" hidden="1" x14ac:dyDescent="0.3">
      <c r="A86" t="s">
        <v>286</v>
      </c>
      <c r="B86" t="s">
        <v>663</v>
      </c>
      <c r="D86" t="s">
        <v>101</v>
      </c>
      <c r="E86" t="s">
        <v>102</v>
      </c>
      <c r="F86" t="s">
        <v>136</v>
      </c>
      <c r="G86" t="s">
        <v>206</v>
      </c>
      <c r="H86" t="s">
        <v>130</v>
      </c>
      <c r="I86" t="s">
        <v>20</v>
      </c>
      <c r="J86" t="s">
        <v>131</v>
      </c>
      <c r="K86" s="2">
        <v>154171404</v>
      </c>
      <c r="L86" t="s">
        <v>376</v>
      </c>
      <c r="M86" t="s">
        <v>209</v>
      </c>
      <c r="N86" s="227">
        <f>_xlfn.XLOOKUP(Portefeuille_MNT_PPS_Access30[[#This Row],[Numéro projet]], Portefeuille_MNT_PPS_Access20[Numéro projet], Portefeuille_MNT_PPS_Access20[Année DÉBUT Travaux prévu], "")</f>
        <v>2028</v>
      </c>
      <c r="O86" s="229">
        <v>2029</v>
      </c>
      <c r="P86" s="8">
        <f>Portefeuille_MNT_PPS_Access30[[#This Row],[Année DÉBUT Travaux proposé]]-Portefeuille_MNT_PPS_Access30[[#This Row],[Année DÉBUT Travaux prog actuelle]]</f>
        <v>1</v>
      </c>
      <c r="Q86" s="8" t="e">
        <f>_xlfn.XLOOKUP(Portefeuille_MNT_PPS_Access30[[#This Row],[Numéro projet]],#REF!,#REF!, "")</f>
        <v>#REF!</v>
      </c>
      <c r="R86" s="8" t="e">
        <f>Portefeuille_MNT_PPS_Access30[[#This Row],[Année prog actuelle à jour]]-Portefeuille_MNT_PPS_Access30[[#This Row],[Année DÉBUT Travaux proposé]]</f>
        <v>#REF!</v>
      </c>
      <c r="S86" t="s">
        <v>155</v>
      </c>
      <c r="T86" s="1">
        <v>46280</v>
      </c>
      <c r="U86" s="1">
        <v>46645</v>
      </c>
      <c r="V86" s="1">
        <v>47011</v>
      </c>
      <c r="W8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8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86">
        <f>Portefeuille_MNT_PPS_Access30[[#This Row],[Délais PC1 et PC3]]+Portefeuille_MNT_PPS_Access30[[#This Row],[Délais PC3 et PC5]]</f>
        <v>24</v>
      </c>
      <c r="AD86">
        <v>1</v>
      </c>
      <c r="AF86" t="s">
        <v>156</v>
      </c>
      <c r="AG86">
        <v>3.3333333333333335</v>
      </c>
      <c r="AH86" s="2">
        <f>_xlfn.XLOOKUP(Portefeuille_MNT_PPS_Access30[[#This Row],[Numéro projet]],Portefeuille_MNT_PPS_Access27[Numéro projet],Portefeuille_MNT_PPS_Access27[Critère Etat Infrastructure])</f>
        <v>4</v>
      </c>
      <c r="AI8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86" s="221"/>
      <c r="AN86"/>
      <c r="AQ86">
        <v>100</v>
      </c>
      <c r="AS86">
        <v>250</v>
      </c>
      <c r="AU86">
        <v>350</v>
      </c>
      <c r="AW86">
        <v>500</v>
      </c>
      <c r="AX86">
        <v>5500</v>
      </c>
      <c r="AY86">
        <v>500</v>
      </c>
      <c r="AZ86">
        <v>6000</v>
      </c>
      <c r="BA86">
        <v>500</v>
      </c>
      <c r="BB86">
        <v>6000</v>
      </c>
      <c r="BK86" s="14">
        <f>SUM(Portefeuille_MNT_PPS_Access30[[#This Row],[AC ANT]:[TR 2035]])</f>
        <v>19700</v>
      </c>
    </row>
    <row r="87" spans="1:63" hidden="1" x14ac:dyDescent="0.3">
      <c r="A87" t="s">
        <v>286</v>
      </c>
      <c r="B87" t="s">
        <v>663</v>
      </c>
      <c r="D87" t="s">
        <v>101</v>
      </c>
      <c r="E87" t="s">
        <v>102</v>
      </c>
      <c r="F87" t="s">
        <v>136</v>
      </c>
      <c r="G87" t="s">
        <v>113</v>
      </c>
      <c r="H87" t="s">
        <v>16</v>
      </c>
      <c r="I87" t="s">
        <v>20</v>
      </c>
      <c r="J87" t="s">
        <v>105</v>
      </c>
      <c r="K87" s="2">
        <v>154061997</v>
      </c>
      <c r="L87" t="s">
        <v>167</v>
      </c>
      <c r="M87" t="s">
        <v>168</v>
      </c>
      <c r="N87">
        <f>_xlfn.XLOOKUP(Portefeuille_MNT_PPS_Access30[[#This Row],[Numéro projet]], Portefeuille_MNT_PPS_Access20[Numéro projet], Portefeuille_MNT_PPS_Access20[Année DÉBUT Travaux prévu], "")</f>
        <v>2029</v>
      </c>
      <c r="O87">
        <v>2029</v>
      </c>
      <c r="P87">
        <f>Portefeuille_MNT_PPS_Access30[[#This Row],[Année DÉBUT Travaux proposé]]-Portefeuille_MNT_PPS_Access30[[#This Row],[Année DÉBUT Travaux prog actuelle]]</f>
        <v>0</v>
      </c>
      <c r="Q87" s="8" t="e">
        <f>_xlfn.XLOOKUP(Portefeuille_MNT_PPS_Access30[[#This Row],[Numéro projet]],#REF!,#REF!, "")</f>
        <v>#REF!</v>
      </c>
      <c r="R87" s="8" t="e">
        <f>Portefeuille_MNT_PPS_Access30[[#This Row],[Année prog actuelle à jour]]-Portefeuille_MNT_PPS_Access30[[#This Row],[Année DÉBUT Travaux proposé]]</f>
        <v>#REF!</v>
      </c>
      <c r="S87" t="s">
        <v>155</v>
      </c>
      <c r="T87" s="1">
        <v>45976</v>
      </c>
      <c r="U87" s="1">
        <v>46402</v>
      </c>
      <c r="V87" s="1">
        <v>46980</v>
      </c>
      <c r="W8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8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19</v>
      </c>
      <c r="AB87">
        <f>Portefeuille_MNT_PPS_Access30[[#This Row],[Délais PC1 et PC3]]+Portefeuille_MNT_PPS_Access30[[#This Row],[Délais PC3 et PC5]]</f>
        <v>33</v>
      </c>
      <c r="AD87">
        <v>1</v>
      </c>
      <c r="AF87" t="s">
        <v>156</v>
      </c>
      <c r="AG87">
        <v>3.3333333333333335</v>
      </c>
      <c r="AH87" s="2">
        <f>_xlfn.XLOOKUP(Portefeuille_MNT_PPS_Access30[[#This Row],[Numéro projet]],Portefeuille_MNT_PPS_Access27[Numéro projet],Portefeuille_MNT_PPS_Access27[Critère Etat Infrastructure])</f>
        <v>4</v>
      </c>
      <c r="AI8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87" s="221"/>
      <c r="AK87">
        <v>71</v>
      </c>
      <c r="AN87"/>
      <c r="AQ87">
        <v>210</v>
      </c>
      <c r="AS87">
        <v>310</v>
      </c>
      <c r="AU87">
        <v>310</v>
      </c>
      <c r="AW87">
        <v>395</v>
      </c>
      <c r="AX87">
        <v>2000</v>
      </c>
      <c r="AY87">
        <v>395</v>
      </c>
      <c r="AZ87">
        <v>2000</v>
      </c>
      <c r="BA87">
        <v>520</v>
      </c>
      <c r="BB87">
        <v>18319</v>
      </c>
      <c r="BK87" s="14">
        <f>SUM(Portefeuille_MNT_PPS_Access30[[#This Row],[AC ANT]:[TR 2035]])</f>
        <v>24530</v>
      </c>
    </row>
    <row r="88" spans="1:63" hidden="1" x14ac:dyDescent="0.3">
      <c r="A88" t="s">
        <v>286</v>
      </c>
      <c r="B88" t="s">
        <v>662</v>
      </c>
      <c r="D88" t="s">
        <v>118</v>
      </c>
      <c r="E88" t="s">
        <v>102</v>
      </c>
      <c r="F88" t="s">
        <v>103</v>
      </c>
      <c r="G88" t="s">
        <v>113</v>
      </c>
      <c r="H88" t="s">
        <v>20</v>
      </c>
      <c r="I88" t="s">
        <v>20</v>
      </c>
      <c r="J88" t="s">
        <v>105</v>
      </c>
      <c r="K88" s="2">
        <v>154220487</v>
      </c>
      <c r="L88" t="s">
        <v>527</v>
      </c>
      <c r="M88" t="s">
        <v>122</v>
      </c>
      <c r="N88">
        <f>_xlfn.XLOOKUP(Portefeuille_MNT_PPS_Access30[[#This Row],[Numéro projet]], Portefeuille_MNT_PPS_Access20[Numéro projet], Portefeuille_MNT_PPS_Access20[Année DÉBUT Travaux prévu], "")</f>
        <v>2029</v>
      </c>
      <c r="O88">
        <v>2029</v>
      </c>
      <c r="P88">
        <f>Portefeuille_MNT_PPS_Access30[[#This Row],[Année DÉBUT Travaux proposé]]-Portefeuille_MNT_PPS_Access30[[#This Row],[Année DÉBUT Travaux prog actuelle]]</f>
        <v>0</v>
      </c>
      <c r="Q88" s="8" t="e">
        <f>_xlfn.XLOOKUP(Portefeuille_MNT_PPS_Access30[[#This Row],[Numéro projet]],#REF!,#REF!, "")</f>
        <v>#REF!</v>
      </c>
      <c r="R88" s="8" t="e">
        <f>Portefeuille_MNT_PPS_Access30[[#This Row],[Année prog actuelle à jour]]-Portefeuille_MNT_PPS_Access30[[#This Row],[Année DÉBUT Travaux proposé]]</f>
        <v>#REF!</v>
      </c>
      <c r="S88" t="s">
        <v>155</v>
      </c>
      <c r="T88" s="1">
        <v>46249</v>
      </c>
      <c r="U88" s="1">
        <v>46675</v>
      </c>
      <c r="V88" s="1">
        <v>47041</v>
      </c>
      <c r="W8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8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88">
        <f>Portefeuille_MNT_PPS_Access30[[#This Row],[Délais PC1 et PC3]]+Portefeuille_MNT_PPS_Access30[[#This Row],[Délais PC3 et PC5]]</f>
        <v>26</v>
      </c>
      <c r="AD88">
        <v>1</v>
      </c>
      <c r="AF88" t="s">
        <v>156</v>
      </c>
      <c r="AG88">
        <v>4</v>
      </c>
      <c r="AH88" s="2">
        <f>_xlfn.XLOOKUP(Portefeuille_MNT_PPS_Access30[[#This Row],[Numéro projet]],Portefeuille_MNT_PPS_Access27[Numéro projet],Portefeuille_MNT_PPS_Access27[Critère Etat Infrastructure])</f>
        <v>3</v>
      </c>
      <c r="AI8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88" s="221"/>
      <c r="AN88"/>
      <c r="AS88">
        <v>100</v>
      </c>
      <c r="AU88">
        <v>150</v>
      </c>
      <c r="AW88">
        <v>500</v>
      </c>
      <c r="AX88">
        <v>7000</v>
      </c>
      <c r="BK88" s="14">
        <f>SUM(Portefeuille_MNT_PPS_Access30[[#This Row],[AC ANT]:[TR 2035]])</f>
        <v>7750</v>
      </c>
    </row>
    <row r="89" spans="1:63" hidden="1" x14ac:dyDescent="0.3">
      <c r="A89" t="s">
        <v>286</v>
      </c>
      <c r="B89" t="s">
        <v>295</v>
      </c>
      <c r="D89" t="s">
        <v>126</v>
      </c>
      <c r="E89" t="s">
        <v>127</v>
      </c>
      <c r="F89" t="s">
        <v>103</v>
      </c>
      <c r="G89" t="s">
        <v>149</v>
      </c>
      <c r="H89" t="s">
        <v>16</v>
      </c>
      <c r="I89" t="s">
        <v>20</v>
      </c>
      <c r="J89" t="s">
        <v>131</v>
      </c>
      <c r="K89" s="2">
        <v>154190681</v>
      </c>
      <c r="L89" t="s">
        <v>542</v>
      </c>
      <c r="M89" t="s">
        <v>152</v>
      </c>
      <c r="N89" s="227">
        <f>_xlfn.XLOOKUP(Portefeuille_MNT_PPS_Access30[[#This Row],[Numéro projet]], Portefeuille_MNT_PPS_Access20[Numéro projet], Portefeuille_MNT_PPS_Access20[Année DÉBUT Travaux prévu], "")</f>
        <v>2027</v>
      </c>
      <c r="O89" s="229">
        <v>2029</v>
      </c>
      <c r="P89" s="8">
        <f>Portefeuille_MNT_PPS_Access30[[#This Row],[Année DÉBUT Travaux proposé]]-Portefeuille_MNT_PPS_Access30[[#This Row],[Année DÉBUT Travaux prog actuelle]]</f>
        <v>2</v>
      </c>
      <c r="Q89" s="8" t="e">
        <f>_xlfn.XLOOKUP(Portefeuille_MNT_PPS_Access30[[#This Row],[Numéro projet]],#REF!,#REF!, "")</f>
        <v>#REF!</v>
      </c>
      <c r="R89" s="8" t="e">
        <f>Portefeuille_MNT_PPS_Access30[[#This Row],[Année prog actuelle à jour]]-Portefeuille_MNT_PPS_Access30[[#This Row],[Année DÉBUT Travaux proposé]]</f>
        <v>#REF!</v>
      </c>
      <c r="S89" t="s">
        <v>155</v>
      </c>
      <c r="T89" s="1">
        <v>46127</v>
      </c>
      <c r="U89" s="1">
        <v>46553</v>
      </c>
      <c r="V89" s="1">
        <v>46980</v>
      </c>
      <c r="W8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8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8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8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8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</v>
      </c>
      <c r="AB89">
        <f>Portefeuille_MNT_PPS_Access30[[#This Row],[Délais PC1 et PC3]]+Portefeuille_MNT_PPS_Access30[[#This Row],[Délais PC3 et PC5]]</f>
        <v>28</v>
      </c>
      <c r="AD89">
        <v>1</v>
      </c>
      <c r="AE89">
        <v>1</v>
      </c>
      <c r="AF89" t="s">
        <v>156</v>
      </c>
      <c r="AG89">
        <v>3.3333333333333335</v>
      </c>
      <c r="AH89" s="2">
        <f>_xlfn.XLOOKUP(Portefeuille_MNT_PPS_Access30[[#This Row],[Numéro projet]],Portefeuille_MNT_PPS_Access27[Numéro projet],Portefeuille_MNT_PPS_Access27[Critère Etat Infrastructure])</f>
        <v>3</v>
      </c>
      <c r="AI8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41.666666666666671</v>
      </c>
      <c r="AJ89" s="221"/>
      <c r="AN89"/>
      <c r="AO89">
        <v>100</v>
      </c>
      <c r="AQ89">
        <v>267</v>
      </c>
      <c r="AS89">
        <v>588</v>
      </c>
      <c r="AX89">
        <v>7500</v>
      </c>
      <c r="BK89" s="14">
        <f>SUM(Portefeuille_MNT_PPS_Access30[[#This Row],[AC ANT]:[TR 2035]])</f>
        <v>8455</v>
      </c>
    </row>
    <row r="90" spans="1:63" hidden="1" x14ac:dyDescent="0.3">
      <c r="A90" t="s">
        <v>286</v>
      </c>
      <c r="B90" t="s">
        <v>664</v>
      </c>
      <c r="D90" t="s">
        <v>101</v>
      </c>
      <c r="E90" t="s">
        <v>102</v>
      </c>
      <c r="F90" t="s">
        <v>200</v>
      </c>
      <c r="G90" t="s">
        <v>113</v>
      </c>
      <c r="H90" t="s">
        <v>20</v>
      </c>
      <c r="I90" t="s">
        <v>20</v>
      </c>
      <c r="J90" t="s">
        <v>131</v>
      </c>
      <c r="K90" s="2">
        <v>154230556</v>
      </c>
      <c r="L90" t="s">
        <v>437</v>
      </c>
      <c r="M90" t="s">
        <v>139</v>
      </c>
      <c r="N90">
        <f>_xlfn.XLOOKUP(Portefeuille_MNT_PPS_Access30[[#This Row],[Numéro projet]], Portefeuille_MNT_PPS_Access20[Numéro projet], Portefeuille_MNT_PPS_Access20[Année DÉBUT Travaux prévu], "")</f>
        <v>2029</v>
      </c>
      <c r="O90">
        <v>2029</v>
      </c>
      <c r="P90">
        <f>Portefeuille_MNT_PPS_Access30[[#This Row],[Année DÉBUT Travaux proposé]]-Portefeuille_MNT_PPS_Access30[[#This Row],[Année DÉBUT Travaux prog actuelle]]</f>
        <v>0</v>
      </c>
      <c r="Q90" s="8" t="e">
        <f>_xlfn.XLOOKUP(Portefeuille_MNT_PPS_Access30[[#This Row],[Numéro projet]],#REF!,#REF!, "")</f>
        <v>#REF!</v>
      </c>
      <c r="R90" s="8" t="e">
        <f>Portefeuille_MNT_PPS_Access30[[#This Row],[Année prog actuelle à jour]]-Portefeuille_MNT_PPS_Access30[[#This Row],[Année DÉBUT Travaux proposé]]</f>
        <v>#REF!</v>
      </c>
      <c r="S90" t="s">
        <v>291</v>
      </c>
      <c r="T90" s="1"/>
      <c r="U90" s="1"/>
      <c r="V90" s="1"/>
      <c r="W9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9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9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9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9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90">
        <f>Portefeuille_MNT_PPS_Access30[[#This Row],[Délais PC1 et PC3]]+Portefeuille_MNT_PPS_Access30[[#This Row],[Délais PC3 et PC5]]</f>
        <v>0</v>
      </c>
      <c r="AD90">
        <v>1</v>
      </c>
      <c r="AF90" t="s">
        <v>311</v>
      </c>
      <c r="AG90">
        <v>2</v>
      </c>
      <c r="AH90" s="2">
        <f>_xlfn.XLOOKUP(Portefeuille_MNT_PPS_Access30[[#This Row],[Numéro projet]],Portefeuille_MNT_PPS_Access27[Numéro projet],Portefeuille_MNT_PPS_Access27[Critère Etat Infrastructure])</f>
        <v>5</v>
      </c>
      <c r="AI9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90" s="221"/>
      <c r="AN90"/>
      <c r="AQ90">
        <v>50</v>
      </c>
      <c r="AS90">
        <v>50</v>
      </c>
      <c r="AU90">
        <v>150</v>
      </c>
      <c r="AW90">
        <v>300</v>
      </c>
      <c r="AX90">
        <v>3000</v>
      </c>
      <c r="BK90" s="14">
        <f>SUM(Portefeuille_MNT_PPS_Access30[[#This Row],[AC ANT]:[TR 2035]])</f>
        <v>3550</v>
      </c>
    </row>
    <row r="91" spans="1:63" hidden="1" x14ac:dyDescent="0.3">
      <c r="A91" t="s">
        <v>286</v>
      </c>
      <c r="B91" t="s">
        <v>662</v>
      </c>
      <c r="D91" t="s">
        <v>118</v>
      </c>
      <c r="E91" t="s">
        <v>102</v>
      </c>
      <c r="F91" t="s">
        <v>242</v>
      </c>
      <c r="G91" t="s">
        <v>129</v>
      </c>
      <c r="H91" t="s">
        <v>20</v>
      </c>
      <c r="I91" t="s">
        <v>20</v>
      </c>
      <c r="J91" t="s">
        <v>131</v>
      </c>
      <c r="K91" s="2">
        <v>154210545</v>
      </c>
      <c r="L91" t="s">
        <v>410</v>
      </c>
      <c r="M91" t="s">
        <v>411</v>
      </c>
      <c r="N91">
        <f>_xlfn.XLOOKUP(Portefeuille_MNT_PPS_Access30[[#This Row],[Numéro projet]], Portefeuille_MNT_PPS_Access20[Numéro projet], Portefeuille_MNT_PPS_Access20[Année DÉBUT Travaux prévu], "")</f>
        <v>2029</v>
      </c>
      <c r="O91">
        <v>2029</v>
      </c>
      <c r="P91">
        <f>Portefeuille_MNT_PPS_Access30[[#This Row],[Année DÉBUT Travaux proposé]]-Portefeuille_MNT_PPS_Access30[[#This Row],[Année DÉBUT Travaux prog actuelle]]</f>
        <v>0</v>
      </c>
      <c r="Q91" s="8" t="e">
        <f>_xlfn.XLOOKUP(Portefeuille_MNT_PPS_Access30[[#This Row],[Numéro projet]],#REF!,#REF!, "")</f>
        <v>#REF!</v>
      </c>
      <c r="R91" s="8" t="e">
        <f>Portefeuille_MNT_PPS_Access30[[#This Row],[Année prog actuelle à jour]]-Portefeuille_MNT_PPS_Access30[[#This Row],[Année DÉBUT Travaux proposé]]</f>
        <v>#REF!</v>
      </c>
      <c r="S91" t="s">
        <v>155</v>
      </c>
      <c r="T91" s="1">
        <v>46143</v>
      </c>
      <c r="U91" s="1">
        <v>46508</v>
      </c>
      <c r="V91" s="1">
        <v>46874</v>
      </c>
      <c r="W9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9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91">
        <f>Portefeuille_MNT_PPS_Access30[[#This Row],[Délais PC1 et PC3]]+Portefeuille_MNT_PPS_Access30[[#This Row],[Délais PC3 et PC5]]</f>
        <v>24</v>
      </c>
      <c r="AD91">
        <v>1</v>
      </c>
      <c r="AF91" t="s">
        <v>156</v>
      </c>
      <c r="AG91">
        <v>1.3333333333333333</v>
      </c>
      <c r="AH91" s="2">
        <f>_xlfn.XLOOKUP(Portefeuille_MNT_PPS_Access30[[#This Row],[Numéro projet]],Portefeuille_MNT_PPS_Access27[Numéro projet],Portefeuille_MNT_PPS_Access27[Critère Etat Infrastructure])</f>
        <v>4</v>
      </c>
      <c r="AI9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91" s="221"/>
      <c r="AN91"/>
      <c r="AS91">
        <v>50</v>
      </c>
      <c r="AU91">
        <v>50</v>
      </c>
      <c r="AW91">
        <v>200</v>
      </c>
      <c r="AX91">
        <v>1000</v>
      </c>
      <c r="BK91" s="14">
        <f>SUM(Portefeuille_MNT_PPS_Access30[[#This Row],[AC ANT]:[TR 2035]])</f>
        <v>1300</v>
      </c>
    </row>
    <row r="92" spans="1:63" hidden="1" x14ac:dyDescent="0.3">
      <c r="A92" t="s">
        <v>286</v>
      </c>
      <c r="B92" t="s">
        <v>662</v>
      </c>
      <c r="D92" t="s">
        <v>118</v>
      </c>
      <c r="E92" t="s">
        <v>102</v>
      </c>
      <c r="F92" t="s">
        <v>242</v>
      </c>
      <c r="G92" t="s">
        <v>129</v>
      </c>
      <c r="H92" t="s">
        <v>20</v>
      </c>
      <c r="I92" t="s">
        <v>20</v>
      </c>
      <c r="J92" t="s">
        <v>131</v>
      </c>
      <c r="K92" s="2">
        <v>154210548</v>
      </c>
      <c r="L92" t="s">
        <v>416</v>
      </c>
      <c r="M92" t="s">
        <v>417</v>
      </c>
      <c r="N92">
        <f>_xlfn.XLOOKUP(Portefeuille_MNT_PPS_Access30[[#This Row],[Numéro projet]], Portefeuille_MNT_PPS_Access20[Numéro projet], Portefeuille_MNT_PPS_Access20[Année DÉBUT Travaux prévu], "")</f>
        <v>2029</v>
      </c>
      <c r="O92">
        <v>2029</v>
      </c>
      <c r="P92">
        <f>Portefeuille_MNT_PPS_Access30[[#This Row],[Année DÉBUT Travaux proposé]]-Portefeuille_MNT_PPS_Access30[[#This Row],[Année DÉBUT Travaux prog actuelle]]</f>
        <v>0</v>
      </c>
      <c r="Q92" s="8" t="e">
        <f>_xlfn.XLOOKUP(Portefeuille_MNT_PPS_Access30[[#This Row],[Numéro projet]],#REF!,#REF!, "")</f>
        <v>#REF!</v>
      </c>
      <c r="R92" s="8" t="e">
        <f>Portefeuille_MNT_PPS_Access30[[#This Row],[Année prog actuelle à jour]]-Portefeuille_MNT_PPS_Access30[[#This Row],[Année DÉBUT Travaux proposé]]</f>
        <v>#REF!</v>
      </c>
      <c r="S92" t="s">
        <v>155</v>
      </c>
      <c r="T92" s="1">
        <v>46143</v>
      </c>
      <c r="U92" s="1">
        <v>46508</v>
      </c>
      <c r="V92" s="1">
        <v>46874</v>
      </c>
      <c r="W9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9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92">
        <f>Portefeuille_MNT_PPS_Access30[[#This Row],[Délais PC1 et PC3]]+Portefeuille_MNT_PPS_Access30[[#This Row],[Délais PC3 et PC5]]</f>
        <v>24</v>
      </c>
      <c r="AD92">
        <v>1</v>
      </c>
      <c r="AF92" t="s">
        <v>156</v>
      </c>
      <c r="AG92">
        <v>1.3333333333333333</v>
      </c>
      <c r="AH92" s="2">
        <f>_xlfn.XLOOKUP(Portefeuille_MNT_PPS_Access30[[#This Row],[Numéro projet]],Portefeuille_MNT_PPS_Access27[Numéro projet],Portefeuille_MNT_PPS_Access27[Critère Etat Infrastructure])</f>
        <v>4</v>
      </c>
      <c r="AI9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92" s="221"/>
      <c r="AN92"/>
      <c r="AS92">
        <v>50</v>
      </c>
      <c r="AU92">
        <v>50</v>
      </c>
      <c r="AW92">
        <v>200</v>
      </c>
      <c r="AX92">
        <v>1000</v>
      </c>
      <c r="BK92" s="14">
        <f>SUM(Portefeuille_MNT_PPS_Access30[[#This Row],[AC ANT]:[TR 2035]])</f>
        <v>1300</v>
      </c>
    </row>
    <row r="93" spans="1:63" hidden="1" x14ac:dyDescent="0.3">
      <c r="A93" t="s">
        <v>286</v>
      </c>
      <c r="B93" t="s">
        <v>664</v>
      </c>
      <c r="D93" t="s">
        <v>101</v>
      </c>
      <c r="E93" t="s">
        <v>102</v>
      </c>
      <c r="F93" t="s">
        <v>103</v>
      </c>
      <c r="G93" t="s">
        <v>129</v>
      </c>
      <c r="H93" t="s">
        <v>20</v>
      </c>
      <c r="I93" t="s">
        <v>20</v>
      </c>
      <c r="J93" t="s">
        <v>131</v>
      </c>
      <c r="K93" s="2">
        <v>154250401</v>
      </c>
      <c r="L93" t="s">
        <v>654</v>
      </c>
      <c r="M93" t="s">
        <v>134</v>
      </c>
      <c r="N93" t="str">
        <f>_xlfn.XLOOKUP(Portefeuille_MNT_PPS_Access30[[#This Row],[Numéro projet]], Portefeuille_MNT_PPS_Access20[Numéro projet], Portefeuille_MNT_PPS_Access20[Année DÉBUT Travaux prévu], "")</f>
        <v/>
      </c>
      <c r="O93" s="8">
        <v>2029</v>
      </c>
      <c r="P93" s="8" t="e">
        <f>Portefeuille_MNT_PPS_Access30[[#This Row],[Année DÉBUT Travaux proposé]]-Portefeuille_MNT_PPS_Access30[[#This Row],[Année DÉBUT Travaux prog actuelle]]</f>
        <v>#VALUE!</v>
      </c>
      <c r="Q93" s="8" t="e">
        <f>_xlfn.XLOOKUP(Portefeuille_MNT_PPS_Access30[[#This Row],[Numéro projet]],#REF!,#REF!, "")</f>
        <v>#REF!</v>
      </c>
      <c r="R93" s="8" t="e">
        <f>Portefeuille_MNT_PPS_Access30[[#This Row],[Année prog actuelle à jour]]-Portefeuille_MNT_PPS_Access30[[#This Row],[Année DÉBUT Travaux proposé]]</f>
        <v>#REF!</v>
      </c>
      <c r="S93" t="s">
        <v>291</v>
      </c>
      <c r="T93" s="1">
        <v>46371</v>
      </c>
      <c r="U93" s="1">
        <v>46736</v>
      </c>
      <c r="V93" s="1">
        <v>47102</v>
      </c>
      <c r="W9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9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93">
        <f>Portefeuille_MNT_PPS_Access30[[#This Row],[Délais PC1 et PC3]]+Portefeuille_MNT_PPS_Access30[[#This Row],[Délais PC3 et PC5]]</f>
        <v>24</v>
      </c>
      <c r="AD93">
        <v>1</v>
      </c>
      <c r="AF93" t="s">
        <v>311</v>
      </c>
      <c r="AG93">
        <v>1.3333333333333333</v>
      </c>
      <c r="AH93" s="2">
        <f>_xlfn.XLOOKUP(Portefeuille_MNT_PPS_Access30[[#This Row],[Numéro projet]],Portefeuille_MNT_PPS_Access27[Numéro projet],Portefeuille_MNT_PPS_Access27[Critère Etat Infrastructure])</f>
        <v>5</v>
      </c>
      <c r="AI9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93" s="221"/>
      <c r="AN93"/>
      <c r="AS93">
        <v>125</v>
      </c>
      <c r="AU93">
        <v>125</v>
      </c>
      <c r="AW93">
        <v>250</v>
      </c>
      <c r="AX93">
        <v>1000</v>
      </c>
      <c r="BK93" s="14">
        <f>SUM(Portefeuille_MNT_PPS_Access30[[#This Row],[AC ANT]:[TR 2035]])</f>
        <v>1500</v>
      </c>
    </row>
    <row r="94" spans="1:63" hidden="1" x14ac:dyDescent="0.3">
      <c r="A94" t="s">
        <v>286</v>
      </c>
      <c r="B94" t="s">
        <v>663</v>
      </c>
      <c r="D94" t="s">
        <v>101</v>
      </c>
      <c r="E94" t="s">
        <v>102</v>
      </c>
      <c r="F94" t="s">
        <v>136</v>
      </c>
      <c r="G94" t="s">
        <v>149</v>
      </c>
      <c r="H94" t="s">
        <v>130</v>
      </c>
      <c r="I94" t="s">
        <v>20</v>
      </c>
      <c r="J94" t="s">
        <v>105</v>
      </c>
      <c r="K94" s="2">
        <v>154061995</v>
      </c>
      <c r="L94" t="s">
        <v>367</v>
      </c>
      <c r="M94" t="s">
        <v>316</v>
      </c>
      <c r="N94">
        <f>_xlfn.XLOOKUP(Portefeuille_MNT_PPS_Access30[[#This Row],[Numéro projet]], Portefeuille_MNT_PPS_Access20[Numéro projet], Portefeuille_MNT_PPS_Access20[Année DÉBUT Travaux prévu], "")</f>
        <v>2030</v>
      </c>
      <c r="O94">
        <v>2030</v>
      </c>
      <c r="P94">
        <f>Portefeuille_MNT_PPS_Access30[[#This Row],[Année DÉBUT Travaux proposé]]-Portefeuille_MNT_PPS_Access30[[#This Row],[Année DÉBUT Travaux prog actuelle]]</f>
        <v>0</v>
      </c>
      <c r="Q94" s="8" t="e">
        <f>_xlfn.XLOOKUP(Portefeuille_MNT_PPS_Access30[[#This Row],[Numéro projet]],#REF!,#REF!, "")</f>
        <v>#REF!</v>
      </c>
      <c r="R94" s="8" t="e">
        <f>Portefeuille_MNT_PPS_Access30[[#This Row],[Année prog actuelle à jour]]-Portefeuille_MNT_PPS_Access30[[#This Row],[Année DÉBUT Travaux proposé]]</f>
        <v>#REF!</v>
      </c>
      <c r="S94" t="s">
        <v>155</v>
      </c>
      <c r="T94" s="1">
        <v>46157</v>
      </c>
      <c r="U94" s="1">
        <v>46645</v>
      </c>
      <c r="V94" s="1">
        <v>47011</v>
      </c>
      <c r="W9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16</v>
      </c>
      <c r="AA9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94">
        <f>Portefeuille_MNT_PPS_Access30[[#This Row],[Délais PC1 et PC3]]+Portefeuille_MNT_PPS_Access30[[#This Row],[Délais PC3 et PC5]]</f>
        <v>28</v>
      </c>
      <c r="AD94">
        <v>1</v>
      </c>
      <c r="AF94" t="s">
        <v>156</v>
      </c>
      <c r="AG94">
        <v>3</v>
      </c>
      <c r="AH94" s="2">
        <f>_xlfn.XLOOKUP(Portefeuille_MNT_PPS_Access30[[#This Row],[Numéro projet]],Portefeuille_MNT_PPS_Access27[Numéro projet],Portefeuille_MNT_PPS_Access27[Critère Etat Infrastructure])</f>
        <v>4</v>
      </c>
      <c r="AI9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94" s="221"/>
      <c r="AN94"/>
      <c r="AS94">
        <v>430</v>
      </c>
      <c r="AU94">
        <v>600</v>
      </c>
      <c r="AW94">
        <v>670</v>
      </c>
      <c r="AX94"/>
      <c r="AY94">
        <v>600</v>
      </c>
      <c r="AZ94">
        <v>5000</v>
      </c>
      <c r="BC94">
        <v>500</v>
      </c>
      <c r="BD94">
        <v>4700</v>
      </c>
      <c r="BE94">
        <v>600</v>
      </c>
      <c r="BF94">
        <v>5000</v>
      </c>
      <c r="BG94">
        <v>600</v>
      </c>
      <c r="BH94">
        <v>5000</v>
      </c>
      <c r="BK94" s="14">
        <f>SUM(Portefeuille_MNT_PPS_Access30[[#This Row],[AC ANT]:[TR 2035]])</f>
        <v>23700</v>
      </c>
    </row>
    <row r="95" spans="1:63" hidden="1" x14ac:dyDescent="0.3">
      <c r="A95" t="s">
        <v>286</v>
      </c>
      <c r="B95" t="s">
        <v>664</v>
      </c>
      <c r="D95" t="s">
        <v>101</v>
      </c>
      <c r="E95" t="s">
        <v>102</v>
      </c>
      <c r="F95" t="s">
        <v>136</v>
      </c>
      <c r="G95" t="s">
        <v>149</v>
      </c>
      <c r="H95" t="s">
        <v>16</v>
      </c>
      <c r="I95" t="s">
        <v>20</v>
      </c>
      <c r="J95" t="s">
        <v>131</v>
      </c>
      <c r="K95" s="2">
        <v>154180773</v>
      </c>
      <c r="L95" s="86" t="s">
        <v>213</v>
      </c>
      <c r="M95" t="s">
        <v>214</v>
      </c>
      <c r="N95">
        <f>_xlfn.XLOOKUP(Portefeuille_MNT_PPS_Access30[[#This Row],[Numéro projet]], Portefeuille_MNT_PPS_Access20[Numéro projet], Portefeuille_MNT_PPS_Access20[Année DÉBUT Travaux prévu], "")</f>
        <v>2030</v>
      </c>
      <c r="O95">
        <v>2030</v>
      </c>
      <c r="P95">
        <f>Portefeuille_MNT_PPS_Access30[[#This Row],[Année DÉBUT Travaux proposé]]-Portefeuille_MNT_PPS_Access30[[#This Row],[Année DÉBUT Travaux prog actuelle]]</f>
        <v>0</v>
      </c>
      <c r="Q95" s="8" t="e">
        <f>_xlfn.XLOOKUP(Portefeuille_MNT_PPS_Access30[[#This Row],[Numéro projet]],#REF!,#REF!, "")</f>
        <v>#REF!</v>
      </c>
      <c r="R95" s="8" t="e">
        <f>Portefeuille_MNT_PPS_Access30[[#This Row],[Année prog actuelle à jour]]-Portefeuille_MNT_PPS_Access30[[#This Row],[Année DÉBUT Travaux proposé]]</f>
        <v>#REF!</v>
      </c>
      <c r="S95" t="s">
        <v>155</v>
      </c>
      <c r="T95" s="1">
        <v>46127</v>
      </c>
      <c r="U95" s="1">
        <v>46798</v>
      </c>
      <c r="V95" s="1">
        <v>47192</v>
      </c>
      <c r="W9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22</v>
      </c>
      <c r="AA9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13</v>
      </c>
      <c r="AB95">
        <f>Portefeuille_MNT_PPS_Access30[[#This Row],[Délais PC1 et PC3]]+Portefeuille_MNT_PPS_Access30[[#This Row],[Délais PC3 et PC5]]</f>
        <v>35</v>
      </c>
      <c r="AD95">
        <v>1</v>
      </c>
      <c r="AF95" t="s">
        <v>156</v>
      </c>
      <c r="AG95">
        <v>3</v>
      </c>
      <c r="AH95" s="2">
        <f>_xlfn.XLOOKUP(Portefeuille_MNT_PPS_Access30[[#This Row],[Numéro projet]],Portefeuille_MNT_PPS_Access27[Numéro projet],Portefeuille_MNT_PPS_Access27[Critère Etat Infrastructure])</f>
        <v>4</v>
      </c>
      <c r="AI9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95" s="221"/>
      <c r="AK95">
        <v>47</v>
      </c>
      <c r="AM95">
        <v>93</v>
      </c>
      <c r="AN95"/>
      <c r="AO95">
        <v>107</v>
      </c>
      <c r="AQ95">
        <v>125</v>
      </c>
      <c r="AS95">
        <v>125</v>
      </c>
      <c r="AU95">
        <v>125</v>
      </c>
      <c r="AW95">
        <v>125</v>
      </c>
      <c r="AX95"/>
      <c r="AY95">
        <v>300</v>
      </c>
      <c r="AZ95">
        <v>5000</v>
      </c>
      <c r="BA95">
        <v>474</v>
      </c>
      <c r="BB95">
        <v>10000</v>
      </c>
      <c r="BK95" s="14">
        <f>SUM(Portefeuille_MNT_PPS_Access30[[#This Row],[AC ANT]:[TR 2035]])</f>
        <v>16521</v>
      </c>
    </row>
    <row r="96" spans="1:63" hidden="1" x14ac:dyDescent="0.3">
      <c r="A96" t="s">
        <v>286</v>
      </c>
      <c r="B96" t="s">
        <v>664</v>
      </c>
      <c r="D96" t="s">
        <v>101</v>
      </c>
      <c r="E96" t="s">
        <v>102</v>
      </c>
      <c r="F96" t="s">
        <v>136</v>
      </c>
      <c r="G96" t="s">
        <v>104</v>
      </c>
      <c r="H96" t="s">
        <v>130</v>
      </c>
      <c r="I96" t="s">
        <v>20</v>
      </c>
      <c r="J96" t="s">
        <v>131</v>
      </c>
      <c r="K96" s="2">
        <v>154190597</v>
      </c>
      <c r="L96" t="s">
        <v>374</v>
      </c>
      <c r="M96" t="s">
        <v>159</v>
      </c>
      <c r="N96" s="227">
        <f>_xlfn.XLOOKUP(Portefeuille_MNT_PPS_Access30[[#This Row],[Numéro projet]], Portefeuille_MNT_PPS_Access20[Numéro projet], Portefeuille_MNT_PPS_Access20[Année DÉBUT Travaux prévu], "")</f>
        <v>2029</v>
      </c>
      <c r="O96" s="229">
        <v>2030</v>
      </c>
      <c r="P96" s="8">
        <f>Portefeuille_MNT_PPS_Access30[[#This Row],[Année DÉBUT Travaux proposé]]-Portefeuille_MNT_PPS_Access30[[#This Row],[Année DÉBUT Travaux prog actuelle]]</f>
        <v>1</v>
      </c>
      <c r="Q96" s="8" t="e">
        <f>_xlfn.XLOOKUP(Portefeuille_MNT_PPS_Access30[[#This Row],[Numéro projet]],#REF!,#REF!, "")</f>
        <v>#REF!</v>
      </c>
      <c r="R96" s="8" t="e">
        <f>Portefeuille_MNT_PPS_Access30[[#This Row],[Année prog actuelle à jour]]-Portefeuille_MNT_PPS_Access30[[#This Row],[Année DÉBUT Travaux proposé]]</f>
        <v>#REF!</v>
      </c>
      <c r="S96" t="s">
        <v>155</v>
      </c>
      <c r="T96" s="1">
        <v>45960</v>
      </c>
      <c r="U96" s="1">
        <v>46280</v>
      </c>
      <c r="V96" s="1">
        <v>46645</v>
      </c>
      <c r="W9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9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96">
        <f>Portefeuille_MNT_PPS_Access30[[#This Row],[Délais PC1 et PC3]]+Portefeuille_MNT_PPS_Access30[[#This Row],[Délais PC3 et PC5]]</f>
        <v>23</v>
      </c>
      <c r="AD96">
        <v>1</v>
      </c>
      <c r="AF96" t="s">
        <v>156</v>
      </c>
      <c r="AG96">
        <v>4.333333333333333</v>
      </c>
      <c r="AH96" s="2">
        <f>_xlfn.XLOOKUP(Portefeuille_MNT_PPS_Access30[[#This Row],[Numéro projet]],Portefeuille_MNT_PPS_Access27[Numéro projet],Portefeuille_MNT_PPS_Access27[Critère Etat Infrastructure])</f>
        <v>4</v>
      </c>
      <c r="AI9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51.666666666666671</v>
      </c>
      <c r="AJ96" s="221"/>
      <c r="AN96"/>
      <c r="AQ96">
        <v>100</v>
      </c>
      <c r="AS96">
        <v>250</v>
      </c>
      <c r="AU96">
        <v>350</v>
      </c>
      <c r="AW96">
        <v>500</v>
      </c>
      <c r="AX96"/>
      <c r="AY96">
        <v>500</v>
      </c>
      <c r="AZ96">
        <v>8000</v>
      </c>
      <c r="BA96">
        <v>500</v>
      </c>
      <c r="BB96">
        <v>8000</v>
      </c>
      <c r="BK96" s="14">
        <f>SUM(Portefeuille_MNT_PPS_Access30[[#This Row],[AC ANT]:[TR 2035]])</f>
        <v>18200</v>
      </c>
    </row>
    <row r="97" spans="1:63" hidden="1" x14ac:dyDescent="0.3">
      <c r="A97" t="s">
        <v>286</v>
      </c>
      <c r="B97" t="s">
        <v>295</v>
      </c>
      <c r="D97" t="s">
        <v>126</v>
      </c>
      <c r="E97" t="s">
        <v>127</v>
      </c>
      <c r="F97" t="s">
        <v>136</v>
      </c>
      <c r="G97" t="s">
        <v>113</v>
      </c>
      <c r="H97" t="s">
        <v>16</v>
      </c>
      <c r="I97" t="s">
        <v>20</v>
      </c>
      <c r="J97" t="s">
        <v>131</v>
      </c>
      <c r="K97" s="2">
        <v>154190601</v>
      </c>
      <c r="L97" t="s">
        <v>227</v>
      </c>
      <c r="M97" t="s">
        <v>139</v>
      </c>
      <c r="N97">
        <f>_xlfn.XLOOKUP(Portefeuille_MNT_PPS_Access30[[#This Row],[Numéro projet]], Portefeuille_MNT_PPS_Access20[Numéro projet], Portefeuille_MNT_PPS_Access20[Année DÉBUT Travaux prévu], "")</f>
        <v>2030</v>
      </c>
      <c r="O97">
        <v>2030</v>
      </c>
      <c r="P97">
        <f>Portefeuille_MNT_PPS_Access30[[#This Row],[Année DÉBUT Travaux proposé]]-Portefeuille_MNT_PPS_Access30[[#This Row],[Année DÉBUT Travaux prog actuelle]]</f>
        <v>0</v>
      </c>
      <c r="Q97" s="8" t="e">
        <f>_xlfn.XLOOKUP(Portefeuille_MNT_PPS_Access30[[#This Row],[Numéro projet]],#REF!,#REF!, "")</f>
        <v>#REF!</v>
      </c>
      <c r="R97" s="8" t="e">
        <f>Portefeuille_MNT_PPS_Access30[[#This Row],[Année prog actuelle à jour]]-Portefeuille_MNT_PPS_Access30[[#This Row],[Année DÉBUT Travaux proposé]]</f>
        <v>#REF!</v>
      </c>
      <c r="S97" t="s">
        <v>110</v>
      </c>
      <c r="T97" s="1">
        <v>45330</v>
      </c>
      <c r="U97" s="1">
        <v>46690</v>
      </c>
      <c r="V97" s="1">
        <v>47376</v>
      </c>
      <c r="W9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44</v>
      </c>
      <c r="AA9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23</v>
      </c>
      <c r="AB97">
        <f>Portefeuille_MNT_PPS_Access30[[#This Row],[Délais PC1 et PC3]]+Portefeuille_MNT_PPS_Access30[[#This Row],[Délais PC3 et PC5]]</f>
        <v>67</v>
      </c>
      <c r="AD97">
        <v>1</v>
      </c>
      <c r="AF97" t="s">
        <v>112</v>
      </c>
      <c r="AG97">
        <v>2</v>
      </c>
      <c r="AH97" s="2">
        <f>_xlfn.XLOOKUP(Portefeuille_MNT_PPS_Access30[[#This Row],[Numéro projet]],Portefeuille_MNT_PPS_Access27[Numéro projet],Portefeuille_MNT_PPS_Access27[Critère Etat Infrastructure])</f>
        <v>3</v>
      </c>
      <c r="AI9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97" s="221"/>
      <c r="AK97">
        <v>44</v>
      </c>
      <c r="AM97">
        <v>35</v>
      </c>
      <c r="AN97"/>
      <c r="AO97">
        <v>100</v>
      </c>
      <c r="AQ97">
        <v>288</v>
      </c>
      <c r="AS97">
        <v>475</v>
      </c>
      <c r="AU97">
        <v>475</v>
      </c>
      <c r="AW97">
        <v>573</v>
      </c>
      <c r="AX97"/>
      <c r="AY97">
        <v>1000</v>
      </c>
      <c r="AZ97">
        <v>4362</v>
      </c>
      <c r="BA97">
        <v>1087</v>
      </c>
      <c r="BB97">
        <v>12800</v>
      </c>
      <c r="BK97" s="14">
        <f>SUM(Portefeuille_MNT_PPS_Access30[[#This Row],[AC ANT]:[TR 2035]])</f>
        <v>21239</v>
      </c>
    </row>
    <row r="98" spans="1:63" hidden="1" x14ac:dyDescent="0.3">
      <c r="A98" t="s">
        <v>286</v>
      </c>
      <c r="B98" t="s">
        <v>664</v>
      </c>
      <c r="D98" t="s">
        <v>101</v>
      </c>
      <c r="E98" t="s">
        <v>102</v>
      </c>
      <c r="F98" t="s">
        <v>136</v>
      </c>
      <c r="G98" t="s">
        <v>129</v>
      </c>
      <c r="H98" t="s">
        <v>130</v>
      </c>
      <c r="I98" t="s">
        <v>20</v>
      </c>
      <c r="J98" t="s">
        <v>131</v>
      </c>
      <c r="K98" s="2">
        <v>154210517</v>
      </c>
      <c r="L98" t="s">
        <v>406</v>
      </c>
      <c r="M98" t="s">
        <v>152</v>
      </c>
      <c r="N98" s="227">
        <f>_xlfn.XLOOKUP(Portefeuille_MNT_PPS_Access30[[#This Row],[Numéro projet]], Portefeuille_MNT_PPS_Access20[Numéro projet], Portefeuille_MNT_PPS_Access20[Année DÉBUT Travaux prévu], "")</f>
        <v>2029</v>
      </c>
      <c r="O98" s="229">
        <v>2030</v>
      </c>
      <c r="P98" s="8">
        <f>Portefeuille_MNT_PPS_Access30[[#This Row],[Année DÉBUT Travaux proposé]]-Portefeuille_MNT_PPS_Access30[[#This Row],[Année DÉBUT Travaux prog actuelle]]</f>
        <v>1</v>
      </c>
      <c r="Q98" s="8" t="e">
        <f>_xlfn.XLOOKUP(Portefeuille_MNT_PPS_Access30[[#This Row],[Numéro projet]],#REF!,#REF!, "")</f>
        <v>#REF!</v>
      </c>
      <c r="R98" s="8" t="e">
        <f>Portefeuille_MNT_PPS_Access30[[#This Row],[Année prog actuelle à jour]]-Portefeuille_MNT_PPS_Access30[[#This Row],[Année DÉBUT Travaux proposé]]</f>
        <v>#REF!</v>
      </c>
      <c r="S98" t="s">
        <v>155</v>
      </c>
      <c r="T98" s="1">
        <v>46054</v>
      </c>
      <c r="U98" s="1">
        <v>46427</v>
      </c>
      <c r="V98" s="1">
        <v>46813</v>
      </c>
      <c r="W9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9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13</v>
      </c>
      <c r="AB98">
        <f>Portefeuille_MNT_PPS_Access30[[#This Row],[Délais PC1 et PC3]]+Portefeuille_MNT_PPS_Access30[[#This Row],[Délais PC3 et PC5]]</f>
        <v>25</v>
      </c>
      <c r="AD98">
        <v>1</v>
      </c>
      <c r="AF98" t="s">
        <v>156</v>
      </c>
      <c r="AG98">
        <v>3.3333333333333335</v>
      </c>
      <c r="AH98" s="2">
        <f>_xlfn.XLOOKUP(Portefeuille_MNT_PPS_Access30[[#This Row],[Numéro projet]],Portefeuille_MNT_PPS_Access27[Numéro projet],Portefeuille_MNT_PPS_Access27[Critère Etat Infrastructure])</f>
        <v>4</v>
      </c>
      <c r="AI9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98" s="221"/>
      <c r="AN98"/>
      <c r="AQ98">
        <v>100</v>
      </c>
      <c r="AS98">
        <v>250</v>
      </c>
      <c r="AU98">
        <v>350</v>
      </c>
      <c r="AW98">
        <v>200</v>
      </c>
      <c r="AX98"/>
      <c r="AY98">
        <v>600</v>
      </c>
      <c r="AZ98">
        <v>5500</v>
      </c>
      <c r="BA98">
        <v>600</v>
      </c>
      <c r="BB98">
        <v>6000</v>
      </c>
      <c r="BC98">
        <v>600</v>
      </c>
      <c r="BD98">
        <v>6000</v>
      </c>
      <c r="BK98" s="14">
        <f>SUM(Portefeuille_MNT_PPS_Access30[[#This Row],[AC ANT]:[TR 2035]])</f>
        <v>20200</v>
      </c>
    </row>
    <row r="99" spans="1:63" hidden="1" x14ac:dyDescent="0.3">
      <c r="A99" t="s">
        <v>286</v>
      </c>
      <c r="B99" t="s">
        <v>662</v>
      </c>
      <c r="D99" t="s">
        <v>118</v>
      </c>
      <c r="E99" t="s">
        <v>102</v>
      </c>
      <c r="F99" t="s">
        <v>103</v>
      </c>
      <c r="G99" t="s">
        <v>129</v>
      </c>
      <c r="H99" t="s">
        <v>20</v>
      </c>
      <c r="I99" t="s">
        <v>20</v>
      </c>
      <c r="J99" t="s">
        <v>131</v>
      </c>
      <c r="K99" s="2">
        <v>154200654</v>
      </c>
      <c r="L99" t="s">
        <v>643</v>
      </c>
      <c r="M99" t="s">
        <v>214</v>
      </c>
      <c r="N99" s="227">
        <f>_xlfn.XLOOKUP(Portefeuille_MNT_PPS_Access30[[#This Row],[Numéro projet]], Portefeuille_MNT_PPS_Access20[Numéro projet], Portefeuille_MNT_PPS_Access20[Année DÉBUT Travaux prévu], "")</f>
        <v>2029</v>
      </c>
      <c r="O99" s="229">
        <v>2030</v>
      </c>
      <c r="P99" s="8">
        <f>Portefeuille_MNT_PPS_Access30[[#This Row],[Année DÉBUT Travaux proposé]]-Portefeuille_MNT_PPS_Access30[[#This Row],[Année DÉBUT Travaux prog actuelle]]</f>
        <v>1</v>
      </c>
      <c r="Q99" s="8" t="e">
        <f>_xlfn.XLOOKUP(Portefeuille_MNT_PPS_Access30[[#This Row],[Numéro projet]],#REF!,#REF!, "")</f>
        <v>#REF!</v>
      </c>
      <c r="R99" s="8" t="e">
        <f>Portefeuille_MNT_PPS_Access30[[#This Row],[Année prog actuelle à jour]]-Portefeuille_MNT_PPS_Access30[[#This Row],[Année DÉBUT Travaux proposé]]</f>
        <v>#REF!</v>
      </c>
      <c r="S99" t="s">
        <v>155</v>
      </c>
      <c r="T99" s="1">
        <v>46218</v>
      </c>
      <c r="U99" s="1">
        <v>46722</v>
      </c>
      <c r="V99" s="1">
        <v>47011</v>
      </c>
      <c r="W9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9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9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9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17</v>
      </c>
      <c r="AA9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9</v>
      </c>
      <c r="AB99">
        <f>Portefeuille_MNT_PPS_Access30[[#This Row],[Délais PC1 et PC3]]+Portefeuille_MNT_PPS_Access30[[#This Row],[Délais PC3 et PC5]]</f>
        <v>26</v>
      </c>
      <c r="AD99">
        <v>1</v>
      </c>
      <c r="AF99" t="s">
        <v>156</v>
      </c>
      <c r="AG99">
        <v>3</v>
      </c>
      <c r="AH99" s="2">
        <f>_xlfn.XLOOKUP(Portefeuille_MNT_PPS_Access30[[#This Row],[Numéro projet]],Portefeuille_MNT_PPS_Access27[Numéro projet],Portefeuille_MNT_PPS_Access27[Critère Etat Infrastructure])</f>
        <v>4</v>
      </c>
      <c r="AI9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99" s="221"/>
      <c r="AN99"/>
      <c r="AU99">
        <v>100</v>
      </c>
      <c r="AW99">
        <v>200</v>
      </c>
      <c r="AX99"/>
      <c r="AY99">
        <v>200</v>
      </c>
      <c r="AZ99">
        <v>10500</v>
      </c>
      <c r="BK99" s="14">
        <f>SUM(Portefeuille_MNT_PPS_Access30[[#This Row],[AC ANT]:[TR 2035]])</f>
        <v>11000</v>
      </c>
    </row>
    <row r="100" spans="1:63" hidden="1" x14ac:dyDescent="0.3">
      <c r="A100" t="s">
        <v>286</v>
      </c>
      <c r="B100" t="s">
        <v>662</v>
      </c>
      <c r="D100" t="s">
        <v>118</v>
      </c>
      <c r="E100" t="s">
        <v>102</v>
      </c>
      <c r="F100" t="s">
        <v>177</v>
      </c>
      <c r="H100" t="s">
        <v>20</v>
      </c>
      <c r="I100" t="s">
        <v>20</v>
      </c>
      <c r="J100" t="s">
        <v>131</v>
      </c>
      <c r="K100" s="2">
        <v>154240787</v>
      </c>
      <c r="L100" t="s">
        <v>523</v>
      </c>
      <c r="M100" t="s">
        <v>187</v>
      </c>
      <c r="N100" s="227">
        <f>_xlfn.XLOOKUP(Portefeuille_MNT_PPS_Access30[[#This Row],[Numéro projet]], Portefeuille_MNT_PPS_Access20[Numéro projet], Portefeuille_MNT_PPS_Access20[Année DÉBUT Travaux prévu], "")</f>
        <v>2029</v>
      </c>
      <c r="O100" s="229">
        <v>2030</v>
      </c>
      <c r="P100" s="8">
        <f>Portefeuille_MNT_PPS_Access30[[#This Row],[Année DÉBUT Travaux proposé]]-Portefeuille_MNT_PPS_Access30[[#This Row],[Année DÉBUT Travaux prog actuelle]]</f>
        <v>1</v>
      </c>
      <c r="Q100" s="8" t="e">
        <f>_xlfn.XLOOKUP(Portefeuille_MNT_PPS_Access30[[#This Row],[Numéro projet]],#REF!,#REF!, "")</f>
        <v>#REF!</v>
      </c>
      <c r="R100" s="8" t="e">
        <f>Portefeuille_MNT_PPS_Access30[[#This Row],[Année prog actuelle à jour]]-Portefeuille_MNT_PPS_Access30[[#This Row],[Année DÉBUT Travaux proposé]]</f>
        <v>#REF!</v>
      </c>
      <c r="S100" t="s">
        <v>291</v>
      </c>
      <c r="T100" s="1"/>
      <c r="U100" s="1"/>
      <c r="V100" s="1"/>
      <c r="W10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0">
        <f>Portefeuille_MNT_PPS_Access30[[#This Row],[Délais PC1 et PC3]]+Portefeuille_MNT_PPS_Access30[[#This Row],[Délais PC3 et PC5]]</f>
        <v>0</v>
      </c>
      <c r="AD100">
        <v>1</v>
      </c>
      <c r="AF100" t="s">
        <v>311</v>
      </c>
      <c r="AG100">
        <v>3</v>
      </c>
      <c r="AH100" s="2">
        <f>_xlfn.XLOOKUP(Portefeuille_MNT_PPS_Access30[[#This Row],[Numéro projet]],Portefeuille_MNT_PPS_Access27[Numéro projet],Portefeuille_MNT_PPS_Access27[Critère Etat Infrastructure])</f>
        <v>5</v>
      </c>
      <c r="AI10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100" s="221"/>
      <c r="AN100"/>
      <c r="AU100">
        <v>50</v>
      </c>
      <c r="AW100">
        <v>100</v>
      </c>
      <c r="AX100"/>
      <c r="AY100">
        <v>200</v>
      </c>
      <c r="AZ100">
        <v>2000</v>
      </c>
      <c r="BK100" s="14">
        <f>SUM(Portefeuille_MNT_PPS_Access30[[#This Row],[AC ANT]:[TR 2035]])</f>
        <v>2350</v>
      </c>
    </row>
    <row r="101" spans="1:63" hidden="1" x14ac:dyDescent="0.3">
      <c r="A101" t="s">
        <v>286</v>
      </c>
      <c r="B101" t="s">
        <v>664</v>
      </c>
      <c r="D101" t="s">
        <v>101</v>
      </c>
      <c r="E101" t="s">
        <v>102</v>
      </c>
      <c r="F101" t="s">
        <v>103</v>
      </c>
      <c r="G101" t="s">
        <v>104</v>
      </c>
      <c r="H101" t="s">
        <v>20</v>
      </c>
      <c r="I101" t="s">
        <v>20</v>
      </c>
      <c r="J101" t="s">
        <v>105</v>
      </c>
      <c r="K101" s="2">
        <v>154190685</v>
      </c>
      <c r="L101" t="s">
        <v>541</v>
      </c>
      <c r="M101" t="s">
        <v>172</v>
      </c>
      <c r="N101" s="227">
        <f>_xlfn.XLOOKUP(Portefeuille_MNT_PPS_Access30[[#This Row],[Numéro projet]], Portefeuille_MNT_PPS_Access20[Numéro projet], Portefeuille_MNT_PPS_Access20[Année DÉBUT Travaux prévu], "")</f>
        <v>2029</v>
      </c>
      <c r="O101" s="229">
        <v>2030</v>
      </c>
      <c r="P101" s="8">
        <f>Portefeuille_MNT_PPS_Access30[[#This Row],[Année DÉBUT Travaux proposé]]-Portefeuille_MNT_PPS_Access30[[#This Row],[Année DÉBUT Travaux prog actuelle]]</f>
        <v>1</v>
      </c>
      <c r="Q101" s="8" t="e">
        <f>_xlfn.XLOOKUP(Portefeuille_MNT_PPS_Access30[[#This Row],[Numéro projet]],#REF!,#REF!, "")</f>
        <v>#REF!</v>
      </c>
      <c r="R101" s="8" t="e">
        <f>Portefeuille_MNT_PPS_Access30[[#This Row],[Année prog actuelle à jour]]-Portefeuille_MNT_PPS_Access30[[#This Row],[Année DÉBUT Travaux proposé]]</f>
        <v>#REF!</v>
      </c>
      <c r="S101" t="s">
        <v>291</v>
      </c>
      <c r="T101" s="1">
        <v>46736</v>
      </c>
      <c r="U101" s="1">
        <v>46736</v>
      </c>
      <c r="V101" s="1">
        <v>47102</v>
      </c>
      <c r="W10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10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10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10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101">
        <f>Portefeuille_MNT_PPS_Access30[[#This Row],[Délais PC1 et PC3]]+Portefeuille_MNT_PPS_Access30[[#This Row],[Délais PC3 et PC5]]</f>
        <v>12</v>
      </c>
      <c r="AD101">
        <v>1</v>
      </c>
      <c r="AF101" t="s">
        <v>311</v>
      </c>
      <c r="AG101">
        <v>3.6666666666666665</v>
      </c>
      <c r="AH101" s="2">
        <f>_xlfn.XLOOKUP(Portefeuille_MNT_PPS_Access30[[#This Row],[Numéro projet]],Portefeuille_MNT_PPS_Access27[Numéro projet],Portefeuille_MNT_PPS_Access27[Critère Etat Infrastructure])</f>
        <v>4</v>
      </c>
      <c r="AI10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43.333333333333329</v>
      </c>
      <c r="AJ101" s="221"/>
      <c r="AN101"/>
      <c r="AU101">
        <v>100</v>
      </c>
      <c r="AW101">
        <v>100</v>
      </c>
      <c r="AX101"/>
      <c r="AY101">
        <v>700</v>
      </c>
      <c r="AZ101">
        <v>15000</v>
      </c>
      <c r="BK101" s="14">
        <f>SUM(Portefeuille_MNT_PPS_Access30[[#This Row],[AC ANT]:[TR 2035]])</f>
        <v>15900</v>
      </c>
    </row>
    <row r="102" spans="1:63" hidden="1" x14ac:dyDescent="0.3">
      <c r="A102" t="s">
        <v>286</v>
      </c>
      <c r="B102" t="s">
        <v>663</v>
      </c>
      <c r="D102" t="s">
        <v>101</v>
      </c>
      <c r="E102" t="s">
        <v>102</v>
      </c>
      <c r="F102" t="s">
        <v>177</v>
      </c>
      <c r="G102" t="s">
        <v>129</v>
      </c>
      <c r="H102" t="s">
        <v>20</v>
      </c>
      <c r="I102" t="s">
        <v>20</v>
      </c>
      <c r="J102" t="s">
        <v>131</v>
      </c>
      <c r="K102" s="2">
        <v>154230631</v>
      </c>
      <c r="L102" s="86" t="s">
        <v>439</v>
      </c>
      <c r="M102" t="s">
        <v>180</v>
      </c>
      <c r="N102" s="227">
        <f>_xlfn.XLOOKUP(Portefeuille_MNT_PPS_Access30[[#This Row],[Numéro projet]], Portefeuille_MNT_PPS_Access20[Numéro projet], Portefeuille_MNT_PPS_Access20[Année DÉBUT Travaux prévu], "")</f>
        <v>2029</v>
      </c>
      <c r="O102" s="229">
        <v>2030</v>
      </c>
      <c r="P102" s="8">
        <f>Portefeuille_MNT_PPS_Access30[[#This Row],[Année DÉBUT Travaux proposé]]-Portefeuille_MNT_PPS_Access30[[#This Row],[Année DÉBUT Travaux prog actuelle]]</f>
        <v>1</v>
      </c>
      <c r="Q102" s="8" t="e">
        <f>_xlfn.XLOOKUP(Portefeuille_MNT_PPS_Access30[[#This Row],[Numéro projet]],#REF!,#REF!, "")</f>
        <v>#REF!</v>
      </c>
      <c r="R102" s="8" t="e">
        <f>Portefeuille_MNT_PPS_Access30[[#This Row],[Année prog actuelle à jour]]-Portefeuille_MNT_PPS_Access30[[#This Row],[Année DÉBUT Travaux proposé]]</f>
        <v>#REF!</v>
      </c>
      <c r="S102" t="s">
        <v>291</v>
      </c>
      <c r="T102" s="1">
        <v>46371</v>
      </c>
      <c r="U102" s="1">
        <v>46736</v>
      </c>
      <c r="V102" s="1">
        <v>47102</v>
      </c>
      <c r="W10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10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10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10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10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102">
        <f>Portefeuille_MNT_PPS_Access30[[#This Row],[Délais PC1 et PC3]]+Portefeuille_MNT_PPS_Access30[[#This Row],[Délais PC3 et PC5]]</f>
        <v>24</v>
      </c>
      <c r="AD102">
        <v>1</v>
      </c>
      <c r="AF102" t="s">
        <v>311</v>
      </c>
      <c r="AG102">
        <v>3.1428571428571428</v>
      </c>
      <c r="AH102" s="2">
        <f>_xlfn.XLOOKUP(Portefeuille_MNT_PPS_Access30[[#This Row],[Numéro projet]],Portefeuille_MNT_PPS_Access27[Numéro projet],Portefeuille_MNT_PPS_Access27[Critère Etat Infrastructure])</f>
        <v>4</v>
      </c>
      <c r="AI10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40.714285714285715</v>
      </c>
      <c r="AJ102" s="221"/>
      <c r="AN102"/>
      <c r="AW102">
        <v>100.00000000000001</v>
      </c>
      <c r="AX102"/>
      <c r="AY102">
        <v>175</v>
      </c>
      <c r="AZ102">
        <v>1500</v>
      </c>
      <c r="BK102" s="14">
        <f>SUM(Portefeuille_MNT_PPS_Access30[[#This Row],[AC ANT]:[TR 2035]])</f>
        <v>1775</v>
      </c>
    </row>
    <row r="103" spans="1:63" hidden="1" x14ac:dyDescent="0.3">
      <c r="A103" t="s">
        <v>286</v>
      </c>
      <c r="B103" t="s">
        <v>662</v>
      </c>
      <c r="D103" t="s">
        <v>118</v>
      </c>
      <c r="E103" t="s">
        <v>102</v>
      </c>
      <c r="F103" t="s">
        <v>177</v>
      </c>
      <c r="H103" t="s">
        <v>20</v>
      </c>
      <c r="I103" t="s">
        <v>20</v>
      </c>
      <c r="J103" t="s">
        <v>131</v>
      </c>
      <c r="K103" s="2">
        <v>154230555</v>
      </c>
      <c r="L103" t="s">
        <v>639</v>
      </c>
      <c r="M103" t="s">
        <v>147</v>
      </c>
      <c r="N103" s="227">
        <f>_xlfn.XLOOKUP(Portefeuille_MNT_PPS_Access30[[#This Row],[Numéro projet]], Portefeuille_MNT_PPS_Access20[Numéro projet], Portefeuille_MNT_PPS_Access20[Année DÉBUT Travaux prévu], "")</f>
        <v>2029</v>
      </c>
      <c r="O103" s="229">
        <v>2030</v>
      </c>
      <c r="P103" s="8">
        <f>Portefeuille_MNT_PPS_Access30[[#This Row],[Année DÉBUT Travaux proposé]]-Portefeuille_MNT_PPS_Access30[[#This Row],[Année DÉBUT Travaux prog actuelle]]</f>
        <v>1</v>
      </c>
      <c r="Q103" s="8" t="e">
        <f>_xlfn.XLOOKUP(Portefeuille_MNT_PPS_Access30[[#This Row],[Numéro projet]],#REF!,#REF!, "")</f>
        <v>#REF!</v>
      </c>
      <c r="R103" s="8" t="e">
        <f>Portefeuille_MNT_PPS_Access30[[#This Row],[Année prog actuelle à jour]]-Portefeuille_MNT_PPS_Access30[[#This Row],[Année DÉBUT Travaux proposé]]</f>
        <v>#REF!</v>
      </c>
      <c r="S103" t="s">
        <v>291</v>
      </c>
      <c r="T103" s="1"/>
      <c r="U103" s="1"/>
      <c r="V103" s="1"/>
      <c r="W10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3">
        <f>Portefeuille_MNT_PPS_Access30[[#This Row],[Délais PC1 et PC3]]+Portefeuille_MNT_PPS_Access30[[#This Row],[Délais PC3 et PC5]]</f>
        <v>0</v>
      </c>
      <c r="AD103">
        <v>1</v>
      </c>
      <c r="AF103" t="s">
        <v>311</v>
      </c>
      <c r="AG103">
        <v>2.6666666666666665</v>
      </c>
      <c r="AH103" s="2">
        <f>_xlfn.XLOOKUP(Portefeuille_MNT_PPS_Access30[[#This Row],[Numéro projet]],Portefeuille_MNT_PPS_Access27[Numéro projet],Portefeuille_MNT_PPS_Access27[Critère Etat Infrastructure])</f>
        <v>3</v>
      </c>
      <c r="AI10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33.333333333333329</v>
      </c>
      <c r="AJ103" s="221"/>
      <c r="AN103"/>
      <c r="AU103">
        <v>50</v>
      </c>
      <c r="AW103">
        <v>50</v>
      </c>
      <c r="AX103"/>
      <c r="AY103">
        <v>100</v>
      </c>
      <c r="AZ103">
        <v>1000</v>
      </c>
      <c r="BK103" s="14">
        <f>SUM(Portefeuille_MNT_PPS_Access30[[#This Row],[AC ANT]:[TR 2035]])</f>
        <v>1200</v>
      </c>
    </row>
    <row r="104" spans="1:63" hidden="1" x14ac:dyDescent="0.3">
      <c r="A104" t="s">
        <v>286</v>
      </c>
      <c r="B104" t="s">
        <v>662</v>
      </c>
      <c r="D104" t="s">
        <v>118</v>
      </c>
      <c r="E104" t="s">
        <v>102</v>
      </c>
      <c r="F104" t="s">
        <v>242</v>
      </c>
      <c r="G104" t="s">
        <v>129</v>
      </c>
      <c r="H104" t="s">
        <v>20</v>
      </c>
      <c r="I104" t="s">
        <v>20</v>
      </c>
      <c r="J104" t="s">
        <v>131</v>
      </c>
      <c r="K104" s="2">
        <v>154210546</v>
      </c>
      <c r="L104" t="s">
        <v>644</v>
      </c>
      <c r="M104" t="s">
        <v>414</v>
      </c>
      <c r="N104">
        <f>_xlfn.XLOOKUP(Portefeuille_MNT_PPS_Access30[[#This Row],[Numéro projet]], Portefeuille_MNT_PPS_Access20[Numéro projet], Portefeuille_MNT_PPS_Access20[Année DÉBUT Travaux prévu], "")</f>
        <v>2030</v>
      </c>
      <c r="O104">
        <v>2030</v>
      </c>
      <c r="P104">
        <f>Portefeuille_MNT_PPS_Access30[[#This Row],[Année DÉBUT Travaux proposé]]-Portefeuille_MNT_PPS_Access30[[#This Row],[Année DÉBUT Travaux prog actuelle]]</f>
        <v>0</v>
      </c>
      <c r="Q104" s="8" t="e">
        <f>_xlfn.XLOOKUP(Portefeuille_MNT_PPS_Access30[[#This Row],[Numéro projet]],#REF!,#REF!, "")</f>
        <v>#REF!</v>
      </c>
      <c r="R104" s="8" t="e">
        <f>Portefeuille_MNT_PPS_Access30[[#This Row],[Année prog actuelle à jour]]-Portefeuille_MNT_PPS_Access30[[#This Row],[Année DÉBUT Travaux proposé]]</f>
        <v>#REF!</v>
      </c>
      <c r="S104" t="s">
        <v>291</v>
      </c>
      <c r="T104" s="1"/>
      <c r="U104" s="1"/>
      <c r="V104" s="1"/>
      <c r="W10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4">
        <f>Portefeuille_MNT_PPS_Access30[[#This Row],[Délais PC1 et PC3]]+Portefeuille_MNT_PPS_Access30[[#This Row],[Délais PC3 et PC5]]</f>
        <v>0</v>
      </c>
      <c r="AD104">
        <v>1</v>
      </c>
      <c r="AF104" t="s">
        <v>311</v>
      </c>
      <c r="AG104">
        <v>1</v>
      </c>
      <c r="AH104" s="2">
        <f>_xlfn.XLOOKUP(Portefeuille_MNT_PPS_Access30[[#This Row],[Numéro projet]],Portefeuille_MNT_PPS_Access27[Numéro projet],Portefeuille_MNT_PPS_Access27[Critère Etat Infrastructure])</f>
        <v>4</v>
      </c>
      <c r="AI10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30</v>
      </c>
      <c r="AJ104" s="221"/>
      <c r="AN104"/>
      <c r="AU104">
        <v>150</v>
      </c>
      <c r="AW104">
        <v>150</v>
      </c>
      <c r="AX104"/>
      <c r="AY104">
        <v>250</v>
      </c>
      <c r="AZ104">
        <v>2000</v>
      </c>
      <c r="BK104" s="14">
        <f>SUM(Portefeuille_MNT_PPS_Access30[[#This Row],[AC ANT]:[TR 2035]])</f>
        <v>2550</v>
      </c>
    </row>
    <row r="105" spans="1:63" hidden="1" x14ac:dyDescent="0.3">
      <c r="A105" t="s">
        <v>286</v>
      </c>
      <c r="B105" t="s">
        <v>662</v>
      </c>
      <c r="D105" t="s">
        <v>118</v>
      </c>
      <c r="E105" t="s">
        <v>102</v>
      </c>
      <c r="F105" t="s">
        <v>242</v>
      </c>
      <c r="H105" t="s">
        <v>20</v>
      </c>
      <c r="I105" t="s">
        <v>20</v>
      </c>
      <c r="J105" t="s">
        <v>131</v>
      </c>
      <c r="K105" s="2">
        <v>154250476</v>
      </c>
      <c r="L105" t="s">
        <v>686</v>
      </c>
      <c r="M105" t="s">
        <v>687</v>
      </c>
      <c r="N105" t="str">
        <f>_xlfn.XLOOKUP(Portefeuille_MNT_PPS_Access30[[#This Row],[Numéro projet]], Portefeuille_MNT_PPS_Access20[Numéro projet], Portefeuille_MNT_PPS_Access20[Année DÉBUT Travaux prévu], "")</f>
        <v/>
      </c>
      <c r="O105" s="8">
        <v>2030</v>
      </c>
      <c r="P105" s="8" t="e">
        <f>Portefeuille_MNT_PPS_Access30[[#This Row],[Année DÉBUT Travaux proposé]]-Portefeuille_MNT_PPS_Access30[[#This Row],[Année DÉBUT Travaux prog actuelle]]</f>
        <v>#VALUE!</v>
      </c>
      <c r="Q105" s="8" t="e">
        <f>_xlfn.XLOOKUP(Portefeuille_MNT_PPS_Access30[[#This Row],[Numéro projet]],#REF!,#REF!, "")</f>
        <v>#REF!</v>
      </c>
      <c r="R105" s="8" t="e">
        <f>Portefeuille_MNT_PPS_Access30[[#This Row],[Année prog actuelle à jour]]-Portefeuille_MNT_PPS_Access30[[#This Row],[Année DÉBUT Travaux proposé]]</f>
        <v>#REF!</v>
      </c>
      <c r="T105" s="1"/>
      <c r="U105" s="1"/>
      <c r="V105" s="1"/>
      <c r="W10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5">
        <f>Portefeuille_MNT_PPS_Access30[[#This Row],[Délais PC1 et PC3]]+Portefeuille_MNT_PPS_Access30[[#This Row],[Délais PC3 et PC5]]</f>
        <v>0</v>
      </c>
      <c r="AD105">
        <v>1</v>
      </c>
      <c r="AG105">
        <v>1.6666666666666667</v>
      </c>
      <c r="AH105" s="2">
        <f>_xlfn.XLOOKUP(Portefeuille_MNT_PPS_Access30[[#This Row],[Numéro projet]],Portefeuille_MNT_PPS_Access27[Numéro projet],Portefeuille_MNT_PPS_Access27[Critère Etat Infrastructure])</f>
        <v>3</v>
      </c>
      <c r="AI10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28.333333333333332</v>
      </c>
      <c r="AJ105" s="221"/>
      <c r="AN105"/>
      <c r="AU105">
        <v>50</v>
      </c>
      <c r="AW105">
        <v>100</v>
      </c>
      <c r="AX105"/>
      <c r="AY105">
        <v>200</v>
      </c>
      <c r="AZ105">
        <v>1500</v>
      </c>
      <c r="BK105" s="14">
        <f>SUM(Portefeuille_MNT_PPS_Access30[[#This Row],[AC ANT]:[TR 2035]])</f>
        <v>1850</v>
      </c>
    </row>
    <row r="106" spans="1:63" hidden="1" x14ac:dyDescent="0.3">
      <c r="A106" t="s">
        <v>286</v>
      </c>
      <c r="B106" t="s">
        <v>663</v>
      </c>
      <c r="D106" t="s">
        <v>101</v>
      </c>
      <c r="E106" t="s">
        <v>102</v>
      </c>
      <c r="F106" t="s">
        <v>136</v>
      </c>
      <c r="G106" t="s">
        <v>104</v>
      </c>
      <c r="H106" t="s">
        <v>20</v>
      </c>
      <c r="I106" t="s">
        <v>20</v>
      </c>
      <c r="J106" t="s">
        <v>105</v>
      </c>
      <c r="K106" s="2">
        <v>154160749</v>
      </c>
      <c r="L106" t="s">
        <v>369</v>
      </c>
      <c r="M106" t="s">
        <v>217</v>
      </c>
      <c r="N106">
        <f>_xlfn.XLOOKUP(Portefeuille_MNT_PPS_Access30[[#This Row],[Numéro projet]], Portefeuille_MNT_PPS_Access20[Numéro projet], Portefeuille_MNT_PPS_Access20[Année DÉBUT Travaux prévu], "")</f>
        <v>2031</v>
      </c>
      <c r="O106" s="8">
        <v>2031</v>
      </c>
      <c r="P106" s="2">
        <f>Portefeuille_MNT_PPS_Access30[[#This Row],[Année DÉBUT Travaux proposé]]-Portefeuille_MNT_PPS_Access30[[#This Row],[Année DÉBUT Travaux prog actuelle]]</f>
        <v>0</v>
      </c>
      <c r="Q106" s="8" t="e">
        <f>_xlfn.XLOOKUP(Portefeuille_MNT_PPS_Access30[[#This Row],[Numéro projet]],#REF!,#REF!, "")</f>
        <v>#REF!</v>
      </c>
      <c r="R106" s="8" t="e">
        <f>Portefeuille_MNT_PPS_Access30[[#This Row],[Année prog actuelle à jour]]-Portefeuille_MNT_PPS_Access30[[#This Row],[Année DÉBUT Travaux proposé]]</f>
        <v>#REF!</v>
      </c>
      <c r="S106" t="s">
        <v>291</v>
      </c>
      <c r="T106" s="1"/>
      <c r="U106" s="1"/>
      <c r="V106" s="1"/>
      <c r="W10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6">
        <f>Portefeuille_MNT_PPS_Access30[[#This Row],[Délais PC1 et PC3]]+Portefeuille_MNT_PPS_Access30[[#This Row],[Délais PC3 et PC5]]</f>
        <v>0</v>
      </c>
      <c r="AD106">
        <v>1</v>
      </c>
      <c r="AF106" t="s">
        <v>311</v>
      </c>
      <c r="AG106">
        <v>2.6666666666666665</v>
      </c>
      <c r="AH106" s="2">
        <f>_xlfn.XLOOKUP(Portefeuille_MNT_PPS_Access30[[#This Row],[Numéro projet]],Portefeuille_MNT_PPS_Access27[Numéro projet],Portefeuille_MNT_PPS_Access27[Critère Etat Infrastructure])</f>
        <v>4</v>
      </c>
      <c r="AI10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38.333333333333336</v>
      </c>
      <c r="AJ106" s="221"/>
      <c r="AN106"/>
      <c r="AS106">
        <v>250</v>
      </c>
      <c r="AU106">
        <v>250</v>
      </c>
      <c r="AW106">
        <v>200</v>
      </c>
      <c r="AX106"/>
      <c r="AY106">
        <v>200</v>
      </c>
      <c r="BA106">
        <v>500</v>
      </c>
      <c r="BB106">
        <v>5700</v>
      </c>
      <c r="BC106">
        <v>500</v>
      </c>
      <c r="BD106">
        <v>5500</v>
      </c>
      <c r="BE106">
        <v>500</v>
      </c>
      <c r="BF106">
        <v>6700</v>
      </c>
      <c r="BK106" s="14">
        <f>SUM(Portefeuille_MNT_PPS_Access30[[#This Row],[AC ANT]:[TR 2035]])</f>
        <v>20300</v>
      </c>
    </row>
    <row r="107" spans="1:63" hidden="1" x14ac:dyDescent="0.3">
      <c r="A107" t="s">
        <v>286</v>
      </c>
      <c r="B107" t="s">
        <v>295</v>
      </c>
      <c r="D107" t="s">
        <v>126</v>
      </c>
      <c r="E107" t="s">
        <v>127</v>
      </c>
      <c r="F107" t="s">
        <v>103</v>
      </c>
      <c r="G107" t="s">
        <v>140</v>
      </c>
      <c r="H107" t="s">
        <v>20</v>
      </c>
      <c r="I107" t="s">
        <v>20</v>
      </c>
      <c r="J107" t="s">
        <v>105</v>
      </c>
      <c r="K107" s="2">
        <v>154220338</v>
      </c>
      <c r="L107" t="s">
        <v>636</v>
      </c>
      <c r="M107" t="s">
        <v>143</v>
      </c>
      <c r="N107" t="str">
        <f>_xlfn.XLOOKUP(Portefeuille_MNT_PPS_Access30[[#This Row],[Numéro projet]], Portefeuille_MNT_PPS_Access20[Numéro projet], Portefeuille_MNT_PPS_Access20[Année DÉBUT Travaux prévu], "")</f>
        <v/>
      </c>
      <c r="O107" s="8">
        <v>2031</v>
      </c>
      <c r="P107" s="8" t="e">
        <f>Portefeuille_MNT_PPS_Access30[[#This Row],[Année DÉBUT Travaux proposé]]-Portefeuille_MNT_PPS_Access30[[#This Row],[Année DÉBUT Travaux prog actuelle]]</f>
        <v>#VALUE!</v>
      </c>
      <c r="Q107" s="8" t="e">
        <f>_xlfn.XLOOKUP(Portefeuille_MNT_PPS_Access30[[#This Row],[Numéro projet]],#REF!,#REF!, "")</f>
        <v>#REF!</v>
      </c>
      <c r="R107" s="8" t="e">
        <f>Portefeuille_MNT_PPS_Access30[[#This Row],[Année prog actuelle à jour]]-Portefeuille_MNT_PPS_Access30[[#This Row],[Année DÉBUT Travaux proposé]]</f>
        <v>#REF!</v>
      </c>
      <c r="S107" t="s">
        <v>155</v>
      </c>
      <c r="T107" s="1">
        <v>46266</v>
      </c>
      <c r="U107" s="1">
        <v>46631</v>
      </c>
      <c r="V107" s="1">
        <v>46997</v>
      </c>
      <c r="W10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5.Respect OPC</v>
      </c>
      <c r="X10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5.Respect OPC</v>
      </c>
      <c r="Y10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5.Respect OPC</v>
      </c>
      <c r="Z10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10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12</v>
      </c>
      <c r="AB107">
        <f>Portefeuille_MNT_PPS_Access30[[#This Row],[Délais PC1 et PC3]]+Portefeuille_MNT_PPS_Access30[[#This Row],[Délais PC3 et PC5]]</f>
        <v>24</v>
      </c>
      <c r="AD107">
        <v>1</v>
      </c>
      <c r="AF107" t="s">
        <v>156</v>
      </c>
      <c r="AG107">
        <v>4.333333333333333</v>
      </c>
      <c r="AH107" s="2">
        <f>_xlfn.XLOOKUP(Portefeuille_MNT_PPS_Access30[[#This Row],[Numéro projet]],Portefeuille_MNT_PPS_Access27[Numéro projet],Portefeuille_MNT_PPS_Access27[Critère Etat Infrastructure])</f>
        <v>3</v>
      </c>
      <c r="AI10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107" s="221"/>
      <c r="AN107"/>
      <c r="AU107">
        <v>375</v>
      </c>
      <c r="AW107">
        <v>375</v>
      </c>
      <c r="AX107"/>
      <c r="AY107">
        <v>750</v>
      </c>
      <c r="BA107">
        <v>875</v>
      </c>
      <c r="BB107">
        <v>10000</v>
      </c>
      <c r="BC107">
        <v>1250</v>
      </c>
      <c r="BD107">
        <v>25000</v>
      </c>
      <c r="BE107">
        <v>500</v>
      </c>
      <c r="BF107">
        <v>17000</v>
      </c>
      <c r="BG107">
        <v>1000</v>
      </c>
      <c r="BH107">
        <v>59000</v>
      </c>
      <c r="BK107" s="14">
        <f>SUM(Portefeuille_MNT_PPS_Access30[[#This Row],[AC ANT]:[TR 2035]])</f>
        <v>116125</v>
      </c>
    </row>
    <row r="108" spans="1:63" hidden="1" x14ac:dyDescent="0.3">
      <c r="A108" t="s">
        <v>286</v>
      </c>
      <c r="B108" t="s">
        <v>662</v>
      </c>
      <c r="D108" t="s">
        <v>118</v>
      </c>
      <c r="E108" t="s">
        <v>102</v>
      </c>
      <c r="F108" t="s">
        <v>136</v>
      </c>
      <c r="G108" t="s">
        <v>104</v>
      </c>
      <c r="H108" t="s">
        <v>130</v>
      </c>
      <c r="I108" t="s">
        <v>20</v>
      </c>
      <c r="J108" t="s">
        <v>105</v>
      </c>
      <c r="K108" s="2">
        <v>154061990</v>
      </c>
      <c r="L108" t="s">
        <v>365</v>
      </c>
      <c r="M108" t="s">
        <v>205</v>
      </c>
      <c r="N108" s="227">
        <f>_xlfn.XLOOKUP(Portefeuille_MNT_PPS_Access30[[#This Row],[Numéro projet]], Portefeuille_MNT_PPS_Access20[Numéro projet], Portefeuille_MNT_PPS_Access20[Année DÉBUT Travaux prévu], "")</f>
        <v>2030</v>
      </c>
      <c r="O108" s="229">
        <v>2031</v>
      </c>
      <c r="P108" s="8">
        <f>Portefeuille_MNT_PPS_Access30[[#This Row],[Année DÉBUT Travaux proposé]]-Portefeuille_MNT_PPS_Access30[[#This Row],[Année DÉBUT Travaux prog actuelle]]</f>
        <v>1</v>
      </c>
      <c r="Q108" s="8" t="e">
        <f>_xlfn.XLOOKUP(Portefeuille_MNT_PPS_Access30[[#This Row],[Numéro projet]],#REF!,#REF!, "")</f>
        <v>#REF!</v>
      </c>
      <c r="R108" s="8" t="e">
        <f>Portefeuille_MNT_PPS_Access30[[#This Row],[Année prog actuelle à jour]]-Portefeuille_MNT_PPS_Access30[[#This Row],[Année DÉBUT Travaux proposé]]</f>
        <v>#REF!</v>
      </c>
      <c r="S108" t="s">
        <v>291</v>
      </c>
      <c r="T108" s="1"/>
      <c r="U108" s="1"/>
      <c r="V108" s="1"/>
      <c r="W10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8">
        <f>Portefeuille_MNT_PPS_Access30[[#This Row],[Délais PC1 et PC3]]+Portefeuille_MNT_PPS_Access30[[#This Row],[Délais PC3 et PC5]]</f>
        <v>0</v>
      </c>
      <c r="AD108">
        <v>1</v>
      </c>
      <c r="AF108" t="s">
        <v>311</v>
      </c>
      <c r="AG108">
        <v>3</v>
      </c>
      <c r="AH108" s="2">
        <f>_xlfn.XLOOKUP(Portefeuille_MNT_PPS_Access30[[#This Row],[Numéro projet]],Portefeuille_MNT_PPS_Access27[Numéro projet],Portefeuille_MNT_PPS_Access27[Critère Etat Infrastructure])</f>
        <v>4</v>
      </c>
      <c r="AI10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108" s="221"/>
      <c r="AN108"/>
      <c r="AU108">
        <v>200</v>
      </c>
      <c r="AW108">
        <v>200</v>
      </c>
      <c r="AX108"/>
      <c r="AY108">
        <v>400</v>
      </c>
      <c r="BA108">
        <v>400</v>
      </c>
      <c r="BB108">
        <v>4500</v>
      </c>
      <c r="BC108">
        <v>400</v>
      </c>
      <c r="BD108">
        <v>7000</v>
      </c>
      <c r="BE108">
        <v>400</v>
      </c>
      <c r="BF108">
        <v>7000</v>
      </c>
      <c r="BK108" s="14">
        <f>SUM(Portefeuille_MNT_PPS_Access30[[#This Row],[AC ANT]:[TR 2035]])</f>
        <v>20500</v>
      </c>
    </row>
    <row r="109" spans="1:63" hidden="1" x14ac:dyDescent="0.3">
      <c r="A109" t="s">
        <v>286</v>
      </c>
      <c r="B109" t="s">
        <v>662</v>
      </c>
      <c r="D109" t="s">
        <v>118</v>
      </c>
      <c r="E109" t="s">
        <v>102</v>
      </c>
      <c r="F109" t="s">
        <v>103</v>
      </c>
      <c r="H109" t="s">
        <v>20</v>
      </c>
      <c r="I109" t="s">
        <v>20</v>
      </c>
      <c r="J109" t="s">
        <v>131</v>
      </c>
      <c r="K109" s="2">
        <v>154171401</v>
      </c>
      <c r="L109" t="s">
        <v>372</v>
      </c>
      <c r="M109" t="s">
        <v>152</v>
      </c>
      <c r="N109" s="227">
        <f>_xlfn.XLOOKUP(Portefeuille_MNT_PPS_Access30[[#This Row],[Numéro projet]], Portefeuille_MNT_PPS_Access20[Numéro projet], Portefeuille_MNT_PPS_Access20[Année DÉBUT Travaux prévu], "")</f>
        <v>2030</v>
      </c>
      <c r="O109" s="229">
        <v>2031</v>
      </c>
      <c r="P109" s="8">
        <f>Portefeuille_MNT_PPS_Access30[[#This Row],[Année DÉBUT Travaux proposé]]-Portefeuille_MNT_PPS_Access30[[#This Row],[Année DÉBUT Travaux prog actuelle]]</f>
        <v>1</v>
      </c>
      <c r="Q109" s="8" t="e">
        <f>_xlfn.XLOOKUP(Portefeuille_MNT_PPS_Access30[[#This Row],[Numéro projet]],#REF!,#REF!, "")</f>
        <v>#REF!</v>
      </c>
      <c r="R109" s="8" t="e">
        <f>Portefeuille_MNT_PPS_Access30[[#This Row],[Année prog actuelle à jour]]-Portefeuille_MNT_PPS_Access30[[#This Row],[Année DÉBUT Travaux proposé]]</f>
        <v>#REF!</v>
      </c>
      <c r="S109" t="s">
        <v>291</v>
      </c>
      <c r="T109" s="1"/>
      <c r="U109" s="1"/>
      <c r="V109" s="1"/>
      <c r="W10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0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0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0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0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09">
        <f>Portefeuille_MNT_PPS_Access30[[#This Row],[Délais PC1 et PC3]]+Portefeuille_MNT_PPS_Access30[[#This Row],[Délais PC3 et PC5]]</f>
        <v>0</v>
      </c>
      <c r="AD109">
        <v>1</v>
      </c>
      <c r="AF109" t="s">
        <v>311</v>
      </c>
      <c r="AG109">
        <v>3.3333333333333335</v>
      </c>
      <c r="AH109" s="2">
        <f>_xlfn.XLOOKUP(Portefeuille_MNT_PPS_Access30[[#This Row],[Numéro projet]],Portefeuille_MNT_PPS_Access27[Numéro projet],Portefeuille_MNT_PPS_Access27[Critère Etat Infrastructure])</f>
        <v>4</v>
      </c>
      <c r="AI10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41.666666666666671</v>
      </c>
      <c r="AJ109" s="221"/>
      <c r="AN109"/>
      <c r="AW109">
        <v>100</v>
      </c>
      <c r="AX109"/>
      <c r="AY109">
        <v>200</v>
      </c>
      <c r="BA109">
        <v>450</v>
      </c>
      <c r="BB109">
        <v>7500</v>
      </c>
      <c r="BK109" s="14">
        <f>SUM(Portefeuille_MNT_PPS_Access30[[#This Row],[AC ANT]:[TR 2035]])</f>
        <v>8250</v>
      </c>
    </row>
    <row r="110" spans="1:63" hidden="1" x14ac:dyDescent="0.3">
      <c r="A110" t="s">
        <v>286</v>
      </c>
      <c r="B110" t="s">
        <v>664</v>
      </c>
      <c r="D110" t="s">
        <v>101</v>
      </c>
      <c r="E110" t="s">
        <v>102</v>
      </c>
      <c r="F110" t="s">
        <v>389</v>
      </c>
      <c r="H110" t="s">
        <v>20</v>
      </c>
      <c r="I110" t="s">
        <v>20</v>
      </c>
      <c r="J110" t="s">
        <v>105</v>
      </c>
      <c r="K110" s="2">
        <v>154220360</v>
      </c>
      <c r="L110" t="s">
        <v>433</v>
      </c>
      <c r="M110" t="s">
        <v>143</v>
      </c>
      <c r="N110">
        <f>_xlfn.XLOOKUP(Portefeuille_MNT_PPS_Access30[[#This Row],[Numéro projet]], Portefeuille_MNT_PPS_Access20[Numéro projet], Portefeuille_MNT_PPS_Access20[Année DÉBUT Travaux prévu], "")</f>
        <v>2031</v>
      </c>
      <c r="O110">
        <v>2031</v>
      </c>
      <c r="P110">
        <f>Portefeuille_MNT_PPS_Access30[[#This Row],[Année DÉBUT Travaux proposé]]-Portefeuille_MNT_PPS_Access30[[#This Row],[Année DÉBUT Travaux prog actuelle]]</f>
        <v>0</v>
      </c>
      <c r="Q110" s="8" t="e">
        <f>_xlfn.XLOOKUP(Portefeuille_MNT_PPS_Access30[[#This Row],[Numéro projet]],#REF!,#REF!, "")</f>
        <v>#REF!</v>
      </c>
      <c r="R110" s="8" t="e">
        <f>Portefeuille_MNT_PPS_Access30[[#This Row],[Année prog actuelle à jour]]-Portefeuille_MNT_PPS_Access30[[#This Row],[Année DÉBUT Travaux proposé]]</f>
        <v>#REF!</v>
      </c>
      <c r="S110" t="s">
        <v>291</v>
      </c>
      <c r="T110" s="1"/>
      <c r="U110" s="1"/>
      <c r="V110" s="1"/>
      <c r="W11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0">
        <f>Portefeuille_MNT_PPS_Access30[[#This Row],[Délais PC1 et PC3]]+Portefeuille_MNT_PPS_Access30[[#This Row],[Délais PC3 et PC5]]</f>
        <v>0</v>
      </c>
      <c r="AD110">
        <v>1</v>
      </c>
      <c r="AF110" t="s">
        <v>311</v>
      </c>
      <c r="AG110">
        <v>4.333333333333333</v>
      </c>
      <c r="AH110" s="2">
        <f>_xlfn.XLOOKUP(Portefeuille_MNT_PPS_Access30[[#This Row],[Numéro projet]],Portefeuille_MNT_PPS_Access27[Numéro projet],Portefeuille_MNT_PPS_Access27[Critère Etat Infrastructure])</f>
        <v>4</v>
      </c>
      <c r="AI11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46.666666666666664</v>
      </c>
      <c r="AJ110" s="221"/>
      <c r="AN110"/>
      <c r="AX110"/>
      <c r="AY110">
        <v>100</v>
      </c>
      <c r="BA110">
        <v>200</v>
      </c>
      <c r="BB110">
        <v>5000</v>
      </c>
      <c r="BK110" s="14">
        <f>SUM(Portefeuille_MNT_PPS_Access30[[#This Row],[AC ANT]:[TR 2035]])</f>
        <v>5300</v>
      </c>
    </row>
    <row r="111" spans="1:63" hidden="1" x14ac:dyDescent="0.3">
      <c r="A111" t="s">
        <v>286</v>
      </c>
      <c r="B111" t="s">
        <v>664</v>
      </c>
      <c r="D111" t="s">
        <v>101</v>
      </c>
      <c r="E111" t="s">
        <v>102</v>
      </c>
      <c r="F111" t="s">
        <v>103</v>
      </c>
      <c r="H111" t="s">
        <v>20</v>
      </c>
      <c r="I111" t="s">
        <v>20</v>
      </c>
      <c r="J111" t="s">
        <v>105</v>
      </c>
      <c r="K111" s="2">
        <v>154240284</v>
      </c>
      <c r="L111" s="86" t="s">
        <v>666</v>
      </c>
      <c r="M111" t="s">
        <v>302</v>
      </c>
      <c r="N111">
        <f>_xlfn.XLOOKUP(Portefeuille_MNT_PPS_Access30[[#This Row],[Numéro projet]], Portefeuille_MNT_PPS_Access20[Numéro projet], Portefeuille_MNT_PPS_Access20[Année DÉBUT Travaux prévu], "")</f>
        <v>2032</v>
      </c>
      <c r="O111" s="8">
        <v>2032</v>
      </c>
      <c r="P111" s="8">
        <f>Portefeuille_MNT_PPS_Access30[[#This Row],[Année DÉBUT Travaux proposé]]-Portefeuille_MNT_PPS_Access30[[#This Row],[Année DÉBUT Travaux prog actuelle]]</f>
        <v>0</v>
      </c>
      <c r="Q111" s="8" t="e">
        <f>_xlfn.XLOOKUP(Portefeuille_MNT_PPS_Access30[[#This Row],[Numéro projet]],#REF!,#REF!, "")</f>
        <v>#REF!</v>
      </c>
      <c r="R111" s="8" t="e">
        <f>Portefeuille_MNT_PPS_Access30[[#This Row],[Année prog actuelle à jour]]-Portefeuille_MNT_PPS_Access30[[#This Row],[Année DÉBUT Travaux proposé]]</f>
        <v>#REF!</v>
      </c>
      <c r="S111" t="s">
        <v>291</v>
      </c>
      <c r="T111" s="1"/>
      <c r="U111" s="1"/>
      <c r="V111" s="1"/>
      <c r="W11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1">
        <f>Portefeuille_MNT_PPS_Access30[[#This Row],[Délais PC1 et PC3]]+Portefeuille_MNT_PPS_Access30[[#This Row],[Délais PC3 et PC5]]</f>
        <v>0</v>
      </c>
      <c r="AD111">
        <v>1</v>
      </c>
      <c r="AF111" t="s">
        <v>311</v>
      </c>
      <c r="AG111">
        <v>4</v>
      </c>
      <c r="AH111" s="2">
        <f>_xlfn.XLOOKUP(Portefeuille_MNT_PPS_Access30[[#This Row],[Numéro projet]],Portefeuille_MNT_PPS_Access27[Numéro projet],Portefeuille_MNT_PPS_Access27[Critère Etat Infrastructure])</f>
        <v>5</v>
      </c>
      <c r="AI11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50</v>
      </c>
      <c r="AJ111" s="221"/>
      <c r="AN111"/>
      <c r="AY111">
        <v>150</v>
      </c>
      <c r="BA111">
        <v>150</v>
      </c>
      <c r="BC111">
        <v>600</v>
      </c>
      <c r="BD111">
        <v>12000</v>
      </c>
      <c r="BK111" s="14">
        <f>SUM(Portefeuille_MNT_PPS_Access30[[#This Row],[AC ANT]:[TR 2035]])</f>
        <v>12900</v>
      </c>
    </row>
    <row r="112" spans="1:63" hidden="1" x14ac:dyDescent="0.3">
      <c r="A112" t="s">
        <v>286</v>
      </c>
      <c r="B112" t="s">
        <v>663</v>
      </c>
      <c r="D112" t="s">
        <v>101</v>
      </c>
      <c r="E112" t="s">
        <v>102</v>
      </c>
      <c r="F112" t="s">
        <v>136</v>
      </c>
      <c r="H112" t="s">
        <v>20</v>
      </c>
      <c r="I112" t="s">
        <v>20</v>
      </c>
      <c r="J112" t="s">
        <v>105</v>
      </c>
      <c r="K112" s="2">
        <v>154240501</v>
      </c>
      <c r="L112" t="s">
        <v>455</v>
      </c>
      <c r="M112" t="s">
        <v>143</v>
      </c>
      <c r="N112" s="227">
        <f>_xlfn.XLOOKUP(Portefeuille_MNT_PPS_Access30[[#This Row],[Numéro projet]], Portefeuille_MNT_PPS_Access20[Numéro projet], Portefeuille_MNT_PPS_Access20[Année DÉBUT Travaux prévu], "")</f>
        <v>2031</v>
      </c>
      <c r="O112" s="229">
        <v>2032</v>
      </c>
      <c r="P112" s="8">
        <f>Portefeuille_MNT_PPS_Access30[[#This Row],[Année DÉBUT Travaux proposé]]-Portefeuille_MNT_PPS_Access30[[#This Row],[Année DÉBUT Travaux prog actuelle]]</f>
        <v>1</v>
      </c>
      <c r="Q112" s="8" t="e">
        <f>_xlfn.XLOOKUP(Portefeuille_MNT_PPS_Access30[[#This Row],[Numéro projet]],#REF!,#REF!, "")</f>
        <v>#REF!</v>
      </c>
      <c r="R112" s="8" t="e">
        <f>Portefeuille_MNT_PPS_Access30[[#This Row],[Année prog actuelle à jour]]-Portefeuille_MNT_PPS_Access30[[#This Row],[Année DÉBUT Travaux proposé]]</f>
        <v>#REF!</v>
      </c>
      <c r="S112" t="s">
        <v>291</v>
      </c>
      <c r="T112" s="1"/>
      <c r="U112" s="1"/>
      <c r="V112" s="1"/>
      <c r="W11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2">
        <f>Portefeuille_MNT_PPS_Access30[[#This Row],[Délais PC1 et PC3]]+Portefeuille_MNT_PPS_Access30[[#This Row],[Délais PC3 et PC5]]</f>
        <v>0</v>
      </c>
      <c r="AD112">
        <v>1</v>
      </c>
      <c r="AF112" t="s">
        <v>311</v>
      </c>
      <c r="AG112">
        <v>4.333333333333333</v>
      </c>
      <c r="AH112" s="2">
        <f>_xlfn.XLOOKUP(Portefeuille_MNT_PPS_Access30[[#This Row],[Numéro projet]],Portefeuille_MNT_PPS_Access27[Numéro projet],Portefeuille_MNT_PPS_Access27[Critère Etat Infrastructure])</f>
        <v>3</v>
      </c>
      <c r="AI11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41.666666666666664</v>
      </c>
      <c r="AJ112" s="221"/>
      <c r="AN112"/>
      <c r="AW112">
        <v>150</v>
      </c>
      <c r="AX112"/>
      <c r="AY112">
        <v>150</v>
      </c>
      <c r="BA112">
        <v>500</v>
      </c>
      <c r="BC112">
        <v>500</v>
      </c>
      <c r="BD112">
        <v>5000</v>
      </c>
      <c r="BE112">
        <v>500</v>
      </c>
      <c r="BF112">
        <v>5000</v>
      </c>
      <c r="BK112" s="14">
        <f>SUM(Portefeuille_MNT_PPS_Access30[[#This Row],[AC ANT]:[TR 2035]])</f>
        <v>11800</v>
      </c>
    </row>
    <row r="113" spans="1:63" hidden="1" x14ac:dyDescent="0.3">
      <c r="A113" t="s">
        <v>286</v>
      </c>
      <c r="B113" t="s">
        <v>662</v>
      </c>
      <c r="D113" t="s">
        <v>118</v>
      </c>
      <c r="E113" t="s">
        <v>102</v>
      </c>
      <c r="F113" t="s">
        <v>136</v>
      </c>
      <c r="H113" t="s">
        <v>20</v>
      </c>
      <c r="I113" t="s">
        <v>20</v>
      </c>
      <c r="J113" t="s">
        <v>131</v>
      </c>
      <c r="K113" s="2">
        <v>154240509</v>
      </c>
      <c r="L113" t="s">
        <v>471</v>
      </c>
      <c r="M113" t="s">
        <v>191</v>
      </c>
      <c r="N113" s="227">
        <f>_xlfn.XLOOKUP(Portefeuille_MNT_PPS_Access30[[#This Row],[Numéro projet]], Portefeuille_MNT_PPS_Access20[Numéro projet], Portefeuille_MNT_PPS_Access20[Année DÉBUT Travaux prévu], "")</f>
        <v>2031</v>
      </c>
      <c r="O113" s="229">
        <v>2032</v>
      </c>
      <c r="P113" s="8">
        <f>Portefeuille_MNT_PPS_Access30[[#This Row],[Année DÉBUT Travaux proposé]]-Portefeuille_MNT_PPS_Access30[[#This Row],[Année DÉBUT Travaux prog actuelle]]</f>
        <v>1</v>
      </c>
      <c r="Q113" s="8" t="e">
        <f>_xlfn.XLOOKUP(Portefeuille_MNT_PPS_Access30[[#This Row],[Numéro projet]],#REF!,#REF!, "")</f>
        <v>#REF!</v>
      </c>
      <c r="R113" s="8" t="e">
        <f>Portefeuille_MNT_PPS_Access30[[#This Row],[Année prog actuelle à jour]]-Portefeuille_MNT_PPS_Access30[[#This Row],[Année DÉBUT Travaux proposé]]</f>
        <v>#REF!</v>
      </c>
      <c r="S113" t="s">
        <v>291</v>
      </c>
      <c r="T113" s="1"/>
      <c r="U113" s="1"/>
      <c r="V113" s="1"/>
      <c r="W11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3">
        <f>Portefeuille_MNT_PPS_Access30[[#This Row],[Délais PC1 et PC3]]+Portefeuille_MNT_PPS_Access30[[#This Row],[Délais PC3 et PC5]]</f>
        <v>0</v>
      </c>
      <c r="AD113">
        <v>1</v>
      </c>
      <c r="AF113" t="s">
        <v>311</v>
      </c>
      <c r="AG113">
        <v>1.6666666666666667</v>
      </c>
      <c r="AH113" s="2">
        <f>_xlfn.XLOOKUP(Portefeuille_MNT_PPS_Access30[[#This Row],[Numéro projet]],Portefeuille_MNT_PPS_Access27[Numéro projet],Portefeuille_MNT_PPS_Access27[Critère Etat Infrastructure])</f>
        <v>4</v>
      </c>
      <c r="AI11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33.333333333333329</v>
      </c>
      <c r="AJ113" s="221"/>
      <c r="AN113"/>
      <c r="AW113">
        <v>100</v>
      </c>
      <c r="AX113"/>
      <c r="AY113">
        <v>100</v>
      </c>
      <c r="BA113">
        <v>200</v>
      </c>
      <c r="BC113">
        <v>500</v>
      </c>
      <c r="BD113">
        <v>3000</v>
      </c>
      <c r="BE113">
        <v>500</v>
      </c>
      <c r="BF113">
        <v>3000</v>
      </c>
      <c r="BK113" s="14">
        <f>SUM(Portefeuille_MNT_PPS_Access30[[#This Row],[AC ANT]:[TR 2035]])</f>
        <v>7400</v>
      </c>
    </row>
    <row r="114" spans="1:63" hidden="1" x14ac:dyDescent="0.3">
      <c r="A114" t="s">
        <v>286</v>
      </c>
      <c r="B114" t="s">
        <v>662</v>
      </c>
      <c r="D114" t="s">
        <v>118</v>
      </c>
      <c r="E114" t="s">
        <v>102</v>
      </c>
      <c r="F114" t="s">
        <v>103</v>
      </c>
      <c r="H114" t="s">
        <v>20</v>
      </c>
      <c r="I114" t="s">
        <v>20</v>
      </c>
      <c r="J114" t="s">
        <v>131</v>
      </c>
      <c r="K114" s="2">
        <v>154220352</v>
      </c>
      <c r="L114" t="s">
        <v>530</v>
      </c>
      <c r="M114" t="s">
        <v>420</v>
      </c>
      <c r="N114">
        <f>_xlfn.XLOOKUP(Portefeuille_MNT_PPS_Access30[[#This Row],[Numéro projet]], Portefeuille_MNT_PPS_Access20[Numéro projet], Portefeuille_MNT_PPS_Access20[Année DÉBUT Travaux prévu], "")</f>
        <v>2032</v>
      </c>
      <c r="O114">
        <v>2032</v>
      </c>
      <c r="P114">
        <f>Portefeuille_MNT_PPS_Access30[[#This Row],[Année DÉBUT Travaux proposé]]-Portefeuille_MNT_PPS_Access30[[#This Row],[Année DÉBUT Travaux prog actuelle]]</f>
        <v>0</v>
      </c>
      <c r="Q114" s="8" t="e">
        <f>_xlfn.XLOOKUP(Portefeuille_MNT_PPS_Access30[[#This Row],[Numéro projet]],#REF!,#REF!, "")</f>
        <v>#REF!</v>
      </c>
      <c r="R114" s="8" t="e">
        <f>Portefeuille_MNT_PPS_Access30[[#This Row],[Année prog actuelle à jour]]-Portefeuille_MNT_PPS_Access30[[#This Row],[Année DÉBUT Travaux proposé]]</f>
        <v>#REF!</v>
      </c>
      <c r="S114" t="s">
        <v>291</v>
      </c>
      <c r="T114" s="1"/>
      <c r="U114" s="1"/>
      <c r="V114" s="1"/>
      <c r="W11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4">
        <f>Portefeuille_MNT_PPS_Access30[[#This Row],[Délais PC1 et PC3]]+Portefeuille_MNT_PPS_Access30[[#This Row],[Délais PC3 et PC5]]</f>
        <v>0</v>
      </c>
      <c r="AD114">
        <v>1</v>
      </c>
      <c r="AF114" t="s">
        <v>311</v>
      </c>
      <c r="AG114">
        <v>3.6666666666666665</v>
      </c>
      <c r="AH114" s="2">
        <f>_xlfn.XLOOKUP(Portefeuille_MNT_PPS_Access30[[#This Row],[Numéro projet]],Portefeuille_MNT_PPS_Access27[Numéro projet],Portefeuille_MNT_PPS_Access27[Critère Etat Infrastructure])</f>
        <v>4</v>
      </c>
      <c r="AI11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43.333333333333329</v>
      </c>
      <c r="AJ114" s="221"/>
      <c r="AN114"/>
      <c r="AX114"/>
      <c r="AY114">
        <v>100</v>
      </c>
      <c r="BA114">
        <v>200</v>
      </c>
      <c r="BC114">
        <v>450</v>
      </c>
      <c r="BD114">
        <v>7500</v>
      </c>
      <c r="BK114" s="14">
        <f>SUM(Portefeuille_MNT_PPS_Access30[[#This Row],[AC ANT]:[TR 2035]])</f>
        <v>8250</v>
      </c>
    </row>
    <row r="115" spans="1:63" hidden="1" x14ac:dyDescent="0.3">
      <c r="A115" t="s">
        <v>286</v>
      </c>
      <c r="B115" t="s">
        <v>295</v>
      </c>
      <c r="D115" t="s">
        <v>126</v>
      </c>
      <c r="E115" t="s">
        <v>127</v>
      </c>
      <c r="F115" t="s">
        <v>103</v>
      </c>
      <c r="G115" t="s">
        <v>113</v>
      </c>
      <c r="H115" t="s">
        <v>20</v>
      </c>
      <c r="I115" t="s">
        <v>20</v>
      </c>
      <c r="J115" t="s">
        <v>105</v>
      </c>
      <c r="K115" s="2">
        <v>154230840</v>
      </c>
      <c r="L115" t="s">
        <v>526</v>
      </c>
      <c r="M115" t="s">
        <v>168</v>
      </c>
      <c r="N115" s="227">
        <f>_xlfn.XLOOKUP(Portefeuille_MNT_PPS_Access30[[#This Row],[Numéro projet]], Portefeuille_MNT_PPS_Access20[Numéro projet], Portefeuille_MNT_PPS_Access20[Année DÉBUT Travaux prévu], "")</f>
        <v>2030</v>
      </c>
      <c r="O115" s="229">
        <v>2032</v>
      </c>
      <c r="P115" s="8">
        <f>Portefeuille_MNT_PPS_Access30[[#This Row],[Année DÉBUT Travaux proposé]]-Portefeuille_MNT_PPS_Access30[[#This Row],[Année DÉBUT Travaux prog actuelle]]</f>
        <v>2</v>
      </c>
      <c r="Q115" s="8" t="e">
        <f>_xlfn.XLOOKUP(Portefeuille_MNT_PPS_Access30[[#This Row],[Numéro projet]],#REF!,#REF!, "")</f>
        <v>#REF!</v>
      </c>
      <c r="R115" s="8" t="e">
        <f>Portefeuille_MNT_PPS_Access30[[#This Row],[Année prog actuelle à jour]]-Portefeuille_MNT_PPS_Access30[[#This Row],[Année DÉBUT Travaux proposé]]</f>
        <v>#REF!</v>
      </c>
      <c r="S115" t="s">
        <v>291</v>
      </c>
      <c r="T115" s="1"/>
      <c r="U115" s="1"/>
      <c r="V115" s="1"/>
      <c r="W11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5">
        <f>Portefeuille_MNT_PPS_Access30[[#This Row],[Délais PC1 et PC3]]+Portefeuille_MNT_PPS_Access30[[#This Row],[Délais PC3 et PC5]]</f>
        <v>0</v>
      </c>
      <c r="AD115">
        <v>1</v>
      </c>
      <c r="AF115" t="s">
        <v>311</v>
      </c>
      <c r="AG115">
        <v>3.3333333333333335</v>
      </c>
      <c r="AH115" s="2">
        <f>_xlfn.XLOOKUP(Portefeuille_MNT_PPS_Access30[[#This Row],[Numéro projet]],Portefeuille_MNT_PPS_Access27[Numéro projet],Portefeuille_MNT_PPS_Access27[Critère Etat Infrastructure])</f>
        <v>3</v>
      </c>
      <c r="AI11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115" s="221"/>
      <c r="AN115"/>
      <c r="AX115"/>
      <c r="AY115">
        <v>200</v>
      </c>
      <c r="BA115">
        <v>200</v>
      </c>
      <c r="BC115">
        <v>500</v>
      </c>
      <c r="BD115">
        <v>7500</v>
      </c>
      <c r="BE115">
        <v>500</v>
      </c>
      <c r="BF115">
        <v>7500</v>
      </c>
      <c r="BK115" s="14">
        <f>SUM(Portefeuille_MNT_PPS_Access30[[#This Row],[AC ANT]:[TR 2035]])</f>
        <v>16400</v>
      </c>
    </row>
    <row r="116" spans="1:63" hidden="1" x14ac:dyDescent="0.3">
      <c r="A116" t="s">
        <v>286</v>
      </c>
      <c r="B116" t="s">
        <v>663</v>
      </c>
      <c r="D116" t="s">
        <v>101</v>
      </c>
      <c r="E116" t="s">
        <v>102</v>
      </c>
      <c r="F116" t="s">
        <v>136</v>
      </c>
      <c r="H116" t="s">
        <v>20</v>
      </c>
      <c r="I116" t="s">
        <v>20</v>
      </c>
      <c r="J116" t="s">
        <v>105</v>
      </c>
      <c r="K116" s="2">
        <v>154240503</v>
      </c>
      <c r="L116" t="s">
        <v>459</v>
      </c>
      <c r="M116" t="s">
        <v>239</v>
      </c>
      <c r="N116">
        <f>_xlfn.XLOOKUP(Portefeuille_MNT_PPS_Access30[[#This Row],[Numéro projet]], Portefeuille_MNT_PPS_Access20[Numéro projet], Portefeuille_MNT_PPS_Access20[Année DÉBUT Travaux prévu], "")</f>
        <v>2033</v>
      </c>
      <c r="O116">
        <v>2033</v>
      </c>
      <c r="P116">
        <f>Portefeuille_MNT_PPS_Access30[[#This Row],[Année DÉBUT Travaux proposé]]-Portefeuille_MNT_PPS_Access30[[#This Row],[Année DÉBUT Travaux prog actuelle]]</f>
        <v>0</v>
      </c>
      <c r="Q116" s="8" t="e">
        <f>_xlfn.XLOOKUP(Portefeuille_MNT_PPS_Access30[[#This Row],[Numéro projet]],#REF!,#REF!, "")</f>
        <v>#REF!</v>
      </c>
      <c r="R116" s="8" t="e">
        <f>Portefeuille_MNT_PPS_Access30[[#This Row],[Année prog actuelle à jour]]-Portefeuille_MNT_PPS_Access30[[#This Row],[Année DÉBUT Travaux proposé]]</f>
        <v>#REF!</v>
      </c>
      <c r="S116" t="s">
        <v>291</v>
      </c>
      <c r="T116" s="1"/>
      <c r="U116" s="1"/>
      <c r="V116" s="1"/>
      <c r="W11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6">
        <f>Portefeuille_MNT_PPS_Access30[[#This Row],[Délais PC1 et PC3]]+Portefeuille_MNT_PPS_Access30[[#This Row],[Délais PC3 et PC5]]</f>
        <v>0</v>
      </c>
      <c r="AD116">
        <v>1</v>
      </c>
      <c r="AF116" t="s">
        <v>311</v>
      </c>
      <c r="AG116">
        <v>3.3333333333333335</v>
      </c>
      <c r="AH116" s="2">
        <f>_xlfn.XLOOKUP(Portefeuille_MNT_PPS_Access30[[#This Row],[Numéro projet]],Portefeuille_MNT_PPS_Access27[Numéro projet],Portefeuille_MNT_PPS_Access27[Critère Etat Infrastructure])</f>
        <v>3</v>
      </c>
      <c r="AI11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116" s="221"/>
      <c r="AN116"/>
      <c r="AX116"/>
      <c r="BA116">
        <v>150</v>
      </c>
      <c r="BC116">
        <v>150</v>
      </c>
      <c r="BE116">
        <v>500</v>
      </c>
      <c r="BF116">
        <v>6500</v>
      </c>
      <c r="BK116" s="14">
        <f>SUM(Portefeuille_MNT_PPS_Access30[[#This Row],[AC ANT]:[TR 2035]])</f>
        <v>7300</v>
      </c>
    </row>
    <row r="117" spans="1:63" hidden="1" x14ac:dyDescent="0.3">
      <c r="A117" t="s">
        <v>286</v>
      </c>
      <c r="B117" t="s">
        <v>663</v>
      </c>
      <c r="D117" t="s">
        <v>101</v>
      </c>
      <c r="E117" t="s">
        <v>102</v>
      </c>
      <c r="F117" t="s">
        <v>136</v>
      </c>
      <c r="H117" t="s">
        <v>20</v>
      </c>
      <c r="I117" t="s">
        <v>20</v>
      </c>
      <c r="J117" t="s">
        <v>105</v>
      </c>
      <c r="K117" s="2">
        <v>154240505</v>
      </c>
      <c r="L117" t="s">
        <v>463</v>
      </c>
      <c r="M117" t="s">
        <v>230</v>
      </c>
      <c r="N117">
        <f>_xlfn.XLOOKUP(Portefeuille_MNT_PPS_Access30[[#This Row],[Numéro projet]], Portefeuille_MNT_PPS_Access20[Numéro projet], Portefeuille_MNT_PPS_Access20[Année DÉBUT Travaux prévu], "")</f>
        <v>2033</v>
      </c>
      <c r="O117">
        <v>2033</v>
      </c>
      <c r="P117">
        <f>Portefeuille_MNT_PPS_Access30[[#This Row],[Année DÉBUT Travaux proposé]]-Portefeuille_MNT_PPS_Access30[[#This Row],[Année DÉBUT Travaux prog actuelle]]</f>
        <v>0</v>
      </c>
      <c r="Q117" s="8" t="e">
        <f>_xlfn.XLOOKUP(Portefeuille_MNT_PPS_Access30[[#This Row],[Numéro projet]],#REF!,#REF!, "")</f>
        <v>#REF!</v>
      </c>
      <c r="R117" s="8" t="e">
        <f>Portefeuille_MNT_PPS_Access30[[#This Row],[Année prog actuelle à jour]]-Portefeuille_MNT_PPS_Access30[[#This Row],[Année DÉBUT Travaux proposé]]</f>
        <v>#REF!</v>
      </c>
      <c r="S117" t="s">
        <v>291</v>
      </c>
      <c r="T117" s="1"/>
      <c r="U117" s="1"/>
      <c r="V117" s="1"/>
      <c r="W11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7">
        <f>Portefeuille_MNT_PPS_Access30[[#This Row],[Délais PC1 et PC3]]+Portefeuille_MNT_PPS_Access30[[#This Row],[Délais PC3 et PC5]]</f>
        <v>0</v>
      </c>
      <c r="AD117">
        <v>1</v>
      </c>
      <c r="AF117" t="s">
        <v>311</v>
      </c>
      <c r="AG117">
        <v>3</v>
      </c>
      <c r="AH117" s="2">
        <f>_xlfn.XLOOKUP(Portefeuille_MNT_PPS_Access30[[#This Row],[Numéro projet]],Portefeuille_MNT_PPS_Access27[Numéro projet],Portefeuille_MNT_PPS_Access27[Critère Etat Infrastructure])</f>
        <v>3</v>
      </c>
      <c r="AI11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35</v>
      </c>
      <c r="AJ117" s="221"/>
      <c r="AN117"/>
      <c r="AX117"/>
      <c r="BA117">
        <v>150</v>
      </c>
      <c r="BC117">
        <v>150</v>
      </c>
      <c r="BE117">
        <v>500</v>
      </c>
      <c r="BF117">
        <v>6800</v>
      </c>
      <c r="BK117" s="14">
        <f>SUM(Portefeuille_MNT_PPS_Access30[[#This Row],[AC ANT]:[TR 2035]])</f>
        <v>7600</v>
      </c>
    </row>
    <row r="118" spans="1:63" hidden="1" x14ac:dyDescent="0.3">
      <c r="A118" t="s">
        <v>286</v>
      </c>
      <c r="B118" t="s">
        <v>662</v>
      </c>
      <c r="D118" t="s">
        <v>118</v>
      </c>
      <c r="E118" t="s">
        <v>102</v>
      </c>
      <c r="F118" t="s">
        <v>389</v>
      </c>
      <c r="H118" t="s">
        <v>20</v>
      </c>
      <c r="I118" t="s">
        <v>20</v>
      </c>
      <c r="J118" t="s">
        <v>105</v>
      </c>
      <c r="K118" s="2">
        <v>154220358</v>
      </c>
      <c r="L118" t="s">
        <v>425</v>
      </c>
      <c r="M118" t="s">
        <v>205</v>
      </c>
      <c r="N118">
        <f>_xlfn.XLOOKUP(Portefeuille_MNT_PPS_Access30[[#This Row],[Numéro projet]], Portefeuille_MNT_PPS_Access20[Numéro projet], Portefeuille_MNT_PPS_Access20[Année DÉBUT Travaux prévu], "")</f>
        <v>2033</v>
      </c>
      <c r="O118">
        <v>2033</v>
      </c>
      <c r="P118">
        <f>Portefeuille_MNT_PPS_Access30[[#This Row],[Année DÉBUT Travaux proposé]]-Portefeuille_MNT_PPS_Access30[[#This Row],[Année DÉBUT Travaux prog actuelle]]</f>
        <v>0</v>
      </c>
      <c r="Q118" s="8" t="e">
        <f>_xlfn.XLOOKUP(Portefeuille_MNT_PPS_Access30[[#This Row],[Numéro projet]],#REF!,#REF!, "")</f>
        <v>#REF!</v>
      </c>
      <c r="R118" s="8" t="e">
        <f>Portefeuille_MNT_PPS_Access30[[#This Row],[Année prog actuelle à jour]]-Portefeuille_MNT_PPS_Access30[[#This Row],[Année DÉBUT Travaux proposé]]</f>
        <v>#REF!</v>
      </c>
      <c r="S118" t="s">
        <v>291</v>
      </c>
      <c r="T118" s="1"/>
      <c r="U118" s="1"/>
      <c r="V118" s="1"/>
      <c r="W11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8">
        <f>Portefeuille_MNT_PPS_Access30[[#This Row],[Délais PC1 et PC3]]+Portefeuille_MNT_PPS_Access30[[#This Row],[Délais PC3 et PC5]]</f>
        <v>0</v>
      </c>
      <c r="AD118">
        <v>1</v>
      </c>
      <c r="AF118" t="s">
        <v>311</v>
      </c>
      <c r="AG118">
        <v>3</v>
      </c>
      <c r="AH118" s="2">
        <f>_xlfn.XLOOKUP(Portefeuille_MNT_PPS_Access30[[#This Row],[Numéro projet]],Portefeuille_MNT_PPS_Access27[Numéro projet],Portefeuille_MNT_PPS_Access27[Critère Etat Infrastructure])</f>
        <v>4</v>
      </c>
      <c r="AI11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118" s="221"/>
      <c r="AN118"/>
      <c r="AX118"/>
      <c r="BA118">
        <v>100</v>
      </c>
      <c r="BC118">
        <v>100</v>
      </c>
      <c r="BE118">
        <v>200</v>
      </c>
      <c r="BF118">
        <v>5000</v>
      </c>
      <c r="BK118" s="14">
        <f>SUM(Portefeuille_MNT_PPS_Access30[[#This Row],[AC ANT]:[TR 2035]])</f>
        <v>5400</v>
      </c>
    </row>
    <row r="119" spans="1:63" hidden="1" x14ac:dyDescent="0.3">
      <c r="A119" t="s">
        <v>286</v>
      </c>
      <c r="B119" t="s">
        <v>664</v>
      </c>
      <c r="D119" t="s">
        <v>101</v>
      </c>
      <c r="E119" t="s">
        <v>102</v>
      </c>
      <c r="F119" t="s">
        <v>389</v>
      </c>
      <c r="H119" t="s">
        <v>20</v>
      </c>
      <c r="I119" t="s">
        <v>20</v>
      </c>
      <c r="J119" t="s">
        <v>105</v>
      </c>
      <c r="K119" s="2">
        <v>154220359</v>
      </c>
      <c r="L119" t="s">
        <v>429</v>
      </c>
      <c r="M119" t="s">
        <v>302</v>
      </c>
      <c r="N119" s="227">
        <f>_xlfn.XLOOKUP(Portefeuille_MNT_PPS_Access30[[#This Row],[Numéro projet]], Portefeuille_MNT_PPS_Access20[Numéro projet], Portefeuille_MNT_PPS_Access20[Année DÉBUT Travaux prévu], "")</f>
        <v>2032</v>
      </c>
      <c r="O119" s="229">
        <v>2033</v>
      </c>
      <c r="P119" s="8">
        <f>Portefeuille_MNT_PPS_Access30[[#This Row],[Année DÉBUT Travaux proposé]]-Portefeuille_MNT_PPS_Access30[[#This Row],[Année DÉBUT Travaux prog actuelle]]</f>
        <v>1</v>
      </c>
      <c r="Q119" s="8" t="e">
        <f>_xlfn.XLOOKUP(Portefeuille_MNT_PPS_Access30[[#This Row],[Numéro projet]],#REF!,#REF!, "")</f>
        <v>#REF!</v>
      </c>
      <c r="R119" s="8" t="e">
        <f>Portefeuille_MNT_PPS_Access30[[#This Row],[Année prog actuelle à jour]]-Portefeuille_MNT_PPS_Access30[[#This Row],[Année DÉBUT Travaux proposé]]</f>
        <v>#REF!</v>
      </c>
      <c r="S119" t="s">
        <v>291</v>
      </c>
      <c r="T119" s="1"/>
      <c r="U119" s="1"/>
      <c r="V119" s="1"/>
      <c r="W11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1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1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1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1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19">
        <f>Portefeuille_MNT_PPS_Access30[[#This Row],[Délais PC1 et PC3]]+Portefeuille_MNT_PPS_Access30[[#This Row],[Délais PC3 et PC5]]</f>
        <v>0</v>
      </c>
      <c r="AD119">
        <v>1</v>
      </c>
      <c r="AF119" t="s">
        <v>311</v>
      </c>
      <c r="AG119">
        <v>4</v>
      </c>
      <c r="AH119" s="2">
        <f>_xlfn.XLOOKUP(Portefeuille_MNT_PPS_Access30[[#This Row],[Numéro projet]],Portefeuille_MNT_PPS_Access27[Numéro projet],Portefeuille_MNT_PPS_Access27[Critère Etat Infrastructure])</f>
        <v>4</v>
      </c>
      <c r="AI11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119" s="221"/>
      <c r="AN119"/>
      <c r="AX119"/>
      <c r="BC119">
        <v>100</v>
      </c>
      <c r="BE119">
        <v>200</v>
      </c>
      <c r="BF119">
        <v>5000</v>
      </c>
      <c r="BK119" s="14">
        <f>SUM(Portefeuille_MNT_PPS_Access30[[#This Row],[AC ANT]:[TR 2035]])</f>
        <v>5300</v>
      </c>
    </row>
    <row r="120" spans="1:63" hidden="1" x14ac:dyDescent="0.3">
      <c r="A120" t="s">
        <v>286</v>
      </c>
      <c r="B120" t="s">
        <v>662</v>
      </c>
      <c r="D120" t="s">
        <v>118</v>
      </c>
      <c r="E120" t="s">
        <v>102</v>
      </c>
      <c r="F120" t="s">
        <v>103</v>
      </c>
      <c r="G120" t="s">
        <v>113</v>
      </c>
      <c r="H120" t="s">
        <v>20</v>
      </c>
      <c r="I120" t="s">
        <v>20</v>
      </c>
      <c r="J120" t="s">
        <v>131</v>
      </c>
      <c r="K120" s="2">
        <v>154220353</v>
      </c>
      <c r="L120" t="s">
        <v>423</v>
      </c>
      <c r="M120" t="s">
        <v>139</v>
      </c>
      <c r="N120" s="227">
        <f>_xlfn.XLOOKUP(Portefeuille_MNT_PPS_Access30[[#This Row],[Numéro projet]], Portefeuille_MNT_PPS_Access20[Numéro projet], Portefeuille_MNT_PPS_Access20[Année DÉBUT Travaux prévu], "")</f>
        <v>2029</v>
      </c>
      <c r="O120" s="229">
        <v>2033</v>
      </c>
      <c r="P120" s="8">
        <f>Portefeuille_MNT_PPS_Access30[[#This Row],[Année DÉBUT Travaux proposé]]-Portefeuille_MNT_PPS_Access30[[#This Row],[Année DÉBUT Travaux prog actuelle]]</f>
        <v>4</v>
      </c>
      <c r="Q120" s="8" t="e">
        <f>_xlfn.XLOOKUP(Portefeuille_MNT_PPS_Access30[[#This Row],[Numéro projet]],#REF!,#REF!, "")</f>
        <v>#REF!</v>
      </c>
      <c r="R120" s="8" t="e">
        <f>Portefeuille_MNT_PPS_Access30[[#This Row],[Année prog actuelle à jour]]-Portefeuille_MNT_PPS_Access30[[#This Row],[Année DÉBUT Travaux proposé]]</f>
        <v>#REF!</v>
      </c>
      <c r="S120" t="s">
        <v>291</v>
      </c>
      <c r="T120" s="1"/>
      <c r="U120" s="1"/>
      <c r="V120" s="1"/>
      <c r="W12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0">
        <f>Portefeuille_MNT_PPS_Access30[[#This Row],[Délais PC1 et PC3]]+Portefeuille_MNT_PPS_Access30[[#This Row],[Délais PC3 et PC5]]</f>
        <v>0</v>
      </c>
      <c r="AD120">
        <v>1</v>
      </c>
      <c r="AF120" t="s">
        <v>311</v>
      </c>
      <c r="AG120">
        <v>2</v>
      </c>
      <c r="AH120" s="2">
        <f>_xlfn.XLOOKUP(Portefeuille_MNT_PPS_Access30[[#This Row],[Numéro projet]],Portefeuille_MNT_PPS_Access27[Numéro projet],Portefeuille_MNT_PPS_Access27[Critère Etat Infrastructure])</f>
        <v>4</v>
      </c>
      <c r="AI12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35</v>
      </c>
      <c r="AJ120" s="221"/>
      <c r="AN120"/>
      <c r="AX120"/>
      <c r="BA120">
        <v>100</v>
      </c>
      <c r="BC120">
        <v>200</v>
      </c>
      <c r="BE120">
        <v>250</v>
      </c>
      <c r="BF120">
        <v>7500</v>
      </c>
      <c r="BK120" s="14">
        <f>SUM(Portefeuille_MNT_PPS_Access30[[#This Row],[AC ANT]:[TR 2035]])</f>
        <v>8050</v>
      </c>
    </row>
    <row r="121" spans="1:63" hidden="1" x14ac:dyDescent="0.3">
      <c r="A121" t="s">
        <v>286</v>
      </c>
      <c r="B121" t="s">
        <v>663</v>
      </c>
      <c r="D121" t="s">
        <v>101</v>
      </c>
      <c r="E121" t="s">
        <v>102</v>
      </c>
      <c r="F121" t="s">
        <v>136</v>
      </c>
      <c r="H121" t="s">
        <v>20</v>
      </c>
      <c r="I121" t="s">
        <v>20</v>
      </c>
      <c r="J121" t="s">
        <v>105</v>
      </c>
      <c r="K121" s="2">
        <v>154240502</v>
      </c>
      <c r="L121" t="s">
        <v>457</v>
      </c>
      <c r="M121" t="s">
        <v>402</v>
      </c>
      <c r="N121" s="227">
        <f>_xlfn.XLOOKUP(Portefeuille_MNT_PPS_Access30[[#This Row],[Numéro projet]], Portefeuille_MNT_PPS_Access20[Numéro projet], Portefeuille_MNT_PPS_Access20[Année DÉBUT Travaux prévu], "")</f>
        <v>2033</v>
      </c>
      <c r="O121" s="229">
        <v>2034</v>
      </c>
      <c r="P121" s="8">
        <f>Portefeuille_MNT_PPS_Access30[[#This Row],[Année DÉBUT Travaux proposé]]-Portefeuille_MNT_PPS_Access30[[#This Row],[Année DÉBUT Travaux prog actuelle]]</f>
        <v>1</v>
      </c>
      <c r="Q121" s="8" t="e">
        <f>_xlfn.XLOOKUP(Portefeuille_MNT_PPS_Access30[[#This Row],[Numéro projet]],#REF!,#REF!, "")</f>
        <v>#REF!</v>
      </c>
      <c r="R121" s="8" t="e">
        <f>Portefeuille_MNT_PPS_Access30[[#This Row],[Année prog actuelle à jour]]-Portefeuille_MNT_PPS_Access30[[#This Row],[Année DÉBUT Travaux proposé]]</f>
        <v>#REF!</v>
      </c>
      <c r="S121" t="s">
        <v>291</v>
      </c>
      <c r="T121" s="1"/>
      <c r="U121" s="1"/>
      <c r="V121" s="1"/>
      <c r="W12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1">
        <f>Portefeuille_MNT_PPS_Access30[[#This Row],[Délais PC1 et PC3]]+Portefeuille_MNT_PPS_Access30[[#This Row],[Délais PC3 et PC5]]</f>
        <v>0</v>
      </c>
      <c r="AD121">
        <v>1</v>
      </c>
      <c r="AF121" t="s">
        <v>311</v>
      </c>
      <c r="AG121">
        <v>2.6666666666666665</v>
      </c>
      <c r="AH121" s="2">
        <f>_xlfn.XLOOKUP(Portefeuille_MNT_PPS_Access30[[#This Row],[Numéro projet]],Portefeuille_MNT_PPS_Access27[Numéro projet],Portefeuille_MNT_PPS_Access27[Critère Etat Infrastructure])</f>
        <v>3</v>
      </c>
      <c r="AI121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33.333333333333329</v>
      </c>
      <c r="AJ121" s="221"/>
      <c r="AN121"/>
      <c r="AX121"/>
      <c r="BC121">
        <v>150</v>
      </c>
      <c r="BE121">
        <v>150</v>
      </c>
      <c r="BG121">
        <v>500</v>
      </c>
      <c r="BH121">
        <v>6800</v>
      </c>
      <c r="BK121" s="14">
        <f>SUM(Portefeuille_MNT_PPS_Access30[[#This Row],[AC ANT]:[TR 2035]])</f>
        <v>7600</v>
      </c>
    </row>
    <row r="122" spans="1:63" hidden="1" x14ac:dyDescent="0.3">
      <c r="A122" t="s">
        <v>286</v>
      </c>
      <c r="B122" t="s">
        <v>662</v>
      </c>
      <c r="D122" t="s">
        <v>118</v>
      </c>
      <c r="E122" t="s">
        <v>102</v>
      </c>
      <c r="F122" t="s">
        <v>103</v>
      </c>
      <c r="H122" t="s">
        <v>20</v>
      </c>
      <c r="I122" t="s">
        <v>20</v>
      </c>
      <c r="J122" t="s">
        <v>131</v>
      </c>
      <c r="K122" s="2">
        <v>154240816</v>
      </c>
      <c r="L122" t="s">
        <v>532</v>
      </c>
      <c r="M122" t="s">
        <v>187</v>
      </c>
      <c r="N122" s="227">
        <f>_xlfn.XLOOKUP(Portefeuille_MNT_PPS_Access30[[#This Row],[Numéro projet]], Portefeuille_MNT_PPS_Access20[Numéro projet], Portefeuille_MNT_PPS_Access20[Année DÉBUT Travaux prévu], "")</f>
        <v>2033</v>
      </c>
      <c r="O122" s="229">
        <v>2034</v>
      </c>
      <c r="P122" s="8">
        <f>Portefeuille_MNT_PPS_Access30[[#This Row],[Année DÉBUT Travaux proposé]]-Portefeuille_MNT_PPS_Access30[[#This Row],[Année DÉBUT Travaux prog actuelle]]</f>
        <v>1</v>
      </c>
      <c r="Q122" s="8" t="e">
        <f>_xlfn.XLOOKUP(Portefeuille_MNT_PPS_Access30[[#This Row],[Numéro projet]],#REF!,#REF!, "")</f>
        <v>#REF!</v>
      </c>
      <c r="R122" s="8" t="e">
        <f>Portefeuille_MNT_PPS_Access30[[#This Row],[Année prog actuelle à jour]]-Portefeuille_MNT_PPS_Access30[[#This Row],[Année DÉBUT Travaux proposé]]</f>
        <v>#REF!</v>
      </c>
      <c r="S122" t="s">
        <v>291</v>
      </c>
      <c r="T122" s="1"/>
      <c r="U122" s="1"/>
      <c r="V122" s="1"/>
      <c r="W12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2">
        <f>Portefeuille_MNT_PPS_Access30[[#This Row],[Délais PC1 et PC3]]+Portefeuille_MNT_PPS_Access30[[#This Row],[Délais PC3 et PC5]]</f>
        <v>0</v>
      </c>
      <c r="AD122">
        <v>1</v>
      </c>
      <c r="AF122" t="s">
        <v>311</v>
      </c>
      <c r="AG122">
        <v>3</v>
      </c>
      <c r="AH122" s="2">
        <f>_xlfn.XLOOKUP(Portefeuille_MNT_PPS_Access30[[#This Row],[Numéro projet]],Portefeuille_MNT_PPS_Access27[Numéro projet],Portefeuille_MNT_PPS_Access27[Critère Etat Infrastructure])</f>
        <v>4</v>
      </c>
      <c r="AI122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122" s="221"/>
      <c r="AN122"/>
      <c r="AX122"/>
      <c r="BC122">
        <v>150</v>
      </c>
      <c r="BE122">
        <v>150</v>
      </c>
      <c r="BG122">
        <v>500</v>
      </c>
      <c r="BH122">
        <v>8000</v>
      </c>
      <c r="BK122" s="14">
        <f>SUM(Portefeuille_MNT_PPS_Access30[[#This Row],[AC ANT]:[TR 2035]])</f>
        <v>8800</v>
      </c>
    </row>
    <row r="123" spans="1:63" hidden="1" x14ac:dyDescent="0.3">
      <c r="A123" t="s">
        <v>286</v>
      </c>
      <c r="B123" t="s">
        <v>295</v>
      </c>
      <c r="D123" t="s">
        <v>126</v>
      </c>
      <c r="E123" t="s">
        <v>127</v>
      </c>
      <c r="F123" t="s">
        <v>103</v>
      </c>
      <c r="H123" t="s">
        <v>20</v>
      </c>
      <c r="I123" t="s">
        <v>20</v>
      </c>
      <c r="J123" t="s">
        <v>105</v>
      </c>
      <c r="K123" s="2">
        <v>154240511</v>
      </c>
      <c r="L123" t="s">
        <v>637</v>
      </c>
      <c r="M123" t="s">
        <v>108</v>
      </c>
      <c r="N123">
        <f>_xlfn.XLOOKUP(Portefeuille_MNT_PPS_Access30[[#This Row],[Numéro projet]], Portefeuille_MNT_PPS_Access20[Numéro projet], Portefeuille_MNT_PPS_Access20[Année DÉBUT Travaux prévu], "")</f>
        <v>2034</v>
      </c>
      <c r="O123">
        <v>2034</v>
      </c>
      <c r="P123">
        <f>Portefeuille_MNT_PPS_Access30[[#This Row],[Année DÉBUT Travaux proposé]]-Portefeuille_MNT_PPS_Access30[[#This Row],[Année DÉBUT Travaux prog actuelle]]</f>
        <v>0</v>
      </c>
      <c r="Q123" s="8" t="e">
        <f>_xlfn.XLOOKUP(Portefeuille_MNT_PPS_Access30[[#This Row],[Numéro projet]],#REF!,#REF!, "")</f>
        <v>#REF!</v>
      </c>
      <c r="R123" s="8" t="e">
        <f>Portefeuille_MNT_PPS_Access30[[#This Row],[Année prog actuelle à jour]]-Portefeuille_MNT_PPS_Access30[[#This Row],[Année DÉBUT Travaux proposé]]</f>
        <v>#REF!</v>
      </c>
      <c r="S123" t="s">
        <v>291</v>
      </c>
      <c r="T123" s="1"/>
      <c r="U123" s="1"/>
      <c r="V123" s="1"/>
      <c r="W12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3">
        <f>Portefeuille_MNT_PPS_Access30[[#This Row],[Délais PC1 et PC3]]+Portefeuille_MNT_PPS_Access30[[#This Row],[Délais PC3 et PC5]]</f>
        <v>0</v>
      </c>
      <c r="AD123">
        <v>1</v>
      </c>
      <c r="AF123" t="s">
        <v>311</v>
      </c>
      <c r="AG123">
        <v>4</v>
      </c>
      <c r="AH123" s="2">
        <f>_xlfn.XLOOKUP(Portefeuille_MNT_PPS_Access30[[#This Row],[Numéro projet]],Portefeuille_MNT_PPS_Access27[Numéro projet],Portefeuille_MNT_PPS_Access27[Critère Etat Infrastructure])</f>
        <v>3</v>
      </c>
      <c r="AI123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123" s="221"/>
      <c r="AN123"/>
      <c r="AX123"/>
      <c r="BA123">
        <v>375</v>
      </c>
      <c r="BC123">
        <v>750</v>
      </c>
      <c r="BE123">
        <v>1125</v>
      </c>
      <c r="BG123">
        <v>875</v>
      </c>
      <c r="BH123">
        <v>9000</v>
      </c>
      <c r="BI123">
        <v>1250</v>
      </c>
      <c r="BJ123">
        <v>73000</v>
      </c>
      <c r="BK123" s="14">
        <f>SUM(Portefeuille_MNT_PPS_Access30[[#This Row],[AC ANT]:[TR 2035]])</f>
        <v>86375</v>
      </c>
    </row>
    <row r="124" spans="1:63" hidden="1" x14ac:dyDescent="0.3">
      <c r="A124" t="s">
        <v>286</v>
      </c>
      <c r="B124" t="s">
        <v>663</v>
      </c>
      <c r="D124" t="s">
        <v>101</v>
      </c>
      <c r="E124" t="s">
        <v>102</v>
      </c>
      <c r="F124" t="s">
        <v>136</v>
      </c>
      <c r="H124" t="s">
        <v>20</v>
      </c>
      <c r="I124" t="s">
        <v>20</v>
      </c>
      <c r="J124" t="s">
        <v>105</v>
      </c>
      <c r="K124" s="2">
        <v>154240506</v>
      </c>
      <c r="L124" t="s">
        <v>465</v>
      </c>
      <c r="M124" t="s">
        <v>116</v>
      </c>
      <c r="N124" s="227">
        <f>_xlfn.XLOOKUP(Portefeuille_MNT_PPS_Access30[[#This Row],[Numéro projet]], Portefeuille_MNT_PPS_Access20[Numéro projet], Portefeuille_MNT_PPS_Access20[Année DÉBUT Travaux prévu], "")</f>
        <v>2033</v>
      </c>
      <c r="O124" s="229">
        <v>2034</v>
      </c>
      <c r="P124" s="8">
        <f>Portefeuille_MNT_PPS_Access30[[#This Row],[Année DÉBUT Travaux proposé]]-Portefeuille_MNT_PPS_Access30[[#This Row],[Année DÉBUT Travaux prog actuelle]]</f>
        <v>1</v>
      </c>
      <c r="Q124" s="8" t="e">
        <f>_xlfn.XLOOKUP(Portefeuille_MNT_PPS_Access30[[#This Row],[Numéro projet]],#REF!,#REF!, "")</f>
        <v>#REF!</v>
      </c>
      <c r="R124" s="8" t="e">
        <f>Portefeuille_MNT_PPS_Access30[[#This Row],[Année prog actuelle à jour]]-Portefeuille_MNT_PPS_Access30[[#This Row],[Année DÉBUT Travaux proposé]]</f>
        <v>#REF!</v>
      </c>
      <c r="S124" t="s">
        <v>291</v>
      </c>
      <c r="T124" s="1"/>
      <c r="U124" s="1"/>
      <c r="V124" s="1"/>
      <c r="W12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4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4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4">
        <f>Portefeuille_MNT_PPS_Access30[[#This Row],[Délais PC1 et PC3]]+Portefeuille_MNT_PPS_Access30[[#This Row],[Délais PC3 et PC5]]</f>
        <v>0</v>
      </c>
      <c r="AD124">
        <v>1</v>
      </c>
      <c r="AF124" t="s">
        <v>311</v>
      </c>
      <c r="AG124">
        <v>3.3333333333333335</v>
      </c>
      <c r="AH124" s="2">
        <f>_xlfn.XLOOKUP(Portefeuille_MNT_PPS_Access30[[#This Row],[Numéro projet]],Portefeuille_MNT_PPS_Access27[Numéro projet],Portefeuille_MNT_PPS_Access27[Critère Etat Infrastructure])</f>
        <v>3</v>
      </c>
      <c r="AI124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124" s="221"/>
      <c r="AN124"/>
      <c r="AX124"/>
      <c r="BA124">
        <v>150</v>
      </c>
      <c r="BC124">
        <v>150</v>
      </c>
      <c r="BE124">
        <v>150</v>
      </c>
      <c r="BG124">
        <v>500</v>
      </c>
      <c r="BH124">
        <v>6800</v>
      </c>
      <c r="BK124" s="14">
        <f>SUM(Portefeuille_MNT_PPS_Access30[[#This Row],[AC ANT]:[TR 2035]])</f>
        <v>7750</v>
      </c>
    </row>
    <row r="125" spans="1:63" hidden="1" x14ac:dyDescent="0.3">
      <c r="A125" t="s">
        <v>286</v>
      </c>
      <c r="B125" t="s">
        <v>663</v>
      </c>
      <c r="D125" t="s">
        <v>101</v>
      </c>
      <c r="E125" t="s">
        <v>102</v>
      </c>
      <c r="F125" t="s">
        <v>136</v>
      </c>
      <c r="H125" t="s">
        <v>20</v>
      </c>
      <c r="I125" t="s">
        <v>20</v>
      </c>
      <c r="J125" t="s">
        <v>105</v>
      </c>
      <c r="K125" s="2">
        <v>154240504</v>
      </c>
      <c r="L125" t="s">
        <v>461</v>
      </c>
      <c r="M125" t="s">
        <v>108</v>
      </c>
      <c r="N125">
        <f>_xlfn.XLOOKUP(Portefeuille_MNT_PPS_Access30[[#This Row],[Numéro projet]], Portefeuille_MNT_PPS_Access20[Numéro projet], Portefeuille_MNT_PPS_Access20[Année DÉBUT Travaux prévu], "")</f>
        <v>2034</v>
      </c>
      <c r="O125">
        <v>2034</v>
      </c>
      <c r="P125">
        <f>Portefeuille_MNT_PPS_Access30[[#This Row],[Année DÉBUT Travaux proposé]]-Portefeuille_MNT_PPS_Access30[[#This Row],[Année DÉBUT Travaux prog actuelle]]</f>
        <v>0</v>
      </c>
      <c r="Q125" s="8" t="e">
        <f>_xlfn.XLOOKUP(Portefeuille_MNT_PPS_Access30[[#This Row],[Numéro projet]],#REF!,#REF!, "")</f>
        <v>#REF!</v>
      </c>
      <c r="R125" s="8" t="e">
        <f>Portefeuille_MNT_PPS_Access30[[#This Row],[Année prog actuelle à jour]]-Portefeuille_MNT_PPS_Access30[[#This Row],[Année DÉBUT Travaux proposé]]</f>
        <v>#REF!</v>
      </c>
      <c r="S125" t="s">
        <v>291</v>
      </c>
      <c r="T125" s="1"/>
      <c r="U125" s="1"/>
      <c r="V125" s="1"/>
      <c r="W12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5">
        <f>Portefeuille_MNT_PPS_Access30[[#This Row],[Délais PC1 et PC3]]+Portefeuille_MNT_PPS_Access30[[#This Row],[Délais PC3 et PC5]]</f>
        <v>0</v>
      </c>
      <c r="AD125">
        <v>1</v>
      </c>
      <c r="AF125" t="s">
        <v>311</v>
      </c>
      <c r="AG125">
        <v>4</v>
      </c>
      <c r="AH125" s="2">
        <f>_xlfn.XLOOKUP(Portefeuille_MNT_PPS_Access30[[#This Row],[Numéro projet]],Portefeuille_MNT_PPS_Access27[Numéro projet],Portefeuille_MNT_PPS_Access27[Critère Etat Infrastructure])</f>
        <v>3</v>
      </c>
      <c r="AI125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40</v>
      </c>
      <c r="AJ125" s="221"/>
      <c r="AN125"/>
      <c r="AX125"/>
      <c r="BC125">
        <v>150</v>
      </c>
      <c r="BE125">
        <v>150</v>
      </c>
      <c r="BG125">
        <v>500</v>
      </c>
      <c r="BH125">
        <v>7400</v>
      </c>
      <c r="BK125" s="14">
        <f>SUM(Portefeuille_MNT_PPS_Access30[[#This Row],[AC ANT]:[TR 2035]])</f>
        <v>8200</v>
      </c>
    </row>
    <row r="126" spans="1:63" hidden="1" x14ac:dyDescent="0.3">
      <c r="A126" t="s">
        <v>286</v>
      </c>
      <c r="B126" t="s">
        <v>664</v>
      </c>
      <c r="D126" t="s">
        <v>101</v>
      </c>
      <c r="E126" t="s">
        <v>102</v>
      </c>
      <c r="F126" t="s">
        <v>103</v>
      </c>
      <c r="H126" t="s">
        <v>20</v>
      </c>
      <c r="I126" t="s">
        <v>20</v>
      </c>
      <c r="J126" t="s">
        <v>131</v>
      </c>
      <c r="K126" s="2">
        <v>154180769</v>
      </c>
      <c r="L126" t="s">
        <v>380</v>
      </c>
      <c r="M126" t="s">
        <v>134</v>
      </c>
      <c r="N126">
        <f>_xlfn.XLOOKUP(Portefeuille_MNT_PPS_Access30[[#This Row],[Numéro projet]], Portefeuille_MNT_PPS_Access20[Numéro projet], Portefeuille_MNT_PPS_Access20[Année DÉBUT Travaux prévu], "")</f>
        <v>2035</v>
      </c>
      <c r="O126">
        <v>2035</v>
      </c>
      <c r="P126">
        <f>Portefeuille_MNT_PPS_Access30[[#This Row],[Année DÉBUT Travaux proposé]]-Portefeuille_MNT_PPS_Access30[[#This Row],[Année DÉBUT Travaux prog actuelle]]</f>
        <v>0</v>
      </c>
      <c r="Q126" s="8" t="e">
        <f>_xlfn.XLOOKUP(Portefeuille_MNT_PPS_Access30[[#This Row],[Numéro projet]],#REF!,#REF!, "")</f>
        <v>#REF!</v>
      </c>
      <c r="R126" s="8" t="e">
        <f>Portefeuille_MNT_PPS_Access30[[#This Row],[Année prog actuelle à jour]]-Portefeuille_MNT_PPS_Access30[[#This Row],[Année DÉBUT Travaux proposé]]</f>
        <v>#REF!</v>
      </c>
      <c r="S126" t="s">
        <v>291</v>
      </c>
      <c r="T126" s="1"/>
      <c r="U126" s="1"/>
      <c r="V126" s="1"/>
      <c r="W12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6">
        <f>Portefeuille_MNT_PPS_Access30[[#This Row],[Délais PC1 et PC3]]+Portefeuille_MNT_PPS_Access30[[#This Row],[Délais PC3 et PC5]]</f>
        <v>0</v>
      </c>
      <c r="AD126">
        <v>1</v>
      </c>
      <c r="AF126" t="s">
        <v>311</v>
      </c>
      <c r="AG126">
        <v>2.3333333333333335</v>
      </c>
      <c r="AH126" s="2">
        <f>_xlfn.XLOOKUP(Portefeuille_MNT_PPS_Access30[[#This Row],[Numéro projet]],Portefeuille_MNT_PPS_Access27[Numéro projet],Portefeuille_MNT_PPS_Access27[Critère Etat Infrastructure])</f>
        <v>4</v>
      </c>
      <c r="AI126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126" s="221"/>
      <c r="AN126"/>
      <c r="AX126"/>
      <c r="BG126">
        <v>150</v>
      </c>
      <c r="BI126">
        <v>250</v>
      </c>
      <c r="BJ126">
        <v>5000</v>
      </c>
      <c r="BK126" s="14">
        <f>SUM(Portefeuille_MNT_PPS_Access30[[#This Row],[AC ANT]:[TR 2035]])</f>
        <v>5400</v>
      </c>
    </row>
    <row r="127" spans="1:63" hidden="1" x14ac:dyDescent="0.3">
      <c r="A127" t="s">
        <v>286</v>
      </c>
      <c r="B127" t="s">
        <v>664</v>
      </c>
      <c r="D127" t="s">
        <v>101</v>
      </c>
      <c r="E127" t="s">
        <v>102</v>
      </c>
      <c r="F127" t="s">
        <v>103</v>
      </c>
      <c r="H127" t="s">
        <v>20</v>
      </c>
      <c r="I127" t="s">
        <v>20</v>
      </c>
      <c r="J127" t="s">
        <v>105</v>
      </c>
      <c r="K127" s="2">
        <v>154220344</v>
      </c>
      <c r="L127" t="s">
        <v>394</v>
      </c>
      <c r="M127" t="s">
        <v>122</v>
      </c>
      <c r="N127">
        <f>_xlfn.XLOOKUP(Portefeuille_MNT_PPS_Access30[[#This Row],[Numéro projet]], Portefeuille_MNT_PPS_Access20[Numéro projet], Portefeuille_MNT_PPS_Access20[Année DÉBUT Travaux prévu], "")</f>
        <v>2035</v>
      </c>
      <c r="O127">
        <v>2035</v>
      </c>
      <c r="P127">
        <f>Portefeuille_MNT_PPS_Access30[[#This Row],[Année DÉBUT Travaux proposé]]-Portefeuille_MNT_PPS_Access30[[#This Row],[Année DÉBUT Travaux prog actuelle]]</f>
        <v>0</v>
      </c>
      <c r="Q127" s="8" t="e">
        <f>_xlfn.XLOOKUP(Portefeuille_MNT_PPS_Access30[[#This Row],[Numéro projet]],#REF!,#REF!, "")</f>
        <v>#REF!</v>
      </c>
      <c r="R127" s="8" t="e">
        <f>Portefeuille_MNT_PPS_Access30[[#This Row],[Année prog actuelle à jour]]-Portefeuille_MNT_PPS_Access30[[#This Row],[Année DÉBUT Travaux proposé]]</f>
        <v>#REF!</v>
      </c>
      <c r="S127" t="s">
        <v>291</v>
      </c>
      <c r="T127" s="1"/>
      <c r="U127" s="1"/>
      <c r="V127" s="1"/>
      <c r="W12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7">
        <f>Portefeuille_MNT_PPS_Access30[[#This Row],[Délais PC1 et PC3]]+Portefeuille_MNT_PPS_Access30[[#This Row],[Délais PC3 et PC5]]</f>
        <v>0</v>
      </c>
      <c r="AD127">
        <v>1</v>
      </c>
      <c r="AF127" t="s">
        <v>311</v>
      </c>
      <c r="AG127">
        <v>4</v>
      </c>
      <c r="AH127" s="2">
        <f>_xlfn.XLOOKUP(Portefeuille_MNT_PPS_Access30[[#This Row],[Numéro projet]],Portefeuille_MNT_PPS_Access27[Numéro projet],Portefeuille_MNT_PPS_Access27[Critère Etat Infrastructure])</f>
        <v>4</v>
      </c>
      <c r="AI127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45</v>
      </c>
      <c r="AJ127" s="221"/>
      <c r="AN127"/>
      <c r="AX127"/>
      <c r="BE127">
        <v>100</v>
      </c>
      <c r="BG127">
        <v>100</v>
      </c>
      <c r="BI127">
        <v>500</v>
      </c>
      <c r="BJ127">
        <v>12000</v>
      </c>
      <c r="BK127" s="14">
        <f>SUM(Portefeuille_MNT_PPS_Access30[[#This Row],[AC ANT]:[TR 2035]])</f>
        <v>12700</v>
      </c>
    </row>
    <row r="128" spans="1:63" hidden="1" x14ac:dyDescent="0.3">
      <c r="A128" t="s">
        <v>286</v>
      </c>
      <c r="B128" t="s">
        <v>664</v>
      </c>
      <c r="D128" t="s">
        <v>101</v>
      </c>
      <c r="E128" t="s">
        <v>102</v>
      </c>
      <c r="F128" t="s">
        <v>103</v>
      </c>
      <c r="H128" t="s">
        <v>20</v>
      </c>
      <c r="I128" t="s">
        <v>20</v>
      </c>
      <c r="J128" t="s">
        <v>105</v>
      </c>
      <c r="K128" s="2">
        <v>154240285</v>
      </c>
      <c r="L128" t="s">
        <v>447</v>
      </c>
      <c r="M128" t="s">
        <v>168</v>
      </c>
      <c r="N128">
        <f>_xlfn.XLOOKUP(Portefeuille_MNT_PPS_Access30[[#This Row],[Numéro projet]], Portefeuille_MNT_PPS_Access20[Numéro projet], Portefeuille_MNT_PPS_Access20[Année DÉBUT Travaux prévu], "")</f>
        <v>2035</v>
      </c>
      <c r="O128">
        <v>2035</v>
      </c>
      <c r="P128">
        <f>Portefeuille_MNT_PPS_Access30[[#This Row],[Année DÉBUT Travaux proposé]]-Portefeuille_MNT_PPS_Access30[[#This Row],[Année DÉBUT Travaux prog actuelle]]</f>
        <v>0</v>
      </c>
      <c r="Q128" s="8" t="e">
        <f>_xlfn.XLOOKUP(Portefeuille_MNT_PPS_Access30[[#This Row],[Numéro projet]],#REF!,#REF!, "")</f>
        <v>#REF!</v>
      </c>
      <c r="R128" s="8" t="e">
        <f>Portefeuille_MNT_PPS_Access30[[#This Row],[Année prog actuelle à jour]]-Portefeuille_MNT_PPS_Access30[[#This Row],[Année DÉBUT Travaux proposé]]</f>
        <v>#REF!</v>
      </c>
      <c r="S128" t="s">
        <v>291</v>
      </c>
      <c r="T128" s="1"/>
      <c r="U128" s="1"/>
      <c r="V128" s="1"/>
      <c r="W12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8">
        <f>Portefeuille_MNT_PPS_Access30[[#This Row],[Délais PC1 et PC3]]+Portefeuille_MNT_PPS_Access30[[#This Row],[Délais PC3 et PC5]]</f>
        <v>0</v>
      </c>
      <c r="AD128">
        <v>1</v>
      </c>
      <c r="AF128" t="s">
        <v>311</v>
      </c>
      <c r="AG128">
        <v>3.3333333333333335</v>
      </c>
      <c r="AH128" s="2">
        <f>_xlfn.XLOOKUP(Portefeuille_MNT_PPS_Access30[[#This Row],[Numéro projet]],Portefeuille_MNT_PPS_Access27[Numéro projet],Portefeuille_MNT_PPS_Access27[Critère Etat Infrastructure])</f>
        <v>4</v>
      </c>
      <c r="AI128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41.666666666666671</v>
      </c>
      <c r="AJ128" s="221"/>
      <c r="AN128"/>
      <c r="AX128"/>
      <c r="BE128">
        <v>150</v>
      </c>
      <c r="BG128">
        <v>150</v>
      </c>
      <c r="BI128">
        <v>600</v>
      </c>
      <c r="BJ128">
        <v>12000</v>
      </c>
      <c r="BK128" s="14">
        <f>SUM(Portefeuille_MNT_PPS_Access30[[#This Row],[AC ANT]:[TR 2035]])</f>
        <v>12900</v>
      </c>
    </row>
    <row r="129" spans="1:63" hidden="1" x14ac:dyDescent="0.3">
      <c r="A129" t="s">
        <v>286</v>
      </c>
      <c r="B129" t="s">
        <v>664</v>
      </c>
      <c r="D129" t="s">
        <v>101</v>
      </c>
      <c r="E129" t="s">
        <v>102</v>
      </c>
      <c r="F129" t="s">
        <v>103</v>
      </c>
      <c r="H129" t="s">
        <v>20</v>
      </c>
      <c r="I129" t="s">
        <v>20</v>
      </c>
      <c r="J129" t="s">
        <v>131</v>
      </c>
      <c r="K129" s="2">
        <v>154180771</v>
      </c>
      <c r="L129" t="s">
        <v>384</v>
      </c>
      <c r="M129" t="s">
        <v>183</v>
      </c>
      <c r="N129" s="227">
        <f>_xlfn.XLOOKUP(Portefeuille_MNT_PPS_Access30[[#This Row],[Numéro projet]], Portefeuille_MNT_PPS_Access20[Numéro projet], Portefeuille_MNT_PPS_Access20[Année DÉBUT Travaux prévu], "")</f>
        <v>2030</v>
      </c>
      <c r="O129" s="229">
        <v>2035</v>
      </c>
      <c r="P129" s="8">
        <f>Portefeuille_MNT_PPS_Access30[[#This Row],[Année DÉBUT Travaux proposé]]-Portefeuille_MNT_PPS_Access30[[#This Row],[Année DÉBUT Travaux prog actuelle]]</f>
        <v>5</v>
      </c>
      <c r="Q129" s="8" t="e">
        <f>_xlfn.XLOOKUP(Portefeuille_MNT_PPS_Access30[[#This Row],[Numéro projet]],#REF!,#REF!, "")</f>
        <v>#REF!</v>
      </c>
      <c r="R129" s="8" t="e">
        <f>Portefeuille_MNT_PPS_Access30[[#This Row],[Année prog actuelle à jour]]-Portefeuille_MNT_PPS_Access30[[#This Row],[Année DÉBUT Travaux proposé]]</f>
        <v>#REF!</v>
      </c>
      <c r="S129" t="s">
        <v>291</v>
      </c>
      <c r="T129" s="1"/>
      <c r="U129" s="1"/>
      <c r="V129" s="1"/>
      <c r="W129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29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29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2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2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29">
        <f>Portefeuille_MNT_PPS_Access30[[#This Row],[Délais PC1 et PC3]]+Portefeuille_MNT_PPS_Access30[[#This Row],[Délais PC3 et PC5]]</f>
        <v>0</v>
      </c>
      <c r="AD129">
        <v>1</v>
      </c>
      <c r="AF129" t="s">
        <v>311</v>
      </c>
      <c r="AG129">
        <v>2.3333333333333335</v>
      </c>
      <c r="AH129" s="2">
        <f>_xlfn.XLOOKUP(Portefeuille_MNT_PPS_Access30[[#This Row],[Numéro projet]],Portefeuille_MNT_PPS_Access27[Numéro projet],Portefeuille_MNT_PPS_Access27[Critère Etat Infrastructure])</f>
        <v>4</v>
      </c>
      <c r="AI129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36.666666666666664</v>
      </c>
      <c r="AJ129" s="221"/>
      <c r="AN129"/>
      <c r="AX129"/>
      <c r="BG129">
        <v>150</v>
      </c>
      <c r="BI129">
        <v>250</v>
      </c>
      <c r="BJ129">
        <v>5000</v>
      </c>
      <c r="BK129" s="14">
        <f>SUM(Portefeuille_MNT_PPS_Access30[[#This Row],[AC ANT]:[TR 2035]])</f>
        <v>5400</v>
      </c>
    </row>
    <row r="130" spans="1:63" hidden="1" x14ac:dyDescent="0.3">
      <c r="A130" t="s">
        <v>286</v>
      </c>
      <c r="B130" t="s">
        <v>664</v>
      </c>
      <c r="D130" t="s">
        <v>101</v>
      </c>
      <c r="E130" t="s">
        <v>102</v>
      </c>
      <c r="F130" t="s">
        <v>389</v>
      </c>
      <c r="H130" t="s">
        <v>20</v>
      </c>
      <c r="I130" t="s">
        <v>20</v>
      </c>
      <c r="J130" t="s">
        <v>105</v>
      </c>
      <c r="K130" s="2">
        <v>154250181</v>
      </c>
      <c r="L130" t="s">
        <v>602</v>
      </c>
      <c r="M130" t="s">
        <v>239</v>
      </c>
      <c r="N130">
        <f>_xlfn.XLOOKUP(Portefeuille_MNT_PPS_Access30[[#This Row],[Numéro projet]], Portefeuille_MNT_PPS_Access20[Numéro projet], Portefeuille_MNT_PPS_Access20[Année DÉBUT Travaux prévu], "")</f>
        <v>2035</v>
      </c>
      <c r="O130">
        <v>2035</v>
      </c>
      <c r="P130">
        <f>Portefeuille_MNT_PPS_Access30[[#This Row],[Année DÉBUT Travaux proposé]]-Portefeuille_MNT_PPS_Access30[[#This Row],[Année DÉBUT Travaux prog actuelle]]</f>
        <v>0</v>
      </c>
      <c r="Q130" s="8" t="e">
        <f>_xlfn.XLOOKUP(Portefeuille_MNT_PPS_Access30[[#This Row],[Numéro projet]],#REF!,#REF!, "")</f>
        <v>#REF!</v>
      </c>
      <c r="R130" s="8" t="e">
        <f>Portefeuille_MNT_PPS_Access30[[#This Row],[Année prog actuelle à jour]]-Portefeuille_MNT_PPS_Access30[[#This Row],[Année DÉBUT Travaux proposé]]</f>
        <v>#REF!</v>
      </c>
      <c r="S130" t="s">
        <v>291</v>
      </c>
      <c r="T130" s="1"/>
      <c r="U130" s="1"/>
      <c r="V130" s="1"/>
      <c r="W13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0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0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3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30">
        <f>Portefeuille_MNT_PPS_Access30[[#This Row],[Délais PC1 et PC3]]+Portefeuille_MNT_PPS_Access30[[#This Row],[Délais PC3 et PC5]]</f>
        <v>0</v>
      </c>
      <c r="AD130">
        <v>1</v>
      </c>
      <c r="AF130" t="s">
        <v>311</v>
      </c>
      <c r="AG130">
        <v>3.3333333333333335</v>
      </c>
      <c r="AH130" s="2">
        <f>_xlfn.XLOOKUP(Portefeuille_MNT_PPS_Access30[[#This Row],[Numéro projet]],Portefeuille_MNT_PPS_Access27[Numéro projet],Portefeuille_MNT_PPS_Access27[Critère Etat Infrastructure])</f>
        <v>4</v>
      </c>
      <c r="AI130" s="12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41.666666666666671</v>
      </c>
      <c r="AJ130" s="221"/>
      <c r="AN130"/>
      <c r="AX130"/>
      <c r="BE130">
        <v>100</v>
      </c>
      <c r="BG130">
        <v>100</v>
      </c>
      <c r="BI130">
        <v>500</v>
      </c>
      <c r="BJ130">
        <v>5000</v>
      </c>
      <c r="BK130" s="14">
        <f>SUM(Portefeuille_MNT_PPS_Access30[[#This Row],[AC ANT]:[TR 2035]])</f>
        <v>5700</v>
      </c>
    </row>
    <row r="131" spans="1:63" hidden="1" x14ac:dyDescent="0.3">
      <c r="A131" t="s">
        <v>286</v>
      </c>
      <c r="B131" t="s">
        <v>664</v>
      </c>
      <c r="D131" t="s">
        <v>101</v>
      </c>
      <c r="E131" t="s">
        <v>102</v>
      </c>
      <c r="F131" t="s">
        <v>200</v>
      </c>
      <c r="G131" t="s">
        <v>104</v>
      </c>
      <c r="H131" t="s">
        <v>16</v>
      </c>
      <c r="I131" t="s">
        <v>20</v>
      </c>
      <c r="J131" t="s">
        <v>105</v>
      </c>
      <c r="K131" s="2">
        <v>154180023</v>
      </c>
      <c r="L131" t="s">
        <v>202</v>
      </c>
      <c r="M131" t="s">
        <v>108</v>
      </c>
      <c r="N131">
        <f>_xlfn.XLOOKUP(Portefeuille_MNT_PPS_Access30[[#This Row],[Numéro projet]], Portefeuille_MNT_PPS_Access20[Numéro projet], Portefeuille_MNT_PPS_Access20[Année DÉBUT Travaux prévu], "")</f>
        <v>0</v>
      </c>
      <c r="P131">
        <f>Portefeuille_MNT_PPS_Access30[[#This Row],[Année DÉBUT Travaux proposé]]-Portefeuille_MNT_PPS_Access30[[#This Row],[Année DÉBUT Travaux prog actuelle]]</f>
        <v>0</v>
      </c>
      <c r="Q131" s="8" t="e">
        <f>_xlfn.XLOOKUP(Portefeuille_MNT_PPS_Access30[[#This Row],[Numéro projet]],#REF!,#REF!, "")</f>
        <v>#REF!</v>
      </c>
      <c r="R131" s="8" t="e">
        <f>Portefeuille_MNT_PPS_Access30[[#This Row],[Année prog actuelle à jour]]-Portefeuille_MNT_PPS_Access30[[#This Row],[Année DÉBUT Travaux proposé]]</f>
        <v>#REF!</v>
      </c>
      <c r="S131" t="s">
        <v>155</v>
      </c>
      <c r="T131" s="1"/>
      <c r="U131" s="1"/>
      <c r="V131" s="1"/>
      <c r="W13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1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3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31">
        <f>Portefeuille_MNT_PPS_Access30[[#This Row],[Délais PC1 et PC3]]+Portefeuille_MNT_PPS_Access30[[#This Row],[Délais PC3 et PC5]]</f>
        <v>0</v>
      </c>
      <c r="AD131">
        <v>1</v>
      </c>
      <c r="AF131" t="s">
        <v>156</v>
      </c>
      <c r="AG131">
        <v>4</v>
      </c>
      <c r="AH131" s="2" t="e">
        <f>_xlfn.XLOOKUP(Portefeuille_MNT_PPS_Access30[[#This Row],[Numéro projet]],Portefeuille_MNT_PPS_Access27[Numéro projet],Portefeuille_MNT_PPS_Access27[Critère Etat Infrastructure])</f>
        <v>#N/A</v>
      </c>
      <c r="AI131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1" s="221"/>
      <c r="AK131">
        <v>277</v>
      </c>
      <c r="AL131">
        <v>4</v>
      </c>
      <c r="AN131"/>
      <c r="AQ131">
        <v>127</v>
      </c>
      <c r="AS131">
        <v>125</v>
      </c>
      <c r="AU131">
        <v>471</v>
      </c>
      <c r="AX131"/>
      <c r="BK131" s="14">
        <f>SUM(Portefeuille_MNT_PPS_Access30[[#This Row],[AC ANT]:[TR 2035]])</f>
        <v>1004</v>
      </c>
    </row>
    <row r="132" spans="1:63" hidden="1" x14ac:dyDescent="0.3">
      <c r="A132" t="s">
        <v>11</v>
      </c>
      <c r="D132" t="s">
        <v>118</v>
      </c>
      <c r="E132" t="s">
        <v>102</v>
      </c>
      <c r="F132" t="s">
        <v>103</v>
      </c>
      <c r="G132" t="s">
        <v>252</v>
      </c>
      <c r="H132" t="s">
        <v>20</v>
      </c>
      <c r="I132" t="s">
        <v>16</v>
      </c>
      <c r="J132" t="s">
        <v>131</v>
      </c>
      <c r="K132" s="2">
        <v>154220312</v>
      </c>
      <c r="L132" t="s">
        <v>388</v>
      </c>
      <c r="M132" t="s">
        <v>180</v>
      </c>
      <c r="N132">
        <f>_xlfn.XLOOKUP(Portefeuille_MNT_PPS_Access30[[#This Row],[Numéro projet]], Portefeuille_MNT_PPS_Access20[Numéro projet], Portefeuille_MNT_PPS_Access20[Année DÉBUT Travaux prévu], "")</f>
        <v>0</v>
      </c>
      <c r="P132">
        <f>Portefeuille_MNT_PPS_Access30[[#This Row],[Année DÉBUT Travaux proposé]]-Portefeuille_MNT_PPS_Access30[[#This Row],[Année DÉBUT Travaux prog actuelle]]</f>
        <v>0</v>
      </c>
      <c r="Q132" s="8" t="e">
        <f>_xlfn.XLOOKUP(Portefeuille_MNT_PPS_Access30[[#This Row],[Numéro projet]],#REF!,#REF!, "")</f>
        <v>#REF!</v>
      </c>
      <c r="R132" s="8" t="e">
        <f>Portefeuille_MNT_PPS_Access30[[#This Row],[Année prog actuelle à jour]]-Portefeuille_MNT_PPS_Access30[[#This Row],[Année DÉBUT Travaux proposé]]</f>
        <v>#REF!</v>
      </c>
      <c r="S132" t="s">
        <v>297</v>
      </c>
      <c r="T132" s="1"/>
      <c r="U132" s="1"/>
      <c r="V132" s="1"/>
      <c r="W13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2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3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32">
        <f>Portefeuille_MNT_PPS_Access30[[#This Row],[Délais PC1 et PC3]]+Portefeuille_MNT_PPS_Access30[[#This Row],[Délais PC3 et PC5]]</f>
        <v>0</v>
      </c>
      <c r="AD132">
        <v>1</v>
      </c>
      <c r="AF132" t="s">
        <v>349</v>
      </c>
      <c r="AG132">
        <v>2.7333333333333334</v>
      </c>
      <c r="AH132" s="2" t="e">
        <f>_xlfn.XLOOKUP(Portefeuille_MNT_PPS_Access30[[#This Row],[Numéro projet]],Portefeuille_MNT_PPS_Access27[Numéro projet],Portefeuille_MNT_PPS_Access27[Critère Etat Infrastructure])</f>
        <v>#N/A</v>
      </c>
      <c r="AI132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2" s="221"/>
      <c r="AN132">
        <v>316</v>
      </c>
      <c r="AX132"/>
      <c r="BK132" s="14">
        <f>SUM(Portefeuille_MNT_PPS_Access30[[#This Row],[AC ANT]:[TR 2035]])</f>
        <v>316</v>
      </c>
    </row>
    <row r="133" spans="1:63" hidden="1" x14ac:dyDescent="0.3">
      <c r="A133" t="s">
        <v>286</v>
      </c>
      <c r="B133" t="s">
        <v>295</v>
      </c>
      <c r="D133" t="s">
        <v>126</v>
      </c>
      <c r="E133" t="s">
        <v>127</v>
      </c>
      <c r="F133" t="s">
        <v>128</v>
      </c>
      <c r="G133" t="s">
        <v>252</v>
      </c>
      <c r="H133" t="s">
        <v>16</v>
      </c>
      <c r="I133" t="s">
        <v>16</v>
      </c>
      <c r="J133" t="s">
        <v>131</v>
      </c>
      <c r="K133" s="2">
        <v>154220431</v>
      </c>
      <c r="L133" t="s">
        <v>435</v>
      </c>
      <c r="M133" t="s">
        <v>147</v>
      </c>
      <c r="N133">
        <f>_xlfn.XLOOKUP(Portefeuille_MNT_PPS_Access30[[#This Row],[Numéro projet]], Portefeuille_MNT_PPS_Access20[Numéro projet], Portefeuille_MNT_PPS_Access20[Année DÉBUT Travaux prévu], "")</f>
        <v>0</v>
      </c>
      <c r="P133">
        <f>Portefeuille_MNT_PPS_Access30[[#This Row],[Année DÉBUT Travaux proposé]]-Portefeuille_MNT_PPS_Access30[[#This Row],[Année DÉBUT Travaux prog actuelle]]</f>
        <v>0</v>
      </c>
      <c r="Q133" s="8" t="e">
        <f>_xlfn.XLOOKUP(Portefeuille_MNT_PPS_Access30[[#This Row],[Numéro projet]],#REF!,#REF!, "")</f>
        <v>#REF!</v>
      </c>
      <c r="R133" s="8" t="e">
        <f>Portefeuille_MNT_PPS_Access30[[#This Row],[Année prog actuelle à jour]]-Portefeuille_MNT_PPS_Access30[[#This Row],[Année DÉBUT Travaux proposé]]</f>
        <v>#REF!</v>
      </c>
      <c r="S133" t="s">
        <v>123</v>
      </c>
      <c r="T133" s="1"/>
      <c r="U133" s="1"/>
      <c r="V133" s="1">
        <v>45413</v>
      </c>
      <c r="W13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3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3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1492</v>
      </c>
      <c r="AB133">
        <f>Portefeuille_MNT_PPS_Access30[[#This Row],[Délais PC1 et PC3]]+Portefeuille_MNT_PPS_Access30[[#This Row],[Délais PC3 et PC5]]</f>
        <v>1492</v>
      </c>
      <c r="AD133">
        <v>1</v>
      </c>
      <c r="AF133" t="s">
        <v>125</v>
      </c>
      <c r="AG133">
        <v>2.6666666666666665</v>
      </c>
      <c r="AH133" s="2" t="e">
        <f>_xlfn.XLOOKUP(Portefeuille_MNT_PPS_Access30[[#This Row],[Numéro projet]],Portefeuille_MNT_PPS_Access27[Numéro projet],Portefeuille_MNT_PPS_Access27[Critère Etat Infrastructure])</f>
        <v>#N/A</v>
      </c>
      <c r="AI133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3" s="221"/>
      <c r="AM133">
        <v>2</v>
      </c>
      <c r="AN133">
        <v>64</v>
      </c>
      <c r="AX133"/>
      <c r="BK133" s="14">
        <f>SUM(Portefeuille_MNT_PPS_Access30[[#This Row],[AC ANT]:[TR 2035]])</f>
        <v>66</v>
      </c>
    </row>
    <row r="134" spans="1:63" hidden="1" x14ac:dyDescent="0.3">
      <c r="A134" t="s">
        <v>286</v>
      </c>
      <c r="B134" t="s">
        <v>664</v>
      </c>
      <c r="D134" t="s">
        <v>101</v>
      </c>
      <c r="E134" t="s">
        <v>102</v>
      </c>
      <c r="F134" t="s">
        <v>103</v>
      </c>
      <c r="G134" t="s">
        <v>104</v>
      </c>
      <c r="H134" t="s">
        <v>16</v>
      </c>
      <c r="I134" t="s">
        <v>16</v>
      </c>
      <c r="J134" t="s">
        <v>105</v>
      </c>
      <c r="K134" s="2">
        <v>154101262</v>
      </c>
      <c r="L134" t="s">
        <v>306</v>
      </c>
      <c r="M134" t="s">
        <v>302</v>
      </c>
      <c r="N134">
        <f>_xlfn.XLOOKUP(Portefeuille_MNT_PPS_Access30[[#This Row],[Numéro projet]], Portefeuille_MNT_PPS_Access20[Numéro projet], Portefeuille_MNT_PPS_Access20[Année DÉBUT Travaux prévu], "")</f>
        <v>0</v>
      </c>
      <c r="P134">
        <f>Portefeuille_MNT_PPS_Access30[[#This Row],[Année DÉBUT Travaux proposé]]-Portefeuille_MNT_PPS_Access30[[#This Row],[Année DÉBUT Travaux prog actuelle]]</f>
        <v>0</v>
      </c>
      <c r="Q134" s="8" t="e">
        <f>_xlfn.XLOOKUP(Portefeuille_MNT_PPS_Access30[[#This Row],[Numéro projet]],#REF!,#REF!, "")</f>
        <v>#REF!</v>
      </c>
      <c r="R134" s="8" t="e">
        <f>Portefeuille_MNT_PPS_Access30[[#This Row],[Année prog actuelle à jour]]-Portefeuille_MNT_PPS_Access30[[#This Row],[Année DÉBUT Travaux proposé]]</f>
        <v>#REF!</v>
      </c>
      <c r="S134" t="s">
        <v>164</v>
      </c>
      <c r="T134" s="1">
        <v>43612</v>
      </c>
      <c r="U134" s="1">
        <v>44098</v>
      </c>
      <c r="V134" s="1">
        <v>44188</v>
      </c>
      <c r="W134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34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34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3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16</v>
      </c>
      <c r="AA13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</v>
      </c>
      <c r="AB134">
        <f>Portefeuille_MNT_PPS_Access30[[#This Row],[Délais PC1 et PC3]]+Portefeuille_MNT_PPS_Access30[[#This Row],[Délais PC3 et PC5]]</f>
        <v>19</v>
      </c>
      <c r="AD134">
        <v>1</v>
      </c>
      <c r="AF134" t="s">
        <v>165</v>
      </c>
      <c r="AG134">
        <v>4</v>
      </c>
      <c r="AH134" s="2" t="e">
        <f>_xlfn.XLOOKUP(Portefeuille_MNT_PPS_Access30[[#This Row],[Numéro projet]],Portefeuille_MNT_PPS_Access27[Numéro projet],Portefeuille_MNT_PPS_Access27[Critère Etat Infrastructure])</f>
        <v>#N/A</v>
      </c>
      <c r="AI134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4" s="221"/>
      <c r="AK134">
        <v>640</v>
      </c>
      <c r="AL134">
        <v>6783</v>
      </c>
      <c r="AM134">
        <v>36</v>
      </c>
      <c r="AN134"/>
      <c r="AX134"/>
      <c r="BK134" s="14">
        <f>SUM(Portefeuille_MNT_PPS_Access30[[#This Row],[AC ANT]:[TR 2035]])</f>
        <v>7459</v>
      </c>
    </row>
    <row r="135" spans="1:63" hidden="1" x14ac:dyDescent="0.3">
      <c r="A135" t="s">
        <v>286</v>
      </c>
      <c r="B135" t="s">
        <v>663</v>
      </c>
      <c r="D135" t="s">
        <v>101</v>
      </c>
      <c r="E135" t="s">
        <v>102</v>
      </c>
      <c r="F135" t="s">
        <v>177</v>
      </c>
      <c r="G135" t="s">
        <v>104</v>
      </c>
      <c r="H135" t="s">
        <v>16</v>
      </c>
      <c r="I135" t="s">
        <v>325</v>
      </c>
      <c r="J135" t="s">
        <v>131</v>
      </c>
      <c r="K135" s="2">
        <v>154111623</v>
      </c>
      <c r="L135" t="s">
        <v>604</v>
      </c>
      <c r="M135" t="s">
        <v>214</v>
      </c>
      <c r="N135">
        <f>_xlfn.XLOOKUP(Portefeuille_MNT_PPS_Access30[[#This Row],[Numéro projet]], Portefeuille_MNT_PPS_Access20[Numéro projet], Portefeuille_MNT_PPS_Access20[Année DÉBUT Travaux prévu], "")</f>
        <v>0</v>
      </c>
      <c r="P135">
        <f>Portefeuille_MNT_PPS_Access30[[#This Row],[Année DÉBUT Travaux proposé]]-Portefeuille_MNT_PPS_Access30[[#This Row],[Année DÉBUT Travaux prog actuelle]]</f>
        <v>0</v>
      </c>
      <c r="Q135" s="8" t="e">
        <f>_xlfn.XLOOKUP(Portefeuille_MNT_PPS_Access30[[#This Row],[Numéro projet]],#REF!,#REF!, "")</f>
        <v>#REF!</v>
      </c>
      <c r="R135" s="8" t="e">
        <f>Portefeuille_MNT_PPS_Access30[[#This Row],[Année prog actuelle à jour]]-Portefeuille_MNT_PPS_Access30[[#This Row],[Année DÉBUT Travaux proposé]]</f>
        <v>#REF!</v>
      </c>
      <c r="S135" t="s">
        <v>291</v>
      </c>
      <c r="T135" s="1"/>
      <c r="U135" s="1"/>
      <c r="V135" s="1"/>
      <c r="W13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3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35">
        <f>Portefeuille_MNT_PPS_Access30[[#This Row],[Délais PC1 et PC3]]+Portefeuille_MNT_PPS_Access30[[#This Row],[Délais PC3 et PC5]]</f>
        <v>0</v>
      </c>
      <c r="AD135">
        <v>1</v>
      </c>
      <c r="AF135" t="s">
        <v>311</v>
      </c>
      <c r="AG135">
        <v>3</v>
      </c>
      <c r="AH135" s="2" t="e">
        <f>_xlfn.XLOOKUP(Portefeuille_MNT_PPS_Access30[[#This Row],[Numéro projet]],Portefeuille_MNT_PPS_Access27[Numéro projet],Portefeuille_MNT_PPS_Access27[Critère Etat Infrastructure])</f>
        <v>#N/A</v>
      </c>
      <c r="AI135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5" s="221"/>
      <c r="AK135">
        <v>96</v>
      </c>
      <c r="AL135">
        <v>399</v>
      </c>
      <c r="AM135">
        <v>5</v>
      </c>
      <c r="AN135"/>
      <c r="AX135"/>
      <c r="BK135" s="14">
        <f>SUM(Portefeuille_MNT_PPS_Access30[[#This Row],[AC ANT]:[TR 2035]])</f>
        <v>500</v>
      </c>
    </row>
    <row r="136" spans="1:63" hidden="1" x14ac:dyDescent="0.3">
      <c r="A136" t="s">
        <v>286</v>
      </c>
      <c r="B136" t="s">
        <v>295</v>
      </c>
      <c r="D136" t="s">
        <v>126</v>
      </c>
      <c r="E136" t="s">
        <v>127</v>
      </c>
      <c r="F136" t="s">
        <v>136</v>
      </c>
      <c r="G136" t="s">
        <v>104</v>
      </c>
      <c r="H136" t="s">
        <v>16</v>
      </c>
      <c r="I136" t="s">
        <v>16</v>
      </c>
      <c r="J136" t="s">
        <v>105</v>
      </c>
      <c r="K136" s="2">
        <v>154061991</v>
      </c>
      <c r="L136" t="s">
        <v>301</v>
      </c>
      <c r="M136" t="s">
        <v>302</v>
      </c>
      <c r="N136">
        <f>_xlfn.XLOOKUP(Portefeuille_MNT_PPS_Access30[[#This Row],[Numéro projet]], Portefeuille_MNT_PPS_Access20[Numéro projet], Portefeuille_MNT_PPS_Access20[Année DÉBUT Travaux prévu], "")</f>
        <v>0</v>
      </c>
      <c r="P136">
        <f>Portefeuille_MNT_PPS_Access30[[#This Row],[Année DÉBUT Travaux proposé]]-Portefeuille_MNT_PPS_Access30[[#This Row],[Année DÉBUT Travaux prog actuelle]]</f>
        <v>0</v>
      </c>
      <c r="Q136" s="8" t="e">
        <f>_xlfn.XLOOKUP(Portefeuille_MNT_PPS_Access30[[#This Row],[Numéro projet]],#REF!,#REF!, "")</f>
        <v>#REF!</v>
      </c>
      <c r="R136" s="8" t="e">
        <f>Portefeuille_MNT_PPS_Access30[[#This Row],[Année prog actuelle à jour]]-Portefeuille_MNT_PPS_Access30[[#This Row],[Année DÉBUT Travaux proposé]]</f>
        <v>#REF!</v>
      </c>
      <c r="S136" t="s">
        <v>164</v>
      </c>
      <c r="T136" s="1">
        <v>41907</v>
      </c>
      <c r="U136" s="1">
        <v>41968</v>
      </c>
      <c r="V136" s="1">
        <v>42045</v>
      </c>
      <c r="W136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36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36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3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2</v>
      </c>
      <c r="AA13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</v>
      </c>
      <c r="AB136">
        <f>Portefeuille_MNT_PPS_Access30[[#This Row],[Délais PC1 et PC3]]+Portefeuille_MNT_PPS_Access30[[#This Row],[Délais PC3 et PC5]]</f>
        <v>5</v>
      </c>
      <c r="AD136">
        <v>1</v>
      </c>
      <c r="AF136" t="s">
        <v>165</v>
      </c>
      <c r="AG136">
        <v>4</v>
      </c>
      <c r="AH136" s="2" t="e">
        <f>_xlfn.XLOOKUP(Portefeuille_MNT_PPS_Access30[[#This Row],[Numéro projet]],Portefeuille_MNT_PPS_Access27[Numéro projet],Portefeuille_MNT_PPS_Access27[Critère Etat Infrastructure])</f>
        <v>#N/A</v>
      </c>
      <c r="AI136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6" s="221"/>
      <c r="AK136">
        <v>2582</v>
      </c>
      <c r="AL136">
        <v>17091</v>
      </c>
      <c r="AM136">
        <v>25</v>
      </c>
      <c r="AN136">
        <v>98</v>
      </c>
      <c r="AO136">
        <v>10</v>
      </c>
      <c r="AX136"/>
      <c r="BK136" s="14">
        <f>SUM(Portefeuille_MNT_PPS_Access30[[#This Row],[AC ANT]:[TR 2035]])</f>
        <v>19806</v>
      </c>
    </row>
    <row r="137" spans="1:63" hidden="1" x14ac:dyDescent="0.3">
      <c r="A137" t="s">
        <v>286</v>
      </c>
      <c r="B137" t="s">
        <v>662</v>
      </c>
      <c r="D137" t="s">
        <v>118</v>
      </c>
      <c r="E137" t="s">
        <v>102</v>
      </c>
      <c r="F137" t="s">
        <v>103</v>
      </c>
      <c r="H137" t="s">
        <v>16</v>
      </c>
      <c r="I137" t="s">
        <v>325</v>
      </c>
      <c r="J137" t="s">
        <v>131</v>
      </c>
      <c r="K137" s="2">
        <v>154160752</v>
      </c>
      <c r="L137" t="s">
        <v>318</v>
      </c>
      <c r="M137" t="s">
        <v>187</v>
      </c>
      <c r="N137">
        <f>_xlfn.XLOOKUP(Portefeuille_MNT_PPS_Access30[[#This Row],[Numéro projet]], Portefeuille_MNT_PPS_Access20[Numéro projet], Portefeuille_MNT_PPS_Access20[Année DÉBUT Travaux prévu], "")</f>
        <v>0</v>
      </c>
      <c r="P137">
        <f>Portefeuille_MNT_PPS_Access30[[#This Row],[Année DÉBUT Travaux proposé]]-Portefeuille_MNT_PPS_Access30[[#This Row],[Année DÉBUT Travaux prog actuelle]]</f>
        <v>0</v>
      </c>
      <c r="Q137" s="8" t="e">
        <f>_xlfn.XLOOKUP(Portefeuille_MNT_PPS_Access30[[#This Row],[Numéro projet]],#REF!,#REF!, "")</f>
        <v>#REF!</v>
      </c>
      <c r="R137" s="8" t="e">
        <f>Portefeuille_MNT_PPS_Access30[[#This Row],[Année prog actuelle à jour]]-Portefeuille_MNT_PPS_Access30[[#This Row],[Année DÉBUT Travaux proposé]]</f>
        <v>#REF!</v>
      </c>
      <c r="S137" t="s">
        <v>291</v>
      </c>
      <c r="T137" s="1"/>
      <c r="U137" s="1"/>
      <c r="V137" s="1"/>
      <c r="W13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3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37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3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3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37">
        <f>Portefeuille_MNT_PPS_Access30[[#This Row],[Délais PC1 et PC3]]+Portefeuille_MNT_PPS_Access30[[#This Row],[Délais PC3 et PC5]]</f>
        <v>0</v>
      </c>
      <c r="AD137">
        <v>1</v>
      </c>
      <c r="AF137" t="s">
        <v>311</v>
      </c>
      <c r="AG137">
        <v>3</v>
      </c>
      <c r="AH137" s="2" t="e">
        <f>_xlfn.XLOOKUP(Portefeuille_MNT_PPS_Access30[[#This Row],[Numéro projet]],Portefeuille_MNT_PPS_Access27[Numéro projet],Portefeuille_MNT_PPS_Access27[Critère Etat Infrastructure])</f>
        <v>#N/A</v>
      </c>
      <c r="AI137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7" s="221"/>
      <c r="AK137">
        <v>676</v>
      </c>
      <c r="AL137">
        <v>7943</v>
      </c>
      <c r="AM137">
        <v>17</v>
      </c>
      <c r="AN137"/>
      <c r="AX137"/>
      <c r="BK137" s="14">
        <f>SUM(Portefeuille_MNT_PPS_Access30[[#This Row],[AC ANT]:[TR 2035]])</f>
        <v>8636</v>
      </c>
    </row>
    <row r="138" spans="1:63" hidden="1" x14ac:dyDescent="0.3">
      <c r="A138" t="s">
        <v>286</v>
      </c>
      <c r="B138" t="s">
        <v>295</v>
      </c>
      <c r="D138" t="s">
        <v>126</v>
      </c>
      <c r="E138" t="s">
        <v>127</v>
      </c>
      <c r="F138" t="s">
        <v>136</v>
      </c>
      <c r="G138" t="s">
        <v>104</v>
      </c>
      <c r="H138" t="s">
        <v>16</v>
      </c>
      <c r="I138" t="s">
        <v>16</v>
      </c>
      <c r="J138" t="s">
        <v>131</v>
      </c>
      <c r="K138" s="2">
        <v>154091454</v>
      </c>
      <c r="L138" t="s">
        <v>304</v>
      </c>
      <c r="M138" t="s">
        <v>194</v>
      </c>
      <c r="N138">
        <f>_xlfn.XLOOKUP(Portefeuille_MNT_PPS_Access30[[#This Row],[Numéro projet]], Portefeuille_MNT_PPS_Access20[Numéro projet], Portefeuille_MNT_PPS_Access20[Année DÉBUT Travaux prévu], "")</f>
        <v>0</v>
      </c>
      <c r="P138">
        <f>Portefeuille_MNT_PPS_Access30[[#This Row],[Année DÉBUT Travaux proposé]]-Portefeuille_MNT_PPS_Access30[[#This Row],[Année DÉBUT Travaux prog actuelle]]</f>
        <v>0</v>
      </c>
      <c r="Q138" s="8" t="e">
        <f>_xlfn.XLOOKUP(Portefeuille_MNT_PPS_Access30[[#This Row],[Numéro projet]],#REF!,#REF!, "")</f>
        <v>#REF!</v>
      </c>
      <c r="R138" s="8" t="e">
        <f>Portefeuille_MNT_PPS_Access30[[#This Row],[Année prog actuelle à jour]]-Portefeuille_MNT_PPS_Access30[[#This Row],[Année DÉBUT Travaux proposé]]</f>
        <v>#REF!</v>
      </c>
      <c r="S138" t="s">
        <v>164</v>
      </c>
      <c r="T138" s="1">
        <v>43270</v>
      </c>
      <c r="U138" s="1">
        <v>44222</v>
      </c>
      <c r="V138" s="1">
        <v>44356</v>
      </c>
      <c r="W138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38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38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3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31</v>
      </c>
      <c r="AA13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5</v>
      </c>
      <c r="AB138">
        <f>Portefeuille_MNT_PPS_Access30[[#This Row],[Délais PC1 et PC3]]+Portefeuille_MNT_PPS_Access30[[#This Row],[Délais PC3 et PC5]]</f>
        <v>36</v>
      </c>
      <c r="AD138">
        <v>1</v>
      </c>
      <c r="AF138" t="s">
        <v>165</v>
      </c>
      <c r="AG138">
        <v>3.3333333333333335</v>
      </c>
      <c r="AH138" s="2" t="e">
        <f>_xlfn.XLOOKUP(Portefeuille_MNT_PPS_Access30[[#This Row],[Numéro projet]],Portefeuille_MNT_PPS_Access27[Numéro projet],Portefeuille_MNT_PPS_Access27[Critère Etat Infrastructure])</f>
        <v>#N/A</v>
      </c>
      <c r="AI138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8" s="221"/>
      <c r="AK138">
        <v>569</v>
      </c>
      <c r="AL138">
        <v>2223</v>
      </c>
      <c r="AM138">
        <v>18</v>
      </c>
      <c r="AN138">
        <v>92</v>
      </c>
      <c r="AX138"/>
      <c r="BK138" s="14">
        <f>SUM(Portefeuille_MNT_PPS_Access30[[#This Row],[AC ANT]:[TR 2035]])</f>
        <v>2902</v>
      </c>
    </row>
    <row r="139" spans="1:63" hidden="1" x14ac:dyDescent="0.3">
      <c r="A139" t="s">
        <v>286</v>
      </c>
      <c r="B139" t="s">
        <v>662</v>
      </c>
      <c r="D139" t="s">
        <v>118</v>
      </c>
      <c r="E139" t="s">
        <v>102</v>
      </c>
      <c r="F139" t="s">
        <v>103</v>
      </c>
      <c r="G139" t="s">
        <v>104</v>
      </c>
      <c r="H139" t="s">
        <v>16</v>
      </c>
      <c r="I139" t="s">
        <v>16</v>
      </c>
      <c r="J139" t="s">
        <v>131</v>
      </c>
      <c r="K139" s="2">
        <v>154171269</v>
      </c>
      <c r="L139" t="s">
        <v>320</v>
      </c>
      <c r="M139" t="s">
        <v>159</v>
      </c>
      <c r="N139">
        <f>_xlfn.XLOOKUP(Portefeuille_MNT_PPS_Access30[[#This Row],[Numéro projet]], Portefeuille_MNT_PPS_Access20[Numéro projet], Portefeuille_MNT_PPS_Access20[Année DÉBUT Travaux prévu], "")</f>
        <v>0</v>
      </c>
      <c r="P139">
        <f>Portefeuille_MNT_PPS_Access30[[#This Row],[Année DÉBUT Travaux proposé]]-Portefeuille_MNT_PPS_Access30[[#This Row],[Année DÉBUT Travaux prog actuelle]]</f>
        <v>0</v>
      </c>
      <c r="Q139" s="8" t="e">
        <f>_xlfn.XLOOKUP(Portefeuille_MNT_PPS_Access30[[#This Row],[Numéro projet]],#REF!,#REF!, "")</f>
        <v>#REF!</v>
      </c>
      <c r="R139" s="8" t="e">
        <f>Portefeuille_MNT_PPS_Access30[[#This Row],[Année prog actuelle à jour]]-Portefeuille_MNT_PPS_Access30[[#This Row],[Année DÉBUT Travaux proposé]]</f>
        <v>#REF!</v>
      </c>
      <c r="S139" t="s">
        <v>164</v>
      </c>
      <c r="T139" s="1">
        <v>44063</v>
      </c>
      <c r="U139" s="1">
        <v>44488</v>
      </c>
      <c r="V139" s="1">
        <v>44602</v>
      </c>
      <c r="W139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39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39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3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</v>
      </c>
      <c r="AA13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4</v>
      </c>
      <c r="AB139">
        <f>Portefeuille_MNT_PPS_Access30[[#This Row],[Délais PC1 et PC3]]+Portefeuille_MNT_PPS_Access30[[#This Row],[Délais PC3 et PC5]]</f>
        <v>18</v>
      </c>
      <c r="AD139">
        <v>1</v>
      </c>
      <c r="AF139" t="s">
        <v>165</v>
      </c>
      <c r="AG139">
        <v>4.333333333333333</v>
      </c>
      <c r="AH139" s="2" t="e">
        <f>_xlfn.XLOOKUP(Portefeuille_MNT_PPS_Access30[[#This Row],[Numéro projet]],Portefeuille_MNT_PPS_Access27[Numéro projet],Portefeuille_MNT_PPS_Access27[Critère Etat Infrastructure])</f>
        <v>#N/A</v>
      </c>
      <c r="AI139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39" s="221"/>
      <c r="AK139">
        <v>334</v>
      </c>
      <c r="AL139">
        <v>5521</v>
      </c>
      <c r="AM139">
        <v>24</v>
      </c>
      <c r="AN139"/>
      <c r="AO139">
        <v>28</v>
      </c>
      <c r="AX139"/>
      <c r="BK139" s="14">
        <f>SUM(Portefeuille_MNT_PPS_Access30[[#This Row],[AC ANT]:[TR 2035]])</f>
        <v>5907</v>
      </c>
    </row>
    <row r="140" spans="1:63" hidden="1" x14ac:dyDescent="0.3">
      <c r="A140" t="s">
        <v>286</v>
      </c>
      <c r="B140" t="s">
        <v>295</v>
      </c>
      <c r="D140" t="s">
        <v>126</v>
      </c>
      <c r="E140" t="s">
        <v>127</v>
      </c>
      <c r="F140" t="s">
        <v>136</v>
      </c>
      <c r="G140" t="s">
        <v>104</v>
      </c>
      <c r="H140" t="s">
        <v>16</v>
      </c>
      <c r="I140" t="s">
        <v>16</v>
      </c>
      <c r="J140" t="s">
        <v>131</v>
      </c>
      <c r="K140" s="2">
        <v>154130267</v>
      </c>
      <c r="L140" t="s">
        <v>308</v>
      </c>
      <c r="M140" t="s">
        <v>159</v>
      </c>
      <c r="N140">
        <f>_xlfn.XLOOKUP(Portefeuille_MNT_PPS_Access30[[#This Row],[Numéro projet]], Portefeuille_MNT_PPS_Access20[Numéro projet], Portefeuille_MNT_PPS_Access20[Année DÉBUT Travaux prévu], "")</f>
        <v>0</v>
      </c>
      <c r="P140">
        <f>Portefeuille_MNT_PPS_Access30[[#This Row],[Année DÉBUT Travaux proposé]]-Portefeuille_MNT_PPS_Access30[[#This Row],[Année DÉBUT Travaux prog actuelle]]</f>
        <v>0</v>
      </c>
      <c r="Q140" s="8" t="e">
        <f>_xlfn.XLOOKUP(Portefeuille_MNT_PPS_Access30[[#This Row],[Numéro projet]],#REF!,#REF!, "")</f>
        <v>#REF!</v>
      </c>
      <c r="R140" s="8" t="e">
        <f>Portefeuille_MNT_PPS_Access30[[#This Row],[Année prog actuelle à jour]]-Portefeuille_MNT_PPS_Access30[[#This Row],[Année DÉBUT Travaux proposé]]</f>
        <v>#REF!</v>
      </c>
      <c r="S140" t="s">
        <v>164</v>
      </c>
      <c r="T140" s="1"/>
      <c r="U140" s="1">
        <v>42992</v>
      </c>
      <c r="V140" s="1">
        <v>43783</v>
      </c>
      <c r="W140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0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40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1412</v>
      </c>
      <c r="AA14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26</v>
      </c>
      <c r="AB140">
        <f>Portefeuille_MNT_PPS_Access30[[#This Row],[Délais PC1 et PC3]]+Portefeuille_MNT_PPS_Access30[[#This Row],[Délais PC3 et PC5]]</f>
        <v>1438</v>
      </c>
      <c r="AD140">
        <v>1</v>
      </c>
      <c r="AF140" t="s">
        <v>165</v>
      </c>
      <c r="AG140">
        <v>4.333333333333333</v>
      </c>
      <c r="AH140" s="2" t="e">
        <f>_xlfn.XLOOKUP(Portefeuille_MNT_PPS_Access30[[#This Row],[Numéro projet]],Portefeuille_MNT_PPS_Access27[Numéro projet],Portefeuille_MNT_PPS_Access27[Critère Etat Infrastructure])</f>
        <v>#N/A</v>
      </c>
      <c r="AI140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0" s="221"/>
      <c r="AK140">
        <v>2779</v>
      </c>
      <c r="AL140">
        <v>15336</v>
      </c>
      <c r="AM140">
        <v>16</v>
      </c>
      <c r="AN140"/>
      <c r="AX140"/>
      <c r="BK140" s="14">
        <f>SUM(Portefeuille_MNT_PPS_Access30[[#This Row],[AC ANT]:[TR 2035]])</f>
        <v>18131</v>
      </c>
    </row>
    <row r="141" spans="1:63" hidden="1" x14ac:dyDescent="0.3">
      <c r="A141" t="s">
        <v>286</v>
      </c>
      <c r="B141" t="s">
        <v>663</v>
      </c>
      <c r="D141" t="s">
        <v>101</v>
      </c>
      <c r="E141" t="s">
        <v>102</v>
      </c>
      <c r="F141" t="s">
        <v>136</v>
      </c>
      <c r="G141" t="s">
        <v>140</v>
      </c>
      <c r="H141" t="s">
        <v>16</v>
      </c>
      <c r="I141" t="s">
        <v>16</v>
      </c>
      <c r="J141" t="s">
        <v>131</v>
      </c>
      <c r="K141" s="2">
        <v>154180746</v>
      </c>
      <c r="L141" t="s">
        <v>361</v>
      </c>
      <c r="M141" t="s">
        <v>134</v>
      </c>
      <c r="N141">
        <f>_xlfn.XLOOKUP(Portefeuille_MNT_PPS_Access30[[#This Row],[Numéro projet]], Portefeuille_MNT_PPS_Access20[Numéro projet], Portefeuille_MNT_PPS_Access20[Année DÉBUT Travaux prévu], "")</f>
        <v>0</v>
      </c>
      <c r="P141">
        <f>Portefeuille_MNT_PPS_Access30[[#This Row],[Année DÉBUT Travaux proposé]]-Portefeuille_MNT_PPS_Access30[[#This Row],[Année DÉBUT Travaux prog actuelle]]</f>
        <v>0</v>
      </c>
      <c r="Q141" s="8" t="e">
        <f>_xlfn.XLOOKUP(Portefeuille_MNT_PPS_Access30[[#This Row],[Numéro projet]],#REF!,#REF!, "")</f>
        <v>#REF!</v>
      </c>
      <c r="R141" s="8" t="e">
        <f>Portefeuille_MNT_PPS_Access30[[#This Row],[Année prog actuelle à jour]]-Portefeuille_MNT_PPS_Access30[[#This Row],[Année DÉBUT Travaux proposé]]</f>
        <v>#REF!</v>
      </c>
      <c r="S141" t="s">
        <v>164</v>
      </c>
      <c r="T141" s="1">
        <v>43390</v>
      </c>
      <c r="U141" s="1"/>
      <c r="V141" s="1">
        <v>44890</v>
      </c>
      <c r="W141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4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1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-1425</v>
      </c>
      <c r="AA14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1474</v>
      </c>
      <c r="AB141">
        <f>Portefeuille_MNT_PPS_Access30[[#This Row],[Délais PC1 et PC3]]+Portefeuille_MNT_PPS_Access30[[#This Row],[Délais PC3 et PC5]]</f>
        <v>49</v>
      </c>
      <c r="AD141">
        <v>1</v>
      </c>
      <c r="AF141" t="s">
        <v>165</v>
      </c>
      <c r="AG141">
        <v>2.3333333333333335</v>
      </c>
      <c r="AH141" s="2" t="e">
        <f>_xlfn.XLOOKUP(Portefeuille_MNT_PPS_Access30[[#This Row],[Numéro projet]],Portefeuille_MNT_PPS_Access27[Numéro projet],Portefeuille_MNT_PPS_Access27[Critère Etat Infrastructure])</f>
        <v>#N/A</v>
      </c>
      <c r="AI141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1" s="221"/>
      <c r="AK141">
        <v>37</v>
      </c>
      <c r="AM141">
        <v>18</v>
      </c>
      <c r="AN141">
        <v>288</v>
      </c>
      <c r="AX141"/>
      <c r="BK141" s="14">
        <f>SUM(Portefeuille_MNT_PPS_Access30[[#This Row],[AC ANT]:[TR 2035]])</f>
        <v>343</v>
      </c>
    </row>
    <row r="142" spans="1:63" hidden="1" x14ac:dyDescent="0.3">
      <c r="A142" t="s">
        <v>286</v>
      </c>
      <c r="B142" t="s">
        <v>663</v>
      </c>
      <c r="D142" t="s">
        <v>101</v>
      </c>
      <c r="E142" t="s">
        <v>102</v>
      </c>
      <c r="F142" t="s">
        <v>188</v>
      </c>
      <c r="G142" t="s">
        <v>113</v>
      </c>
      <c r="H142" t="s">
        <v>16</v>
      </c>
      <c r="I142" t="s">
        <v>16</v>
      </c>
      <c r="J142" t="s">
        <v>131</v>
      </c>
      <c r="K142" s="2">
        <v>154200233</v>
      </c>
      <c r="L142" t="s">
        <v>344</v>
      </c>
      <c r="M142" t="s">
        <v>139</v>
      </c>
      <c r="N142">
        <f>_xlfn.XLOOKUP(Portefeuille_MNT_PPS_Access30[[#This Row],[Numéro projet]], Portefeuille_MNT_PPS_Access20[Numéro projet], Portefeuille_MNT_PPS_Access20[Année DÉBUT Travaux prévu], "")</f>
        <v>0</v>
      </c>
      <c r="P142">
        <f>Portefeuille_MNT_PPS_Access30[[#This Row],[Année DÉBUT Travaux proposé]]-Portefeuille_MNT_PPS_Access30[[#This Row],[Année DÉBUT Travaux prog actuelle]]</f>
        <v>0</v>
      </c>
      <c r="Q142" s="8" t="e">
        <f>_xlfn.XLOOKUP(Portefeuille_MNT_PPS_Access30[[#This Row],[Numéro projet]],#REF!,#REF!, "")</f>
        <v>#REF!</v>
      </c>
      <c r="R142" s="8" t="e">
        <f>Portefeuille_MNT_PPS_Access30[[#This Row],[Année prog actuelle à jour]]-Portefeuille_MNT_PPS_Access30[[#This Row],[Année DÉBUT Travaux proposé]]</f>
        <v>#REF!</v>
      </c>
      <c r="S142" t="s">
        <v>164</v>
      </c>
      <c r="T142" s="1"/>
      <c r="U142" s="1"/>
      <c r="V142" s="1">
        <v>44672</v>
      </c>
      <c r="W142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2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2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4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1467</v>
      </c>
      <c r="AB142">
        <f>Portefeuille_MNT_PPS_Access30[[#This Row],[Délais PC1 et PC3]]+Portefeuille_MNT_PPS_Access30[[#This Row],[Délais PC3 et PC5]]</f>
        <v>1467</v>
      </c>
      <c r="AD142">
        <v>1</v>
      </c>
      <c r="AF142" t="s">
        <v>165</v>
      </c>
      <c r="AG142">
        <v>2</v>
      </c>
      <c r="AH142" s="2" t="e">
        <f>_xlfn.XLOOKUP(Portefeuille_MNT_PPS_Access30[[#This Row],[Numéro projet]],Portefeuille_MNT_PPS_Access27[Numéro projet],Portefeuille_MNT_PPS_Access27[Critère Etat Infrastructure])</f>
        <v>#N/A</v>
      </c>
      <c r="AI142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2" s="221"/>
      <c r="AK142">
        <v>84</v>
      </c>
      <c r="AL142">
        <v>819</v>
      </c>
      <c r="AM142">
        <v>12</v>
      </c>
      <c r="AN142">
        <v>11</v>
      </c>
      <c r="AX142"/>
      <c r="BK142" s="14">
        <f>SUM(Portefeuille_MNT_PPS_Access30[[#This Row],[AC ANT]:[TR 2035]])</f>
        <v>926</v>
      </c>
    </row>
    <row r="143" spans="1:63" hidden="1" x14ac:dyDescent="0.3">
      <c r="A143" t="s">
        <v>286</v>
      </c>
      <c r="B143" t="s">
        <v>662</v>
      </c>
      <c r="D143" t="s">
        <v>118</v>
      </c>
      <c r="E143" t="s">
        <v>102</v>
      </c>
      <c r="F143" t="s">
        <v>103</v>
      </c>
      <c r="H143" t="s">
        <v>16</v>
      </c>
      <c r="I143" t="s">
        <v>325</v>
      </c>
      <c r="J143" t="s">
        <v>131</v>
      </c>
      <c r="K143" s="2">
        <v>154171270</v>
      </c>
      <c r="L143" t="s">
        <v>525</v>
      </c>
      <c r="M143" t="s">
        <v>147</v>
      </c>
      <c r="N143">
        <f>_xlfn.XLOOKUP(Portefeuille_MNT_PPS_Access30[[#This Row],[Numéro projet]], Portefeuille_MNT_PPS_Access20[Numéro projet], Portefeuille_MNT_PPS_Access20[Année DÉBUT Travaux prévu], "")</f>
        <v>0</v>
      </c>
      <c r="P143">
        <f>Portefeuille_MNT_PPS_Access30[[#This Row],[Année DÉBUT Travaux proposé]]-Portefeuille_MNT_PPS_Access30[[#This Row],[Année DÉBUT Travaux prog actuelle]]</f>
        <v>0</v>
      </c>
      <c r="Q143" s="8" t="e">
        <f>_xlfn.XLOOKUP(Portefeuille_MNT_PPS_Access30[[#This Row],[Numéro projet]],#REF!,#REF!, "")</f>
        <v>#REF!</v>
      </c>
      <c r="R143" s="8" t="e">
        <f>Portefeuille_MNT_PPS_Access30[[#This Row],[Année prog actuelle à jour]]-Portefeuille_MNT_PPS_Access30[[#This Row],[Année DÉBUT Travaux proposé]]</f>
        <v>#REF!</v>
      </c>
      <c r="S143" t="s">
        <v>291</v>
      </c>
      <c r="T143" s="1"/>
      <c r="U143" s="1"/>
      <c r="V143" s="1"/>
      <c r="W14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3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3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4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4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43">
        <f>Portefeuille_MNT_PPS_Access30[[#This Row],[Délais PC1 et PC3]]+Portefeuille_MNT_PPS_Access30[[#This Row],[Délais PC3 et PC5]]</f>
        <v>0</v>
      </c>
      <c r="AD143">
        <v>1</v>
      </c>
      <c r="AF143" t="s">
        <v>311</v>
      </c>
      <c r="AG143">
        <v>2.6666666666666665</v>
      </c>
      <c r="AH143" s="2" t="e">
        <f>_xlfn.XLOOKUP(Portefeuille_MNT_PPS_Access30[[#This Row],[Numéro projet]],Portefeuille_MNT_PPS_Access27[Numéro projet],Portefeuille_MNT_PPS_Access27[Critère Etat Infrastructure])</f>
        <v>#N/A</v>
      </c>
      <c r="AI143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3" s="221"/>
      <c r="AK143">
        <v>468</v>
      </c>
      <c r="AL143">
        <v>4580</v>
      </c>
      <c r="AN143"/>
      <c r="AO143">
        <v>3</v>
      </c>
      <c r="AX143"/>
      <c r="BK143" s="14">
        <f>SUM(Portefeuille_MNT_PPS_Access30[[#This Row],[AC ANT]:[TR 2035]])</f>
        <v>5051</v>
      </c>
    </row>
    <row r="144" spans="1:63" hidden="1" x14ac:dyDescent="0.3">
      <c r="A144" t="s">
        <v>286</v>
      </c>
      <c r="B144" t="s">
        <v>295</v>
      </c>
      <c r="D144" t="s">
        <v>126</v>
      </c>
      <c r="E144" t="s">
        <v>127</v>
      </c>
      <c r="F144" t="s">
        <v>128</v>
      </c>
      <c r="G144" t="s">
        <v>129</v>
      </c>
      <c r="H144" t="s">
        <v>16</v>
      </c>
      <c r="I144" t="s">
        <v>16</v>
      </c>
      <c r="J144" t="s">
        <v>131</v>
      </c>
      <c r="K144" s="2">
        <v>154171295</v>
      </c>
      <c r="L144" t="s">
        <v>324</v>
      </c>
      <c r="M144" t="s">
        <v>214</v>
      </c>
      <c r="N144">
        <f>_xlfn.XLOOKUP(Portefeuille_MNT_PPS_Access30[[#This Row],[Numéro projet]], Portefeuille_MNT_PPS_Access20[Numéro projet], Portefeuille_MNT_PPS_Access20[Année DÉBUT Travaux prévu], "")</f>
        <v>0</v>
      </c>
      <c r="P144">
        <f>Portefeuille_MNT_PPS_Access30[[#This Row],[Année DÉBUT Travaux proposé]]-Portefeuille_MNT_PPS_Access30[[#This Row],[Année DÉBUT Travaux prog actuelle]]</f>
        <v>0</v>
      </c>
      <c r="Q144" s="8" t="e">
        <f>_xlfn.XLOOKUP(Portefeuille_MNT_PPS_Access30[[#This Row],[Numéro projet]],#REF!,#REF!, "")</f>
        <v>#REF!</v>
      </c>
      <c r="R144" s="8" t="e">
        <f>Portefeuille_MNT_PPS_Access30[[#This Row],[Année prog actuelle à jour]]-Portefeuille_MNT_PPS_Access30[[#This Row],[Année DÉBUT Travaux proposé]]</f>
        <v>#REF!</v>
      </c>
      <c r="S144" t="s">
        <v>164</v>
      </c>
      <c r="T144" s="1">
        <v>44644</v>
      </c>
      <c r="U144" s="1">
        <v>44995</v>
      </c>
      <c r="V144" s="1">
        <v>45061</v>
      </c>
      <c r="W144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44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44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12</v>
      </c>
      <c r="AA14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2</v>
      </c>
      <c r="AB144">
        <f>Portefeuille_MNT_PPS_Access30[[#This Row],[Délais PC1 et PC3]]+Portefeuille_MNT_PPS_Access30[[#This Row],[Délais PC3 et PC5]]</f>
        <v>14</v>
      </c>
      <c r="AD144">
        <v>1</v>
      </c>
      <c r="AF144" t="s">
        <v>165</v>
      </c>
      <c r="AG144">
        <v>3</v>
      </c>
      <c r="AH144" s="2" t="e">
        <f>_xlfn.XLOOKUP(Portefeuille_MNT_PPS_Access30[[#This Row],[Numéro projet]],Portefeuille_MNT_PPS_Access27[Numéro projet],Portefeuille_MNT_PPS_Access27[Critère Etat Infrastructure])</f>
        <v>#N/A</v>
      </c>
      <c r="AI144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4" s="221"/>
      <c r="AK144">
        <v>80</v>
      </c>
      <c r="AL144">
        <v>347</v>
      </c>
      <c r="AM144">
        <v>46</v>
      </c>
      <c r="AN144">
        <v>141</v>
      </c>
      <c r="AX144"/>
      <c r="BK144" s="14">
        <f>SUM(Portefeuille_MNT_PPS_Access30[[#This Row],[AC ANT]:[TR 2035]])</f>
        <v>614</v>
      </c>
    </row>
    <row r="145" spans="1:65" hidden="1" x14ac:dyDescent="0.3">
      <c r="A145" t="s">
        <v>286</v>
      </c>
      <c r="B145" t="s">
        <v>664</v>
      </c>
      <c r="D145" t="s">
        <v>101</v>
      </c>
      <c r="E145" t="s">
        <v>102</v>
      </c>
      <c r="F145" t="s">
        <v>103</v>
      </c>
      <c r="H145" t="s">
        <v>16</v>
      </c>
      <c r="I145" t="s">
        <v>325</v>
      </c>
      <c r="J145" t="s">
        <v>131</v>
      </c>
      <c r="K145" s="2">
        <v>154171402</v>
      </c>
      <c r="L145" t="s">
        <v>327</v>
      </c>
      <c r="M145" t="s">
        <v>183</v>
      </c>
      <c r="N145">
        <f>_xlfn.XLOOKUP(Portefeuille_MNT_PPS_Access30[[#This Row],[Numéro projet]], Portefeuille_MNT_PPS_Access20[Numéro projet], Portefeuille_MNT_PPS_Access20[Année DÉBUT Travaux prévu], "")</f>
        <v>0</v>
      </c>
      <c r="P145">
        <f>Portefeuille_MNT_PPS_Access30[[#This Row],[Année DÉBUT Travaux proposé]]-Portefeuille_MNT_PPS_Access30[[#This Row],[Année DÉBUT Travaux prog actuelle]]</f>
        <v>0</v>
      </c>
      <c r="Q145" s="8" t="e">
        <f>_xlfn.XLOOKUP(Portefeuille_MNT_PPS_Access30[[#This Row],[Numéro projet]],#REF!,#REF!, "")</f>
        <v>#REF!</v>
      </c>
      <c r="R145" s="8" t="e">
        <f>Portefeuille_MNT_PPS_Access30[[#This Row],[Année prog actuelle à jour]]-Portefeuille_MNT_PPS_Access30[[#This Row],[Année DÉBUT Travaux proposé]]</f>
        <v>#REF!</v>
      </c>
      <c r="S145" t="s">
        <v>291</v>
      </c>
      <c r="T145" s="1"/>
      <c r="U145" s="1"/>
      <c r="V145" s="1"/>
      <c r="W14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4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4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45">
        <f>Portefeuille_MNT_PPS_Access30[[#This Row],[Délais PC1 et PC3]]+Portefeuille_MNT_PPS_Access30[[#This Row],[Délais PC3 et PC5]]</f>
        <v>0</v>
      </c>
      <c r="AD145">
        <v>1</v>
      </c>
      <c r="AF145" t="s">
        <v>311</v>
      </c>
      <c r="AG145">
        <v>2.3333333333333335</v>
      </c>
      <c r="AH145" s="2" t="e">
        <f>_xlfn.XLOOKUP(Portefeuille_MNT_PPS_Access30[[#This Row],[Numéro projet]],Portefeuille_MNT_PPS_Access27[Numéro projet],Portefeuille_MNT_PPS_Access27[Critère Etat Infrastructure])</f>
        <v>#N/A</v>
      </c>
      <c r="AI145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5" s="221"/>
      <c r="AK145">
        <v>595</v>
      </c>
      <c r="AL145">
        <v>3578</v>
      </c>
      <c r="AN145"/>
      <c r="AO145">
        <v>1</v>
      </c>
      <c r="AX145"/>
      <c r="BK145" s="14">
        <f>SUM(Portefeuille_MNT_PPS_Access30[[#This Row],[AC ANT]:[TR 2035]])</f>
        <v>4174</v>
      </c>
    </row>
    <row r="146" spans="1:65" hidden="1" x14ac:dyDescent="0.3">
      <c r="A146" t="s">
        <v>286</v>
      </c>
      <c r="B146" t="s">
        <v>664</v>
      </c>
      <c r="D146" t="s">
        <v>101</v>
      </c>
      <c r="E146" t="s">
        <v>102</v>
      </c>
      <c r="F146" t="s">
        <v>200</v>
      </c>
      <c r="H146" t="s">
        <v>16</v>
      </c>
      <c r="I146" t="s">
        <v>325</v>
      </c>
      <c r="J146" t="s">
        <v>131</v>
      </c>
      <c r="K146" s="2">
        <v>154171405</v>
      </c>
      <c r="L146" t="s">
        <v>329</v>
      </c>
      <c r="M146" t="s">
        <v>152</v>
      </c>
      <c r="N146">
        <f>_xlfn.XLOOKUP(Portefeuille_MNT_PPS_Access30[[#This Row],[Numéro projet]], Portefeuille_MNT_PPS_Access20[Numéro projet], Portefeuille_MNT_PPS_Access20[Année DÉBUT Travaux prévu], "")</f>
        <v>0</v>
      </c>
      <c r="P146">
        <f>Portefeuille_MNT_PPS_Access30[[#This Row],[Année DÉBUT Travaux proposé]]-Portefeuille_MNT_PPS_Access30[[#This Row],[Année DÉBUT Travaux prog actuelle]]</f>
        <v>0</v>
      </c>
      <c r="Q146" s="8" t="e">
        <f>_xlfn.XLOOKUP(Portefeuille_MNT_PPS_Access30[[#This Row],[Numéro projet]],#REF!,#REF!, "")</f>
        <v>#REF!</v>
      </c>
      <c r="R146" s="8" t="e">
        <f>Portefeuille_MNT_PPS_Access30[[#This Row],[Année prog actuelle à jour]]-Portefeuille_MNT_PPS_Access30[[#This Row],[Année DÉBUT Travaux proposé]]</f>
        <v>#REF!</v>
      </c>
      <c r="S146" t="s">
        <v>291</v>
      </c>
      <c r="T146" s="1"/>
      <c r="U146" s="1"/>
      <c r="V146" s="1"/>
      <c r="W14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6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6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4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4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46">
        <f>Portefeuille_MNT_PPS_Access30[[#This Row],[Délais PC1 et PC3]]+Portefeuille_MNT_PPS_Access30[[#This Row],[Délais PC3 et PC5]]</f>
        <v>0</v>
      </c>
      <c r="AD146">
        <v>1</v>
      </c>
      <c r="AF146" t="s">
        <v>311</v>
      </c>
      <c r="AG146">
        <v>3.3333333333333335</v>
      </c>
      <c r="AH146" s="2" t="e">
        <f>_xlfn.XLOOKUP(Portefeuille_MNT_PPS_Access30[[#This Row],[Numéro projet]],Portefeuille_MNT_PPS_Access27[Numéro projet],Portefeuille_MNT_PPS_Access27[Critère Etat Infrastructure])</f>
        <v>#N/A</v>
      </c>
      <c r="AI146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6" s="221"/>
      <c r="AK146">
        <v>186</v>
      </c>
      <c r="AL146">
        <v>3019</v>
      </c>
      <c r="AN146"/>
      <c r="AO146">
        <v>9</v>
      </c>
      <c r="AX146"/>
      <c r="BK146" s="14">
        <f>SUM(Portefeuille_MNT_PPS_Access30[[#This Row],[AC ANT]:[TR 2035]])</f>
        <v>3214</v>
      </c>
    </row>
    <row r="147" spans="1:65" hidden="1" x14ac:dyDescent="0.3">
      <c r="A147" t="s">
        <v>286</v>
      </c>
      <c r="B147" t="s">
        <v>664</v>
      </c>
      <c r="D147" t="s">
        <v>101</v>
      </c>
      <c r="E147" t="s">
        <v>102</v>
      </c>
      <c r="F147" t="s">
        <v>103</v>
      </c>
      <c r="G147" t="s">
        <v>129</v>
      </c>
      <c r="H147" t="s">
        <v>16</v>
      </c>
      <c r="I147" t="s">
        <v>16</v>
      </c>
      <c r="J147" t="s">
        <v>105</v>
      </c>
      <c r="K147" s="2">
        <v>154180005</v>
      </c>
      <c r="L147" t="s">
        <v>357</v>
      </c>
      <c r="M147" t="s">
        <v>116</v>
      </c>
      <c r="N147">
        <f>_xlfn.XLOOKUP(Portefeuille_MNT_PPS_Access30[[#This Row],[Numéro projet]], Portefeuille_MNT_PPS_Access20[Numéro projet], Portefeuille_MNT_PPS_Access20[Année DÉBUT Travaux prévu], "")</f>
        <v>0</v>
      </c>
      <c r="P147">
        <f>Portefeuille_MNT_PPS_Access30[[#This Row],[Année DÉBUT Travaux proposé]]-Portefeuille_MNT_PPS_Access30[[#This Row],[Année DÉBUT Travaux prog actuelle]]</f>
        <v>0</v>
      </c>
      <c r="Q147" s="8" t="e">
        <f>_xlfn.XLOOKUP(Portefeuille_MNT_PPS_Access30[[#This Row],[Numéro projet]],#REF!,#REF!, "")</f>
        <v>#REF!</v>
      </c>
      <c r="R147" s="8" t="e">
        <f>Portefeuille_MNT_PPS_Access30[[#This Row],[Année prog actuelle à jour]]-Portefeuille_MNT_PPS_Access30[[#This Row],[Année DÉBUT Travaux proposé]]</f>
        <v>#REF!</v>
      </c>
      <c r="S147" t="s">
        <v>164</v>
      </c>
      <c r="T147" s="1"/>
      <c r="U147" s="1">
        <v>44911</v>
      </c>
      <c r="V147" s="1">
        <v>45167</v>
      </c>
      <c r="W14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7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47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1475</v>
      </c>
      <c r="AA14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8</v>
      </c>
      <c r="AB147">
        <f>Portefeuille_MNT_PPS_Access30[[#This Row],[Délais PC1 et PC3]]+Portefeuille_MNT_PPS_Access30[[#This Row],[Délais PC3 et PC5]]</f>
        <v>1483</v>
      </c>
      <c r="AD147">
        <v>1</v>
      </c>
      <c r="AF147" t="s">
        <v>165</v>
      </c>
      <c r="AG147">
        <v>3.3333333333333335</v>
      </c>
      <c r="AH147" s="2" t="e">
        <f>_xlfn.XLOOKUP(Portefeuille_MNT_PPS_Access30[[#This Row],[Numéro projet]],Portefeuille_MNT_PPS_Access27[Numéro projet],Portefeuille_MNT_PPS_Access27[Critère Etat Infrastructure])</f>
        <v>#N/A</v>
      </c>
      <c r="AI147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7" s="221"/>
      <c r="AK147">
        <v>16</v>
      </c>
      <c r="AM147">
        <v>19</v>
      </c>
      <c r="AN147">
        <v>1816</v>
      </c>
      <c r="AX147"/>
      <c r="BK147" s="14">
        <f>SUM(Portefeuille_MNT_PPS_Access30[[#This Row],[AC ANT]:[TR 2035]])</f>
        <v>1851</v>
      </c>
    </row>
    <row r="148" spans="1:65" hidden="1" x14ac:dyDescent="0.3">
      <c r="A148" t="s">
        <v>286</v>
      </c>
      <c r="B148" t="s">
        <v>662</v>
      </c>
      <c r="D148" t="s">
        <v>118</v>
      </c>
      <c r="E148" t="s">
        <v>102</v>
      </c>
      <c r="F148" t="s">
        <v>136</v>
      </c>
      <c r="G148" t="s">
        <v>129</v>
      </c>
      <c r="H148" t="s">
        <v>16</v>
      </c>
      <c r="I148" t="s">
        <v>16</v>
      </c>
      <c r="J148" t="s">
        <v>131</v>
      </c>
      <c r="K148" s="2">
        <v>154200567</v>
      </c>
      <c r="L148" t="s">
        <v>346</v>
      </c>
      <c r="M148" t="s">
        <v>147</v>
      </c>
      <c r="N148">
        <f>_xlfn.XLOOKUP(Portefeuille_MNT_PPS_Access30[[#This Row],[Numéro projet]], Portefeuille_MNT_PPS_Access20[Numéro projet], Portefeuille_MNT_PPS_Access20[Année DÉBUT Travaux prévu], "")</f>
        <v>0</v>
      </c>
      <c r="P148">
        <f>Portefeuille_MNT_PPS_Access30[[#This Row],[Année DÉBUT Travaux proposé]]-Portefeuille_MNT_PPS_Access30[[#This Row],[Année DÉBUT Travaux prog actuelle]]</f>
        <v>0</v>
      </c>
      <c r="Q148" s="8" t="e">
        <f>_xlfn.XLOOKUP(Portefeuille_MNT_PPS_Access30[[#This Row],[Numéro projet]],#REF!,#REF!, "")</f>
        <v>#REF!</v>
      </c>
      <c r="R148" s="8" t="e">
        <f>Portefeuille_MNT_PPS_Access30[[#This Row],[Année prog actuelle à jour]]-Portefeuille_MNT_PPS_Access30[[#This Row],[Année DÉBUT Travaux proposé]]</f>
        <v>#REF!</v>
      </c>
      <c r="S148" t="s">
        <v>164</v>
      </c>
      <c r="T148" s="1"/>
      <c r="U148" s="1"/>
      <c r="V148" s="1"/>
      <c r="W148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48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48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48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48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48">
        <f>Portefeuille_MNT_PPS_Access30[[#This Row],[Délais PC1 et PC3]]+Portefeuille_MNT_PPS_Access30[[#This Row],[Délais PC3 et PC5]]</f>
        <v>0</v>
      </c>
      <c r="AD148">
        <v>1</v>
      </c>
      <c r="AF148" t="s">
        <v>165</v>
      </c>
      <c r="AG148">
        <v>2.6666666666666665</v>
      </c>
      <c r="AH148" s="2" t="e">
        <f>_xlfn.XLOOKUP(Portefeuille_MNT_PPS_Access30[[#This Row],[Numéro projet]],Portefeuille_MNT_PPS_Access27[Numéro projet],Portefeuille_MNT_PPS_Access27[Critère Etat Infrastructure])</f>
        <v>#N/A</v>
      </c>
      <c r="AI148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8" s="221"/>
      <c r="AL148">
        <v>151</v>
      </c>
      <c r="AM148">
        <v>1</v>
      </c>
      <c r="AN148">
        <v>44</v>
      </c>
      <c r="AX148"/>
      <c r="BK148" s="14">
        <f>SUM(Portefeuille_MNT_PPS_Access30[[#This Row],[AC ANT]:[TR 2035]])</f>
        <v>196</v>
      </c>
      <c r="BL148" s="57"/>
      <c r="BM148" s="57"/>
    </row>
    <row r="149" spans="1:65" hidden="1" x14ac:dyDescent="0.3">
      <c r="A149" t="s">
        <v>286</v>
      </c>
      <c r="B149" t="s">
        <v>664</v>
      </c>
      <c r="D149" t="s">
        <v>101</v>
      </c>
      <c r="E149" t="s">
        <v>102</v>
      </c>
      <c r="F149" t="s">
        <v>103</v>
      </c>
      <c r="G149" t="s">
        <v>113</v>
      </c>
      <c r="H149" t="s">
        <v>16</v>
      </c>
      <c r="I149" t="s">
        <v>16</v>
      </c>
      <c r="J149" t="s">
        <v>105</v>
      </c>
      <c r="K149" s="2">
        <v>154180843</v>
      </c>
      <c r="L149" t="s">
        <v>363</v>
      </c>
      <c r="M149" t="s">
        <v>122</v>
      </c>
      <c r="N149">
        <f>_xlfn.XLOOKUP(Portefeuille_MNT_PPS_Access30[[#This Row],[Numéro projet]], Portefeuille_MNT_PPS_Access20[Numéro projet], Portefeuille_MNT_PPS_Access20[Année DÉBUT Travaux prévu], "")</f>
        <v>0</v>
      </c>
      <c r="P149">
        <f>Portefeuille_MNT_PPS_Access30[[#This Row],[Année DÉBUT Travaux proposé]]-Portefeuille_MNT_PPS_Access30[[#This Row],[Année DÉBUT Travaux prog actuelle]]</f>
        <v>0</v>
      </c>
      <c r="Q149" s="8" t="e">
        <f>_xlfn.XLOOKUP(Portefeuille_MNT_PPS_Access30[[#This Row],[Numéro projet]],#REF!,#REF!, "")</f>
        <v>#REF!</v>
      </c>
      <c r="R149" s="8" t="e">
        <f>Portefeuille_MNT_PPS_Access30[[#This Row],[Année prog actuelle à jour]]-Portefeuille_MNT_PPS_Access30[[#This Row],[Année DÉBUT Travaux proposé]]</f>
        <v>#REF!</v>
      </c>
      <c r="S149" t="s">
        <v>164</v>
      </c>
      <c r="T149" s="1">
        <v>44316</v>
      </c>
      <c r="U149" s="1">
        <v>44636</v>
      </c>
      <c r="V149" s="1">
        <v>45084</v>
      </c>
      <c r="W149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49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49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49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11</v>
      </c>
      <c r="AA149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15</v>
      </c>
      <c r="AB149">
        <f>Portefeuille_MNT_PPS_Access30[[#This Row],[Délais PC1 et PC3]]+Portefeuille_MNT_PPS_Access30[[#This Row],[Délais PC3 et PC5]]</f>
        <v>26</v>
      </c>
      <c r="AD149">
        <v>1</v>
      </c>
      <c r="AF149" t="s">
        <v>165</v>
      </c>
      <c r="AG149">
        <v>4</v>
      </c>
      <c r="AH149" s="2" t="e">
        <f>_xlfn.XLOOKUP(Portefeuille_MNT_PPS_Access30[[#This Row],[Numéro projet]],Portefeuille_MNT_PPS_Access27[Numéro projet],Portefeuille_MNT_PPS_Access27[Critère Etat Infrastructure])</f>
        <v>#N/A</v>
      </c>
      <c r="AI149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49" s="221"/>
      <c r="AK149">
        <v>123</v>
      </c>
      <c r="AM149">
        <v>81</v>
      </c>
      <c r="AN149">
        <v>10747</v>
      </c>
      <c r="AO149">
        <v>178</v>
      </c>
      <c r="AX149"/>
      <c r="BK149" s="14">
        <f>SUM(Portefeuille_MNT_PPS_Access30[[#This Row],[AC ANT]:[TR 2035]])</f>
        <v>11129</v>
      </c>
    </row>
    <row r="150" spans="1:65" hidden="1" x14ac:dyDescent="0.3">
      <c r="A150" t="s">
        <v>286</v>
      </c>
      <c r="B150" t="s">
        <v>664</v>
      </c>
      <c r="D150" t="s">
        <v>101</v>
      </c>
      <c r="E150" t="s">
        <v>102</v>
      </c>
      <c r="F150" t="s">
        <v>200</v>
      </c>
      <c r="G150" t="s">
        <v>104</v>
      </c>
      <c r="H150" t="s">
        <v>16</v>
      </c>
      <c r="I150" t="s">
        <v>16</v>
      </c>
      <c r="J150" t="s">
        <v>105</v>
      </c>
      <c r="K150" s="2">
        <v>154190251</v>
      </c>
      <c r="L150" t="s">
        <v>339</v>
      </c>
      <c r="M150" t="s">
        <v>180</v>
      </c>
      <c r="N150">
        <f>_xlfn.XLOOKUP(Portefeuille_MNT_PPS_Access30[[#This Row],[Numéro projet]], Portefeuille_MNT_PPS_Access20[Numéro projet], Portefeuille_MNT_PPS_Access20[Année DÉBUT Travaux prévu], "")</f>
        <v>0</v>
      </c>
      <c r="P150">
        <f>Portefeuille_MNT_PPS_Access30[[#This Row],[Année DÉBUT Travaux proposé]]-Portefeuille_MNT_PPS_Access30[[#This Row],[Année DÉBUT Travaux prog actuelle]]</f>
        <v>0</v>
      </c>
      <c r="Q150" s="8" t="e">
        <f>_xlfn.XLOOKUP(Portefeuille_MNT_PPS_Access30[[#This Row],[Numéro projet]],#REF!,#REF!, "")</f>
        <v>#REF!</v>
      </c>
      <c r="R150" s="8" t="e">
        <f>Portefeuille_MNT_PPS_Access30[[#This Row],[Année prog actuelle à jour]]-Portefeuille_MNT_PPS_Access30[[#This Row],[Année DÉBUT Travaux proposé]]</f>
        <v>#REF!</v>
      </c>
      <c r="S150" t="s">
        <v>164</v>
      </c>
      <c r="T150" s="1">
        <v>43360</v>
      </c>
      <c r="U150" s="1">
        <v>43671</v>
      </c>
      <c r="V150" s="1">
        <v>44217</v>
      </c>
      <c r="W150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50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50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0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10</v>
      </c>
      <c r="AA150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18</v>
      </c>
      <c r="AB150">
        <f>Portefeuille_MNT_PPS_Access30[[#This Row],[Délais PC1 et PC3]]+Portefeuille_MNT_PPS_Access30[[#This Row],[Délais PC3 et PC5]]</f>
        <v>28</v>
      </c>
      <c r="AD150">
        <v>1</v>
      </c>
      <c r="AF150" t="s">
        <v>165</v>
      </c>
      <c r="AG150">
        <v>2.833333333333333</v>
      </c>
      <c r="AH150" s="2" t="e">
        <f>_xlfn.XLOOKUP(Portefeuille_MNT_PPS_Access30[[#This Row],[Numéro projet]],Portefeuille_MNT_PPS_Access27[Numéro projet],Portefeuille_MNT_PPS_Access27[Critère Etat Infrastructure])</f>
        <v>#N/A</v>
      </c>
      <c r="AI150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0" s="221"/>
      <c r="AK150">
        <v>128</v>
      </c>
      <c r="AL150">
        <v>2061</v>
      </c>
      <c r="AM150">
        <v>142</v>
      </c>
      <c r="AN150"/>
      <c r="AO150">
        <v>65</v>
      </c>
      <c r="AX150"/>
      <c r="BK150" s="14">
        <f>SUM(Portefeuille_MNT_PPS_Access30[[#This Row],[AC ANT]:[TR 2035]])</f>
        <v>2396</v>
      </c>
    </row>
    <row r="151" spans="1:65" hidden="1" x14ac:dyDescent="0.3">
      <c r="A151" t="s">
        <v>11</v>
      </c>
      <c r="D151" t="s">
        <v>118</v>
      </c>
      <c r="E151" t="s">
        <v>102</v>
      </c>
      <c r="F151" t="s">
        <v>136</v>
      </c>
      <c r="G151" t="s">
        <v>129</v>
      </c>
      <c r="H151" t="s">
        <v>325</v>
      </c>
      <c r="I151" t="s">
        <v>16</v>
      </c>
      <c r="J151" t="s">
        <v>131</v>
      </c>
      <c r="K151" s="2">
        <v>154200568</v>
      </c>
      <c r="L151" t="s">
        <v>348</v>
      </c>
      <c r="M151" t="s">
        <v>214</v>
      </c>
      <c r="N151">
        <f>_xlfn.XLOOKUP(Portefeuille_MNT_PPS_Access30[[#This Row],[Numéro projet]], Portefeuille_MNT_PPS_Access20[Numéro projet], Portefeuille_MNT_PPS_Access20[Année DÉBUT Travaux prévu], "")</f>
        <v>0</v>
      </c>
      <c r="P151">
        <f>Portefeuille_MNT_PPS_Access30[[#This Row],[Année DÉBUT Travaux proposé]]-Portefeuille_MNT_PPS_Access30[[#This Row],[Année DÉBUT Travaux prog actuelle]]</f>
        <v>0</v>
      </c>
      <c r="Q151" s="8" t="e">
        <f>_xlfn.XLOOKUP(Portefeuille_MNT_PPS_Access30[[#This Row],[Numéro projet]],#REF!,#REF!, "")</f>
        <v>#REF!</v>
      </c>
      <c r="R151" s="8" t="e">
        <f>Portefeuille_MNT_PPS_Access30[[#This Row],[Année prog actuelle à jour]]-Portefeuille_MNT_PPS_Access30[[#This Row],[Année DÉBUT Travaux proposé]]</f>
        <v>#REF!</v>
      </c>
      <c r="S151" t="s">
        <v>297</v>
      </c>
      <c r="T151" s="1"/>
      <c r="U151" s="1"/>
      <c r="V151" s="1">
        <v>45037</v>
      </c>
      <c r="W151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1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51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1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51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1479</v>
      </c>
      <c r="AB151">
        <f>Portefeuille_MNT_PPS_Access30[[#This Row],[Délais PC1 et PC3]]+Portefeuille_MNT_PPS_Access30[[#This Row],[Délais PC3 et PC5]]</f>
        <v>1479</v>
      </c>
      <c r="AD151">
        <v>1</v>
      </c>
      <c r="AF151" t="s">
        <v>349</v>
      </c>
      <c r="AG151">
        <v>3</v>
      </c>
      <c r="AH151" s="2" t="e">
        <f>_xlfn.XLOOKUP(Portefeuille_MNT_PPS_Access30[[#This Row],[Numéro projet]],Portefeuille_MNT_PPS_Access27[Numéro projet],Portefeuille_MNT_PPS_Access27[Critère Etat Infrastructure])</f>
        <v>#N/A</v>
      </c>
      <c r="AI151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1" s="221"/>
      <c r="AL151">
        <v>36</v>
      </c>
      <c r="AN151">
        <v>4</v>
      </c>
      <c r="AX151"/>
      <c r="BK151" s="14">
        <f>SUM(Portefeuille_MNT_PPS_Access30[[#This Row],[AC ANT]:[TR 2035]])</f>
        <v>40</v>
      </c>
    </row>
    <row r="152" spans="1:65" hidden="1" x14ac:dyDescent="0.3">
      <c r="A152" t="s">
        <v>286</v>
      </c>
      <c r="B152" t="s">
        <v>662</v>
      </c>
      <c r="D152" t="s">
        <v>118</v>
      </c>
      <c r="E152" t="s">
        <v>102</v>
      </c>
      <c r="F152" t="s">
        <v>103</v>
      </c>
      <c r="G152" t="s">
        <v>340</v>
      </c>
      <c r="H152" t="s">
        <v>16</v>
      </c>
      <c r="I152" t="s">
        <v>16</v>
      </c>
      <c r="J152" t="s">
        <v>131</v>
      </c>
      <c r="K152" s="2">
        <v>154190477</v>
      </c>
      <c r="L152" t="s">
        <v>342</v>
      </c>
      <c r="M152" t="s">
        <v>147</v>
      </c>
      <c r="N152">
        <f>_xlfn.XLOOKUP(Portefeuille_MNT_PPS_Access30[[#This Row],[Numéro projet]], Portefeuille_MNT_PPS_Access20[Numéro projet], Portefeuille_MNT_PPS_Access20[Année DÉBUT Travaux prévu], "")</f>
        <v>0</v>
      </c>
      <c r="P152">
        <f>Portefeuille_MNT_PPS_Access30[[#This Row],[Année DÉBUT Travaux proposé]]-Portefeuille_MNT_PPS_Access30[[#This Row],[Année DÉBUT Travaux prog actuelle]]</f>
        <v>0</v>
      </c>
      <c r="Q152" s="8" t="e">
        <f>_xlfn.XLOOKUP(Portefeuille_MNT_PPS_Access30[[#This Row],[Numéro projet]],#REF!,#REF!, "")</f>
        <v>#REF!</v>
      </c>
      <c r="R152" s="8" t="e">
        <f>Portefeuille_MNT_PPS_Access30[[#This Row],[Année prog actuelle à jour]]-Portefeuille_MNT_PPS_Access30[[#This Row],[Année DÉBUT Travaux proposé]]</f>
        <v>#REF!</v>
      </c>
      <c r="S152" t="s">
        <v>164</v>
      </c>
      <c r="T152" s="1">
        <v>44245</v>
      </c>
      <c r="U152" s="1">
        <v>44469</v>
      </c>
      <c r="V152" s="1">
        <v>44538</v>
      </c>
      <c r="W152" s="1" t="e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#NUM!</v>
      </c>
      <c r="X152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52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2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7</v>
      </c>
      <c r="AA152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</v>
      </c>
      <c r="AB152">
        <f>Portefeuille_MNT_PPS_Access30[[#This Row],[Délais PC1 et PC3]]+Portefeuille_MNT_PPS_Access30[[#This Row],[Délais PC3 et PC5]]</f>
        <v>10</v>
      </c>
      <c r="AD152">
        <v>1</v>
      </c>
      <c r="AF152" t="s">
        <v>165</v>
      </c>
      <c r="AG152">
        <v>2.6666666666666665</v>
      </c>
      <c r="AH152" s="2" t="e">
        <f>_xlfn.XLOOKUP(Portefeuille_MNT_PPS_Access30[[#This Row],[Numéro projet]],Portefeuille_MNT_PPS_Access27[Numéro projet],Portefeuille_MNT_PPS_Access27[Critère Etat Infrastructure])</f>
        <v>#N/A</v>
      </c>
      <c r="AI152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2" s="221"/>
      <c r="AK152">
        <v>603</v>
      </c>
      <c r="AL152">
        <v>10120</v>
      </c>
      <c r="AM152">
        <v>13</v>
      </c>
      <c r="AN152">
        <v>169</v>
      </c>
      <c r="AO152">
        <v>60</v>
      </c>
      <c r="AX152"/>
      <c r="BK152" s="14">
        <f>SUM(Portefeuille_MNT_PPS_Access30[[#This Row],[AC ANT]:[TR 2035]])</f>
        <v>10965</v>
      </c>
      <c r="BL152" s="57"/>
      <c r="BM152" s="57"/>
    </row>
    <row r="153" spans="1:65" hidden="1" x14ac:dyDescent="0.3">
      <c r="A153" t="s">
        <v>286</v>
      </c>
      <c r="B153" t="s">
        <v>662</v>
      </c>
      <c r="D153" t="s">
        <v>118</v>
      </c>
      <c r="E153" t="s">
        <v>102</v>
      </c>
      <c r="F153" t="s">
        <v>136</v>
      </c>
      <c r="G153" t="s">
        <v>340</v>
      </c>
      <c r="H153" t="s">
        <v>16</v>
      </c>
      <c r="I153" t="s">
        <v>16</v>
      </c>
      <c r="J153" t="s">
        <v>105</v>
      </c>
      <c r="K153" s="2">
        <v>154210133</v>
      </c>
      <c r="L153" t="s">
        <v>353</v>
      </c>
      <c r="M153" t="s">
        <v>180</v>
      </c>
      <c r="N153">
        <f>_xlfn.XLOOKUP(Portefeuille_MNT_PPS_Access30[[#This Row],[Numéro projet]], Portefeuille_MNT_PPS_Access20[Numéro projet], Portefeuille_MNT_PPS_Access20[Année DÉBUT Travaux prévu], "")</f>
        <v>0</v>
      </c>
      <c r="P153">
        <f>Portefeuille_MNT_PPS_Access30[[#This Row],[Année DÉBUT Travaux proposé]]-Portefeuille_MNT_PPS_Access30[[#This Row],[Année DÉBUT Travaux prog actuelle]]</f>
        <v>0</v>
      </c>
      <c r="Q153" s="8" t="e">
        <f>_xlfn.XLOOKUP(Portefeuille_MNT_PPS_Access30[[#This Row],[Numéro projet]],#REF!,#REF!, "")</f>
        <v>#REF!</v>
      </c>
      <c r="R153" s="8" t="e">
        <f>Portefeuille_MNT_PPS_Access30[[#This Row],[Année prog actuelle à jour]]-Portefeuille_MNT_PPS_Access30[[#This Row],[Année DÉBUT Travaux proposé]]</f>
        <v>#REF!</v>
      </c>
      <c r="S153" t="s">
        <v>164</v>
      </c>
      <c r="T153" s="1"/>
      <c r="U153" s="1">
        <v>44965</v>
      </c>
      <c r="V153" s="1">
        <v>45113</v>
      </c>
      <c r="W153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3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53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3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1477</v>
      </c>
      <c r="AA153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5</v>
      </c>
      <c r="AB153">
        <f>Portefeuille_MNT_PPS_Access30[[#This Row],[Délais PC1 et PC3]]+Portefeuille_MNT_PPS_Access30[[#This Row],[Délais PC3 et PC5]]</f>
        <v>1482</v>
      </c>
      <c r="AD153">
        <v>1</v>
      </c>
      <c r="AF153" t="s">
        <v>165</v>
      </c>
      <c r="AG153">
        <v>4</v>
      </c>
      <c r="AH153" s="2" t="e">
        <f>_xlfn.XLOOKUP(Portefeuille_MNT_PPS_Access30[[#This Row],[Numéro projet]],Portefeuille_MNT_PPS_Access27[Numéro projet],Portefeuille_MNT_PPS_Access27[Critère Etat Infrastructure])</f>
        <v>#N/A</v>
      </c>
      <c r="AI153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3" s="221"/>
      <c r="AK153">
        <v>87</v>
      </c>
      <c r="AL153">
        <v>304</v>
      </c>
      <c r="AM153">
        <v>35</v>
      </c>
      <c r="AN153">
        <v>958</v>
      </c>
      <c r="AX153"/>
      <c r="BK153" s="14">
        <f>SUM(Portefeuille_MNT_PPS_Access30[[#This Row],[AC ANT]:[TR 2035]])</f>
        <v>1384</v>
      </c>
    </row>
    <row r="154" spans="1:65" hidden="1" x14ac:dyDescent="0.3">
      <c r="A154" t="s">
        <v>286</v>
      </c>
      <c r="D154" t="s">
        <v>101</v>
      </c>
      <c r="E154" t="s">
        <v>102</v>
      </c>
      <c r="F154" t="s">
        <v>177</v>
      </c>
      <c r="G154" t="s">
        <v>149</v>
      </c>
      <c r="H154" t="s">
        <v>16</v>
      </c>
      <c r="I154" t="s">
        <v>16</v>
      </c>
      <c r="J154" t="s">
        <v>131</v>
      </c>
      <c r="K154" s="2">
        <v>154200670</v>
      </c>
      <c r="L154" t="s">
        <v>351</v>
      </c>
      <c r="M154" t="s">
        <v>152</v>
      </c>
      <c r="N154">
        <f>_xlfn.XLOOKUP(Portefeuille_MNT_PPS_Access30[[#This Row],[Numéro projet]], Portefeuille_MNT_PPS_Access20[Numéro projet], Portefeuille_MNT_PPS_Access20[Année DÉBUT Travaux prévu], "")</f>
        <v>0</v>
      </c>
      <c r="P154">
        <f>Portefeuille_MNT_PPS_Access30[[#This Row],[Année DÉBUT Travaux proposé]]-Portefeuille_MNT_PPS_Access30[[#This Row],[Année DÉBUT Travaux prog actuelle]]</f>
        <v>0</v>
      </c>
      <c r="Q154" s="8" t="e">
        <f>_xlfn.XLOOKUP(Portefeuille_MNT_PPS_Access30[[#This Row],[Numéro projet]],#REF!,#REF!, "")</f>
        <v>#REF!</v>
      </c>
      <c r="R154" s="8" t="e">
        <f>Portefeuille_MNT_PPS_Access30[[#This Row],[Année prog actuelle à jour]]-Portefeuille_MNT_PPS_Access30[[#This Row],[Année DÉBUT Travaux proposé]]</f>
        <v>#REF!</v>
      </c>
      <c r="S154" t="s">
        <v>164</v>
      </c>
      <c r="T154" s="1"/>
      <c r="U154" s="1">
        <v>44880</v>
      </c>
      <c r="V154" s="1">
        <v>44914</v>
      </c>
      <c r="W154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4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54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4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1474</v>
      </c>
      <c r="AA154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</v>
      </c>
      <c r="AB154">
        <f>Portefeuille_MNT_PPS_Access30[[#This Row],[Délais PC1 et PC3]]+Portefeuille_MNT_PPS_Access30[[#This Row],[Délais PC3 et PC5]]</f>
        <v>1475</v>
      </c>
      <c r="AD154">
        <v>1</v>
      </c>
      <c r="AF154" t="s">
        <v>165</v>
      </c>
      <c r="AG154">
        <v>3.3333333333333335</v>
      </c>
      <c r="AH154" s="2" t="e">
        <f>_xlfn.XLOOKUP(Portefeuille_MNT_PPS_Access30[[#This Row],[Numéro projet]],Portefeuille_MNT_PPS_Access27[Numéro projet],Portefeuille_MNT_PPS_Access27[Critère Etat Infrastructure])</f>
        <v>#N/A</v>
      </c>
      <c r="AI154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4" s="221"/>
      <c r="AK154">
        <v>14</v>
      </c>
      <c r="AL154">
        <v>2970</v>
      </c>
      <c r="AN154">
        <v>52</v>
      </c>
      <c r="AX154"/>
      <c r="BK154" s="14">
        <f>SUM(Portefeuille_MNT_PPS_Access30[[#This Row],[AC ANT]:[TR 2035]])</f>
        <v>3036</v>
      </c>
    </row>
    <row r="155" spans="1:65" hidden="1" x14ac:dyDescent="0.3">
      <c r="A155" t="s">
        <v>286</v>
      </c>
      <c r="B155" t="s">
        <v>662</v>
      </c>
      <c r="D155" t="s">
        <v>118</v>
      </c>
      <c r="E155" t="s">
        <v>102</v>
      </c>
      <c r="F155" t="s">
        <v>103</v>
      </c>
      <c r="G155" t="s">
        <v>340</v>
      </c>
      <c r="H155" t="s">
        <v>16</v>
      </c>
      <c r="I155" t="s">
        <v>16</v>
      </c>
      <c r="J155" t="s">
        <v>105</v>
      </c>
      <c r="K155" s="2">
        <v>154230638</v>
      </c>
      <c r="L155" t="s">
        <v>355</v>
      </c>
      <c r="M155" t="s">
        <v>143</v>
      </c>
      <c r="N155">
        <f>_xlfn.XLOOKUP(Portefeuille_MNT_PPS_Access30[[#This Row],[Numéro projet]], Portefeuille_MNT_PPS_Access20[Numéro projet], Portefeuille_MNT_PPS_Access20[Année DÉBUT Travaux prévu], "")</f>
        <v>0</v>
      </c>
      <c r="P155">
        <f>Portefeuille_MNT_PPS_Access30[[#This Row],[Année DÉBUT Travaux proposé]]-Portefeuille_MNT_PPS_Access30[[#This Row],[Année DÉBUT Travaux prog actuelle]]</f>
        <v>0</v>
      </c>
      <c r="Q155" s="8" t="e">
        <f>_xlfn.XLOOKUP(Portefeuille_MNT_PPS_Access30[[#This Row],[Numéro projet]],#REF!,#REF!, "")</f>
        <v>#REF!</v>
      </c>
      <c r="R155" s="8" t="e">
        <f>Portefeuille_MNT_PPS_Access30[[#This Row],[Année prog actuelle à jour]]-Portefeuille_MNT_PPS_Access30[[#This Row],[Année DÉBUT Travaux proposé]]</f>
        <v>#REF!</v>
      </c>
      <c r="S155" t="s">
        <v>164</v>
      </c>
      <c r="T155" s="1"/>
      <c r="U155" s="1"/>
      <c r="V155" s="1"/>
      <c r="W155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5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55" s="1" t="str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X</v>
      </c>
      <c r="Z155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55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0</v>
      </c>
      <c r="AB155">
        <f>Portefeuille_MNT_PPS_Access30[[#This Row],[Délais PC1 et PC3]]+Portefeuille_MNT_PPS_Access30[[#This Row],[Délais PC3 et PC5]]</f>
        <v>0</v>
      </c>
      <c r="AD155">
        <v>1</v>
      </c>
      <c r="AF155" t="s">
        <v>165</v>
      </c>
      <c r="AG155">
        <v>4.333333333333333</v>
      </c>
      <c r="AH155" s="2" t="e">
        <f>_xlfn.XLOOKUP(Portefeuille_MNT_PPS_Access30[[#This Row],[Numéro projet]],Portefeuille_MNT_PPS_Access27[Numéro projet],Portefeuille_MNT_PPS_Access27[Critère Etat Infrastructure])</f>
        <v>#N/A</v>
      </c>
      <c r="AI155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5" s="221"/>
      <c r="AK155">
        <v>173</v>
      </c>
      <c r="AL155">
        <v>7850</v>
      </c>
      <c r="AM155">
        <v>3</v>
      </c>
      <c r="AN155">
        <v>173</v>
      </c>
      <c r="AX155"/>
      <c r="BK155" s="14">
        <f>SUM(Portefeuille_MNT_PPS_Access30[[#This Row],[AC ANT]:[TR 2035]])</f>
        <v>8199</v>
      </c>
    </row>
    <row r="156" spans="1:65" hidden="1" x14ac:dyDescent="0.3">
      <c r="A156" t="s">
        <v>286</v>
      </c>
      <c r="B156" t="s">
        <v>295</v>
      </c>
      <c r="D156" t="s">
        <v>126</v>
      </c>
      <c r="E156" t="s">
        <v>127</v>
      </c>
      <c r="F156" t="s">
        <v>136</v>
      </c>
      <c r="G156" t="s">
        <v>113</v>
      </c>
      <c r="H156" t="s">
        <v>16</v>
      </c>
      <c r="I156" t="s">
        <v>16</v>
      </c>
      <c r="J156" t="s">
        <v>105</v>
      </c>
      <c r="K156" s="2">
        <v>154951715</v>
      </c>
      <c r="L156" t="s">
        <v>359</v>
      </c>
      <c r="M156" t="s">
        <v>108</v>
      </c>
      <c r="N156">
        <f>_xlfn.XLOOKUP(Portefeuille_MNT_PPS_Access30[[#This Row],[Numéro projet]], Portefeuille_MNT_PPS_Access20[Numéro projet], Portefeuille_MNT_PPS_Access20[Année DÉBUT Travaux prévu], "")</f>
        <v>0</v>
      </c>
      <c r="P156">
        <f>Portefeuille_MNT_PPS_Access30[[#This Row],[Année DÉBUT Travaux proposé]]-Portefeuille_MNT_PPS_Access30[[#This Row],[Année DÉBUT Travaux prog actuelle]]</f>
        <v>0</v>
      </c>
      <c r="Q156" s="8" t="e">
        <f>_xlfn.XLOOKUP(Portefeuille_MNT_PPS_Access30[[#This Row],[Numéro projet]],#REF!,#REF!, "")</f>
        <v>#REF!</v>
      </c>
      <c r="R156" s="8" t="e">
        <f>Portefeuille_MNT_PPS_Access30[[#This Row],[Année prog actuelle à jour]]-Portefeuille_MNT_PPS_Access30[[#This Row],[Année DÉBUT Travaux proposé]]</f>
        <v>#REF!</v>
      </c>
      <c r="S156" t="s">
        <v>164</v>
      </c>
      <c r="T156" s="1"/>
      <c r="U156" s="1">
        <v>42383</v>
      </c>
      <c r="V156" s="1">
        <v>43404</v>
      </c>
      <c r="W156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6" s="1" t="e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#NUM!</v>
      </c>
      <c r="Y156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6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1392</v>
      </c>
      <c r="AA156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33</v>
      </c>
      <c r="AB156">
        <f>Portefeuille_MNT_PPS_Access30[[#This Row],[Délais PC1 et PC3]]+Portefeuille_MNT_PPS_Access30[[#This Row],[Délais PC3 et PC5]]</f>
        <v>1425</v>
      </c>
      <c r="AD156">
        <v>1</v>
      </c>
      <c r="AF156" t="s">
        <v>165</v>
      </c>
      <c r="AG156">
        <v>4</v>
      </c>
      <c r="AH156" s="2" t="e">
        <f>_xlfn.XLOOKUP(Portefeuille_MNT_PPS_Access30[[#This Row],[Numéro projet]],Portefeuille_MNT_PPS_Access27[Numéro projet],Portefeuille_MNT_PPS_Access27[Critère Etat Infrastructure])</f>
        <v>#N/A</v>
      </c>
      <c r="AI156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6" s="221"/>
      <c r="AK156">
        <v>2099</v>
      </c>
      <c r="AL156">
        <v>8991</v>
      </c>
      <c r="AM156">
        <v>93</v>
      </c>
      <c r="AN156"/>
      <c r="AO156">
        <v>29</v>
      </c>
      <c r="AX156"/>
      <c r="BK156" s="14">
        <f>SUM(Portefeuille_MNT_PPS_Access30[[#This Row],[AC ANT]:[TR 2035]])</f>
        <v>11212</v>
      </c>
    </row>
    <row r="157" spans="1:65" hidden="1" x14ac:dyDescent="0.3">
      <c r="A157" t="s">
        <v>11</v>
      </c>
      <c r="B157" t="s">
        <v>662</v>
      </c>
      <c r="D157" t="s">
        <v>118</v>
      </c>
      <c r="E157" t="s">
        <v>102</v>
      </c>
      <c r="F157" t="s">
        <v>177</v>
      </c>
      <c r="G157" t="s">
        <v>104</v>
      </c>
      <c r="H157" t="s">
        <v>16</v>
      </c>
      <c r="I157" t="s">
        <v>16</v>
      </c>
      <c r="J157" t="s">
        <v>105</v>
      </c>
      <c r="K157" s="2">
        <v>154951716</v>
      </c>
      <c r="L157" t="s">
        <v>199</v>
      </c>
      <c r="M157" t="s">
        <v>108</v>
      </c>
      <c r="N157">
        <f>_xlfn.XLOOKUP(Portefeuille_MNT_PPS_Access30[[#This Row],[Numéro projet]], Portefeuille_MNT_PPS_Access20[Numéro projet], Portefeuille_MNT_PPS_Access20[Année DÉBUT Travaux prévu], "")</f>
        <v>0</v>
      </c>
      <c r="P157">
        <f>Portefeuille_MNT_PPS_Access30[[#This Row],[Année DÉBUT Travaux proposé]]-Portefeuille_MNT_PPS_Access30[[#This Row],[Année DÉBUT Travaux prog actuelle]]</f>
        <v>0</v>
      </c>
      <c r="Q157" s="8" t="e">
        <f>_xlfn.XLOOKUP(Portefeuille_MNT_PPS_Access30[[#This Row],[Numéro projet]],#REF!,#REF!, "")</f>
        <v>#REF!</v>
      </c>
      <c r="R157" s="8" t="e">
        <f>Portefeuille_MNT_PPS_Access30[[#This Row],[Année prog actuelle à jour]]-Portefeuille_MNT_PPS_Access30[[#This Row],[Année DÉBUT Travaux proposé]]</f>
        <v>#REF!</v>
      </c>
      <c r="S157" t="s">
        <v>297</v>
      </c>
      <c r="T157" s="1"/>
      <c r="U157" s="1"/>
      <c r="V157" s="1">
        <v>45176</v>
      </c>
      <c r="W157" s="1" t="str">
        <f xml:space="preserve"> IF(Portefeuille_MNT_PPS_Access30[[#This Row],[PC-1]] = "", "X",IF(Portefeuille_MNT_PPS_Access30[[#This Row],[PC-1]] &lt;= DATE(Portefeuille_MNT_PPS_Access30[[#This Row],[Année DÉBUT Travaux proposé]]- 3, 12, 15),"5.Respect OPC",IF(Portefeuille_MNT_PPS_Access30[[#This Row],[PC-1]] &lt;= DATE(Portefeuille_MNT_PPS_Access30[[#This Row],[Année DÉBUT Travaux proposé]]-2, 4, 1),"3.À risque","1.Très à risque")))</f>
        <v>X</v>
      </c>
      <c r="X157" s="1" t="str">
        <f xml:space="preserve"> IF(Portefeuille_MNT_PPS_Access30[[#This Row],[PC-3]] = "", "X",IF(Portefeuille_MNT_PPS_Access30[[#This Row],[PC-3]] &lt;= DATE(Portefeuille_MNT_PPS_Access30[[#This Row],[Année DÉBUT Travaux proposé]]- 2, 12, 15),"5.Respect OPC",IF(Portefeuille_MNT_PPS_Access30[[#This Row],[PC-3]] &lt;= DATE(Portefeuille_MNT_PPS_Access30[[#This Row],[Année DÉBUT Travaux proposé]]-1, 4, 1),"3.À risque","1.Très à risque")))</f>
        <v>X</v>
      </c>
      <c r="Y157" s="1" t="e">
        <f xml:space="preserve"> IF(Portefeuille_MNT_PPS_Access30[[#This Row],[PC-5]] = "", "X",IF(Portefeuille_MNT_PPS_Access30[[#This Row],[PC-5]] &lt;= DATE(Portefeuille_MNT_PPS_Access30[[#This Row],[Année DÉBUT Travaux proposé]]- 1, 12, 15),"5.Respect OPC",IF(Portefeuille_MNT_PPS_Access30[[#This Row],[PC-5]] &lt;= DATE(Portefeuille_MNT_PPS_Access30[[#This Row],[Année DÉBUT Travaux proposé]], 4, 1),"3.À risque","1.Très à risque")))</f>
        <v>#NUM!</v>
      </c>
      <c r="Z157">
        <f xml:space="preserve"> (YEAR(Portefeuille_MNT_PPS_Access30[[#This Row],[PC-3]]) - YEAR(Portefeuille_MNT_PPS_Access30[[#This Row],[PC-1]])) * 12 + MONTH(Portefeuille_MNT_PPS_Access30[[#This Row],[PC-3]]) - MONTH(Portefeuille_MNT_PPS_Access30[[#This Row],[PC-1]])</f>
        <v>0</v>
      </c>
      <c r="AA157">
        <f xml:space="preserve"> (YEAR(Portefeuille_MNT_PPS_Access30[[#This Row],[PC-5]]) - YEAR(Portefeuille_MNT_PPS_Access30[[#This Row],[PC-3]])) * 12 + MONTH(Portefeuille_MNT_PPS_Access30[[#This Row],[PC-5]]) - MONTH(Portefeuille_MNT_PPS_Access30[[#This Row],[PC-3]])</f>
        <v>1484</v>
      </c>
      <c r="AB157">
        <f>Portefeuille_MNT_PPS_Access30[[#This Row],[Délais PC1 et PC3]]+Portefeuille_MNT_PPS_Access30[[#This Row],[Délais PC3 et PC5]]</f>
        <v>1484</v>
      </c>
      <c r="AD157">
        <v>1</v>
      </c>
      <c r="AF157" t="s">
        <v>349</v>
      </c>
      <c r="AG157">
        <v>4</v>
      </c>
      <c r="AH157" s="2" t="e">
        <f>_xlfn.XLOOKUP(Portefeuille_MNT_PPS_Access30[[#This Row],[Numéro projet]],Portefeuille_MNT_PPS_Access27[Numéro projet],Portefeuille_MNT_PPS_Access27[Critère Etat Infrastructure])</f>
        <v>#N/A</v>
      </c>
      <c r="AI157" s="12" t="e">
        <f>IF(Portefeuille_MNT_PPS_Access30[[#This Row],[IND_PARA_25-26]]=5,100, SUM(IF(Portefeuille_MNT_PPS_Access30[[#This Row],[INDICE OPC]]="",Portefeuille_MNT_PPS_Access30[[#This Row],[IND_Etat_avancement]]*$AH$8/5,Portefeuille_MNT_PPS_Access30[[#This Row],[INDICE OPC]]*$AH$8/5),Portefeuille_MNT_PPS_Access30[[#This Row],[Critère Etat Infrastructure]]* $AH$10/5,Portefeuille_MNT_PPS_Access30[[#This Row],[IND_SITE_PRIO_2024]]* $AH$9/5,Portefeuille_MNT_PPS_Access30[[#This Row],[IND_PROJT_ANNONCE_25-27]]* $AH$7/5)*100)</f>
        <v>#N/A</v>
      </c>
      <c r="AJ157" s="221"/>
      <c r="AK157">
        <v>269</v>
      </c>
      <c r="AM157">
        <v>14</v>
      </c>
      <c r="AN157">
        <v>5</v>
      </c>
      <c r="AX157"/>
      <c r="BK157" s="14">
        <f>SUM(Portefeuille_MNT_PPS_Access30[[#This Row],[AC ANT]:[TR 2035]])</f>
        <v>288</v>
      </c>
    </row>
    <row r="158" spans="1:65" x14ac:dyDescent="0.3">
      <c r="K158">
        <f>SUBTOTAL(103,Portefeuille_MNT_PPS_Access30[Numéro projet])</f>
        <v>3</v>
      </c>
      <c r="AJ158" s="25"/>
      <c r="AK158" s="14">
        <f>SUBTOTAL(109,Portefeuille_MNT_PPS_Access30[AC ANT])</f>
        <v>198</v>
      </c>
      <c r="AL158" s="14">
        <f>SUBTOTAL(109,Portefeuille_MNT_PPS_Access30[TR ANT])</f>
        <v>0</v>
      </c>
      <c r="AM158" s="14">
        <f>SUBTOTAL(109,Portefeuille_MNT_PPS_Access30[AC 2024])</f>
        <v>460</v>
      </c>
      <c r="AN158" s="14">
        <f>SUBTOTAL(109,Portefeuille_MNT_PPS_Access30[TR 2024])</f>
        <v>0</v>
      </c>
      <c r="AO158" s="14">
        <f>SUBTOTAL(109,Portefeuille_MNT_PPS_Access30[AC 2025])</f>
        <v>528</v>
      </c>
      <c r="AP158" s="14">
        <f>SUBTOTAL(109,Portefeuille_MNT_PPS_Access30[TR 2025])</f>
        <v>0</v>
      </c>
      <c r="AQ158" s="14">
        <f>SUBTOTAL(109,Portefeuille_MNT_PPS_Access30[AC 2026])</f>
        <v>615</v>
      </c>
      <c r="AR158" s="14">
        <f>SUBTOTAL(109,Portefeuille_MNT_PPS_Access30[TR 2026])</f>
        <v>13174</v>
      </c>
      <c r="AS158" s="14">
        <f>SUBTOTAL(109,Portefeuille_MNT_PPS_Access30[AC 2027])</f>
        <v>646</v>
      </c>
      <c r="AT158" s="14">
        <f>SUBTOTAL(109,Portefeuille_MNT_PPS_Access30[TR 2027])</f>
        <v>19508</v>
      </c>
      <c r="AU158" s="14">
        <f>SUBTOTAL(109,Portefeuille_MNT_PPS_Access30[AC 2028])</f>
        <v>0</v>
      </c>
      <c r="AV158" s="14">
        <f>SUBTOTAL(109,Portefeuille_MNT_PPS_Access30[TR 2028])</f>
        <v>0</v>
      </c>
      <c r="AW158" s="14">
        <f>SUBTOTAL(109,Portefeuille_MNT_PPS_Access30[AC 2029])</f>
        <v>0</v>
      </c>
      <c r="AX158" s="14">
        <f>SUBTOTAL(109,Portefeuille_MNT_PPS_Access30[TR 2029])</f>
        <v>0</v>
      </c>
      <c r="AY158" s="14">
        <f>SUBTOTAL(109,Portefeuille_MNT_PPS_Access30[AC 2030])</f>
        <v>0</v>
      </c>
      <c r="AZ158" s="14">
        <f>SUBTOTAL(109,Portefeuille_MNT_PPS_Access30[TR 2030])</f>
        <v>0</v>
      </c>
      <c r="BA158" s="14">
        <f>SUBTOTAL(109,Portefeuille_MNT_PPS_Access30[AC 2031])</f>
        <v>0</v>
      </c>
      <c r="BB158" s="14">
        <f>SUBTOTAL(109,Portefeuille_MNT_PPS_Access30[TR 2031])</f>
        <v>0</v>
      </c>
      <c r="BC158" s="14">
        <f>SUBTOTAL(109,Portefeuille_MNT_PPS_Access30[AC 2032])</f>
        <v>0</v>
      </c>
      <c r="BD158" s="14">
        <f>SUBTOTAL(109,Portefeuille_MNT_PPS_Access30[TR 2032])</f>
        <v>0</v>
      </c>
      <c r="BE158" s="14">
        <f>SUBTOTAL(109,Portefeuille_MNT_PPS_Access30[AC 2033])</f>
        <v>0</v>
      </c>
      <c r="BF158" s="14">
        <f>SUBTOTAL(109,Portefeuille_MNT_PPS_Access30[TR 2033])</f>
        <v>0</v>
      </c>
      <c r="BG158" s="14">
        <f>SUBTOTAL(109,Portefeuille_MNT_PPS_Access30[AC 2034])</f>
        <v>0</v>
      </c>
      <c r="BH158" s="14">
        <f>SUBTOTAL(109,Portefeuille_MNT_PPS_Access30[TR 2034])</f>
        <v>0</v>
      </c>
      <c r="BI158" s="14">
        <f>SUBTOTAL(109,Portefeuille_MNT_PPS_Access30[AC 2035])</f>
        <v>0</v>
      </c>
      <c r="BJ158" s="14">
        <f>SUBTOTAL(109,Portefeuille_MNT_PPS_Access30[TR 2035])</f>
        <v>0</v>
      </c>
      <c r="BK158" s="14">
        <f>SUBTOTAL(109,Portefeuille_MNT_PPS_Access30[Total Projet])</f>
        <v>35129</v>
      </c>
    </row>
    <row r="159" spans="1:65" x14ac:dyDescent="0.3">
      <c r="BL159" s="57"/>
      <c r="BM159" s="57"/>
    </row>
    <row r="160" spans="1:65" x14ac:dyDescent="0.3"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</row>
    <row r="169" spans="64:66" x14ac:dyDescent="0.3">
      <c r="BL169" s="57"/>
      <c r="BM169" s="57"/>
      <c r="BN169" s="57"/>
    </row>
  </sheetData>
  <mergeCells count="186">
    <mergeCell ref="BC16:BD16"/>
    <mergeCell ref="BE16:BF16"/>
    <mergeCell ref="BG16:BH16"/>
    <mergeCell ref="BI16:BJ16"/>
    <mergeCell ref="BI15:BJ15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AW15:AX15"/>
    <mergeCell ref="AY15:AZ15"/>
    <mergeCell ref="BA15:BB15"/>
    <mergeCell ref="BC15:BD15"/>
    <mergeCell ref="BE15:BF15"/>
    <mergeCell ref="BG15:BH15"/>
    <mergeCell ref="AK15:AL15"/>
    <mergeCell ref="AM15:AN15"/>
    <mergeCell ref="AO15:AP15"/>
    <mergeCell ref="AQ15:AR15"/>
    <mergeCell ref="AS15:AT15"/>
    <mergeCell ref="AU15:AV15"/>
    <mergeCell ref="AY14:AZ14"/>
    <mergeCell ref="BA14:BB14"/>
    <mergeCell ref="BC14:BD14"/>
    <mergeCell ref="BE14:BF14"/>
    <mergeCell ref="BG14:BH14"/>
    <mergeCell ref="BI14:BJ14"/>
    <mergeCell ref="BE13:BF13"/>
    <mergeCell ref="BG13:BH13"/>
    <mergeCell ref="BI13:BJ13"/>
    <mergeCell ref="AY13:AZ13"/>
    <mergeCell ref="BA13:BB13"/>
    <mergeCell ref="BC13:BD13"/>
    <mergeCell ref="AK14:AL14"/>
    <mergeCell ref="AM14:AN14"/>
    <mergeCell ref="AO14:AP14"/>
    <mergeCell ref="AQ14:AR14"/>
    <mergeCell ref="AS14:AT14"/>
    <mergeCell ref="AU14:AV14"/>
    <mergeCell ref="AW14:AX14"/>
    <mergeCell ref="AS13:AT13"/>
    <mergeCell ref="AU13:AV13"/>
    <mergeCell ref="AW13:AX13"/>
    <mergeCell ref="BA12:BB12"/>
    <mergeCell ref="BC12:BD12"/>
    <mergeCell ref="BE12:BF12"/>
    <mergeCell ref="BG12:BH12"/>
    <mergeCell ref="BI12:BJ12"/>
    <mergeCell ref="AI13:AJ13"/>
    <mergeCell ref="AK13:AL13"/>
    <mergeCell ref="AM13:AN13"/>
    <mergeCell ref="AO13:AP13"/>
    <mergeCell ref="AQ13:AR13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AU11:AV11"/>
    <mergeCell ref="AW11:AX11"/>
    <mergeCell ref="AY11:AZ11"/>
    <mergeCell ref="BC10:BD10"/>
    <mergeCell ref="BE10:BF10"/>
    <mergeCell ref="BG10:BH10"/>
    <mergeCell ref="BI10:BJ10"/>
    <mergeCell ref="AI11:AJ11"/>
    <mergeCell ref="AK11:AL11"/>
    <mergeCell ref="AM11:AN11"/>
    <mergeCell ref="AO11:AP11"/>
    <mergeCell ref="AQ11:AR11"/>
    <mergeCell ref="AS11:AT11"/>
    <mergeCell ref="BG11:BH11"/>
    <mergeCell ref="BI11:BJ11"/>
    <mergeCell ref="BA11:BB11"/>
    <mergeCell ref="BC11:BD11"/>
    <mergeCell ref="BE11:BF11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8:BD8"/>
    <mergeCell ref="BE8:BF8"/>
    <mergeCell ref="BG8:BH8"/>
    <mergeCell ref="BI8:BJ8"/>
    <mergeCell ref="AK9:AL9"/>
    <mergeCell ref="AM9:AN9"/>
    <mergeCell ref="AO9:AP9"/>
    <mergeCell ref="AQ9:AR9"/>
    <mergeCell ref="AS9:AT9"/>
    <mergeCell ref="AU9:AV9"/>
    <mergeCell ref="BI9:BJ9"/>
    <mergeCell ref="AW9:AX9"/>
    <mergeCell ref="AY9:AZ9"/>
    <mergeCell ref="BA9:BB9"/>
    <mergeCell ref="BC9:BD9"/>
    <mergeCell ref="BE9:BF9"/>
    <mergeCell ref="BG9:BH9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G6:BH6"/>
    <mergeCell ref="BI6:BJ6"/>
    <mergeCell ref="AK7:AL7"/>
    <mergeCell ref="AM7:AN7"/>
    <mergeCell ref="AO7:AP7"/>
    <mergeCell ref="AQ7:AR7"/>
    <mergeCell ref="AS7:AT7"/>
    <mergeCell ref="AU7:AV7"/>
    <mergeCell ref="BI7:BJ7"/>
    <mergeCell ref="AW7:AX7"/>
    <mergeCell ref="AY7:AZ7"/>
    <mergeCell ref="BA7:BB7"/>
    <mergeCell ref="BC7:BD7"/>
    <mergeCell ref="BE7:BF7"/>
    <mergeCell ref="BG7:BH7"/>
    <mergeCell ref="BI5:BJ5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AW5:AX5"/>
    <mergeCell ref="AY5:AZ5"/>
    <mergeCell ref="BA5:BB5"/>
    <mergeCell ref="BC5:BD5"/>
    <mergeCell ref="BE5:BF5"/>
    <mergeCell ref="BG5:BH5"/>
    <mergeCell ref="AK5:AL5"/>
    <mergeCell ref="AM5:AN5"/>
    <mergeCell ref="AO5:AP5"/>
    <mergeCell ref="AQ5:AR5"/>
    <mergeCell ref="AS5:AT5"/>
    <mergeCell ref="AU5:AV5"/>
    <mergeCell ref="BC6:BD6"/>
    <mergeCell ref="BE6:BF6"/>
    <mergeCell ref="BE4:BF4"/>
    <mergeCell ref="BG4:BH4"/>
    <mergeCell ref="BI4:BJ4"/>
    <mergeCell ref="BE3:BF3"/>
    <mergeCell ref="BG3:BH3"/>
    <mergeCell ref="BI3:BJ3"/>
    <mergeCell ref="AY3:AZ3"/>
    <mergeCell ref="BA3:BB3"/>
    <mergeCell ref="BC3:BD3"/>
    <mergeCell ref="AS4:AT4"/>
    <mergeCell ref="AU4:AV4"/>
    <mergeCell ref="AW4:AX4"/>
    <mergeCell ref="AS3:AT3"/>
    <mergeCell ref="AU3:AV3"/>
    <mergeCell ref="AW3:AX3"/>
    <mergeCell ref="AY4:AZ4"/>
    <mergeCell ref="BA4:BB4"/>
    <mergeCell ref="BC4:BD4"/>
    <mergeCell ref="I3:J3"/>
    <mergeCell ref="AI3:AJ3"/>
    <mergeCell ref="AK3:AL3"/>
    <mergeCell ref="AM3:AN3"/>
    <mergeCell ref="AO3:AP3"/>
    <mergeCell ref="AQ3:AR3"/>
    <mergeCell ref="AK4:AL4"/>
    <mergeCell ref="AM4:AN4"/>
    <mergeCell ref="AO4:AP4"/>
    <mergeCell ref="AQ4:AR4"/>
  </mergeCells>
  <conditionalFormatting sqref="W19:AC157">
    <cfRule type="containsText" dxfId="90" priority="1" operator="containsText" text="1.Très à risque">
      <formula>NOT(ISERROR(SEARCH("1.Très à risque",W19)))</formula>
    </cfRule>
    <cfRule type="containsText" dxfId="89" priority="2" operator="containsText" text="3.À risque">
      <formula>NOT(ISERROR(SEARCH("3.À risque",W19)))</formula>
    </cfRule>
    <cfRule type="containsText" dxfId="88" priority="3" operator="containsText" text="5.Respect OPC">
      <formula>NOT(ISERROR(SEARCH("5.Respect OPC",W19)))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0411763-51EB-4CE9-B400-D4FD7509173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AH19:AJ157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0279-AC5E-4AD1-9AA0-82BC7ADC2479}">
  <dimension ref="A1:BJ147"/>
  <sheetViews>
    <sheetView topLeftCell="I1" zoomScale="90" zoomScaleNormal="90" workbookViewId="0">
      <selection activeCell="A17" sqref="A17:BC84"/>
    </sheetView>
  </sheetViews>
  <sheetFormatPr baseColWidth="10" defaultColWidth="11.5546875" defaultRowHeight="14.4" outlineLevelCol="1" x14ac:dyDescent="0.3"/>
  <cols>
    <col min="1" max="1" width="15.33203125" hidden="1" customWidth="1" outlineLevel="1"/>
    <col min="2" max="2" width="11.44140625" hidden="1" customWidth="1" outlineLevel="1"/>
    <col min="3" max="3" width="8.109375" hidden="1" customWidth="1" outlineLevel="1"/>
    <col min="4" max="4" width="19.33203125" hidden="1" customWidth="1" outlineLevel="1"/>
    <col min="5" max="5" width="17.44140625" hidden="1" customWidth="1" outlineLevel="1"/>
    <col min="6" max="6" width="16" hidden="1" customWidth="1" outlineLevel="1"/>
    <col min="7" max="7" width="15.88671875" hidden="1" customWidth="1" outlineLevel="1"/>
    <col min="8" max="8" width="14.88671875" hidden="1" customWidth="1" outlineLevel="1"/>
    <col min="9" max="9" width="18.44140625" customWidth="1" collapsed="1"/>
    <col min="10" max="10" width="11.33203125" customWidth="1"/>
    <col min="11" max="11" width="13.6640625" customWidth="1"/>
    <col min="12" max="12" width="25.33203125" customWidth="1" collapsed="1"/>
    <col min="13" max="13" width="11.33203125" customWidth="1"/>
    <col min="14" max="14" width="28" bestFit="1" customWidth="1"/>
    <col min="15" max="16" width="13.6640625" customWidth="1"/>
    <col min="17" max="17" width="17.33203125" customWidth="1"/>
    <col min="18" max="18" width="12.6640625" customWidth="1"/>
    <col min="19" max="19" width="7.88671875" customWidth="1"/>
    <col min="20" max="21" width="9.44140625" customWidth="1"/>
    <col min="22" max="23" width="9.5546875" customWidth="1"/>
    <col min="24" max="24" width="9.33203125" customWidth="1"/>
    <col min="25" max="25" width="12" customWidth="1"/>
    <col min="26" max="26" width="8.33203125" customWidth="1"/>
    <col min="27" max="27" width="9" customWidth="1"/>
    <col min="28" max="28" width="8.6640625" customWidth="1"/>
    <col min="29" max="29" width="9" customWidth="1"/>
    <col min="30" max="30" width="9.88671875" style="25" customWidth="1"/>
    <col min="31" max="31" width="9.6640625" customWidth="1"/>
    <col min="32" max="32" width="12.109375" customWidth="1" collapsed="1"/>
    <col min="33" max="35" width="8.109375" customWidth="1"/>
    <col min="36" max="36" width="7.44140625" customWidth="1" outlineLevel="1"/>
    <col min="37" max="37" width="9.44140625" customWidth="1" outlineLevel="1"/>
    <col min="38" max="38" width="10.33203125" customWidth="1" outlineLevel="1"/>
    <col min="39" max="39" width="9.5546875" customWidth="1" outlineLevel="1"/>
    <col min="40" max="45" width="9.88671875" customWidth="1" outlineLevel="1"/>
    <col min="46" max="46" width="9.88671875" style="8" customWidth="1" outlineLevel="1"/>
    <col min="47" max="54" width="9.88671875" customWidth="1" outlineLevel="1"/>
    <col min="55" max="55" width="15.5546875" customWidth="1"/>
    <col min="56" max="56" width="13.33203125" customWidth="1"/>
    <col min="57" max="59" width="9.88671875" customWidth="1"/>
    <col min="60" max="60" width="16.109375" customWidth="1"/>
    <col min="61" max="61" width="17" customWidth="1"/>
    <col min="62" max="72" width="11.33203125" customWidth="1"/>
    <col min="73" max="73" width="12.5546875" customWidth="1"/>
    <col min="74" max="74" width="13.44140625" customWidth="1"/>
    <col min="75" max="75" width="13.109375" customWidth="1"/>
    <col min="76" max="76" width="14" customWidth="1"/>
    <col min="77" max="82" width="17.33203125" customWidth="1"/>
    <col min="83" max="83" width="18.109375" customWidth="1"/>
    <col min="84" max="84" width="17.5546875" customWidth="1"/>
  </cols>
  <sheetData>
    <row r="1" spans="1:58" ht="21" x14ac:dyDescent="0.4">
      <c r="A1" s="85"/>
      <c r="B1" s="85"/>
      <c r="C1" s="85"/>
      <c r="D1" s="85"/>
      <c r="E1" s="85"/>
      <c r="F1" s="85"/>
      <c r="J1" s="32" t="s">
        <v>559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7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85"/>
      <c r="BF1" s="85"/>
    </row>
    <row r="2" spans="1:58" ht="28.5" customHeight="1" x14ac:dyDescent="0.3">
      <c r="P2" s="314"/>
      <c r="Q2" s="314"/>
      <c r="R2" s="25"/>
      <c r="S2" s="25"/>
      <c r="T2" s="25"/>
      <c r="U2" s="8"/>
      <c r="AD2"/>
      <c r="AT2"/>
    </row>
    <row r="3" spans="1:58" ht="26.4" customHeight="1" thickBot="1" x14ac:dyDescent="0.35">
      <c r="J3" s="129" t="s">
        <v>2</v>
      </c>
      <c r="K3" s="130"/>
      <c r="N3" s="65"/>
      <c r="O3" s="65"/>
      <c r="Q3" s="332" t="s">
        <v>5</v>
      </c>
      <c r="R3" s="333"/>
      <c r="S3" s="301" t="s">
        <v>6</v>
      </c>
      <c r="T3" s="302"/>
      <c r="U3" s="303">
        <v>2024</v>
      </c>
      <c r="V3" s="302"/>
      <c r="W3" s="293" t="s">
        <v>263</v>
      </c>
      <c r="X3" s="304"/>
      <c r="Y3" s="297" t="s">
        <v>553</v>
      </c>
      <c r="Z3" s="298"/>
      <c r="AA3" s="311" t="s">
        <v>554</v>
      </c>
      <c r="AB3" s="312"/>
      <c r="AC3" s="313"/>
      <c r="AD3" s="300" t="s">
        <v>266</v>
      </c>
      <c r="AE3" s="300"/>
      <c r="AF3" s="297" t="s">
        <v>557</v>
      </c>
      <c r="AG3" s="298"/>
      <c r="AH3" s="308" t="s">
        <v>558</v>
      </c>
      <c r="AI3" s="309"/>
      <c r="AJ3" s="310"/>
      <c r="AK3" s="300">
        <v>2027</v>
      </c>
      <c r="AL3" s="294"/>
      <c r="AM3" s="293">
        <v>2028</v>
      </c>
      <c r="AN3" s="294"/>
      <c r="AO3" s="293">
        <v>2029</v>
      </c>
      <c r="AP3" s="294"/>
      <c r="AQ3" s="293">
        <v>2030</v>
      </c>
      <c r="AR3" s="294"/>
      <c r="AS3" s="293">
        <v>2031</v>
      </c>
      <c r="AT3" s="294"/>
      <c r="AU3" s="293">
        <v>2032</v>
      </c>
      <c r="AV3" s="294"/>
      <c r="AW3" s="293">
        <v>2033</v>
      </c>
      <c r="AX3" s="294"/>
      <c r="AY3" s="293">
        <v>2034</v>
      </c>
      <c r="AZ3" s="294"/>
      <c r="BA3" s="293">
        <v>2035</v>
      </c>
      <c r="BB3" s="294"/>
      <c r="BC3" s="178"/>
      <c r="BD3" s="26" t="s">
        <v>269</v>
      </c>
      <c r="BE3" s="26" t="s">
        <v>8</v>
      </c>
    </row>
    <row r="4" spans="1:58" ht="15" thickTop="1" x14ac:dyDescent="0.3">
      <c r="J4" s="27" t="s">
        <v>9</v>
      </c>
      <c r="K4" s="28" t="s">
        <v>10</v>
      </c>
      <c r="N4" s="65"/>
      <c r="O4" s="65"/>
      <c r="R4" s="104" t="s">
        <v>11</v>
      </c>
      <c r="S4" s="279"/>
      <c r="T4" s="260"/>
      <c r="U4" s="260">
        <f>SUMIFS(Portefeuille_ProgPropose[AC 2024],Portefeuille_ProgPropose[DES_COMPL_NATR_COMPB],"=Fonctionnement")+SUMIFS(Portefeuille_ProgPropose[TR 2024],Portefeuille_ProgPropose[DES_COMPL_NATR_COMPB],"=Fonctionnement")</f>
        <v>0</v>
      </c>
      <c r="V4" s="260"/>
      <c r="W4" s="295">
        <f>SUMIFS(Portefeuille_ProgPropose[AC 2025],Portefeuille_ProgPropose[DES_COMPL_NATR_COMPB],"=Fonctionnement")+SUMIFS(Portefeuille_ProgPropose[TR 2025],Portefeuille_ProgPropose[DES_COMPL_NATR_COMPB],"=Fonctionnement")</f>
        <v>300</v>
      </c>
      <c r="X4" s="296"/>
      <c r="Y4" s="295">
        <f>SUMIFS(Portefeuille_ProgPropose[AC 2025 Initiale],Portefeuille_ProgPropose[DES_COMPL_NATR_COMPB],"=Fonctionnement")+SUMIFS(Portefeuille_ProgPropose[TR 2025 Initiale],Portefeuille_ProgPropose[DES_COMPL_NATR_COMPB],"=Fonctionnement")</f>
        <v>300</v>
      </c>
      <c r="Z4" s="296"/>
      <c r="AA4" s="279"/>
      <c r="AB4" s="260"/>
      <c r="AC4" s="280"/>
      <c r="AD4" s="260">
        <f>SUMIFS(Portefeuille_ProgPropose[AC 2026],Portefeuille_ProgPropose[DES_COMPL_NATR_COMPB],"=Fonctionnement")+SUMIFS(Portefeuille_ProgPropose[TR 2026],Portefeuille_ProgPropose[DES_COMPL_NATR_COMPB],"=Fonctionnement")</f>
        <v>0</v>
      </c>
      <c r="AE4" s="260"/>
      <c r="AF4" s="295">
        <f>SUMIFS(Portefeuille_ProgPropose[AC 2026 Initiale],Portefeuille_ProgPropose[DES_COMPL_NATR_COMPB],"=Fonctionnement")+SUMIFS(Portefeuille_ProgPropose[TR 2026 Initiale],Portefeuille_ProgPropose[DES_COMPL_NATR_COMPB],"=Fonctionnement")</f>
        <v>0</v>
      </c>
      <c r="AG4" s="296"/>
      <c r="AH4" s="279"/>
      <c r="AI4" s="260"/>
      <c r="AJ4" s="280"/>
      <c r="AK4" s="260">
        <f>SUMIFS(Portefeuille_ProgPropose[AC 2027],Portefeuille_ProgPropose[DES_COMPL_NATR_COMPB],"=Fonctionnement")+SUMIFS(Portefeuille_ProgPropose[TR 2027],Portefeuille_ProgPropose[DES_COMPL_NATR_COMPB],"=Fonctionnement")</f>
        <v>0</v>
      </c>
      <c r="AL4" s="260"/>
      <c r="AM4" s="260">
        <f>SUMIFS(Portefeuille_ProgPropose[AC 2028],Portefeuille_ProgPropose[DES_COMPL_NATR_COMPB],"=Fonctionnement")+SUMIFS(Portefeuille_ProgPropose[TR 2028],Portefeuille_ProgPropose[DES_COMPL_NATR_COMPB],"=Fonctionnement")</f>
        <v>0</v>
      </c>
      <c r="AN4" s="260"/>
      <c r="AO4" s="260">
        <f>SUMIFS(Portefeuille_ProgPropose[AC 2029],Portefeuille_ProgPropose[DES_COMPL_NATR_COMPB],"=Fonctionnement")+SUMIFS(Portefeuille_ProgPropose[TR 2029],Portefeuille_ProgPropose[DES_COMPL_NATR_COMPB],"=Fonctionnement")</f>
        <v>0</v>
      </c>
      <c r="AP4" s="260"/>
      <c r="AQ4" s="260">
        <f>SUMIFS(Portefeuille_ProgPropose[AC 2030],Portefeuille_ProgPropose[DES_COMPL_NATR_COMPB],"=Fonctionnement")+SUMIFS(Portefeuille_ProgPropose[TR 2030],Portefeuille_ProgPropose[DES_COMPL_NATR_COMPB],"=Fonctionnement")</f>
        <v>0</v>
      </c>
      <c r="AR4" s="260"/>
      <c r="AS4" s="260">
        <f>SUMIFS(Portefeuille_ProgPropose[AC 2031],Portefeuille_ProgPropose[DES_COMPL_NATR_COMPB],"=Fonctionnement")+SUMIFS(Portefeuille_ProgPropose[TR 2031],Portefeuille_ProgPropose[DES_COMPL_NATR_COMPB],"=Fonctionnement")</f>
        <v>0</v>
      </c>
      <c r="AT4" s="260"/>
      <c r="AU4" s="260">
        <f>SUMIFS(Portefeuille_ProgPropose[AC 2032],Portefeuille_ProgPropose[DES_COMPL_NATR_COMPB],"=Fonctionnement")+SUMIFS(Portefeuille_ProgPropose[TR 2032],Portefeuille_ProgPropose[DES_COMPL_NATR_COMPB],"=Fonctionnement")</f>
        <v>0</v>
      </c>
      <c r="AV4" s="260"/>
      <c r="AW4" s="260">
        <f>SUMIFS(Portefeuille_ProgPropose[AC 2033],Portefeuille_ProgPropose[DES_COMPL_NATR_COMPB],"=Fonctionnement")+SUMIFS(Portefeuille_ProgPropose[TR 2033],Portefeuille_ProgPropose[DES_COMPL_NATR_COMPB],"=Fonctionnement")</f>
        <v>0</v>
      </c>
      <c r="AX4" s="260"/>
      <c r="AY4" s="260">
        <f>SUMIFS(Portefeuille_ProgPropose[AC 2034],Portefeuille_ProgPropose[DES_COMPL_NATR_COMPB],"=Fonctionnement")+SUMIFS(Portefeuille_ProgPropose[TR 2034],Portefeuille_ProgPropose[DES_COMPL_NATR_COMPB],"=Fonctionnement")</f>
        <v>0</v>
      </c>
      <c r="AZ4" s="260"/>
      <c r="BA4" s="260">
        <f>SUMIFS(Portefeuille_ProgPropose[AC 2035],Portefeuille_ProgPropose[DES_COMPL_NATR_COMPB],"=Fonctionnement")+SUMIFS(Portefeuille_ProgPropose[TR 2035],Portefeuille_ProgPropose[DES_COMPL_NATR_COMPB],"=Fonctionnement")</f>
        <v>0</v>
      </c>
      <c r="BB4" s="260"/>
      <c r="BC4" s="78"/>
      <c r="BD4" s="16">
        <f t="shared" ref="BD4:BD10" si="0">SUM(W4,AD4)</f>
        <v>300</v>
      </c>
      <c r="BE4" s="16">
        <f t="shared" ref="BE4:BE10" si="1">SUM(W4,AD4,AK4:AZ4)</f>
        <v>300</v>
      </c>
    </row>
    <row r="5" spans="1:58" x14ac:dyDescent="0.3">
      <c r="J5" s="27" t="s">
        <v>12</v>
      </c>
      <c r="K5" s="28" t="s">
        <v>13</v>
      </c>
      <c r="R5" s="104" t="s">
        <v>15</v>
      </c>
      <c r="S5" s="279">
        <f>SUMIFS(Portefeuille_ProgPropose[AC ANT],Portefeuille_ProgPropose[État Composante AC],"=PR")</f>
        <v>18490</v>
      </c>
      <c r="T5" s="260"/>
      <c r="U5" s="260">
        <f>SUMIFS(Portefeuille_ProgPropose[AC 2024],Portefeuille_ProgPropose[État Composante AC],"=PR")</f>
        <v>4258</v>
      </c>
      <c r="V5" s="260"/>
      <c r="W5" s="260">
        <f>SUMIFS(Portefeuille_ProgPropose[AC 2025],Portefeuille_ProgPropose[État Composante AC],"=PR")</f>
        <v>11792</v>
      </c>
      <c r="X5" s="280"/>
      <c r="Y5" s="260">
        <f>SUMIFS(Portefeuille_ProgPropose[AC 2025 Initiale],Portefeuille_ProgPropose[État Composante AC],"=PR")</f>
        <v>10230</v>
      </c>
      <c r="Z5" s="280"/>
      <c r="AA5" s="279">
        <f>SUMIFS(Portefeuille_ProgPropose[Écart AC 2025],Portefeuille_ProgPropose[État Composante AC],"=PR")</f>
        <v>1562</v>
      </c>
      <c r="AB5" s="260"/>
      <c r="AC5" s="280"/>
      <c r="AD5" s="260">
        <f>SUMIFS(Portefeuille_ProgPropose[AC 2026],Portefeuille_ProgPropose[État Composante AC],"=PR")</f>
        <v>10981</v>
      </c>
      <c r="AE5" s="260"/>
      <c r="AF5" s="260">
        <f>SUMIFS(Portefeuille_ProgPropose[AC 2026 Initiale],Portefeuille_ProgPropose[État Composante AC],"=PR")</f>
        <v>10982</v>
      </c>
      <c r="AG5" s="280"/>
      <c r="AH5" s="279">
        <f>SUMIFS(Portefeuille_ProgPropose[Écart AC 2026],Portefeuille_ProgPropose[État Composante AC],"=PR")</f>
        <v>-1</v>
      </c>
      <c r="AI5" s="260"/>
      <c r="AJ5" s="280"/>
      <c r="AK5" s="260">
        <f>SUMIFS(Portefeuille_ProgPropose[AC 2027],Portefeuille_ProgPropose[État Composante AC],"=PR")</f>
        <v>10406</v>
      </c>
      <c r="AL5" s="260"/>
      <c r="AM5" s="260">
        <f>SUMIFS(Portefeuille_ProgPropose[AC 2028],Portefeuille_ProgPropose[État Composante AC],"=PR")</f>
        <v>6115</v>
      </c>
      <c r="AN5" s="260"/>
      <c r="AO5" s="260">
        <f>SUMIFS(Portefeuille_ProgPropose[AC 2029],Portefeuille_ProgPropose[État Composante AC],"=PR")</f>
        <v>3062</v>
      </c>
      <c r="AP5" s="260"/>
      <c r="AQ5" s="260">
        <f>SUMIFS(Portefeuille_ProgPropose[AC 2030],Portefeuille_ProgPropose[État Composante AC],"=PR")</f>
        <v>2395</v>
      </c>
      <c r="AR5" s="260"/>
      <c r="AS5" s="260">
        <f>SUMIFS(Portefeuille_ProgPropose[AC 2031],Portefeuille_ProgPropose[État Composante AC],"=PR")</f>
        <v>1918</v>
      </c>
      <c r="AT5" s="260"/>
      <c r="AU5" s="260">
        <f>SUMIFS(Portefeuille_ProgPropose[AC 2032],Portefeuille_ProgPropose[État Composante AC],"=PR")</f>
        <v>0</v>
      </c>
      <c r="AV5" s="260"/>
      <c r="AW5" s="260">
        <f>SUMIFS(Portefeuille_ProgPropose[AC 2033],Portefeuille_ProgPropose[État Composante AC],"=PR")</f>
        <v>0</v>
      </c>
      <c r="AX5" s="260"/>
      <c r="AY5" s="260">
        <f>SUMIFS(Portefeuille_ProgPropose[AC 2034],Portefeuille_ProgPropose[État Composante AC],"=PR")</f>
        <v>0</v>
      </c>
      <c r="AZ5" s="260"/>
      <c r="BA5" s="260">
        <f>SUMIFS(Portefeuille_ProgPropose[AC 2035],Portefeuille_ProgPropose[État Composante AC],"=PR")</f>
        <v>0</v>
      </c>
      <c r="BB5" s="260"/>
      <c r="BC5" s="78"/>
      <c r="BD5" s="16">
        <f t="shared" si="0"/>
        <v>22773</v>
      </c>
      <c r="BE5" s="16">
        <f t="shared" si="1"/>
        <v>46669</v>
      </c>
    </row>
    <row r="6" spans="1:58" x14ac:dyDescent="0.3">
      <c r="J6" s="29" t="s">
        <v>16</v>
      </c>
      <c r="K6" s="28" t="s">
        <v>17</v>
      </c>
      <c r="R6" s="83" t="s">
        <v>19</v>
      </c>
      <c r="S6" s="279">
        <f>SUMIFS(Portefeuille_ProgPropose[TR ANT],Portefeuille_ProgPropose[État Composante TR],"=PR")</f>
        <v>96841</v>
      </c>
      <c r="T6" s="260"/>
      <c r="U6" s="260">
        <f>SUMIFS(Portefeuille_ProgPropose[TR 2024],Portefeuille_ProgPropose[État Composante TR],"=PR")</f>
        <v>66635</v>
      </c>
      <c r="V6" s="260"/>
      <c r="W6" s="260">
        <f>SUMIFS(Portefeuille_ProgPropose[TR 2025],Portefeuille_ProgPropose[État Composante TR],"=PR")</f>
        <v>55714</v>
      </c>
      <c r="X6" s="280"/>
      <c r="Y6" s="260">
        <f>SUMIFS(Portefeuille_ProgPropose[TR 2025 Initiale],Portefeuille_ProgPropose[État Composante TR],"=PR")</f>
        <v>50278</v>
      </c>
      <c r="Z6" s="280"/>
      <c r="AA6" s="279">
        <f>SUMIFS(Portefeuille_ProgPropose[Écart TR 2025],Portefeuille_ProgPropose[État Composante TR],"=PR")</f>
        <v>5436</v>
      </c>
      <c r="AB6" s="260"/>
      <c r="AC6" s="280"/>
      <c r="AD6" s="260">
        <f>SUMIFS(Portefeuille_ProgPropose[TR 2026],Portefeuille_ProgPropose[État Composante TR],"=PR")</f>
        <v>66913</v>
      </c>
      <c r="AE6" s="260"/>
      <c r="AF6" s="260">
        <f>SUMIFS(Portefeuille_ProgPropose[TR 2026 Initiale],Portefeuille_ProgPropose[État Composante TR],"=PR")</f>
        <v>66512</v>
      </c>
      <c r="AG6" s="280"/>
      <c r="AH6" s="279">
        <f>SUMIFS(Portefeuille_ProgPropose[Écart TR 2026],Portefeuille_ProgPropose[État Composante TR],"=PR")</f>
        <v>401</v>
      </c>
      <c r="AI6" s="260"/>
      <c r="AJ6" s="280"/>
      <c r="AK6" s="260">
        <f>SUMIFS(Portefeuille_ProgPropose[TR 2027],Portefeuille_ProgPropose[État Composante TR],"=PR")</f>
        <v>5749</v>
      </c>
      <c r="AL6" s="260"/>
      <c r="AM6" s="260">
        <f>SUMIFS(Portefeuille_ProgPropose[TR 2028],Portefeuille_ProgPropose[État Composante TR],"=PR")</f>
        <v>4929</v>
      </c>
      <c r="AN6" s="260"/>
      <c r="AO6" s="260">
        <f>SUMIFS(Portefeuille_ProgPropose[TR 2029],Portefeuille_ProgPropose[État Composante TR],"=PR")</f>
        <v>6707.0000000000018</v>
      </c>
      <c r="AP6" s="260"/>
      <c r="AQ6" s="260">
        <f>SUMIFS(Portefeuille_ProgPropose[TR 2030],Portefeuille_ProgPropose[État Composante TR],"=PR")</f>
        <v>6846.0000000000018</v>
      </c>
      <c r="AR6" s="260"/>
      <c r="AS6" s="260">
        <f>SUMIFS(Portefeuille_ProgPropose[TR 2031],Portefeuille_ProgPropose[État Composante TR],"=PR")</f>
        <v>0</v>
      </c>
      <c r="AT6" s="260"/>
      <c r="AU6" s="260">
        <f>SUMIFS(Portefeuille_ProgPropose[TR 2032],Portefeuille_ProgPropose[État Composante TR],"=PR")</f>
        <v>0</v>
      </c>
      <c r="AV6" s="260"/>
      <c r="AW6" s="260">
        <f>SUMIFS(Portefeuille_ProgPropose[TR 2033],Portefeuille_ProgPropose[État Composante TR],"=PR")</f>
        <v>0</v>
      </c>
      <c r="AX6" s="260"/>
      <c r="AY6" s="260">
        <f>SUMIFS(Portefeuille_ProgPropose[TR 2034],Portefeuille_ProgPropose[État Composante TR],"=PR")</f>
        <v>0</v>
      </c>
      <c r="AZ6" s="260"/>
      <c r="BA6" s="260">
        <f>SUMIFS(Portefeuille_ProgPropose[TR 2035],Portefeuille_ProgPropose[État Composante TR],"=PR")</f>
        <v>0</v>
      </c>
      <c r="BB6" s="260"/>
      <c r="BC6" s="78"/>
      <c r="BD6" s="16">
        <f t="shared" si="0"/>
        <v>122627</v>
      </c>
      <c r="BE6" s="16">
        <f t="shared" si="1"/>
        <v>146858</v>
      </c>
    </row>
    <row r="7" spans="1:58" x14ac:dyDescent="0.3">
      <c r="J7" s="29" t="s">
        <v>20</v>
      </c>
      <c r="K7" s="28" t="s">
        <v>21</v>
      </c>
      <c r="Q7" s="127"/>
      <c r="R7" s="116" t="s">
        <v>23</v>
      </c>
      <c r="S7" s="288">
        <f>S5+S6</f>
        <v>115331</v>
      </c>
      <c r="T7" s="262"/>
      <c r="U7" s="262">
        <f>U5+U6</f>
        <v>70893</v>
      </c>
      <c r="V7" s="262"/>
      <c r="W7" s="262">
        <f>W5+W6</f>
        <v>67506</v>
      </c>
      <c r="X7" s="289"/>
      <c r="Y7" s="262">
        <f>Y5+Y6</f>
        <v>60508</v>
      </c>
      <c r="Z7" s="289"/>
      <c r="AA7" s="290">
        <f>AA5+AA6</f>
        <v>6998</v>
      </c>
      <c r="AB7" s="292"/>
      <c r="AC7" s="291"/>
      <c r="AD7" s="290">
        <f>AD5+AD6</f>
        <v>77894</v>
      </c>
      <c r="AE7" s="291"/>
      <c r="AF7" s="262">
        <f>AF5+AF6</f>
        <v>77494</v>
      </c>
      <c r="AG7" s="289"/>
      <c r="AH7" s="290">
        <f>AH5+AH6</f>
        <v>400</v>
      </c>
      <c r="AI7" s="292"/>
      <c r="AJ7" s="291"/>
      <c r="AK7" s="262">
        <f>AK5+AK6</f>
        <v>16155</v>
      </c>
      <c r="AL7" s="262"/>
      <c r="AM7" s="262">
        <f>AM5+AM6</f>
        <v>11044</v>
      </c>
      <c r="AN7" s="262"/>
      <c r="AO7" s="262">
        <f>AO5+AO6</f>
        <v>9769.0000000000018</v>
      </c>
      <c r="AP7" s="262"/>
      <c r="AQ7" s="262">
        <f>AQ5+AQ6</f>
        <v>9241.0000000000018</v>
      </c>
      <c r="AR7" s="262"/>
      <c r="AS7" s="262">
        <f>AS5+AS6</f>
        <v>1918</v>
      </c>
      <c r="AT7" s="262"/>
      <c r="AU7" s="262">
        <f>AU5+AU6</f>
        <v>0</v>
      </c>
      <c r="AV7" s="262"/>
      <c r="AW7" s="262">
        <f>AW5+AW6</f>
        <v>0</v>
      </c>
      <c r="AX7" s="262"/>
      <c r="AY7" s="262">
        <f>AY5+AY6</f>
        <v>0</v>
      </c>
      <c r="AZ7" s="262"/>
      <c r="BA7" s="262">
        <f>BA5+BA6</f>
        <v>0</v>
      </c>
      <c r="BB7" s="262"/>
      <c r="BC7" s="20"/>
      <c r="BD7" s="20">
        <f t="shared" si="0"/>
        <v>145400</v>
      </c>
      <c r="BE7" s="20">
        <f t="shared" si="1"/>
        <v>193527</v>
      </c>
    </row>
    <row r="8" spans="1:58" x14ac:dyDescent="0.3">
      <c r="J8" s="131"/>
      <c r="K8" s="28" t="s">
        <v>270</v>
      </c>
      <c r="R8" s="83" t="s">
        <v>25</v>
      </c>
      <c r="S8" s="279">
        <f>SUMIFS(Portefeuille_ProgPropose[AC ANT],Portefeuille_ProgPropose[État Composante AC],"&lt;&gt;PR")</f>
        <v>0</v>
      </c>
      <c r="T8" s="260"/>
      <c r="U8" s="260">
        <f>SUMIFS(Portefeuille_ProgPropose[AC 2024],Portefeuille_ProgPropose[État Composante AC],"&lt;&gt;PR")</f>
        <v>0</v>
      </c>
      <c r="V8" s="260"/>
      <c r="W8" s="260">
        <f>SUMIFS(Portefeuille_ProgPropose[AC 2025],Portefeuille_ProgPropose[État Composante AC],"&lt;&gt;PR")</f>
        <v>0</v>
      </c>
      <c r="X8" s="280"/>
      <c r="Y8" s="260">
        <f>SUMIFS(Portefeuille_ProgPropose[AC 2025 Initiale],Portefeuille_ProgPropose[État Composante AC],"&lt;&gt;PR")</f>
        <v>0</v>
      </c>
      <c r="Z8" s="280"/>
      <c r="AA8" s="279">
        <f>SUMIFS(Portefeuille_ProgPropose[Écart AC 2025],Portefeuille_ProgPropose[État Composante AC],"&lt;&gt;PR")</f>
        <v>0</v>
      </c>
      <c r="AB8" s="260"/>
      <c r="AC8" s="280"/>
      <c r="AD8" s="260">
        <f>SUMIFS(Portefeuille_ProgPropose[AC 2026],Portefeuille_ProgPropose[État Composante AC],"&lt;&gt;PR")</f>
        <v>0</v>
      </c>
      <c r="AE8" s="260"/>
      <c r="AF8" s="260">
        <f>SUMIFS(Portefeuille_ProgPropose[AC 2026 Initiale],Portefeuille_ProgPropose[État Composante AC],"&lt;&gt;PR")</f>
        <v>0</v>
      </c>
      <c r="AG8" s="280"/>
      <c r="AH8" s="279">
        <f>SUMIFS(Portefeuille_ProgPropose[Écart AC 2026],Portefeuille_ProgPropose[État Composante AC],"&lt;&gt;PR")</f>
        <v>0</v>
      </c>
      <c r="AI8" s="260"/>
      <c r="AJ8" s="280"/>
      <c r="AK8" s="260">
        <f>SUMIFS(Portefeuille_ProgPropose[AC 2027],Portefeuille_ProgPropose[État Composante AC],"&lt;&gt;PR")</f>
        <v>0</v>
      </c>
      <c r="AL8" s="260"/>
      <c r="AM8" s="260">
        <f>SUMIFS(Portefeuille_ProgPropose[AC 2028],Portefeuille_ProgPropose[État Composante AC],"&lt;&gt;PR")</f>
        <v>0</v>
      </c>
      <c r="AN8" s="260"/>
      <c r="AO8" s="260">
        <f>SUMIFS(Portefeuille_ProgPropose[AC 2029],Portefeuille_ProgPropose[État Composante AC],"&lt;&gt;PR")</f>
        <v>0</v>
      </c>
      <c r="AP8" s="260"/>
      <c r="AQ8" s="260">
        <f>SUMIFS(Portefeuille_ProgPropose[AC 2030],Portefeuille_ProgPropose[État Composante AC],"&lt;&gt;PR")</f>
        <v>0</v>
      </c>
      <c r="AR8" s="260"/>
      <c r="AS8" s="260">
        <f>SUMIFS(Portefeuille_ProgPropose[AC 2031],Portefeuille_ProgPropose[État Composante AC],"&lt;&gt;PR")</f>
        <v>0</v>
      </c>
      <c r="AT8" s="260"/>
      <c r="AU8" s="260">
        <f>SUMIFS(Portefeuille_ProgPropose[AC 2032],Portefeuille_ProgPropose[État Composante AC],"&lt;&gt;PR")</f>
        <v>0</v>
      </c>
      <c r="AV8" s="260"/>
      <c r="AW8" s="260">
        <f>SUMIFS(Portefeuille_ProgPropose[AC 2033],Portefeuille_ProgPropose[État Composante AC],"&lt;&gt;PR")</f>
        <v>0</v>
      </c>
      <c r="AX8" s="260"/>
      <c r="AY8" s="260">
        <f>SUMIFS(Portefeuille_ProgPropose[AC 2034],Portefeuille_ProgPropose[État Composante AC],"&lt;&gt;PR")</f>
        <v>0</v>
      </c>
      <c r="AZ8" s="260"/>
      <c r="BA8" s="260">
        <f>SUMIFS(Portefeuille_ProgPropose[AC 2035],Portefeuille_ProgPropose[État Composante AC],"&lt;&gt;PR")</f>
        <v>0</v>
      </c>
      <c r="BB8" s="260"/>
      <c r="BC8" s="78"/>
      <c r="BD8" s="16">
        <f t="shared" si="0"/>
        <v>0</v>
      </c>
      <c r="BE8" s="16">
        <f t="shared" si="1"/>
        <v>0</v>
      </c>
    </row>
    <row r="9" spans="1:58" x14ac:dyDescent="0.3">
      <c r="J9" s="176"/>
      <c r="K9" s="28" t="s">
        <v>271</v>
      </c>
      <c r="R9" s="83" t="s">
        <v>27</v>
      </c>
      <c r="S9" s="279">
        <f>SUMIFS(Portefeuille_ProgPropose[TR ANT],Portefeuille_ProgPropose[État Composante TR],"&lt;&gt;PR")</f>
        <v>11189</v>
      </c>
      <c r="T9" s="260"/>
      <c r="U9" s="260">
        <f>SUMIFS(Portefeuille_ProgPropose[TR 2024],Portefeuille_ProgPropose[État Composante TR],"&lt;&gt;PR")</f>
        <v>0</v>
      </c>
      <c r="V9" s="260"/>
      <c r="W9" s="260">
        <f>SUMIFS(Portefeuille_ProgPropose[TR 2025],Portefeuille_ProgPropose[État Composante TR],"&lt;&gt;PR")</f>
        <v>0</v>
      </c>
      <c r="X9" s="280"/>
      <c r="Y9" s="260">
        <f>SUMIFS(Portefeuille_ProgPropose[TR 2025 Initiale],Portefeuille_ProgPropose[État Composante TR],"&lt;&gt;PR")</f>
        <v>0</v>
      </c>
      <c r="Z9" s="280"/>
      <c r="AA9" s="279">
        <f>SUMIFS(Portefeuille_ProgPropose[Écart TR 2025],Portefeuille_ProgPropose[État Composante TR],"&lt;&gt;PR")</f>
        <v>0</v>
      </c>
      <c r="AB9" s="260"/>
      <c r="AC9" s="280"/>
      <c r="AD9" s="260">
        <f>SUMIFS(Portefeuille_ProgPropose[TR 2026],Portefeuille_ProgPropose[État Composante TR],"&lt;&gt;PR")</f>
        <v>1377</v>
      </c>
      <c r="AE9" s="260"/>
      <c r="AF9" s="260">
        <f>SUMIFS(Portefeuille_ProgPropose[TR 2026 Initiale],Portefeuille_ProgPropose[État Composante TR],"&lt;&gt;PR")</f>
        <v>0</v>
      </c>
      <c r="AG9" s="280"/>
      <c r="AH9" s="279">
        <f>SUMIFS(Portefeuille_ProgPropose[Écart TR 2026],Portefeuille_ProgPropose[État Composante TR],"&lt;&gt;PR")</f>
        <v>1377</v>
      </c>
      <c r="AI9" s="260"/>
      <c r="AJ9" s="280"/>
      <c r="AK9" s="260">
        <f>SUMIFS(Portefeuille_ProgPropose[TR 2027],Portefeuille_ProgPropose[État Composante TR],"&lt;&gt;PR")</f>
        <v>53602</v>
      </c>
      <c r="AL9" s="260"/>
      <c r="AM9" s="260">
        <f>SUMIFS(Portefeuille_ProgPropose[TR 2028],Portefeuille_ProgPropose[État Composante TR],"&lt;&gt;PR")</f>
        <v>61619</v>
      </c>
      <c r="AN9" s="260"/>
      <c r="AO9" s="260">
        <f>SUMIFS(Portefeuille_ProgPropose[TR 2029],Portefeuille_ProgPropose[État Composante TR],"&lt;&gt;PR")</f>
        <v>48544</v>
      </c>
      <c r="AP9" s="260"/>
      <c r="AQ9" s="260">
        <f>SUMIFS(Portefeuille_ProgPropose[TR 2030],Portefeuille_ProgPropose[État Composante TR],"&lt;&gt;PR")</f>
        <v>29362</v>
      </c>
      <c r="AR9" s="260"/>
      <c r="AS9" s="260">
        <f>SUMIFS(Portefeuille_ProgPropose[TR 2031],Portefeuille_ProgPropose[État Composante TR],"&lt;&gt;PR")</f>
        <v>41119</v>
      </c>
      <c r="AT9" s="260"/>
      <c r="AU9" s="260">
        <f>SUMIFS(Portefeuille_ProgPropose[TR 2032],Portefeuille_ProgPropose[État Composante TR],"&lt;&gt;PR")</f>
        <v>0</v>
      </c>
      <c r="AV9" s="260"/>
      <c r="AW9" s="260">
        <f>SUMIFS(Portefeuille_ProgPropose[TR 2033],Portefeuille_ProgPropose[État Composante TR],"&lt;&gt;PR")</f>
        <v>0</v>
      </c>
      <c r="AX9" s="260"/>
      <c r="AY9" s="260">
        <f>SUMIFS(Portefeuille_ProgPropose[TR 2034],Portefeuille_ProgPropose[État Composante TR],"&lt;&gt;PR")</f>
        <v>0</v>
      </c>
      <c r="AZ9" s="260"/>
      <c r="BA9" s="260">
        <f>SUMIFS(Portefeuille_ProgPropose[TR 2035],Portefeuille_ProgPropose[État Composante TR],"&lt;&gt;PR")</f>
        <v>0</v>
      </c>
      <c r="BB9" s="260"/>
      <c r="BC9" s="78"/>
      <c r="BD9" s="16">
        <f t="shared" si="0"/>
        <v>1377</v>
      </c>
      <c r="BE9" s="16">
        <f t="shared" si="1"/>
        <v>235623</v>
      </c>
    </row>
    <row r="10" spans="1:58" ht="24.6" customHeight="1" x14ac:dyDescent="0.3">
      <c r="J10" s="175"/>
      <c r="K10" s="177" t="s">
        <v>521</v>
      </c>
      <c r="Q10" s="127"/>
      <c r="R10" s="117" t="s">
        <v>29</v>
      </c>
      <c r="S10" s="288">
        <f>S8+S9</f>
        <v>11189</v>
      </c>
      <c r="T10" s="262"/>
      <c r="U10" s="262">
        <f>U8+U9</f>
        <v>0</v>
      </c>
      <c r="V10" s="262"/>
      <c r="W10" s="262">
        <f>W8+W9</f>
        <v>0</v>
      </c>
      <c r="X10" s="289"/>
      <c r="Y10" s="262">
        <f>Y8+Y9</f>
        <v>0</v>
      </c>
      <c r="Z10" s="289"/>
      <c r="AA10" s="288">
        <f>AA9+AA8</f>
        <v>0</v>
      </c>
      <c r="AB10" s="262"/>
      <c r="AC10" s="289"/>
      <c r="AD10" s="262">
        <f>AD8+AD9</f>
        <v>1377</v>
      </c>
      <c r="AE10" s="262"/>
      <c r="AF10" s="262">
        <f>AF8+AF9</f>
        <v>0</v>
      </c>
      <c r="AG10" s="289"/>
      <c r="AH10" s="288">
        <f>AH9+AH8</f>
        <v>1377</v>
      </c>
      <c r="AI10" s="262"/>
      <c r="AJ10" s="289"/>
      <c r="AK10" s="262">
        <f>AK8+AK9</f>
        <v>53602</v>
      </c>
      <c r="AL10" s="262"/>
      <c r="AM10" s="262">
        <f>AM8+AM9</f>
        <v>61619</v>
      </c>
      <c r="AN10" s="262"/>
      <c r="AO10" s="262">
        <f>AO8+AO9</f>
        <v>48544</v>
      </c>
      <c r="AP10" s="262"/>
      <c r="AQ10" s="262">
        <f>AQ8+AQ9</f>
        <v>29362</v>
      </c>
      <c r="AR10" s="262"/>
      <c r="AS10" s="262">
        <f>AS8+AS9</f>
        <v>41119</v>
      </c>
      <c r="AT10" s="262"/>
      <c r="AU10" s="262">
        <f>AU8+AU9</f>
        <v>0</v>
      </c>
      <c r="AV10" s="262"/>
      <c r="AW10" s="262">
        <f>AW8+AW9</f>
        <v>0</v>
      </c>
      <c r="AX10" s="262"/>
      <c r="AY10" s="262">
        <f>AY8+AY9</f>
        <v>0</v>
      </c>
      <c r="AZ10" s="262"/>
      <c r="BA10" s="262">
        <f>BA8+BA9</f>
        <v>0</v>
      </c>
      <c r="BB10" s="262"/>
      <c r="BC10" s="20"/>
      <c r="BD10" s="20">
        <f t="shared" si="0"/>
        <v>1377</v>
      </c>
      <c r="BE10" s="20">
        <f t="shared" si="1"/>
        <v>235623</v>
      </c>
    </row>
    <row r="11" spans="1:58" s="133" customFormat="1" ht="13.8" x14ac:dyDescent="0.3">
      <c r="Q11" s="134"/>
      <c r="R11" s="135" t="s">
        <v>272</v>
      </c>
      <c r="S11" s="286">
        <f>S10+S7</f>
        <v>126520</v>
      </c>
      <c r="T11" s="284"/>
      <c r="U11" s="285">
        <f>U10+U7</f>
        <v>70893</v>
      </c>
      <c r="V11" s="284"/>
      <c r="W11" s="285">
        <f>W10+W7</f>
        <v>67506</v>
      </c>
      <c r="X11" s="287"/>
      <c r="Y11" s="285">
        <f>Y10+Y7</f>
        <v>60508</v>
      </c>
      <c r="Z11" s="287"/>
      <c r="AA11" s="286">
        <f>AA10+AA7</f>
        <v>6998</v>
      </c>
      <c r="AB11" s="283"/>
      <c r="AC11" s="287"/>
      <c r="AD11" s="286">
        <f>AD10+AD7-AD4</f>
        <v>79271</v>
      </c>
      <c r="AE11" s="287"/>
      <c r="AF11" s="285">
        <f>AF10+AF7</f>
        <v>77494</v>
      </c>
      <c r="AG11" s="287"/>
      <c r="AH11" s="286">
        <f>AH10+AH7</f>
        <v>1777</v>
      </c>
      <c r="AI11" s="283"/>
      <c r="AJ11" s="287"/>
      <c r="AK11" s="283">
        <f t="shared" ref="AK11" si="2">AK10+AK7-AK4</f>
        <v>69757</v>
      </c>
      <c r="AL11" s="284"/>
      <c r="AM11" s="285">
        <f t="shared" ref="AM11" si="3">AM10+AM7-AM4</f>
        <v>72663</v>
      </c>
      <c r="AN11" s="284"/>
      <c r="AO11" s="285">
        <f t="shared" ref="AO11" si="4">AO10+AO7-AO4</f>
        <v>58313</v>
      </c>
      <c r="AP11" s="284"/>
      <c r="AQ11" s="285">
        <f>AQ10+AQ7</f>
        <v>38603</v>
      </c>
      <c r="AR11" s="284"/>
      <c r="AS11" s="285">
        <f>AS10+AS7</f>
        <v>43037</v>
      </c>
      <c r="AT11" s="284"/>
      <c r="AU11" s="285">
        <f>AU10+AU7</f>
        <v>0</v>
      </c>
      <c r="AV11" s="284"/>
      <c r="AW11" s="285">
        <f>AW10+AW7</f>
        <v>0</v>
      </c>
      <c r="AX11" s="284"/>
      <c r="AY11" s="285">
        <f>AY10+AY7</f>
        <v>0</v>
      </c>
      <c r="AZ11" s="284"/>
      <c r="BA11" s="285">
        <f>BA10+BA7</f>
        <v>0</v>
      </c>
      <c r="BB11" s="284"/>
      <c r="BC11" s="105"/>
      <c r="BD11" s="105">
        <f>SUM(W11,AD11)</f>
        <v>146777</v>
      </c>
      <c r="BE11" s="105">
        <f>SUM(W11,AD11,AK11:AZ11)</f>
        <v>429150</v>
      </c>
    </row>
    <row r="12" spans="1:58" x14ac:dyDescent="0.3">
      <c r="R12" s="83" t="s">
        <v>32</v>
      </c>
      <c r="S12" s="279"/>
      <c r="T12" s="260"/>
      <c r="U12" s="260"/>
      <c r="V12" s="260"/>
      <c r="W12" s="260"/>
      <c r="X12" s="280"/>
      <c r="Y12" s="260"/>
      <c r="Z12" s="280"/>
      <c r="AA12" s="322"/>
      <c r="AB12" s="323"/>
      <c r="AC12" s="324"/>
      <c r="AD12" s="260"/>
      <c r="AE12" s="260"/>
      <c r="AF12" s="260"/>
      <c r="AG12" s="280"/>
      <c r="AH12" s="322"/>
      <c r="AI12" s="323"/>
      <c r="AJ12" s="324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>
        <v>0</v>
      </c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78"/>
      <c r="BD12" s="78">
        <f>SUM(W12,AD12)</f>
        <v>0</v>
      </c>
      <c r="BE12" s="78">
        <f>SUM(AK12:AZ12,W12,AD12)</f>
        <v>0</v>
      </c>
    </row>
    <row r="13" spans="1:58" ht="15.6" x14ac:dyDescent="0.3">
      <c r="Q13" s="126"/>
      <c r="R13" s="118" t="s">
        <v>33</v>
      </c>
      <c r="S13" s="120"/>
      <c r="T13" s="64"/>
      <c r="U13" s="258">
        <f>U12+U11</f>
        <v>70893</v>
      </c>
      <c r="V13" s="259"/>
      <c r="W13" s="258">
        <f>W12+W11</f>
        <v>67506</v>
      </c>
      <c r="X13" s="277"/>
      <c r="Y13" s="258">
        <f>Y12+Y11</f>
        <v>60508</v>
      </c>
      <c r="Z13" s="277"/>
      <c r="AA13" s="258">
        <f>AA12+AA11</f>
        <v>6998</v>
      </c>
      <c r="AB13" s="261"/>
      <c r="AC13" s="261"/>
      <c r="AD13" s="261">
        <f>AD12+AD11</f>
        <v>79271</v>
      </c>
      <c r="AE13" s="261"/>
      <c r="AF13" s="258">
        <f>AF12+AF11</f>
        <v>77494</v>
      </c>
      <c r="AG13" s="277"/>
      <c r="AH13" s="258">
        <f>AH12+AH11</f>
        <v>1777</v>
      </c>
      <c r="AI13" s="261"/>
      <c r="AJ13" s="261"/>
      <c r="AK13" s="261">
        <f>AK12+AK11</f>
        <v>69757</v>
      </c>
      <c r="AL13" s="259"/>
      <c r="AM13" s="258">
        <f t="shared" ref="AM13" si="5">AM12+AM11</f>
        <v>72663</v>
      </c>
      <c r="AN13" s="259"/>
      <c r="AO13" s="258">
        <f t="shared" ref="AO13" si="6">AO12+AO11</f>
        <v>58313</v>
      </c>
      <c r="AP13" s="259"/>
      <c r="AQ13" s="258">
        <f t="shared" ref="AQ13" si="7">AQ12+AQ11</f>
        <v>38603</v>
      </c>
      <c r="AR13" s="259"/>
      <c r="AS13" s="258">
        <f t="shared" ref="AS13" si="8">AS12+AS11</f>
        <v>43037</v>
      </c>
      <c r="AT13" s="259"/>
      <c r="AU13" s="258">
        <f t="shared" ref="AU13" si="9">AU12+AU11</f>
        <v>0</v>
      </c>
      <c r="AV13" s="259"/>
      <c r="AW13" s="258">
        <f t="shared" ref="AW13" si="10">AW12+AW11</f>
        <v>0</v>
      </c>
      <c r="AX13" s="259"/>
      <c r="AY13" s="258">
        <f t="shared" ref="AY13" si="11">AY12+AY11</f>
        <v>0</v>
      </c>
      <c r="AZ13" s="259"/>
      <c r="BA13" s="258">
        <f>BA12+BA11</f>
        <v>0</v>
      </c>
      <c r="BB13" s="259"/>
      <c r="BC13" s="167"/>
      <c r="BD13" s="21">
        <f>BD12+BD11</f>
        <v>146777</v>
      </c>
      <c r="BE13" s="21">
        <f>BE12+BE11</f>
        <v>429150</v>
      </c>
    </row>
    <row r="14" spans="1:58" ht="15.6" x14ac:dyDescent="0.3">
      <c r="R14" s="84" t="s">
        <v>539</v>
      </c>
      <c r="S14" s="270"/>
      <c r="T14" s="257"/>
      <c r="U14" s="256"/>
      <c r="V14" s="257"/>
      <c r="W14" s="256">
        <v>71000</v>
      </c>
      <c r="X14" s="271"/>
      <c r="Y14" s="256">
        <v>60508</v>
      </c>
      <c r="Z14" s="271"/>
      <c r="AA14" s="270"/>
      <c r="AB14" s="272"/>
      <c r="AC14" s="271"/>
      <c r="AD14" s="270">
        <v>74960</v>
      </c>
      <c r="AE14" s="271"/>
      <c r="AF14" s="270">
        <v>77494</v>
      </c>
      <c r="AG14" s="271"/>
      <c r="AH14" s="270"/>
      <c r="AI14" s="272"/>
      <c r="AJ14" s="271"/>
      <c r="AK14" s="256">
        <v>97085</v>
      </c>
      <c r="AL14" s="257"/>
      <c r="AM14" s="256">
        <v>68453</v>
      </c>
      <c r="AN14" s="257"/>
      <c r="AO14" s="256">
        <v>55623</v>
      </c>
      <c r="AP14" s="257"/>
      <c r="AQ14" s="256">
        <v>84412</v>
      </c>
      <c r="AR14" s="257"/>
      <c r="AS14" s="256">
        <v>20233</v>
      </c>
      <c r="AT14" s="257"/>
      <c r="AU14" s="256">
        <v>56733</v>
      </c>
      <c r="AV14" s="257"/>
      <c r="AW14" s="256">
        <v>47783</v>
      </c>
      <c r="AX14" s="257"/>
      <c r="AY14" s="256">
        <v>51334</v>
      </c>
      <c r="AZ14" s="257"/>
      <c r="BA14" s="256">
        <v>51334</v>
      </c>
      <c r="BB14" s="257"/>
      <c r="BC14" s="81"/>
      <c r="BD14" s="17">
        <f>SUM(W14,AD14)</f>
        <v>145960</v>
      </c>
      <c r="BE14" s="17">
        <f>SUM(W14,AD14,AK14:AZ14)</f>
        <v>627616</v>
      </c>
    </row>
    <row r="15" spans="1:58" ht="15.6" x14ac:dyDescent="0.3">
      <c r="R15" s="185" t="s">
        <v>555</v>
      </c>
      <c r="S15" s="335"/>
      <c r="T15" s="336"/>
      <c r="U15" s="337"/>
      <c r="V15" s="336"/>
      <c r="W15" s="337">
        <f>W14-W13</f>
        <v>3494</v>
      </c>
      <c r="X15" s="338"/>
      <c r="Y15" s="337">
        <f>Y14-Y13</f>
        <v>0</v>
      </c>
      <c r="Z15" s="338"/>
      <c r="AA15" s="335"/>
      <c r="AB15" s="336"/>
      <c r="AC15" s="338"/>
      <c r="AD15" s="335">
        <f>AD14-AD13</f>
        <v>-4311</v>
      </c>
      <c r="AE15" s="338"/>
      <c r="AF15" s="337">
        <f>AF14-AF13</f>
        <v>0</v>
      </c>
      <c r="AG15" s="338"/>
      <c r="AH15" s="335"/>
      <c r="AI15" s="336"/>
      <c r="AJ15" s="338"/>
      <c r="AK15" s="336">
        <f t="shared" ref="AK15" si="12">AK14-AK13</f>
        <v>27328</v>
      </c>
      <c r="AL15" s="336"/>
      <c r="AM15" s="337">
        <f t="shared" ref="AM15" si="13">AM14-AM13</f>
        <v>-4210</v>
      </c>
      <c r="AN15" s="336"/>
      <c r="AO15" s="337">
        <f t="shared" ref="AO15" si="14">AO14-AO13</f>
        <v>-2690</v>
      </c>
      <c r="AP15" s="336"/>
      <c r="AQ15" s="337">
        <f t="shared" ref="AQ15" si="15">AQ14-AQ13</f>
        <v>45809</v>
      </c>
      <c r="AR15" s="336"/>
      <c r="AS15" s="337">
        <f t="shared" ref="AS15" si="16">AS14-AS13</f>
        <v>-22804</v>
      </c>
      <c r="AT15" s="336"/>
      <c r="AU15" s="337">
        <f t="shared" ref="AU15" si="17">AU14-AU13</f>
        <v>56733</v>
      </c>
      <c r="AV15" s="336"/>
      <c r="AW15" s="337">
        <f t="shared" ref="AW15" si="18">AW14-AW13</f>
        <v>47783</v>
      </c>
      <c r="AX15" s="336"/>
      <c r="AY15" s="337">
        <f t="shared" ref="AY15:BA15" si="19">AY14-AY13</f>
        <v>51334</v>
      </c>
      <c r="AZ15" s="336"/>
      <c r="BA15" s="337">
        <f t="shared" si="19"/>
        <v>51334</v>
      </c>
      <c r="BB15" s="336"/>
      <c r="BC15" s="208"/>
      <c r="BD15" s="186">
        <f>BD14-BD13</f>
        <v>-817</v>
      </c>
      <c r="BE15" s="23">
        <f>BE14-BE13</f>
        <v>198466</v>
      </c>
    </row>
    <row r="16" spans="1:58" ht="16.2" thickBot="1" x14ac:dyDescent="0.35">
      <c r="R16" s="119" t="s">
        <v>556</v>
      </c>
      <c r="S16" s="273"/>
      <c r="T16" s="274"/>
      <c r="U16" s="254"/>
      <c r="V16" s="255"/>
      <c r="W16" s="254">
        <f t="shared" ref="W16" si="20">(W13-W14)/W14</f>
        <v>-4.9211267605633803E-2</v>
      </c>
      <c r="X16" s="275"/>
      <c r="Y16" s="254">
        <f t="shared" ref="Y16" si="21">(Y13-Y14)/Y14</f>
        <v>0</v>
      </c>
      <c r="Z16" s="275"/>
      <c r="AA16" s="339"/>
      <c r="AB16" s="340"/>
      <c r="AC16" s="341"/>
      <c r="AD16" s="255">
        <f t="shared" ref="AD16" si="22">(AD13-AD14)/AD14</f>
        <v>5.7510672358591246E-2</v>
      </c>
      <c r="AE16" s="255"/>
      <c r="AF16" s="254">
        <f t="shared" ref="AF16" si="23">(AF13-AF14)/AF14</f>
        <v>0</v>
      </c>
      <c r="AG16" s="275"/>
      <c r="AH16" s="339"/>
      <c r="AI16" s="340"/>
      <c r="AJ16" s="341"/>
      <c r="AK16" s="255">
        <f t="shared" ref="AK16" si="24">(AK14-AK13)/AK14</f>
        <v>0.28148529638976155</v>
      </c>
      <c r="AL16" s="255"/>
      <c r="AM16" s="254">
        <f t="shared" ref="AM16" si="25">(AM14-AM13)/AM14</f>
        <v>-6.1502052503177362E-2</v>
      </c>
      <c r="AN16" s="255"/>
      <c r="AO16" s="254">
        <f t="shared" ref="AO16" si="26">(AO14-AO13)/AO14</f>
        <v>-4.8361289394674864E-2</v>
      </c>
      <c r="AP16" s="255"/>
      <c r="AQ16" s="254">
        <f t="shared" ref="AQ16" si="27">(AQ14-AQ13)/AQ14</f>
        <v>0.5426835047149694</v>
      </c>
      <c r="AR16" s="255"/>
      <c r="AS16" s="254">
        <f t="shared" ref="AS16" si="28">(AS14-AS13)/AS14</f>
        <v>-1.1270696387090398</v>
      </c>
      <c r="AT16" s="255"/>
      <c r="AU16" s="254">
        <f t="shared" ref="AU16" si="29">(AU14-AU13)/AU14</f>
        <v>1</v>
      </c>
      <c r="AV16" s="255"/>
      <c r="AW16" s="254">
        <f t="shared" ref="AW16" si="30">(AW14-AW13)/AW14</f>
        <v>1</v>
      </c>
      <c r="AX16" s="255"/>
      <c r="AY16" s="254">
        <f t="shared" ref="AY16:BA16" si="31">(AY14-AY13)/AY14</f>
        <v>1</v>
      </c>
      <c r="AZ16" s="255"/>
      <c r="BA16" s="254">
        <f t="shared" si="31"/>
        <v>1</v>
      </c>
      <c r="BB16" s="255"/>
      <c r="BC16" s="22"/>
      <c r="BD16" s="97">
        <f>(BD13-BD14)/BD14</f>
        <v>5.5974239517676072E-3</v>
      </c>
      <c r="BE16" s="125">
        <f>(BE13-BE14)/BE14</f>
        <v>-0.31622202110844849</v>
      </c>
    </row>
    <row r="17" spans="1:55" s="11" customFormat="1" ht="75.599999999999994" customHeight="1" x14ac:dyDescent="0.3">
      <c r="A17" t="s">
        <v>661</v>
      </c>
      <c r="B17" s="11" t="s">
        <v>273</v>
      </c>
      <c r="C17" s="11" t="s">
        <v>274</v>
      </c>
      <c r="D17" s="11" t="s">
        <v>37</v>
      </c>
      <c r="E17" s="11" t="s">
        <v>38</v>
      </c>
      <c r="F17" s="11" t="s">
        <v>39</v>
      </c>
      <c r="G17" s="11" t="s">
        <v>40</v>
      </c>
      <c r="H17" s="11" t="s">
        <v>41</v>
      </c>
      <c r="I17" s="11" t="s">
        <v>42</v>
      </c>
      <c r="J17" s="11" t="s">
        <v>44</v>
      </c>
      <c r="K17" s="11" t="s">
        <v>45</v>
      </c>
      <c r="L17" s="11" t="s">
        <v>46</v>
      </c>
      <c r="M17" s="11" t="s">
        <v>47</v>
      </c>
      <c r="N17" s="11" t="s">
        <v>48</v>
      </c>
      <c r="O17" s="11" t="s">
        <v>49</v>
      </c>
      <c r="P17" s="11" t="s">
        <v>50</v>
      </c>
      <c r="Q17" s="11" t="s">
        <v>51</v>
      </c>
      <c r="R17" s="11" t="s">
        <v>52</v>
      </c>
      <c r="S17" s="9" t="s">
        <v>76</v>
      </c>
      <c r="T17" s="9" t="s">
        <v>77</v>
      </c>
      <c r="U17" s="9" t="s">
        <v>78</v>
      </c>
      <c r="V17" s="9" t="s">
        <v>79</v>
      </c>
      <c r="W17" s="11" t="s">
        <v>80</v>
      </c>
      <c r="X17" s="11" t="s">
        <v>81</v>
      </c>
      <c r="Y17" s="11" t="s">
        <v>549</v>
      </c>
      <c r="Z17" s="99" t="s">
        <v>277</v>
      </c>
      <c r="AA17" s="99" t="s">
        <v>278</v>
      </c>
      <c r="AB17" s="99" t="s">
        <v>279</v>
      </c>
      <c r="AC17" s="11" t="s">
        <v>550</v>
      </c>
      <c r="AD17" s="11" t="s">
        <v>82</v>
      </c>
      <c r="AE17" s="11" t="s">
        <v>83</v>
      </c>
      <c r="AF17" s="11" t="s">
        <v>551</v>
      </c>
      <c r="AG17" s="93" t="s">
        <v>283</v>
      </c>
      <c r="AH17" s="93" t="s">
        <v>284</v>
      </c>
      <c r="AI17" s="93" t="s">
        <v>285</v>
      </c>
      <c r="AJ17" s="11" t="s">
        <v>552</v>
      </c>
      <c r="AK17" s="11" t="s">
        <v>84</v>
      </c>
      <c r="AL17" s="11" t="s">
        <v>85</v>
      </c>
      <c r="AM17" s="11" t="s">
        <v>86</v>
      </c>
      <c r="AN17" s="11" t="s">
        <v>87</v>
      </c>
      <c r="AO17" s="11" t="s">
        <v>88</v>
      </c>
      <c r="AP17" s="11" t="s">
        <v>89</v>
      </c>
      <c r="AQ17" s="11" t="s">
        <v>90</v>
      </c>
      <c r="AR17" s="11" t="s">
        <v>91</v>
      </c>
      <c r="AS17" s="11" t="s">
        <v>92</v>
      </c>
      <c r="AT17" s="11" t="s">
        <v>93</v>
      </c>
      <c r="AU17" s="11" t="s">
        <v>94</v>
      </c>
      <c r="AV17" s="11" t="s">
        <v>95</v>
      </c>
      <c r="AW17" s="11" t="s">
        <v>96</v>
      </c>
      <c r="AX17" s="11" t="s">
        <v>97</v>
      </c>
      <c r="AY17" s="11" t="s">
        <v>98</v>
      </c>
      <c r="AZ17" s="11" t="s">
        <v>99</v>
      </c>
      <c r="BA17" s="11" t="s">
        <v>593</v>
      </c>
      <c r="BB17" s="11" t="s">
        <v>594</v>
      </c>
      <c r="BC17" s="11" t="s">
        <v>100</v>
      </c>
    </row>
    <row r="18" spans="1:55" x14ac:dyDescent="0.3">
      <c r="A18" t="s">
        <v>295</v>
      </c>
      <c r="B18" t="s">
        <v>286</v>
      </c>
      <c r="D18" t="s">
        <v>126</v>
      </c>
      <c r="E18" t="s">
        <v>127</v>
      </c>
      <c r="F18" t="s">
        <v>136</v>
      </c>
      <c r="G18" t="s">
        <v>104</v>
      </c>
      <c r="H18" t="s">
        <v>16</v>
      </c>
      <c r="I18" t="s">
        <v>16</v>
      </c>
      <c r="J18" t="s">
        <v>105</v>
      </c>
      <c r="K18" t="s">
        <v>300</v>
      </c>
      <c r="L18" t="s">
        <v>301</v>
      </c>
      <c r="M18" t="s">
        <v>302</v>
      </c>
      <c r="O18" t="s">
        <v>164</v>
      </c>
      <c r="P18" s="1">
        <v>41907</v>
      </c>
      <c r="Q18" s="1">
        <v>41968</v>
      </c>
      <c r="R18" s="1">
        <v>42045</v>
      </c>
      <c r="S18">
        <v>2582</v>
      </c>
      <c r="T18">
        <v>17091</v>
      </c>
      <c r="U18">
        <v>25</v>
      </c>
      <c r="V18">
        <v>98</v>
      </c>
      <c r="W18">
        <v>10</v>
      </c>
      <c r="Z18">
        <f>Portefeuille_ProgPropose[[#This Row],[AC 2025]]-Portefeuille_ProgPropose[[#This Row],[AC 2025 Initiale]]</f>
        <v>10</v>
      </c>
      <c r="AA18">
        <f>Portefeuille_ProgPropose[[#This Row],[TR 2025]]-Portefeuille_ProgPropose[[#This Row],[TR 2025 Initiale]]</f>
        <v>0</v>
      </c>
      <c r="AB18">
        <f>Portefeuille_ProgPropose[[#This Row],[Écart AC 2025]]+Portefeuille_ProgPropose[[#This Row],[Écart TR 2025]]</f>
        <v>10</v>
      </c>
      <c r="AD18"/>
      <c r="AG18">
        <f>Portefeuille_ProgPropose[[#This Row],[AC 2026]]-Portefeuille_ProgPropose[[#This Row],[AC 2026 Initiale]]</f>
        <v>0</v>
      </c>
      <c r="AH18">
        <f>Portefeuille_ProgPropose[[#This Row],[TR 2026]]-Portefeuille_ProgPropose[[#This Row],[TR 2026 Initiale]]</f>
        <v>0</v>
      </c>
      <c r="AI18">
        <f>Portefeuille_ProgPropose[[#This Row],[Écart AC 2026]]+Portefeuille_ProgPropose[[#This Row],[Écart TR 2026]]</f>
        <v>0</v>
      </c>
      <c r="AT18"/>
      <c r="BC18" s="14">
        <f>SUM(Portefeuille_ProgPropose[[#This Row],[AC ANT]:[TR 2025]],Portefeuille_ProgPropose[[#This Row],[AC 2026]:[TR 2026]],Portefeuille_ProgPropose[[#This Row],[AC 2027]:[TR 2034]])</f>
        <v>19806</v>
      </c>
    </row>
    <row r="19" spans="1:55" x14ac:dyDescent="0.3">
      <c r="A19" t="s">
        <v>663</v>
      </c>
      <c r="B19" t="s">
        <v>286</v>
      </c>
      <c r="D19" t="s">
        <v>101</v>
      </c>
      <c r="E19" t="s">
        <v>102</v>
      </c>
      <c r="F19" t="s">
        <v>136</v>
      </c>
      <c r="G19" t="s">
        <v>144</v>
      </c>
      <c r="H19" t="s">
        <v>16</v>
      </c>
      <c r="I19" t="s">
        <v>20</v>
      </c>
      <c r="J19" t="s">
        <v>131</v>
      </c>
      <c r="K19" t="s">
        <v>195</v>
      </c>
      <c r="L19" t="s">
        <v>196</v>
      </c>
      <c r="M19" t="s">
        <v>180</v>
      </c>
      <c r="N19" t="s">
        <v>197</v>
      </c>
      <c r="O19" t="s">
        <v>110</v>
      </c>
      <c r="P19" s="1">
        <v>44889</v>
      </c>
      <c r="Q19" s="1">
        <v>46068</v>
      </c>
      <c r="R19" s="1">
        <v>46583</v>
      </c>
      <c r="S19">
        <v>336.99999999999994</v>
      </c>
      <c r="U19">
        <v>76</v>
      </c>
      <c r="W19">
        <v>1657.9999999999998</v>
      </c>
      <c r="Y19">
        <v>1658</v>
      </c>
      <c r="Z19">
        <f>Portefeuille_ProgPropose[[#This Row],[AC 2025]]-Portefeuille_ProgPropose[[#This Row],[AC 2025 Initiale]]</f>
        <v>0</v>
      </c>
      <c r="AA19">
        <f>Portefeuille_ProgPropose[[#This Row],[TR 2025]]-Portefeuille_ProgPropose[[#This Row],[TR 2025 Initiale]]</f>
        <v>0</v>
      </c>
      <c r="AB19">
        <f>Portefeuille_ProgPropose[[#This Row],[Écart AC 2025]]+Portefeuille_ProgPropose[[#This Row],[Écart TR 2025]]</f>
        <v>0</v>
      </c>
      <c r="AD19">
        <v>1529</v>
      </c>
      <c r="AF19">
        <v>1529</v>
      </c>
      <c r="AG19">
        <f>Portefeuille_ProgPropose[[#This Row],[AC 2026]]-Portefeuille_ProgPropose[[#This Row],[AC 2026 Initiale]]</f>
        <v>0</v>
      </c>
      <c r="AH19">
        <f>Portefeuille_ProgPropose[[#This Row],[TR 2026]]-Portefeuille_ProgPropose[[#This Row],[TR 2026 Initiale]]</f>
        <v>0</v>
      </c>
      <c r="AI19">
        <f>Portefeuille_ProgPropose[[#This Row],[Écart AC 2026]]+Portefeuille_ProgPropose[[#This Row],[Écart TR 2026]]</f>
        <v>0</v>
      </c>
      <c r="AK19">
        <v>1529</v>
      </c>
      <c r="AM19">
        <v>1325</v>
      </c>
      <c r="AN19">
        <v>7500</v>
      </c>
      <c r="AO19">
        <v>1200</v>
      </c>
      <c r="AP19">
        <v>9500</v>
      </c>
      <c r="AQ19">
        <v>439</v>
      </c>
      <c r="AR19">
        <v>18000</v>
      </c>
      <c r="AT19"/>
      <c r="BC19" s="14">
        <f>SUM(Portefeuille_ProgPropose[[#This Row],[AC ANT]:[TR 2025]],Portefeuille_ProgPropose[[#This Row],[AC 2026]:[TR 2026]],Portefeuille_ProgPropose[[#This Row],[AC 2027]:[TR 2034]])</f>
        <v>43093</v>
      </c>
    </row>
    <row r="20" spans="1:55" x14ac:dyDescent="0.3">
      <c r="A20" t="s">
        <v>295</v>
      </c>
      <c r="B20" t="s">
        <v>286</v>
      </c>
      <c r="D20" t="s">
        <v>126</v>
      </c>
      <c r="E20" t="s">
        <v>127</v>
      </c>
      <c r="F20" t="s">
        <v>136</v>
      </c>
      <c r="G20" t="s">
        <v>104</v>
      </c>
      <c r="H20" t="s">
        <v>16</v>
      </c>
      <c r="I20" t="s">
        <v>16</v>
      </c>
      <c r="J20" t="s">
        <v>105</v>
      </c>
      <c r="K20" t="s">
        <v>162</v>
      </c>
      <c r="L20" t="s">
        <v>163</v>
      </c>
      <c r="M20" t="s">
        <v>122</v>
      </c>
      <c r="N20" s="2" t="s">
        <v>148</v>
      </c>
      <c r="O20" t="s">
        <v>164</v>
      </c>
      <c r="P20" s="1"/>
      <c r="Q20" s="1"/>
      <c r="R20" s="1"/>
      <c r="S20">
        <v>5398</v>
      </c>
      <c r="T20">
        <v>28152</v>
      </c>
      <c r="U20">
        <v>46</v>
      </c>
      <c r="V20">
        <v>891</v>
      </c>
      <c r="W20">
        <v>399</v>
      </c>
      <c r="X20">
        <v>67</v>
      </c>
      <c r="Y20">
        <v>399</v>
      </c>
      <c r="Z20">
        <f>Portefeuille_ProgPropose[[#This Row],[AC 2025]]-Portefeuille_ProgPropose[[#This Row],[AC 2025 Initiale]]</f>
        <v>0</v>
      </c>
      <c r="AA20">
        <f>Portefeuille_ProgPropose[[#This Row],[TR 2025]]-Portefeuille_ProgPropose[[#This Row],[TR 2025 Initiale]]</f>
        <v>0</v>
      </c>
      <c r="AB20">
        <f>Portefeuille_ProgPropose[[#This Row],[Écart AC 2025]]+Portefeuille_ProgPropose[[#This Row],[Écart TR 2025]]</f>
        <v>0</v>
      </c>
      <c r="AC20">
        <v>67</v>
      </c>
      <c r="AD20">
        <v>93</v>
      </c>
      <c r="AF20">
        <v>60</v>
      </c>
      <c r="AG20">
        <f>Portefeuille_ProgPropose[[#This Row],[AC 2026]]-Portefeuille_ProgPropose[[#This Row],[AC 2026 Initiale]]</f>
        <v>33</v>
      </c>
      <c r="AH20">
        <f>Portefeuille_ProgPropose[[#This Row],[TR 2026]]-Portefeuille_ProgPropose[[#This Row],[TR 2026 Initiale]]</f>
        <v>0</v>
      </c>
      <c r="AI20">
        <f>Portefeuille_ProgPropose[[#This Row],[Écart AC 2026]]+Portefeuille_ProgPropose[[#This Row],[Écart TR 2026]]</f>
        <v>33</v>
      </c>
      <c r="AT20"/>
      <c r="BC20" s="14">
        <f>SUM(Portefeuille_ProgPropose[[#This Row],[AC ANT]:[TR 2025]],Portefeuille_ProgPropose[[#This Row],[AC 2026]:[TR 2026]],Portefeuille_ProgPropose[[#This Row],[AC 2027]:[TR 2034]])</f>
        <v>35046</v>
      </c>
    </row>
    <row r="21" spans="1:55" x14ac:dyDescent="0.3">
      <c r="A21" t="s">
        <v>663</v>
      </c>
      <c r="B21" t="s">
        <v>286</v>
      </c>
      <c r="D21" t="s">
        <v>101</v>
      </c>
      <c r="E21" t="s">
        <v>102</v>
      </c>
      <c r="F21" t="s">
        <v>136</v>
      </c>
      <c r="G21" t="s">
        <v>104</v>
      </c>
      <c r="H21" t="s">
        <v>16</v>
      </c>
      <c r="I21" t="s">
        <v>130</v>
      </c>
      <c r="J21" t="s">
        <v>105</v>
      </c>
      <c r="K21" t="s">
        <v>170</v>
      </c>
      <c r="L21" t="s">
        <v>171</v>
      </c>
      <c r="M21" t="s">
        <v>172</v>
      </c>
      <c r="N21" t="s">
        <v>173</v>
      </c>
      <c r="O21" t="s">
        <v>110</v>
      </c>
      <c r="P21" s="1">
        <v>44833</v>
      </c>
      <c r="Q21" s="1">
        <v>45976</v>
      </c>
      <c r="R21" s="1">
        <v>46310</v>
      </c>
      <c r="S21">
        <v>497</v>
      </c>
      <c r="T21">
        <v>8</v>
      </c>
      <c r="U21">
        <v>199</v>
      </c>
      <c r="W21">
        <v>1064</v>
      </c>
      <c r="Y21">
        <v>1064</v>
      </c>
      <c r="Z21">
        <f>Portefeuille_ProgPropose[[#This Row],[AC 2025]]-Portefeuille_ProgPropose[[#This Row],[AC 2025 Initiale]]</f>
        <v>0</v>
      </c>
      <c r="AA21">
        <f>Portefeuille_ProgPropose[[#This Row],[TR 2025]]-Portefeuille_ProgPropose[[#This Row],[TR 2025 Initiale]]</f>
        <v>0</v>
      </c>
      <c r="AB21">
        <f>Portefeuille_ProgPropose[[#This Row],[Écart AC 2025]]+Portefeuille_ProgPropose[[#This Row],[Écart TR 2025]]</f>
        <v>0</v>
      </c>
      <c r="AD21">
        <v>1008</v>
      </c>
      <c r="AF21">
        <v>1008</v>
      </c>
      <c r="AG21">
        <f>Portefeuille_ProgPropose[[#This Row],[AC 2026]]-Portefeuille_ProgPropose[[#This Row],[AC 2026 Initiale]]</f>
        <v>0</v>
      </c>
      <c r="AH21">
        <f>Portefeuille_ProgPropose[[#This Row],[TR 2026]]-Portefeuille_ProgPropose[[#This Row],[TR 2026 Initiale]]</f>
        <v>0</v>
      </c>
      <c r="AI21">
        <f>Portefeuille_ProgPropose[[#This Row],[Écart AC 2026]]+Portefeuille_ProgPropose[[#This Row],[Écart TR 2026]]</f>
        <v>0</v>
      </c>
      <c r="AK21">
        <v>1886</v>
      </c>
      <c r="AL21">
        <v>6580</v>
      </c>
      <c r="AM21">
        <v>722</v>
      </c>
      <c r="AN21">
        <v>6581</v>
      </c>
      <c r="AP21">
        <v>6576</v>
      </c>
      <c r="AT21"/>
      <c r="BC21" s="14">
        <f>SUM(Portefeuille_ProgPropose[[#This Row],[AC ANT]:[TR 2025]],Portefeuille_ProgPropose[[#This Row],[AC 2026]:[TR 2026]],Portefeuille_ProgPropose[[#This Row],[AC 2027]:[TR 2034]])</f>
        <v>25121</v>
      </c>
    </row>
    <row r="22" spans="1:55" x14ac:dyDescent="0.3">
      <c r="A22" t="s">
        <v>663</v>
      </c>
      <c r="B22" t="s">
        <v>286</v>
      </c>
      <c r="D22" t="s">
        <v>101</v>
      </c>
      <c r="E22" t="s">
        <v>102</v>
      </c>
      <c r="F22" t="s">
        <v>136</v>
      </c>
      <c r="G22" t="s">
        <v>113</v>
      </c>
      <c r="H22" t="s">
        <v>16</v>
      </c>
      <c r="I22" t="s">
        <v>20</v>
      </c>
      <c r="J22" t="s">
        <v>105</v>
      </c>
      <c r="K22" t="s">
        <v>166</v>
      </c>
      <c r="L22" t="s">
        <v>167</v>
      </c>
      <c r="M22" t="s">
        <v>168</v>
      </c>
      <c r="N22" t="s">
        <v>169</v>
      </c>
      <c r="O22" t="s">
        <v>155</v>
      </c>
      <c r="P22" s="1">
        <v>45976</v>
      </c>
      <c r="Q22" s="1">
        <v>46402</v>
      </c>
      <c r="R22" s="1">
        <v>46980</v>
      </c>
      <c r="S22">
        <v>71</v>
      </c>
      <c r="W22">
        <v>120</v>
      </c>
      <c r="Y22">
        <v>120</v>
      </c>
      <c r="Z22">
        <f>Portefeuille_ProgPropose[[#This Row],[AC 2025]]-Portefeuille_ProgPropose[[#This Row],[AC 2025 Initiale]]</f>
        <v>0</v>
      </c>
      <c r="AA22">
        <f>Portefeuille_ProgPropose[[#This Row],[TR 2025]]-Portefeuille_ProgPropose[[#This Row],[TR 2025 Initiale]]</f>
        <v>0</v>
      </c>
      <c r="AB22">
        <f>Portefeuille_ProgPropose[[#This Row],[Écart AC 2025]]+Portefeuille_ProgPropose[[#This Row],[Écart TR 2025]]</f>
        <v>0</v>
      </c>
      <c r="AD22">
        <v>210</v>
      </c>
      <c r="AF22">
        <v>210</v>
      </c>
      <c r="AG22">
        <f>Portefeuille_ProgPropose[[#This Row],[AC 2026]]-Portefeuille_ProgPropose[[#This Row],[AC 2026 Initiale]]</f>
        <v>0</v>
      </c>
      <c r="AH22">
        <f>Portefeuille_ProgPropose[[#This Row],[TR 2026]]-Portefeuille_ProgPropose[[#This Row],[TR 2026 Initiale]]</f>
        <v>0</v>
      </c>
      <c r="AI22">
        <f>Portefeuille_ProgPropose[[#This Row],[Écart AC 2026]]+Portefeuille_ProgPropose[[#This Row],[Écart TR 2026]]</f>
        <v>0</v>
      </c>
      <c r="AK22">
        <v>310</v>
      </c>
      <c r="AM22">
        <v>310</v>
      </c>
      <c r="AO22">
        <v>395</v>
      </c>
      <c r="AP22">
        <v>2000</v>
      </c>
      <c r="AQ22">
        <v>395</v>
      </c>
      <c r="AR22">
        <v>2000</v>
      </c>
      <c r="AS22">
        <v>400</v>
      </c>
      <c r="AT22">
        <v>18319</v>
      </c>
      <c r="BC22" s="14">
        <f>SUM(Portefeuille_ProgPropose[[#This Row],[AC ANT]:[TR 2025]],Portefeuille_ProgPropose[[#This Row],[AC 2026]:[TR 2026]],Portefeuille_ProgPropose[[#This Row],[AC 2027]:[TR 2034]])</f>
        <v>24530</v>
      </c>
    </row>
    <row r="23" spans="1:55" x14ac:dyDescent="0.3">
      <c r="A23" t="s">
        <v>663</v>
      </c>
      <c r="B23" t="s">
        <v>286</v>
      </c>
      <c r="D23" t="s">
        <v>101</v>
      </c>
      <c r="E23" t="s">
        <v>102</v>
      </c>
      <c r="F23" t="s">
        <v>136</v>
      </c>
      <c r="G23" t="s">
        <v>113</v>
      </c>
      <c r="H23" t="s">
        <v>16</v>
      </c>
      <c r="I23" t="s">
        <v>20</v>
      </c>
      <c r="J23" t="s">
        <v>131</v>
      </c>
      <c r="K23" t="s">
        <v>185</v>
      </c>
      <c r="L23" t="s">
        <v>186</v>
      </c>
      <c r="M23" t="s">
        <v>187</v>
      </c>
      <c r="N23" t="s">
        <v>197</v>
      </c>
      <c r="O23" t="s">
        <v>110</v>
      </c>
      <c r="P23" s="1">
        <v>44823</v>
      </c>
      <c r="Q23" s="1">
        <v>46310</v>
      </c>
      <c r="R23" s="1">
        <v>46521</v>
      </c>
      <c r="S23">
        <v>282</v>
      </c>
      <c r="U23">
        <v>175</v>
      </c>
      <c r="W23">
        <v>835</v>
      </c>
      <c r="Y23">
        <v>835</v>
      </c>
      <c r="Z23">
        <f>Portefeuille_ProgPropose[[#This Row],[AC 2025]]-Portefeuille_ProgPropose[[#This Row],[AC 2025 Initiale]]</f>
        <v>0</v>
      </c>
      <c r="AA23">
        <f>Portefeuille_ProgPropose[[#This Row],[TR 2025]]-Portefeuille_ProgPropose[[#This Row],[TR 2025 Initiale]]</f>
        <v>0</v>
      </c>
      <c r="AB23">
        <f>Portefeuille_ProgPropose[[#This Row],[Écart AC 2025]]+Portefeuille_ProgPropose[[#This Row],[Écart TR 2025]]</f>
        <v>0</v>
      </c>
      <c r="AD23">
        <v>630</v>
      </c>
      <c r="AF23">
        <v>630</v>
      </c>
      <c r="AG23">
        <f>Portefeuille_ProgPropose[[#This Row],[AC 2026]]-Portefeuille_ProgPropose[[#This Row],[AC 2026 Initiale]]</f>
        <v>0</v>
      </c>
      <c r="AH23">
        <f>Portefeuille_ProgPropose[[#This Row],[TR 2026]]-Portefeuille_ProgPropose[[#This Row],[TR 2026 Initiale]]</f>
        <v>0</v>
      </c>
      <c r="AI23">
        <f>Portefeuille_ProgPropose[[#This Row],[Écart AC 2026]]+Portefeuille_ProgPropose[[#This Row],[Écart TR 2026]]</f>
        <v>0</v>
      </c>
      <c r="AK23">
        <v>225</v>
      </c>
      <c r="AM23">
        <v>225</v>
      </c>
      <c r="AN23">
        <v>5369</v>
      </c>
      <c r="AO23">
        <v>502</v>
      </c>
      <c r="AP23">
        <v>10806</v>
      </c>
      <c r="AT23"/>
      <c r="BC23" s="14">
        <f>SUM(Portefeuille_ProgPropose[[#This Row],[AC ANT]:[TR 2025]],Portefeuille_ProgPropose[[#This Row],[AC 2026]:[TR 2026]],Portefeuille_ProgPropose[[#This Row],[AC 2027]:[TR 2034]])</f>
        <v>19049</v>
      </c>
    </row>
    <row r="24" spans="1:55" x14ac:dyDescent="0.3">
      <c r="A24" t="s">
        <v>295</v>
      </c>
      <c r="B24" t="s">
        <v>286</v>
      </c>
      <c r="D24" t="s">
        <v>126</v>
      </c>
      <c r="E24" t="s">
        <v>127</v>
      </c>
      <c r="F24" t="s">
        <v>136</v>
      </c>
      <c r="G24" t="s">
        <v>144</v>
      </c>
      <c r="H24" t="s">
        <v>16</v>
      </c>
      <c r="I24" t="s">
        <v>20</v>
      </c>
      <c r="J24" t="s">
        <v>131</v>
      </c>
      <c r="K24" t="s">
        <v>231</v>
      </c>
      <c r="L24" t="s">
        <v>232</v>
      </c>
      <c r="M24" t="s">
        <v>147</v>
      </c>
      <c r="N24" t="s">
        <v>173</v>
      </c>
      <c r="O24" t="s">
        <v>110</v>
      </c>
      <c r="P24" s="1">
        <v>45099</v>
      </c>
      <c r="Q24" s="1">
        <v>46037</v>
      </c>
      <c r="R24" s="1">
        <v>46283</v>
      </c>
      <c r="S24">
        <v>9</v>
      </c>
      <c r="U24">
        <v>21</v>
      </c>
      <c r="W24">
        <v>672</v>
      </c>
      <c r="Y24">
        <v>672</v>
      </c>
      <c r="Z24">
        <f>Portefeuille_ProgPropose[[#This Row],[AC 2025]]-Portefeuille_ProgPropose[[#This Row],[AC 2025 Initiale]]</f>
        <v>0</v>
      </c>
      <c r="AA24">
        <f>Portefeuille_ProgPropose[[#This Row],[TR 2025]]-Portefeuille_ProgPropose[[#This Row],[TR 2025 Initiale]]</f>
        <v>0</v>
      </c>
      <c r="AB24">
        <f>Portefeuille_ProgPropose[[#This Row],[Écart AC 2025]]+Portefeuille_ProgPropose[[#This Row],[Écart TR 2025]]</f>
        <v>0</v>
      </c>
      <c r="AD24">
        <v>553</v>
      </c>
      <c r="AF24">
        <v>553</v>
      </c>
      <c r="AG24">
        <f>Portefeuille_ProgPropose[[#This Row],[AC 2026]]-Portefeuille_ProgPropose[[#This Row],[AC 2026 Initiale]]</f>
        <v>0</v>
      </c>
      <c r="AH24">
        <f>Portefeuille_ProgPropose[[#This Row],[TR 2026]]-Portefeuille_ProgPropose[[#This Row],[TR 2026 Initiale]]</f>
        <v>0</v>
      </c>
      <c r="AI24">
        <f>Portefeuille_ProgPropose[[#This Row],[Écart AC 2026]]+Portefeuille_ProgPropose[[#This Row],[Écart TR 2026]]</f>
        <v>0</v>
      </c>
      <c r="AK24">
        <v>1175</v>
      </c>
      <c r="AL24">
        <v>6475</v>
      </c>
      <c r="AM24">
        <v>1602</v>
      </c>
      <c r="AN24">
        <v>6677</v>
      </c>
      <c r="AT24"/>
      <c r="BC24" s="14">
        <f>SUM(Portefeuille_ProgPropose[[#This Row],[AC ANT]:[TR 2025]],Portefeuille_ProgPropose[[#This Row],[AC 2026]:[TR 2026]],Portefeuille_ProgPropose[[#This Row],[AC 2027]:[TR 2034]])</f>
        <v>17184</v>
      </c>
    </row>
    <row r="25" spans="1:55" x14ac:dyDescent="0.3">
      <c r="A25" t="s">
        <v>663</v>
      </c>
      <c r="B25" t="s">
        <v>286</v>
      </c>
      <c r="D25" t="s">
        <v>101</v>
      </c>
      <c r="E25" t="s">
        <v>102</v>
      </c>
      <c r="F25" t="s">
        <v>136</v>
      </c>
      <c r="G25" t="s">
        <v>113</v>
      </c>
      <c r="H25" t="s">
        <v>16</v>
      </c>
      <c r="I25" t="s">
        <v>16</v>
      </c>
      <c r="J25" t="s">
        <v>131</v>
      </c>
      <c r="K25" t="s">
        <v>137</v>
      </c>
      <c r="L25" t="s">
        <v>138</v>
      </c>
      <c r="M25" t="s">
        <v>139</v>
      </c>
      <c r="N25" t="s">
        <v>109</v>
      </c>
      <c r="O25" t="s">
        <v>123</v>
      </c>
      <c r="P25" s="1">
        <v>45062</v>
      </c>
      <c r="Q25" s="1">
        <v>45754</v>
      </c>
      <c r="R25" s="1">
        <v>45976</v>
      </c>
      <c r="S25">
        <v>337</v>
      </c>
      <c r="T25">
        <v>41</v>
      </c>
      <c r="U25">
        <v>327</v>
      </c>
      <c r="W25">
        <v>363</v>
      </c>
      <c r="Y25">
        <v>355</v>
      </c>
      <c r="Z25">
        <f>Portefeuille_ProgPropose[[#This Row],[AC 2025]]-Portefeuille_ProgPropose[[#This Row],[AC 2025 Initiale]]</f>
        <v>8</v>
      </c>
      <c r="AA25">
        <f>Portefeuille_ProgPropose[[#This Row],[TR 2025]]-Portefeuille_ProgPropose[[#This Row],[TR 2025 Initiale]]</f>
        <v>0</v>
      </c>
      <c r="AB25">
        <f>Portefeuille_ProgPropose[[#This Row],[Écart AC 2025]]+Portefeuille_ProgPropose[[#This Row],[Écart TR 2025]]</f>
        <v>8</v>
      </c>
      <c r="AD25">
        <v>1006</v>
      </c>
      <c r="AE25">
        <v>5870</v>
      </c>
      <c r="AF25">
        <v>1006</v>
      </c>
      <c r="AG25">
        <f>Portefeuille_ProgPropose[[#This Row],[AC 2026]]-Portefeuille_ProgPropose[[#This Row],[AC 2026 Initiale]]</f>
        <v>0</v>
      </c>
      <c r="AH25">
        <f>Portefeuille_ProgPropose[[#This Row],[TR 2026]]-Portefeuille_ProgPropose[[#This Row],[TR 2026 Initiale]]</f>
        <v>0</v>
      </c>
      <c r="AI25">
        <f>Portefeuille_ProgPropose[[#This Row],[Écart AC 2026]]+Portefeuille_ProgPropose[[#This Row],[Écart TR 2026]]</f>
        <v>0</v>
      </c>
      <c r="AJ25">
        <v>5870</v>
      </c>
      <c r="AT25"/>
      <c r="BC25" s="14">
        <f>SUM(Portefeuille_ProgPropose[[#This Row],[AC ANT]:[TR 2025]],Portefeuille_ProgPropose[[#This Row],[AC 2026]:[TR 2026]],Portefeuille_ProgPropose[[#This Row],[AC 2027]:[TR 2034]])</f>
        <v>7944</v>
      </c>
    </row>
    <row r="26" spans="1:55" x14ac:dyDescent="0.3">
      <c r="A26" t="s">
        <v>664</v>
      </c>
      <c r="B26" t="s">
        <v>286</v>
      </c>
      <c r="D26" t="s">
        <v>101</v>
      </c>
      <c r="E26" t="s">
        <v>102</v>
      </c>
      <c r="F26" t="s">
        <v>103</v>
      </c>
      <c r="G26" t="s">
        <v>104</v>
      </c>
      <c r="H26" t="s">
        <v>16</v>
      </c>
      <c r="I26" t="s">
        <v>16</v>
      </c>
      <c r="J26" t="s">
        <v>105</v>
      </c>
      <c r="K26" t="s">
        <v>215</v>
      </c>
      <c r="L26" t="s">
        <v>216</v>
      </c>
      <c r="M26" t="s">
        <v>217</v>
      </c>
      <c r="N26" t="s">
        <v>148</v>
      </c>
      <c r="O26" t="s">
        <v>164</v>
      </c>
      <c r="P26" s="1">
        <v>44838</v>
      </c>
      <c r="Q26" s="1">
        <v>45441</v>
      </c>
      <c r="R26" s="1">
        <v>45623</v>
      </c>
      <c r="S26">
        <v>218</v>
      </c>
      <c r="T26">
        <v>3</v>
      </c>
      <c r="U26">
        <v>96</v>
      </c>
      <c r="W26">
        <v>643</v>
      </c>
      <c r="X26">
        <v>12563</v>
      </c>
      <c r="Y26">
        <v>641</v>
      </c>
      <c r="Z26">
        <f>Portefeuille_ProgPropose[[#This Row],[AC 2025]]-Portefeuille_ProgPropose[[#This Row],[AC 2025 Initiale]]</f>
        <v>2</v>
      </c>
      <c r="AA26">
        <f>Portefeuille_ProgPropose[[#This Row],[TR 2025]]-Portefeuille_ProgPropose[[#This Row],[TR 2025 Initiale]]</f>
        <v>0</v>
      </c>
      <c r="AB26">
        <f>Portefeuille_ProgPropose[[#This Row],[Écart AC 2025]]+Portefeuille_ProgPropose[[#This Row],[Écart TR 2025]]</f>
        <v>2</v>
      </c>
      <c r="AC26">
        <v>12563</v>
      </c>
      <c r="AD26"/>
      <c r="AG26">
        <f>Portefeuille_ProgPropose[[#This Row],[AC 2026]]-Portefeuille_ProgPropose[[#This Row],[AC 2026 Initiale]]</f>
        <v>0</v>
      </c>
      <c r="AH26">
        <f>Portefeuille_ProgPropose[[#This Row],[TR 2026]]-Portefeuille_ProgPropose[[#This Row],[TR 2026 Initiale]]</f>
        <v>0</v>
      </c>
      <c r="AI26">
        <f>Portefeuille_ProgPropose[[#This Row],[Écart AC 2026]]+Portefeuille_ProgPropose[[#This Row],[Écart TR 2026]]</f>
        <v>0</v>
      </c>
      <c r="AT26"/>
      <c r="BC26" s="14">
        <f>SUM(Portefeuille_ProgPropose[[#This Row],[AC ANT]:[TR 2025]],Portefeuille_ProgPropose[[#This Row],[AC 2026]:[TR 2026]],Portefeuille_ProgPropose[[#This Row],[AC 2027]:[TR 2034]])</f>
        <v>13523</v>
      </c>
    </row>
    <row r="27" spans="1:55" x14ac:dyDescent="0.3">
      <c r="A27" t="s">
        <v>664</v>
      </c>
      <c r="B27" t="s">
        <v>286</v>
      </c>
      <c r="D27" t="s">
        <v>101</v>
      </c>
      <c r="E27" t="s">
        <v>102</v>
      </c>
      <c r="F27" t="s">
        <v>103</v>
      </c>
      <c r="G27" t="s">
        <v>149</v>
      </c>
      <c r="H27" t="s">
        <v>16</v>
      </c>
      <c r="I27" t="s">
        <v>16</v>
      </c>
      <c r="J27" t="s">
        <v>105</v>
      </c>
      <c r="K27" t="s">
        <v>228</v>
      </c>
      <c r="L27" t="s">
        <v>229</v>
      </c>
      <c r="M27" t="s">
        <v>230</v>
      </c>
      <c r="N27" t="s">
        <v>148</v>
      </c>
      <c r="O27" t="s">
        <v>164</v>
      </c>
      <c r="P27" s="1">
        <v>45022</v>
      </c>
      <c r="Q27" s="1">
        <v>45463</v>
      </c>
      <c r="R27" s="1">
        <v>45590</v>
      </c>
      <c r="S27">
        <v>61</v>
      </c>
      <c r="W27">
        <v>601</v>
      </c>
      <c r="X27">
        <v>11581</v>
      </c>
      <c r="Y27">
        <v>580</v>
      </c>
      <c r="Z27">
        <f>Portefeuille_ProgPropose[[#This Row],[AC 2025]]-Portefeuille_ProgPropose[[#This Row],[AC 2025 Initiale]]</f>
        <v>21</v>
      </c>
      <c r="AA27">
        <f>Portefeuille_ProgPropose[[#This Row],[TR 2025]]-Portefeuille_ProgPropose[[#This Row],[TR 2025 Initiale]]</f>
        <v>0</v>
      </c>
      <c r="AB27">
        <f>Portefeuille_ProgPropose[[#This Row],[Écart AC 2025]]+Portefeuille_ProgPropose[[#This Row],[Écart TR 2025]]</f>
        <v>21</v>
      </c>
      <c r="AC27">
        <v>11581</v>
      </c>
      <c r="AD27"/>
      <c r="AG27">
        <f>Portefeuille_ProgPropose[[#This Row],[AC 2026]]-Portefeuille_ProgPropose[[#This Row],[AC 2026 Initiale]]</f>
        <v>0</v>
      </c>
      <c r="AH27">
        <f>Portefeuille_ProgPropose[[#This Row],[TR 2026]]-Portefeuille_ProgPropose[[#This Row],[TR 2026 Initiale]]</f>
        <v>0</v>
      </c>
      <c r="AI27">
        <f>Portefeuille_ProgPropose[[#This Row],[Écart AC 2026]]+Portefeuille_ProgPropose[[#This Row],[Écart TR 2026]]</f>
        <v>0</v>
      </c>
      <c r="AT27"/>
      <c r="BC27" s="14">
        <f>SUM(Portefeuille_ProgPropose[[#This Row],[AC ANT]:[TR 2025]],Portefeuille_ProgPropose[[#This Row],[AC 2026]:[TR 2026]],Portefeuille_ProgPropose[[#This Row],[AC 2027]:[TR 2034]])</f>
        <v>12243</v>
      </c>
    </row>
    <row r="28" spans="1:55" x14ac:dyDescent="0.3">
      <c r="A28" t="s">
        <v>662</v>
      </c>
      <c r="B28" t="s">
        <v>286</v>
      </c>
      <c r="D28" t="s">
        <v>118</v>
      </c>
      <c r="E28" t="s">
        <v>102</v>
      </c>
      <c r="F28" t="s">
        <v>136</v>
      </c>
      <c r="G28" t="s">
        <v>129</v>
      </c>
      <c r="H28" t="s">
        <v>16</v>
      </c>
      <c r="I28" t="s">
        <v>16</v>
      </c>
      <c r="J28" t="s">
        <v>131</v>
      </c>
      <c r="K28" t="s">
        <v>218</v>
      </c>
      <c r="L28" t="s">
        <v>219</v>
      </c>
      <c r="M28" t="s">
        <v>152</v>
      </c>
      <c r="N28" t="s">
        <v>148</v>
      </c>
      <c r="O28" t="s">
        <v>164</v>
      </c>
      <c r="P28" s="1">
        <v>45370</v>
      </c>
      <c r="Q28" s="1"/>
      <c r="R28" s="1">
        <v>45706</v>
      </c>
      <c r="S28">
        <v>6</v>
      </c>
      <c r="U28">
        <v>45</v>
      </c>
      <c r="W28">
        <v>38</v>
      </c>
      <c r="X28">
        <v>605</v>
      </c>
      <c r="Y28">
        <v>24</v>
      </c>
      <c r="Z28">
        <f>Portefeuille_ProgPropose[[#This Row],[AC 2025]]-Portefeuille_ProgPropose[[#This Row],[AC 2025 Initiale]]</f>
        <v>14</v>
      </c>
      <c r="AA28">
        <f>Portefeuille_ProgPropose[[#This Row],[TR 2025]]-Portefeuille_ProgPropose[[#This Row],[TR 2025 Initiale]]</f>
        <v>0</v>
      </c>
      <c r="AB28">
        <f>Portefeuille_ProgPropose[[#This Row],[Écart AC 2025]]+Portefeuille_ProgPropose[[#This Row],[Écart TR 2025]]</f>
        <v>14</v>
      </c>
      <c r="AC28">
        <v>605</v>
      </c>
      <c r="AD28"/>
      <c r="AG28">
        <f>Portefeuille_ProgPropose[[#This Row],[AC 2026]]-Portefeuille_ProgPropose[[#This Row],[AC 2026 Initiale]]</f>
        <v>0</v>
      </c>
      <c r="AH28">
        <f>Portefeuille_ProgPropose[[#This Row],[TR 2026]]-Portefeuille_ProgPropose[[#This Row],[TR 2026 Initiale]]</f>
        <v>0</v>
      </c>
      <c r="AI28">
        <f>Portefeuille_ProgPropose[[#This Row],[Écart AC 2026]]+Portefeuille_ProgPropose[[#This Row],[Écart TR 2026]]</f>
        <v>0</v>
      </c>
      <c r="AT28"/>
      <c r="BC28" s="14">
        <f>SUM(Portefeuille_ProgPropose[[#This Row],[AC ANT]:[TR 2025]],Portefeuille_ProgPropose[[#This Row],[AC 2026]:[TR 2026]],Portefeuille_ProgPropose[[#This Row],[AC 2027]:[TR 2034]])</f>
        <v>694</v>
      </c>
    </row>
    <row r="29" spans="1:55" x14ac:dyDescent="0.3">
      <c r="A29" t="s">
        <v>663</v>
      </c>
      <c r="B29" t="s">
        <v>286</v>
      </c>
      <c r="D29" t="s">
        <v>101</v>
      </c>
      <c r="E29" t="s">
        <v>102</v>
      </c>
      <c r="F29" t="s">
        <v>136</v>
      </c>
      <c r="G29" t="s">
        <v>140</v>
      </c>
      <c r="H29" t="s">
        <v>16</v>
      </c>
      <c r="I29" t="s">
        <v>20</v>
      </c>
      <c r="J29" t="s">
        <v>131</v>
      </c>
      <c r="K29" t="s">
        <v>181</v>
      </c>
      <c r="L29" t="s">
        <v>296</v>
      </c>
      <c r="M29" t="s">
        <v>183</v>
      </c>
      <c r="N29" t="s">
        <v>173</v>
      </c>
      <c r="O29" t="s">
        <v>110</v>
      </c>
      <c r="P29" s="1">
        <v>45590</v>
      </c>
      <c r="Q29" s="1">
        <v>46157</v>
      </c>
      <c r="R29" s="1">
        <v>46157</v>
      </c>
      <c r="W29">
        <v>466</v>
      </c>
      <c r="Y29">
        <v>466</v>
      </c>
      <c r="Z29">
        <f>Portefeuille_ProgPropose[[#This Row],[AC 2025]]-Portefeuille_ProgPropose[[#This Row],[AC 2025 Initiale]]</f>
        <v>0</v>
      </c>
      <c r="AA29">
        <f>Portefeuille_ProgPropose[[#This Row],[TR 2025]]-Portefeuille_ProgPropose[[#This Row],[TR 2025 Initiale]]</f>
        <v>0</v>
      </c>
      <c r="AB29">
        <f>Portefeuille_ProgPropose[[#This Row],[Écart AC 2025]]+Portefeuille_ProgPropose[[#This Row],[Écart TR 2025]]</f>
        <v>0</v>
      </c>
      <c r="AD29">
        <v>475</v>
      </c>
      <c r="AF29">
        <v>475</v>
      </c>
      <c r="AG29">
        <f>Portefeuille_ProgPropose[[#This Row],[AC 2026]]-Portefeuille_ProgPropose[[#This Row],[AC 2026 Initiale]]</f>
        <v>0</v>
      </c>
      <c r="AH29">
        <f>Portefeuille_ProgPropose[[#This Row],[TR 2026]]-Portefeuille_ProgPropose[[#This Row],[TR 2026 Initiale]]</f>
        <v>0</v>
      </c>
      <c r="AI29">
        <f>Portefeuille_ProgPropose[[#This Row],[Écart AC 2026]]+Portefeuille_ProgPropose[[#This Row],[Écart TR 2026]]</f>
        <v>0</v>
      </c>
      <c r="AK29">
        <v>468</v>
      </c>
      <c r="AL29">
        <v>1461</v>
      </c>
      <c r="AT29"/>
      <c r="BC29" s="14">
        <f>SUM(Portefeuille_ProgPropose[[#This Row],[AC ANT]:[TR 2025]],Portefeuille_ProgPropose[[#This Row],[AC 2026]:[TR 2026]],Portefeuille_ProgPropose[[#This Row],[AC 2027]:[TR 2034]])</f>
        <v>2870</v>
      </c>
    </row>
    <row r="30" spans="1:55" x14ac:dyDescent="0.3">
      <c r="A30" t="s">
        <v>664</v>
      </c>
      <c r="B30" t="s">
        <v>286</v>
      </c>
      <c r="D30" t="s">
        <v>101</v>
      </c>
      <c r="E30" t="s">
        <v>102</v>
      </c>
      <c r="F30" t="s">
        <v>103</v>
      </c>
      <c r="G30" t="s">
        <v>140</v>
      </c>
      <c r="H30" t="s">
        <v>16</v>
      </c>
      <c r="I30" t="s">
        <v>16</v>
      </c>
      <c r="J30" t="s">
        <v>105</v>
      </c>
      <c r="K30" t="s">
        <v>174</v>
      </c>
      <c r="L30" t="s">
        <v>175</v>
      </c>
      <c r="M30" t="s">
        <v>143</v>
      </c>
      <c r="N30" t="s">
        <v>148</v>
      </c>
      <c r="O30" t="s">
        <v>164</v>
      </c>
      <c r="P30" s="1">
        <v>44014</v>
      </c>
      <c r="Q30" s="1">
        <v>44294</v>
      </c>
      <c r="R30" s="1">
        <v>45239</v>
      </c>
      <c r="S30">
        <v>389</v>
      </c>
      <c r="T30">
        <v>4986</v>
      </c>
      <c r="U30">
        <v>450</v>
      </c>
      <c r="V30">
        <v>25618</v>
      </c>
      <c r="W30">
        <v>678</v>
      </c>
      <c r="X30">
        <v>14983</v>
      </c>
      <c r="Y30">
        <v>399</v>
      </c>
      <c r="Z30">
        <f>Portefeuille_ProgPropose[[#This Row],[AC 2025]]-Portefeuille_ProgPropose[[#This Row],[AC 2025 Initiale]]</f>
        <v>279</v>
      </c>
      <c r="AA30">
        <f>Portefeuille_ProgPropose[[#This Row],[TR 2025]]-Portefeuille_ProgPropose[[#This Row],[TR 2025 Initiale]]</f>
        <v>3215</v>
      </c>
      <c r="AB30">
        <f>Portefeuille_ProgPropose[[#This Row],[Écart AC 2025]]+Portefeuille_ProgPropose[[#This Row],[Écart TR 2025]]</f>
        <v>3494</v>
      </c>
      <c r="AC30">
        <v>11768</v>
      </c>
      <c r="AD30"/>
      <c r="AG30">
        <f>Portefeuille_ProgPropose[[#This Row],[AC 2026]]-Portefeuille_ProgPropose[[#This Row],[AC 2026 Initiale]]</f>
        <v>0</v>
      </c>
      <c r="AH30">
        <f>Portefeuille_ProgPropose[[#This Row],[TR 2026]]-Portefeuille_ProgPropose[[#This Row],[TR 2026 Initiale]]</f>
        <v>0</v>
      </c>
      <c r="AI30">
        <f>Portefeuille_ProgPropose[[#This Row],[Écart AC 2026]]+Portefeuille_ProgPropose[[#This Row],[Écart TR 2026]]</f>
        <v>0</v>
      </c>
      <c r="AT30"/>
      <c r="BC30" s="14">
        <f>SUM(Portefeuille_ProgPropose[[#This Row],[AC ANT]:[TR 2025]],Portefeuille_ProgPropose[[#This Row],[AC 2026]:[TR 2026]],Portefeuille_ProgPropose[[#This Row],[AC 2027]:[TR 2034]])</f>
        <v>47104</v>
      </c>
    </row>
    <row r="31" spans="1:55" x14ac:dyDescent="0.3">
      <c r="A31" t="s">
        <v>664</v>
      </c>
      <c r="B31" t="s">
        <v>286</v>
      </c>
      <c r="D31" t="s">
        <v>101</v>
      </c>
      <c r="E31" t="s">
        <v>102</v>
      </c>
      <c r="F31" t="s">
        <v>103</v>
      </c>
      <c r="H31" t="s">
        <v>16</v>
      </c>
      <c r="I31" t="s">
        <v>16</v>
      </c>
      <c r="J31" t="s">
        <v>105</v>
      </c>
      <c r="K31" t="s">
        <v>309</v>
      </c>
      <c r="L31" t="s">
        <v>310</v>
      </c>
      <c r="M31" t="s">
        <v>108</v>
      </c>
      <c r="N31" t="s">
        <v>148</v>
      </c>
      <c r="O31" t="s">
        <v>291</v>
      </c>
      <c r="P31" s="1"/>
      <c r="Q31" s="1"/>
      <c r="R31" s="1"/>
      <c r="S31">
        <v>467</v>
      </c>
      <c r="T31">
        <v>5053</v>
      </c>
      <c r="W31">
        <v>27</v>
      </c>
      <c r="X31">
        <v>135</v>
      </c>
      <c r="Z31">
        <f>Portefeuille_ProgPropose[[#This Row],[AC 2025]]-Portefeuille_ProgPropose[[#This Row],[AC 2025 Initiale]]</f>
        <v>27</v>
      </c>
      <c r="AA31">
        <f>Portefeuille_ProgPropose[[#This Row],[TR 2025]]-Portefeuille_ProgPropose[[#This Row],[TR 2025 Initiale]]</f>
        <v>135</v>
      </c>
      <c r="AB31">
        <f>Portefeuille_ProgPropose[[#This Row],[Écart AC 2025]]+Portefeuille_ProgPropose[[#This Row],[Écart TR 2025]]</f>
        <v>162</v>
      </c>
      <c r="AD31"/>
      <c r="AG31">
        <f>Portefeuille_ProgPropose[[#This Row],[AC 2026]]-Portefeuille_ProgPropose[[#This Row],[AC 2026 Initiale]]</f>
        <v>0</v>
      </c>
      <c r="AH31">
        <f>Portefeuille_ProgPropose[[#This Row],[TR 2026]]-Portefeuille_ProgPropose[[#This Row],[TR 2026 Initiale]]</f>
        <v>0</v>
      </c>
      <c r="AI31">
        <f>Portefeuille_ProgPropose[[#This Row],[Écart AC 2026]]+Portefeuille_ProgPropose[[#This Row],[Écart TR 2026]]</f>
        <v>0</v>
      </c>
      <c r="AT31"/>
      <c r="BC31" s="14">
        <f>SUM(Portefeuille_ProgPropose[[#This Row],[AC ANT]:[TR 2025]],Portefeuille_ProgPropose[[#This Row],[AC 2026]:[TR 2026]],Portefeuille_ProgPropose[[#This Row],[AC 2027]:[TR 2034]])</f>
        <v>5682</v>
      </c>
    </row>
    <row r="32" spans="1:55" x14ac:dyDescent="0.3">
      <c r="A32" t="s">
        <v>662</v>
      </c>
      <c r="B32" t="s">
        <v>286</v>
      </c>
      <c r="D32" t="s">
        <v>118</v>
      </c>
      <c r="E32" t="s">
        <v>102</v>
      </c>
      <c r="F32" t="s">
        <v>188</v>
      </c>
      <c r="G32" t="s">
        <v>113</v>
      </c>
      <c r="H32" t="s">
        <v>16</v>
      </c>
      <c r="I32" t="s">
        <v>130</v>
      </c>
      <c r="J32" t="s">
        <v>131</v>
      </c>
      <c r="K32" t="s">
        <v>189</v>
      </c>
      <c r="L32" t="s">
        <v>190</v>
      </c>
      <c r="M32" t="s">
        <v>191</v>
      </c>
      <c r="N32" t="s">
        <v>109</v>
      </c>
      <c r="O32" t="s">
        <v>123</v>
      </c>
      <c r="P32" s="1">
        <v>45684</v>
      </c>
      <c r="Q32" s="1"/>
      <c r="R32" s="1">
        <v>46006</v>
      </c>
      <c r="W32">
        <v>80</v>
      </c>
      <c r="Y32">
        <v>80</v>
      </c>
      <c r="Z32">
        <f>Portefeuille_ProgPropose[[#This Row],[AC 2025]]-Portefeuille_ProgPropose[[#This Row],[AC 2025 Initiale]]</f>
        <v>0</v>
      </c>
      <c r="AA32">
        <f>Portefeuille_ProgPropose[[#This Row],[TR 2025]]-Portefeuille_ProgPropose[[#This Row],[TR 2025 Initiale]]</f>
        <v>0</v>
      </c>
      <c r="AB32">
        <f>Portefeuille_ProgPropose[[#This Row],[Écart AC 2025]]+Portefeuille_ProgPropose[[#This Row],[Écart TR 2025]]</f>
        <v>0</v>
      </c>
      <c r="AD32">
        <v>87</v>
      </c>
      <c r="AE32">
        <v>899</v>
      </c>
      <c r="AF32">
        <v>87</v>
      </c>
      <c r="AG32">
        <f>Portefeuille_ProgPropose[[#This Row],[AC 2026]]-Portefeuille_ProgPropose[[#This Row],[AC 2026 Initiale]]</f>
        <v>0</v>
      </c>
      <c r="AH32">
        <f>Portefeuille_ProgPropose[[#This Row],[TR 2026]]-Portefeuille_ProgPropose[[#This Row],[TR 2026 Initiale]]</f>
        <v>899</v>
      </c>
      <c r="AI32">
        <f>Portefeuille_ProgPropose[[#This Row],[Écart AC 2026]]+Portefeuille_ProgPropose[[#This Row],[Écart TR 2026]]</f>
        <v>899</v>
      </c>
      <c r="AK32">
        <v>227</v>
      </c>
      <c r="AT32"/>
      <c r="BC32" s="14">
        <f>SUM(Portefeuille_ProgPropose[[#This Row],[AC ANT]:[TR 2025]],Portefeuille_ProgPropose[[#This Row],[AC 2026]:[TR 2026]],Portefeuille_ProgPropose[[#This Row],[AC 2027]:[TR 2034]])</f>
        <v>1293</v>
      </c>
    </row>
    <row r="33" spans="1:55" x14ac:dyDescent="0.3">
      <c r="A33" t="s">
        <v>664</v>
      </c>
      <c r="B33" t="s">
        <v>286</v>
      </c>
      <c r="D33" t="s">
        <v>101</v>
      </c>
      <c r="E33" t="s">
        <v>102</v>
      </c>
      <c r="F33" t="s">
        <v>128</v>
      </c>
      <c r="G33" t="s">
        <v>113</v>
      </c>
      <c r="H33" t="s">
        <v>16</v>
      </c>
      <c r="I33" t="s">
        <v>16</v>
      </c>
      <c r="J33" t="s">
        <v>105</v>
      </c>
      <c r="K33" t="s">
        <v>160</v>
      </c>
      <c r="L33" t="s">
        <v>161</v>
      </c>
      <c r="M33" t="s">
        <v>122</v>
      </c>
      <c r="N33" t="s">
        <v>148</v>
      </c>
      <c r="O33" t="s">
        <v>164</v>
      </c>
      <c r="P33" s="1">
        <v>44956</v>
      </c>
      <c r="Q33" s="1">
        <v>45321</v>
      </c>
      <c r="R33" s="1">
        <v>45687</v>
      </c>
      <c r="S33">
        <v>6</v>
      </c>
      <c r="U33">
        <v>14</v>
      </c>
      <c r="W33">
        <v>325</v>
      </c>
      <c r="X33">
        <v>4503</v>
      </c>
      <c r="Y33">
        <v>320</v>
      </c>
      <c r="Z33">
        <f>Portefeuille_ProgPropose[[#This Row],[AC 2025]]-Portefeuille_ProgPropose[[#This Row],[AC 2025 Initiale]]</f>
        <v>5</v>
      </c>
      <c r="AA33">
        <f>Portefeuille_ProgPropose[[#This Row],[TR 2025]]-Portefeuille_ProgPropose[[#This Row],[TR 2025 Initiale]]</f>
        <v>0</v>
      </c>
      <c r="AB33">
        <f>Portefeuille_ProgPropose[[#This Row],[Écart AC 2025]]+Portefeuille_ProgPropose[[#This Row],[Écart TR 2025]]</f>
        <v>5</v>
      </c>
      <c r="AC33">
        <v>4503</v>
      </c>
      <c r="AD33"/>
      <c r="AG33">
        <f>Portefeuille_ProgPropose[[#This Row],[AC 2026]]-Portefeuille_ProgPropose[[#This Row],[AC 2026 Initiale]]</f>
        <v>0</v>
      </c>
      <c r="AH33">
        <f>Portefeuille_ProgPropose[[#This Row],[TR 2026]]-Portefeuille_ProgPropose[[#This Row],[TR 2026 Initiale]]</f>
        <v>0</v>
      </c>
      <c r="AI33">
        <f>Portefeuille_ProgPropose[[#This Row],[Écart AC 2026]]+Portefeuille_ProgPropose[[#This Row],[Écart TR 2026]]</f>
        <v>0</v>
      </c>
      <c r="AT33"/>
      <c r="BC33" s="14">
        <f>SUM(Portefeuille_ProgPropose[[#This Row],[AC ANT]:[TR 2025]],Portefeuille_ProgPropose[[#This Row],[AC 2026]:[TR 2026]],Portefeuille_ProgPropose[[#This Row],[AC 2027]:[TR 2034]])</f>
        <v>4848</v>
      </c>
    </row>
    <row r="34" spans="1:55" x14ac:dyDescent="0.3">
      <c r="A34" t="s">
        <v>664</v>
      </c>
      <c r="B34" t="s">
        <v>286</v>
      </c>
      <c r="D34" t="s">
        <v>101</v>
      </c>
      <c r="E34" t="s">
        <v>102</v>
      </c>
      <c r="F34" t="s">
        <v>103</v>
      </c>
      <c r="G34" t="s">
        <v>129</v>
      </c>
      <c r="H34" t="s">
        <v>16</v>
      </c>
      <c r="I34" t="s">
        <v>16</v>
      </c>
      <c r="J34" t="s">
        <v>131</v>
      </c>
      <c r="K34" t="s">
        <v>132</v>
      </c>
      <c r="L34" t="s">
        <v>288</v>
      </c>
      <c r="M34" t="s">
        <v>134</v>
      </c>
      <c r="N34" t="s">
        <v>109</v>
      </c>
      <c r="O34" t="s">
        <v>123</v>
      </c>
      <c r="P34" s="1">
        <v>45218</v>
      </c>
      <c r="Q34" s="1">
        <v>45722</v>
      </c>
      <c r="R34" s="1">
        <v>45976</v>
      </c>
      <c r="U34">
        <v>12</v>
      </c>
      <c r="W34">
        <v>10</v>
      </c>
      <c r="Y34">
        <v>10</v>
      </c>
      <c r="Z34">
        <f>Portefeuille_ProgPropose[[#This Row],[AC 2025]]-Portefeuille_ProgPropose[[#This Row],[AC 2025 Initiale]]</f>
        <v>0</v>
      </c>
      <c r="AA34">
        <f>Portefeuille_ProgPropose[[#This Row],[TR 2025]]-Portefeuille_ProgPropose[[#This Row],[TR 2025 Initiale]]</f>
        <v>0</v>
      </c>
      <c r="AB34">
        <f>Portefeuille_ProgPropose[[#This Row],[Écart AC 2025]]+Portefeuille_ProgPropose[[#This Row],[Écart TR 2025]]</f>
        <v>0</v>
      </c>
      <c r="AD34">
        <v>350</v>
      </c>
      <c r="AE34">
        <v>4669</v>
      </c>
      <c r="AF34">
        <v>350</v>
      </c>
      <c r="AG34">
        <f>Portefeuille_ProgPropose[[#This Row],[AC 2026]]-Portefeuille_ProgPropose[[#This Row],[AC 2026 Initiale]]</f>
        <v>0</v>
      </c>
      <c r="AH34">
        <f>Portefeuille_ProgPropose[[#This Row],[TR 2026]]-Portefeuille_ProgPropose[[#This Row],[TR 2026 Initiale]]</f>
        <v>0</v>
      </c>
      <c r="AI34">
        <f>Portefeuille_ProgPropose[[#This Row],[Écart AC 2026]]+Portefeuille_ProgPropose[[#This Row],[Écart TR 2026]]</f>
        <v>0</v>
      </c>
      <c r="AJ34">
        <v>4669</v>
      </c>
      <c r="AT34"/>
      <c r="BC34" s="14">
        <f>SUM(Portefeuille_ProgPropose[[#This Row],[AC ANT]:[TR 2025]],Portefeuille_ProgPropose[[#This Row],[AC 2026]:[TR 2026]],Portefeuille_ProgPropose[[#This Row],[AC 2027]:[TR 2034]])</f>
        <v>5041</v>
      </c>
    </row>
    <row r="35" spans="1:55" x14ac:dyDescent="0.3">
      <c r="A35" t="s">
        <v>662</v>
      </c>
      <c r="B35" t="s">
        <v>286</v>
      </c>
      <c r="D35" t="s">
        <v>118</v>
      </c>
      <c r="E35" t="s">
        <v>102</v>
      </c>
      <c r="F35" t="s">
        <v>103</v>
      </c>
      <c r="G35" t="s">
        <v>149</v>
      </c>
      <c r="H35" t="s">
        <v>16</v>
      </c>
      <c r="I35" t="s">
        <v>16</v>
      </c>
      <c r="J35" t="s">
        <v>131</v>
      </c>
      <c r="K35" t="s">
        <v>192</v>
      </c>
      <c r="L35" t="s">
        <v>193</v>
      </c>
      <c r="M35" t="s">
        <v>194</v>
      </c>
      <c r="N35" s="2" t="s">
        <v>148</v>
      </c>
      <c r="O35" t="s">
        <v>164</v>
      </c>
      <c r="P35" s="1">
        <v>44547</v>
      </c>
      <c r="Q35" s="1">
        <v>45091</v>
      </c>
      <c r="R35" s="1">
        <v>45375</v>
      </c>
      <c r="S35">
        <v>7</v>
      </c>
      <c r="U35">
        <v>45</v>
      </c>
      <c r="V35">
        <v>1057</v>
      </c>
      <c r="W35">
        <v>221</v>
      </c>
      <c r="X35">
        <v>4691</v>
      </c>
      <c r="Y35">
        <v>185</v>
      </c>
      <c r="Z35">
        <f>Portefeuille_ProgPropose[[#This Row],[AC 2025]]-Portefeuille_ProgPropose[[#This Row],[AC 2025 Initiale]]</f>
        <v>36</v>
      </c>
      <c r="AA35">
        <f>Portefeuille_ProgPropose[[#This Row],[TR 2025]]-Portefeuille_ProgPropose[[#This Row],[TR 2025 Initiale]]</f>
        <v>293</v>
      </c>
      <c r="AB35">
        <f>Portefeuille_ProgPropose[[#This Row],[Écart AC 2025]]+Portefeuille_ProgPropose[[#This Row],[Écart TR 2025]]</f>
        <v>329</v>
      </c>
      <c r="AC35">
        <v>4398</v>
      </c>
      <c r="AD35"/>
      <c r="AG35">
        <f>Portefeuille_ProgPropose[[#This Row],[AC 2026]]-Portefeuille_ProgPropose[[#This Row],[AC 2026 Initiale]]</f>
        <v>0</v>
      </c>
      <c r="AH35">
        <f>Portefeuille_ProgPropose[[#This Row],[TR 2026]]-Portefeuille_ProgPropose[[#This Row],[TR 2026 Initiale]]</f>
        <v>0</v>
      </c>
      <c r="AI35">
        <f>Portefeuille_ProgPropose[[#This Row],[Écart AC 2026]]+Portefeuille_ProgPropose[[#This Row],[Écart TR 2026]]</f>
        <v>0</v>
      </c>
      <c r="AT35"/>
      <c r="BC35" s="14">
        <f>SUM(Portefeuille_ProgPropose[[#This Row],[AC ANT]:[TR 2025]],Portefeuille_ProgPropose[[#This Row],[AC 2026]:[TR 2026]],Portefeuille_ProgPropose[[#This Row],[AC 2027]:[TR 2034]])</f>
        <v>6021</v>
      </c>
    </row>
    <row r="36" spans="1:55" x14ac:dyDescent="0.3">
      <c r="A36" t="s">
        <v>664</v>
      </c>
      <c r="B36" t="s">
        <v>286</v>
      </c>
      <c r="D36" t="s">
        <v>101</v>
      </c>
      <c r="E36" t="s">
        <v>102</v>
      </c>
      <c r="F36" t="s">
        <v>128</v>
      </c>
      <c r="G36" t="s">
        <v>140</v>
      </c>
      <c r="H36" t="s">
        <v>16</v>
      </c>
      <c r="I36" t="s">
        <v>16</v>
      </c>
      <c r="J36" t="s">
        <v>105</v>
      </c>
      <c r="K36" t="s">
        <v>141</v>
      </c>
      <c r="L36" t="s">
        <v>142</v>
      </c>
      <c r="M36" t="s">
        <v>143</v>
      </c>
      <c r="N36" t="s">
        <v>109</v>
      </c>
      <c r="O36" t="s">
        <v>123</v>
      </c>
      <c r="P36" s="1">
        <v>42900</v>
      </c>
      <c r="Q36" s="1">
        <v>45323</v>
      </c>
      <c r="R36" s="1">
        <v>45889</v>
      </c>
      <c r="S36">
        <v>61</v>
      </c>
      <c r="Z36">
        <f>Portefeuille_ProgPropose[[#This Row],[AC 2025]]-Portefeuille_ProgPropose[[#This Row],[AC 2025 Initiale]]</f>
        <v>0</v>
      </c>
      <c r="AA36">
        <f>Portefeuille_ProgPropose[[#This Row],[TR 2025]]-Portefeuille_ProgPropose[[#This Row],[TR 2025 Initiale]]</f>
        <v>0</v>
      </c>
      <c r="AB36">
        <f>Portefeuille_ProgPropose[[#This Row],[Écart AC 2025]]+Portefeuille_ProgPropose[[#This Row],[Écart TR 2025]]</f>
        <v>0</v>
      </c>
      <c r="AD36">
        <v>400</v>
      </c>
      <c r="AE36">
        <v>5399</v>
      </c>
      <c r="AF36">
        <v>370</v>
      </c>
      <c r="AG36">
        <f>Portefeuille_ProgPropose[[#This Row],[AC 2026]]-Portefeuille_ProgPropose[[#This Row],[AC 2026 Initiale]]</f>
        <v>30</v>
      </c>
      <c r="AH36">
        <f>Portefeuille_ProgPropose[[#This Row],[TR 2026]]-Portefeuille_ProgPropose[[#This Row],[TR 2026 Initiale]]</f>
        <v>451</v>
      </c>
      <c r="AI36">
        <f>Portefeuille_ProgPropose[[#This Row],[Écart AC 2026]]+Portefeuille_ProgPropose[[#This Row],[Écart TR 2026]]</f>
        <v>481</v>
      </c>
      <c r="AJ36">
        <v>4948</v>
      </c>
      <c r="AT36"/>
      <c r="BC36" s="14">
        <f>SUM(Portefeuille_ProgPropose[[#This Row],[AC ANT]:[TR 2025]],Portefeuille_ProgPropose[[#This Row],[AC 2026]:[TR 2026]],Portefeuille_ProgPropose[[#This Row],[AC 2027]:[TR 2034]])</f>
        <v>5860</v>
      </c>
    </row>
    <row r="37" spans="1:55" x14ac:dyDescent="0.3">
      <c r="A37" t="s">
        <v>664</v>
      </c>
      <c r="B37" t="s">
        <v>286</v>
      </c>
      <c r="D37" t="s">
        <v>101</v>
      </c>
      <c r="E37" t="s">
        <v>102</v>
      </c>
      <c r="F37" t="s">
        <v>103</v>
      </c>
      <c r="G37" t="s">
        <v>104</v>
      </c>
      <c r="H37" t="s">
        <v>16</v>
      </c>
      <c r="I37" t="s">
        <v>16</v>
      </c>
      <c r="J37" t="s">
        <v>105</v>
      </c>
      <c r="K37" t="s">
        <v>106</v>
      </c>
      <c r="L37" t="s">
        <v>107</v>
      </c>
      <c r="M37" t="s">
        <v>108</v>
      </c>
      <c r="N37" t="s">
        <v>109</v>
      </c>
      <c r="O37" t="s">
        <v>123</v>
      </c>
      <c r="P37" s="1">
        <v>45014</v>
      </c>
      <c r="Q37" s="1">
        <v>45799</v>
      </c>
      <c r="R37" s="1">
        <v>46006</v>
      </c>
      <c r="S37">
        <v>69</v>
      </c>
      <c r="U37">
        <v>213</v>
      </c>
      <c r="W37">
        <v>272</v>
      </c>
      <c r="Y37">
        <v>180</v>
      </c>
      <c r="Z37">
        <f>Portefeuille_ProgPropose[[#This Row],[AC 2025]]-Portefeuille_ProgPropose[[#This Row],[AC 2025 Initiale]]</f>
        <v>92</v>
      </c>
      <c r="AA37">
        <f>Portefeuille_ProgPropose[[#This Row],[TR 2025]]-Portefeuille_ProgPropose[[#This Row],[TR 2025 Initiale]]</f>
        <v>0</v>
      </c>
      <c r="AB37">
        <f>Portefeuille_ProgPropose[[#This Row],[Écart AC 2025]]+Portefeuille_ProgPropose[[#This Row],[Écart TR 2025]]</f>
        <v>92</v>
      </c>
      <c r="AD37">
        <v>636</v>
      </c>
      <c r="AE37">
        <v>16507</v>
      </c>
      <c r="AF37">
        <v>881</v>
      </c>
      <c r="AG37">
        <f>Portefeuille_ProgPropose[[#This Row],[AC 2026]]-Portefeuille_ProgPropose[[#This Row],[AC 2026 Initiale]]</f>
        <v>-245</v>
      </c>
      <c r="AH37">
        <f>Portefeuille_ProgPropose[[#This Row],[TR 2026]]-Portefeuille_ProgPropose[[#This Row],[TR 2026 Initiale]]</f>
        <v>-50</v>
      </c>
      <c r="AI37">
        <f>Portefeuille_ProgPropose[[#This Row],[Écart AC 2026]]+Portefeuille_ProgPropose[[#This Row],[Écart TR 2026]]</f>
        <v>-295</v>
      </c>
      <c r="AJ37">
        <v>16557</v>
      </c>
      <c r="AT37"/>
      <c r="BC37" s="14">
        <f>SUM(Portefeuille_ProgPropose[[#This Row],[AC ANT]:[TR 2025]],Portefeuille_ProgPropose[[#This Row],[AC 2026]:[TR 2026]],Portefeuille_ProgPropose[[#This Row],[AC 2027]:[TR 2034]])</f>
        <v>17697</v>
      </c>
    </row>
    <row r="38" spans="1:55" x14ac:dyDescent="0.3">
      <c r="A38" t="s">
        <v>664</v>
      </c>
      <c r="B38" t="s">
        <v>286</v>
      </c>
      <c r="D38" t="s">
        <v>101</v>
      </c>
      <c r="E38" t="s">
        <v>102</v>
      </c>
      <c r="F38" t="s">
        <v>103</v>
      </c>
      <c r="G38" t="s">
        <v>113</v>
      </c>
      <c r="H38" t="s">
        <v>16</v>
      </c>
      <c r="I38" t="s">
        <v>16</v>
      </c>
      <c r="J38" t="s">
        <v>105</v>
      </c>
      <c r="K38" t="s">
        <v>312</v>
      </c>
      <c r="L38" t="s">
        <v>313</v>
      </c>
      <c r="M38" t="s">
        <v>168</v>
      </c>
      <c r="N38" t="s">
        <v>148</v>
      </c>
      <c r="O38" t="s">
        <v>164</v>
      </c>
      <c r="P38" s="1">
        <v>44055</v>
      </c>
      <c r="Q38" s="1">
        <v>44315</v>
      </c>
      <c r="R38" s="1">
        <v>44589</v>
      </c>
      <c r="S38">
        <v>448</v>
      </c>
      <c r="T38">
        <v>5849</v>
      </c>
      <c r="U38">
        <v>290</v>
      </c>
      <c r="V38">
        <v>3895</v>
      </c>
      <c r="W38">
        <v>93</v>
      </c>
      <c r="X38">
        <v>390</v>
      </c>
      <c r="Z38">
        <f>Portefeuille_ProgPropose[[#This Row],[AC 2025]]-Portefeuille_ProgPropose[[#This Row],[AC 2025 Initiale]]</f>
        <v>93</v>
      </c>
      <c r="AA38">
        <f>Portefeuille_ProgPropose[[#This Row],[TR 2025]]-Portefeuille_ProgPropose[[#This Row],[TR 2025 Initiale]]</f>
        <v>390</v>
      </c>
      <c r="AB38">
        <f>Portefeuille_ProgPropose[[#This Row],[Écart AC 2025]]+Portefeuille_ProgPropose[[#This Row],[Écart TR 2025]]</f>
        <v>483</v>
      </c>
      <c r="AD38"/>
      <c r="AG38">
        <f>Portefeuille_ProgPropose[[#This Row],[AC 2026]]-Portefeuille_ProgPropose[[#This Row],[AC 2026 Initiale]]</f>
        <v>0</v>
      </c>
      <c r="AH38">
        <f>Portefeuille_ProgPropose[[#This Row],[TR 2026]]-Portefeuille_ProgPropose[[#This Row],[TR 2026 Initiale]]</f>
        <v>0</v>
      </c>
      <c r="AI38">
        <f>Portefeuille_ProgPropose[[#This Row],[Écart AC 2026]]+Portefeuille_ProgPropose[[#This Row],[Écart TR 2026]]</f>
        <v>0</v>
      </c>
      <c r="AT38"/>
      <c r="BC38" s="14">
        <f>SUM(Portefeuille_ProgPropose[[#This Row],[AC ANT]:[TR 2025]],Portefeuille_ProgPropose[[#This Row],[AC 2026]:[TR 2026]],Portefeuille_ProgPropose[[#This Row],[AC 2027]:[TR 2034]])</f>
        <v>10965</v>
      </c>
    </row>
    <row r="39" spans="1:55" x14ac:dyDescent="0.3">
      <c r="A39" t="s">
        <v>662</v>
      </c>
      <c r="B39" t="s">
        <v>286</v>
      </c>
      <c r="D39" t="s">
        <v>118</v>
      </c>
      <c r="E39" t="s">
        <v>102</v>
      </c>
      <c r="F39" t="s">
        <v>177</v>
      </c>
      <c r="G39" t="s">
        <v>113</v>
      </c>
      <c r="H39" t="s">
        <v>16</v>
      </c>
      <c r="I39" t="s">
        <v>20</v>
      </c>
      <c r="J39" t="s">
        <v>131</v>
      </c>
      <c r="K39" t="s">
        <v>240</v>
      </c>
      <c r="L39" s="82" t="s">
        <v>241</v>
      </c>
      <c r="M39" t="s">
        <v>187</v>
      </c>
      <c r="N39" t="s">
        <v>173</v>
      </c>
      <c r="O39" t="s">
        <v>123</v>
      </c>
      <c r="P39" s="1">
        <v>45708</v>
      </c>
      <c r="Q39" s="1">
        <v>45923</v>
      </c>
      <c r="R39" s="1">
        <v>46296</v>
      </c>
      <c r="W39">
        <v>178</v>
      </c>
      <c r="Y39">
        <v>178</v>
      </c>
      <c r="Z39">
        <f>Portefeuille_ProgPropose[[#This Row],[AC 2025]]-Portefeuille_ProgPropose[[#This Row],[AC 2025 Initiale]]</f>
        <v>0</v>
      </c>
      <c r="AA39">
        <f>Portefeuille_ProgPropose[[#This Row],[TR 2025]]-Portefeuille_ProgPropose[[#This Row],[TR 2025 Initiale]]</f>
        <v>0</v>
      </c>
      <c r="AB39">
        <f>Portefeuille_ProgPropose[[#This Row],[Écart AC 2025]]+Portefeuille_ProgPropose[[#This Row],[Écart TR 2025]]</f>
        <v>0</v>
      </c>
      <c r="AD39">
        <v>176</v>
      </c>
      <c r="AF39">
        <v>176</v>
      </c>
      <c r="AG39">
        <f>Portefeuille_ProgPropose[[#This Row],[AC 2026]]-Portefeuille_ProgPropose[[#This Row],[AC 2026 Initiale]]</f>
        <v>0</v>
      </c>
      <c r="AH39">
        <f>Portefeuille_ProgPropose[[#This Row],[TR 2026]]-Portefeuille_ProgPropose[[#This Row],[TR 2026 Initiale]]</f>
        <v>0</v>
      </c>
      <c r="AI39">
        <f>Portefeuille_ProgPropose[[#This Row],[Écart AC 2026]]+Portefeuille_ProgPropose[[#This Row],[Écart TR 2026]]</f>
        <v>0</v>
      </c>
      <c r="AK39">
        <v>212</v>
      </c>
      <c r="AL39">
        <v>4831</v>
      </c>
      <c r="AM39">
        <v>151</v>
      </c>
      <c r="AN39">
        <v>3298</v>
      </c>
      <c r="AT39"/>
      <c r="BC39" s="14">
        <f>SUM(Portefeuille_ProgPropose[[#This Row],[AC ANT]:[TR 2025]],Portefeuille_ProgPropose[[#This Row],[AC 2026]:[TR 2026]],Portefeuille_ProgPropose[[#This Row],[AC 2027]:[TR 2034]])</f>
        <v>8846</v>
      </c>
    </row>
    <row r="40" spans="1:55" x14ac:dyDescent="0.3">
      <c r="A40" t="s">
        <v>664</v>
      </c>
      <c r="B40" t="s">
        <v>286</v>
      </c>
      <c r="D40" t="s">
        <v>101</v>
      </c>
      <c r="E40" t="s">
        <v>102</v>
      </c>
      <c r="F40" t="s">
        <v>103</v>
      </c>
      <c r="G40" t="s">
        <v>206</v>
      </c>
      <c r="H40" t="s">
        <v>16</v>
      </c>
      <c r="I40" t="s">
        <v>16</v>
      </c>
      <c r="J40" t="s">
        <v>105</v>
      </c>
      <c r="K40" t="s">
        <v>314</v>
      </c>
      <c r="L40" t="s">
        <v>315</v>
      </c>
      <c r="M40" t="s">
        <v>316</v>
      </c>
      <c r="N40" t="s">
        <v>148</v>
      </c>
      <c r="O40" t="s">
        <v>164</v>
      </c>
      <c r="P40" s="1">
        <v>43882</v>
      </c>
      <c r="Q40" s="1">
        <v>44033</v>
      </c>
      <c r="R40" s="1">
        <v>45225</v>
      </c>
      <c r="S40">
        <v>257</v>
      </c>
      <c r="T40">
        <v>2407</v>
      </c>
      <c r="U40">
        <v>439</v>
      </c>
      <c r="V40">
        <v>7751</v>
      </c>
      <c r="W40">
        <v>79</v>
      </c>
      <c r="X40">
        <v>385</v>
      </c>
      <c r="Z40">
        <f>Portefeuille_ProgPropose[[#This Row],[AC 2025]]-Portefeuille_ProgPropose[[#This Row],[AC 2025 Initiale]]</f>
        <v>79</v>
      </c>
      <c r="AA40">
        <f>Portefeuille_ProgPropose[[#This Row],[TR 2025]]-Portefeuille_ProgPropose[[#This Row],[TR 2025 Initiale]]</f>
        <v>385</v>
      </c>
      <c r="AB40">
        <f>Portefeuille_ProgPropose[[#This Row],[Écart AC 2025]]+Portefeuille_ProgPropose[[#This Row],[Écart TR 2025]]</f>
        <v>464</v>
      </c>
      <c r="AD40"/>
      <c r="AG40">
        <f>Portefeuille_ProgPropose[[#This Row],[AC 2026]]-Portefeuille_ProgPropose[[#This Row],[AC 2026 Initiale]]</f>
        <v>0</v>
      </c>
      <c r="AH40">
        <f>Portefeuille_ProgPropose[[#This Row],[TR 2026]]-Portefeuille_ProgPropose[[#This Row],[TR 2026 Initiale]]</f>
        <v>0</v>
      </c>
      <c r="AI40">
        <f>Portefeuille_ProgPropose[[#This Row],[Écart AC 2026]]+Portefeuille_ProgPropose[[#This Row],[Écart TR 2026]]</f>
        <v>0</v>
      </c>
      <c r="AT40"/>
      <c r="BC40" s="14">
        <f>SUM(Portefeuille_ProgPropose[[#This Row],[AC ANT]:[TR 2025]],Portefeuille_ProgPropose[[#This Row],[AC 2026]:[TR 2026]],Portefeuille_ProgPropose[[#This Row],[AC 2027]:[TR 2034]])</f>
        <v>11318</v>
      </c>
    </row>
    <row r="41" spans="1:55" x14ac:dyDescent="0.3">
      <c r="A41" t="s">
        <v>664</v>
      </c>
      <c r="B41" t="s">
        <v>286</v>
      </c>
      <c r="D41" t="s">
        <v>101</v>
      </c>
      <c r="E41" t="s">
        <v>102</v>
      </c>
      <c r="F41" t="s">
        <v>136</v>
      </c>
      <c r="G41" t="s">
        <v>149</v>
      </c>
      <c r="H41" t="s">
        <v>16</v>
      </c>
      <c r="I41" t="s">
        <v>20</v>
      </c>
      <c r="J41" t="s">
        <v>131</v>
      </c>
      <c r="K41" t="s">
        <v>212</v>
      </c>
      <c r="L41" t="s">
        <v>213</v>
      </c>
      <c r="M41" t="s">
        <v>214</v>
      </c>
      <c r="N41" t="s">
        <v>184</v>
      </c>
      <c r="O41" t="s">
        <v>155</v>
      </c>
      <c r="P41" s="1">
        <v>46127</v>
      </c>
      <c r="Q41" s="1">
        <v>46798</v>
      </c>
      <c r="R41" s="1">
        <v>47192</v>
      </c>
      <c r="S41">
        <v>47</v>
      </c>
      <c r="U41">
        <v>93</v>
      </c>
      <c r="W41">
        <v>150</v>
      </c>
      <c r="Y41">
        <v>150</v>
      </c>
      <c r="Z41">
        <f>Portefeuille_ProgPropose[[#This Row],[AC 2025]]-Portefeuille_ProgPropose[[#This Row],[AC 2025 Initiale]]</f>
        <v>0</v>
      </c>
      <c r="AA41">
        <f>Portefeuille_ProgPropose[[#This Row],[TR 2025]]-Portefeuille_ProgPropose[[#This Row],[TR 2025 Initiale]]</f>
        <v>0</v>
      </c>
      <c r="AB41">
        <f>Portefeuille_ProgPropose[[#This Row],[Écart AC 2025]]+Portefeuille_ProgPropose[[#This Row],[Écart TR 2025]]</f>
        <v>0</v>
      </c>
      <c r="AD41">
        <v>125</v>
      </c>
      <c r="AF41">
        <v>125</v>
      </c>
      <c r="AG41">
        <f>Portefeuille_ProgPropose[[#This Row],[AC 2026]]-Portefeuille_ProgPropose[[#This Row],[AC 2026 Initiale]]</f>
        <v>0</v>
      </c>
      <c r="AH41">
        <f>Portefeuille_ProgPropose[[#This Row],[TR 2026]]-Portefeuille_ProgPropose[[#This Row],[TR 2026 Initiale]]</f>
        <v>0</v>
      </c>
      <c r="AI41">
        <f>Portefeuille_ProgPropose[[#This Row],[Écart AC 2026]]+Portefeuille_ProgPropose[[#This Row],[Écart TR 2026]]</f>
        <v>0</v>
      </c>
      <c r="AK41">
        <v>125</v>
      </c>
      <c r="AM41">
        <v>125</v>
      </c>
      <c r="AO41">
        <v>125</v>
      </c>
      <c r="AQ41">
        <v>300</v>
      </c>
      <c r="AR41">
        <v>5000</v>
      </c>
      <c r="AS41">
        <v>431</v>
      </c>
      <c r="AT41">
        <v>10000</v>
      </c>
      <c r="BC41" s="14">
        <f>SUM(Portefeuille_ProgPropose[[#This Row],[AC ANT]:[TR 2025]],Portefeuille_ProgPropose[[#This Row],[AC 2026]:[TR 2026]],Portefeuille_ProgPropose[[#This Row],[AC 2027]:[TR 2034]])</f>
        <v>16521</v>
      </c>
    </row>
    <row r="42" spans="1:55" x14ac:dyDescent="0.3">
      <c r="A42" t="s">
        <v>295</v>
      </c>
      <c r="B42" t="s">
        <v>286</v>
      </c>
      <c r="D42" t="s">
        <v>126</v>
      </c>
      <c r="E42" t="s">
        <v>127</v>
      </c>
      <c r="F42" t="s">
        <v>177</v>
      </c>
      <c r="G42" t="s">
        <v>206</v>
      </c>
      <c r="H42" t="s">
        <v>16</v>
      </c>
      <c r="I42" t="s">
        <v>16</v>
      </c>
      <c r="J42" t="s">
        <v>223</v>
      </c>
      <c r="K42" t="s">
        <v>224</v>
      </c>
      <c r="L42" t="s">
        <v>520</v>
      </c>
      <c r="M42" t="s">
        <v>180</v>
      </c>
      <c r="N42" t="s">
        <v>109</v>
      </c>
      <c r="O42" t="s">
        <v>123</v>
      </c>
      <c r="P42" s="1">
        <v>44623</v>
      </c>
      <c r="Q42" s="1">
        <v>45698</v>
      </c>
      <c r="R42" s="1">
        <v>46341</v>
      </c>
      <c r="S42">
        <v>180.00000000000003</v>
      </c>
      <c r="U42">
        <v>53</v>
      </c>
      <c r="W42">
        <v>150</v>
      </c>
      <c r="Y42">
        <v>150</v>
      </c>
      <c r="Z42">
        <f>Portefeuille_ProgPropose[[#This Row],[AC 2025]]-Portefeuille_ProgPropose[[#This Row],[AC 2025 Initiale]]</f>
        <v>0</v>
      </c>
      <c r="AA42">
        <f>Portefeuille_ProgPropose[[#This Row],[TR 2025]]-Portefeuille_ProgPropose[[#This Row],[TR 2025 Initiale]]</f>
        <v>0</v>
      </c>
      <c r="AB42">
        <f>Portefeuille_ProgPropose[[#This Row],[Écart AC 2025]]+Portefeuille_ProgPropose[[#This Row],[Écart TR 2025]]</f>
        <v>0</v>
      </c>
      <c r="AD42">
        <v>133</v>
      </c>
      <c r="AE42">
        <v>354.99999999999994</v>
      </c>
      <c r="AF42">
        <v>133</v>
      </c>
      <c r="AG42">
        <f>Portefeuille_ProgPropose[[#This Row],[AC 2026]]-Portefeuille_ProgPropose[[#This Row],[AC 2026 Initiale]]</f>
        <v>0</v>
      </c>
      <c r="AH42">
        <f>Portefeuille_ProgPropose[[#This Row],[TR 2026]]-Portefeuille_ProgPropose[[#This Row],[TR 2026 Initiale]]</f>
        <v>0</v>
      </c>
      <c r="AI42">
        <f>Portefeuille_ProgPropose[[#This Row],[Écart AC 2026]]+Portefeuille_ProgPropose[[#This Row],[Écart TR 2026]]</f>
        <v>0</v>
      </c>
      <c r="AJ42">
        <v>355</v>
      </c>
      <c r="AK42">
        <v>53.000000000000007</v>
      </c>
      <c r="AL42">
        <v>1610</v>
      </c>
      <c r="AM42">
        <v>159</v>
      </c>
      <c r="AN42">
        <v>4929</v>
      </c>
      <c r="AO42">
        <v>212</v>
      </c>
      <c r="AP42">
        <v>6707.0000000000018</v>
      </c>
      <c r="AQ42">
        <v>261</v>
      </c>
      <c r="AR42">
        <v>6846.0000000000018</v>
      </c>
      <c r="AT42"/>
      <c r="BC42" s="14">
        <f>SUM(Portefeuille_ProgPropose[[#This Row],[AC ANT]:[TR 2025]],Portefeuille_ProgPropose[[#This Row],[AC 2026]:[TR 2026]],Portefeuille_ProgPropose[[#This Row],[AC 2027]:[TR 2034]])</f>
        <v>21648.000000000004</v>
      </c>
    </row>
    <row r="43" spans="1:55" x14ac:dyDescent="0.3">
      <c r="A43" t="s">
        <v>662</v>
      </c>
      <c r="B43" t="s">
        <v>286</v>
      </c>
      <c r="D43" t="s">
        <v>118</v>
      </c>
      <c r="E43" t="s">
        <v>102</v>
      </c>
      <c r="F43" t="s">
        <v>103</v>
      </c>
      <c r="G43" t="s">
        <v>104</v>
      </c>
      <c r="H43" t="s">
        <v>16</v>
      </c>
      <c r="I43" t="s">
        <v>16</v>
      </c>
      <c r="J43" t="s">
        <v>131</v>
      </c>
      <c r="K43" t="s">
        <v>319</v>
      </c>
      <c r="L43" t="s">
        <v>320</v>
      </c>
      <c r="M43" t="s">
        <v>159</v>
      </c>
      <c r="O43" t="s">
        <v>164</v>
      </c>
      <c r="P43" s="1">
        <v>44063</v>
      </c>
      <c r="Q43" s="1">
        <v>44488</v>
      </c>
      <c r="R43" s="1">
        <v>44602</v>
      </c>
      <c r="S43">
        <v>334</v>
      </c>
      <c r="T43">
        <v>5521</v>
      </c>
      <c r="U43">
        <v>24</v>
      </c>
      <c r="W43">
        <v>28</v>
      </c>
      <c r="Z43">
        <f>Portefeuille_ProgPropose[[#This Row],[AC 2025]]-Portefeuille_ProgPropose[[#This Row],[AC 2025 Initiale]]</f>
        <v>28</v>
      </c>
      <c r="AA43">
        <f>Portefeuille_ProgPropose[[#This Row],[TR 2025]]-Portefeuille_ProgPropose[[#This Row],[TR 2025 Initiale]]</f>
        <v>0</v>
      </c>
      <c r="AB43">
        <f>Portefeuille_ProgPropose[[#This Row],[Écart AC 2025]]+Portefeuille_ProgPropose[[#This Row],[Écart TR 2025]]</f>
        <v>28</v>
      </c>
      <c r="AD43"/>
      <c r="AG43">
        <f>Portefeuille_ProgPropose[[#This Row],[AC 2026]]-Portefeuille_ProgPropose[[#This Row],[AC 2026 Initiale]]</f>
        <v>0</v>
      </c>
      <c r="AH43">
        <f>Portefeuille_ProgPropose[[#This Row],[TR 2026]]-Portefeuille_ProgPropose[[#This Row],[TR 2026 Initiale]]</f>
        <v>0</v>
      </c>
      <c r="AI43">
        <f>Portefeuille_ProgPropose[[#This Row],[Écart AC 2026]]+Portefeuille_ProgPropose[[#This Row],[Écart TR 2026]]</f>
        <v>0</v>
      </c>
      <c r="AT43"/>
      <c r="BC43" s="14">
        <f>SUM(Portefeuille_ProgPropose[[#This Row],[AC ANT]:[TR 2025]],Portefeuille_ProgPropose[[#This Row],[AC 2026]:[TR 2026]],Portefeuille_ProgPropose[[#This Row],[AC 2027]:[TR 2034]])</f>
        <v>5907</v>
      </c>
    </row>
    <row r="44" spans="1:55" x14ac:dyDescent="0.3">
      <c r="A44" t="s">
        <v>295</v>
      </c>
      <c r="B44" t="s">
        <v>286</v>
      </c>
      <c r="D44" t="s">
        <v>126</v>
      </c>
      <c r="E44" t="s">
        <v>127</v>
      </c>
      <c r="F44" t="s">
        <v>103</v>
      </c>
      <c r="G44" t="s">
        <v>104</v>
      </c>
      <c r="H44" t="s">
        <v>16</v>
      </c>
      <c r="I44" t="s">
        <v>130</v>
      </c>
      <c r="J44" t="s">
        <v>131</v>
      </c>
      <c r="K44" t="s">
        <v>220</v>
      </c>
      <c r="L44" t="s">
        <v>221</v>
      </c>
      <c r="M44" t="s">
        <v>159</v>
      </c>
      <c r="N44" t="s">
        <v>197</v>
      </c>
      <c r="O44" t="s">
        <v>155</v>
      </c>
      <c r="P44" s="1">
        <v>45976</v>
      </c>
      <c r="Q44" s="1">
        <v>46264</v>
      </c>
      <c r="R44" s="1">
        <v>46553</v>
      </c>
      <c r="W44">
        <v>130</v>
      </c>
      <c r="Y44">
        <v>130</v>
      </c>
      <c r="Z44">
        <f>Portefeuille_ProgPropose[[#This Row],[AC 2025]]-Portefeuille_ProgPropose[[#This Row],[AC 2025 Initiale]]</f>
        <v>0</v>
      </c>
      <c r="AA44">
        <f>Portefeuille_ProgPropose[[#This Row],[TR 2025]]-Portefeuille_ProgPropose[[#This Row],[TR 2025 Initiale]]</f>
        <v>0</v>
      </c>
      <c r="AB44">
        <f>Portefeuille_ProgPropose[[#This Row],[Écart AC 2025]]+Portefeuille_ProgPropose[[#This Row],[Écart TR 2025]]</f>
        <v>0</v>
      </c>
      <c r="AD44">
        <v>125</v>
      </c>
      <c r="AF44">
        <v>125</v>
      </c>
      <c r="AG44">
        <f>Portefeuille_ProgPropose[[#This Row],[AC 2026]]-Portefeuille_ProgPropose[[#This Row],[AC 2026 Initiale]]</f>
        <v>0</v>
      </c>
      <c r="AH44">
        <f>Portefeuille_ProgPropose[[#This Row],[TR 2026]]-Portefeuille_ProgPropose[[#This Row],[TR 2026 Initiale]]</f>
        <v>0</v>
      </c>
      <c r="AI44">
        <f>Portefeuille_ProgPropose[[#This Row],[Écart AC 2026]]+Portefeuille_ProgPropose[[#This Row],[Écart TR 2026]]</f>
        <v>0</v>
      </c>
      <c r="AK44">
        <v>100</v>
      </c>
      <c r="AM44">
        <v>70</v>
      </c>
      <c r="AN44">
        <v>14000</v>
      </c>
      <c r="AO44">
        <v>55</v>
      </c>
      <c r="AP44">
        <v>16662</v>
      </c>
      <c r="AT44"/>
      <c r="BC44" s="14">
        <f>SUM(Portefeuille_ProgPropose[[#This Row],[AC ANT]:[TR 2025]],Portefeuille_ProgPropose[[#This Row],[AC 2026]:[TR 2026]],Portefeuille_ProgPropose[[#This Row],[AC 2027]:[TR 2034]])</f>
        <v>31142</v>
      </c>
    </row>
    <row r="45" spans="1:55" x14ac:dyDescent="0.3">
      <c r="A45" t="s">
        <v>662</v>
      </c>
      <c r="B45" t="s">
        <v>286</v>
      </c>
      <c r="D45" t="s">
        <v>118</v>
      </c>
      <c r="E45" t="s">
        <v>102</v>
      </c>
      <c r="F45" t="s">
        <v>103</v>
      </c>
      <c r="H45" t="s">
        <v>16</v>
      </c>
      <c r="I45" t="s">
        <v>325</v>
      </c>
      <c r="J45" t="s">
        <v>131</v>
      </c>
      <c r="K45" t="s">
        <v>321</v>
      </c>
      <c r="L45" t="s">
        <v>525</v>
      </c>
      <c r="M45" t="s">
        <v>147</v>
      </c>
      <c r="O45" t="s">
        <v>291</v>
      </c>
      <c r="P45" s="1"/>
      <c r="Q45" s="1"/>
      <c r="R45" s="1"/>
      <c r="S45">
        <v>468</v>
      </c>
      <c r="T45">
        <v>4580</v>
      </c>
      <c r="W45">
        <v>3</v>
      </c>
      <c r="Z45">
        <f>Portefeuille_ProgPropose[[#This Row],[AC 2025]]-Portefeuille_ProgPropose[[#This Row],[AC 2025 Initiale]]</f>
        <v>3</v>
      </c>
      <c r="AA45">
        <f>Portefeuille_ProgPropose[[#This Row],[TR 2025]]-Portefeuille_ProgPropose[[#This Row],[TR 2025 Initiale]]</f>
        <v>0</v>
      </c>
      <c r="AB45">
        <f>Portefeuille_ProgPropose[[#This Row],[Écart AC 2025]]+Portefeuille_ProgPropose[[#This Row],[Écart TR 2025]]</f>
        <v>3</v>
      </c>
      <c r="AD45"/>
      <c r="AG45">
        <f>Portefeuille_ProgPropose[[#This Row],[AC 2026]]-Portefeuille_ProgPropose[[#This Row],[AC 2026 Initiale]]</f>
        <v>0</v>
      </c>
      <c r="AH45">
        <f>Portefeuille_ProgPropose[[#This Row],[TR 2026]]-Portefeuille_ProgPropose[[#This Row],[TR 2026 Initiale]]</f>
        <v>0</v>
      </c>
      <c r="AI45">
        <f>Portefeuille_ProgPropose[[#This Row],[Écart AC 2026]]+Portefeuille_ProgPropose[[#This Row],[Écart TR 2026]]</f>
        <v>0</v>
      </c>
      <c r="AT45"/>
      <c r="BC45" s="14">
        <f>SUM(Portefeuille_ProgPropose[[#This Row],[AC ANT]:[TR 2025]],Portefeuille_ProgPropose[[#This Row],[AC 2026]:[TR 2026]],Portefeuille_ProgPropose[[#This Row],[AC 2027]:[TR 2034]])</f>
        <v>5051</v>
      </c>
    </row>
    <row r="46" spans="1:55" x14ac:dyDescent="0.3">
      <c r="A46" t="s">
        <v>664</v>
      </c>
      <c r="B46" t="s">
        <v>286</v>
      </c>
      <c r="D46" t="s">
        <v>101</v>
      </c>
      <c r="E46" t="s">
        <v>102</v>
      </c>
      <c r="F46" t="s">
        <v>103</v>
      </c>
      <c r="H46" t="s">
        <v>16</v>
      </c>
      <c r="I46" t="s">
        <v>325</v>
      </c>
      <c r="J46" t="s">
        <v>131</v>
      </c>
      <c r="K46" t="s">
        <v>326</v>
      </c>
      <c r="L46" t="s">
        <v>327</v>
      </c>
      <c r="M46" t="s">
        <v>183</v>
      </c>
      <c r="O46" t="s">
        <v>291</v>
      </c>
      <c r="P46" s="1"/>
      <c r="Q46" s="1"/>
      <c r="R46" s="1"/>
      <c r="S46">
        <v>595</v>
      </c>
      <c r="T46">
        <v>3578</v>
      </c>
      <c r="W46">
        <v>1</v>
      </c>
      <c r="Z46">
        <f>Portefeuille_ProgPropose[[#This Row],[AC 2025]]-Portefeuille_ProgPropose[[#This Row],[AC 2025 Initiale]]</f>
        <v>1</v>
      </c>
      <c r="AA46">
        <f>Portefeuille_ProgPropose[[#This Row],[TR 2025]]-Portefeuille_ProgPropose[[#This Row],[TR 2025 Initiale]]</f>
        <v>0</v>
      </c>
      <c r="AB46">
        <f>Portefeuille_ProgPropose[[#This Row],[Écart AC 2025]]+Portefeuille_ProgPropose[[#This Row],[Écart TR 2025]]</f>
        <v>1</v>
      </c>
      <c r="AD46"/>
      <c r="AG46">
        <f>Portefeuille_ProgPropose[[#This Row],[AC 2026]]-Portefeuille_ProgPropose[[#This Row],[AC 2026 Initiale]]</f>
        <v>0</v>
      </c>
      <c r="AH46">
        <f>Portefeuille_ProgPropose[[#This Row],[TR 2026]]-Portefeuille_ProgPropose[[#This Row],[TR 2026 Initiale]]</f>
        <v>0</v>
      </c>
      <c r="AI46">
        <f>Portefeuille_ProgPropose[[#This Row],[Écart AC 2026]]+Portefeuille_ProgPropose[[#This Row],[Écart TR 2026]]</f>
        <v>0</v>
      </c>
      <c r="AT46"/>
      <c r="BC46" s="14">
        <f>SUM(Portefeuille_ProgPropose[[#This Row],[AC ANT]:[TR 2025]],Portefeuille_ProgPropose[[#This Row],[AC 2026]:[TR 2026]],Portefeuille_ProgPropose[[#This Row],[AC 2027]:[TR 2034]])</f>
        <v>4174</v>
      </c>
    </row>
    <row r="47" spans="1:55" x14ac:dyDescent="0.3">
      <c r="A47" t="s">
        <v>295</v>
      </c>
      <c r="B47" t="s">
        <v>286</v>
      </c>
      <c r="D47" t="s">
        <v>126</v>
      </c>
      <c r="E47" t="s">
        <v>127</v>
      </c>
      <c r="F47" t="s">
        <v>103</v>
      </c>
      <c r="G47" t="s">
        <v>144</v>
      </c>
      <c r="H47" t="s">
        <v>16</v>
      </c>
      <c r="I47" t="s">
        <v>16</v>
      </c>
      <c r="J47" t="s">
        <v>131</v>
      </c>
      <c r="K47" t="s">
        <v>145</v>
      </c>
      <c r="L47" t="s">
        <v>146</v>
      </c>
      <c r="M47" t="s">
        <v>147</v>
      </c>
      <c r="N47" t="s">
        <v>109</v>
      </c>
      <c r="O47" t="s">
        <v>110</v>
      </c>
      <c r="P47" s="1">
        <v>44609</v>
      </c>
      <c r="Q47" s="1">
        <v>46310</v>
      </c>
      <c r="R47" s="1">
        <v>46583</v>
      </c>
      <c r="S47">
        <v>117</v>
      </c>
      <c r="U47">
        <v>84</v>
      </c>
      <c r="W47">
        <v>105</v>
      </c>
      <c r="Y47">
        <v>105</v>
      </c>
      <c r="Z47">
        <f>Portefeuille_ProgPropose[[#This Row],[AC 2025]]-Portefeuille_ProgPropose[[#This Row],[AC 2025 Initiale]]</f>
        <v>0</v>
      </c>
      <c r="AA47">
        <f>Portefeuille_ProgPropose[[#This Row],[TR 2025]]-Portefeuille_ProgPropose[[#This Row],[TR 2025 Initiale]]</f>
        <v>0</v>
      </c>
      <c r="AB47">
        <f>Portefeuille_ProgPropose[[#This Row],[Écart AC 2025]]+Portefeuille_ProgPropose[[#This Row],[Écart TR 2025]]</f>
        <v>0</v>
      </c>
      <c r="AD47">
        <v>417</v>
      </c>
      <c r="AE47">
        <v>9684</v>
      </c>
      <c r="AF47">
        <v>342</v>
      </c>
      <c r="AG47">
        <f>Portefeuille_ProgPropose[[#This Row],[AC 2026]]-Portefeuille_ProgPropose[[#This Row],[AC 2026 Initiale]]</f>
        <v>75</v>
      </c>
      <c r="AH47">
        <f>Portefeuille_ProgPropose[[#This Row],[TR 2026]]-Portefeuille_ProgPropose[[#This Row],[TR 2026 Initiale]]</f>
        <v>0</v>
      </c>
      <c r="AI47">
        <f>Portefeuille_ProgPropose[[#This Row],[Écart AC 2026]]+Portefeuille_ProgPropose[[#This Row],[Écart TR 2026]]</f>
        <v>75</v>
      </c>
      <c r="AJ47">
        <v>9684</v>
      </c>
      <c r="AT47"/>
      <c r="BC47" s="14">
        <f>SUM(Portefeuille_ProgPropose[[#This Row],[AC ANT]:[TR 2025]],Portefeuille_ProgPropose[[#This Row],[AC 2026]:[TR 2026]],Portefeuille_ProgPropose[[#This Row],[AC 2027]:[TR 2034]])</f>
        <v>10407</v>
      </c>
    </row>
    <row r="48" spans="1:55" x14ac:dyDescent="0.3">
      <c r="A48" t="s">
        <v>664</v>
      </c>
      <c r="B48" t="s">
        <v>286</v>
      </c>
      <c r="D48" t="s">
        <v>101</v>
      </c>
      <c r="E48" t="s">
        <v>102</v>
      </c>
      <c r="F48" t="s">
        <v>200</v>
      </c>
      <c r="H48" t="s">
        <v>16</v>
      </c>
      <c r="I48" t="s">
        <v>325</v>
      </c>
      <c r="J48" t="s">
        <v>131</v>
      </c>
      <c r="K48" t="s">
        <v>328</v>
      </c>
      <c r="L48" t="s">
        <v>329</v>
      </c>
      <c r="M48" t="s">
        <v>152</v>
      </c>
      <c r="O48" t="s">
        <v>291</v>
      </c>
      <c r="P48" s="1"/>
      <c r="Q48" s="1"/>
      <c r="R48" s="1"/>
      <c r="S48">
        <v>186</v>
      </c>
      <c r="T48">
        <v>3019</v>
      </c>
      <c r="W48">
        <v>9</v>
      </c>
      <c r="Z48">
        <f>Portefeuille_ProgPropose[[#This Row],[AC 2025]]-Portefeuille_ProgPropose[[#This Row],[AC 2025 Initiale]]</f>
        <v>9</v>
      </c>
      <c r="AA48">
        <f>Portefeuille_ProgPropose[[#This Row],[TR 2025]]-Portefeuille_ProgPropose[[#This Row],[TR 2025 Initiale]]</f>
        <v>0</v>
      </c>
      <c r="AB48">
        <f>Portefeuille_ProgPropose[[#This Row],[Écart AC 2025]]+Portefeuille_ProgPropose[[#This Row],[Écart TR 2025]]</f>
        <v>9</v>
      </c>
      <c r="AD48"/>
      <c r="AG48">
        <f>Portefeuille_ProgPropose[[#This Row],[AC 2026]]-Portefeuille_ProgPropose[[#This Row],[AC 2026 Initiale]]</f>
        <v>0</v>
      </c>
      <c r="AH48">
        <f>Portefeuille_ProgPropose[[#This Row],[TR 2026]]-Portefeuille_ProgPropose[[#This Row],[TR 2026 Initiale]]</f>
        <v>0</v>
      </c>
      <c r="AI48">
        <f>Portefeuille_ProgPropose[[#This Row],[Écart AC 2026]]+Portefeuille_ProgPropose[[#This Row],[Écart TR 2026]]</f>
        <v>0</v>
      </c>
      <c r="AT48"/>
      <c r="BC48" s="14">
        <f>SUM(Portefeuille_ProgPropose[[#This Row],[AC ANT]:[TR 2025]],Portefeuille_ProgPropose[[#This Row],[AC 2026]:[TR 2026]],Portefeuille_ProgPropose[[#This Row],[AC 2027]:[TR 2034]])</f>
        <v>3214</v>
      </c>
    </row>
    <row r="49" spans="1:55" x14ac:dyDescent="0.3">
      <c r="A49" t="s">
        <v>664</v>
      </c>
      <c r="B49" t="s">
        <v>286</v>
      </c>
      <c r="D49" t="s">
        <v>101</v>
      </c>
      <c r="E49" t="s">
        <v>102</v>
      </c>
      <c r="F49" t="s">
        <v>128</v>
      </c>
      <c r="G49" t="s">
        <v>149</v>
      </c>
      <c r="H49" t="s">
        <v>16</v>
      </c>
      <c r="I49" t="s">
        <v>16</v>
      </c>
      <c r="J49" t="s">
        <v>131</v>
      </c>
      <c r="K49" t="s">
        <v>150</v>
      </c>
      <c r="L49" t="s">
        <v>151</v>
      </c>
      <c r="M49" t="s">
        <v>152</v>
      </c>
      <c r="N49" t="s">
        <v>109</v>
      </c>
      <c r="O49" t="s">
        <v>123</v>
      </c>
      <c r="P49" s="1">
        <v>45079</v>
      </c>
      <c r="Q49" s="1">
        <v>45685</v>
      </c>
      <c r="R49" s="1">
        <v>46142</v>
      </c>
      <c r="S49">
        <v>12</v>
      </c>
      <c r="U49">
        <v>163</v>
      </c>
      <c r="W49">
        <v>100</v>
      </c>
      <c r="Y49">
        <v>100</v>
      </c>
      <c r="Z49">
        <f>Portefeuille_ProgPropose[[#This Row],[AC 2025]]-Portefeuille_ProgPropose[[#This Row],[AC 2025 Initiale]]</f>
        <v>0</v>
      </c>
      <c r="AA49">
        <f>Portefeuille_ProgPropose[[#This Row],[TR 2025]]-Portefeuille_ProgPropose[[#This Row],[TR 2025 Initiale]]</f>
        <v>0</v>
      </c>
      <c r="AB49">
        <f>Portefeuille_ProgPropose[[#This Row],[Écart AC 2025]]+Portefeuille_ProgPropose[[#This Row],[Écart TR 2025]]</f>
        <v>0</v>
      </c>
      <c r="AD49">
        <v>300</v>
      </c>
      <c r="AE49">
        <v>4221</v>
      </c>
      <c r="AF49">
        <v>300</v>
      </c>
      <c r="AG49">
        <f>Portefeuille_ProgPropose[[#This Row],[AC 2026]]-Portefeuille_ProgPropose[[#This Row],[AC 2026 Initiale]]</f>
        <v>0</v>
      </c>
      <c r="AH49">
        <f>Portefeuille_ProgPropose[[#This Row],[TR 2026]]-Portefeuille_ProgPropose[[#This Row],[TR 2026 Initiale]]</f>
        <v>0</v>
      </c>
      <c r="AI49">
        <f>Portefeuille_ProgPropose[[#This Row],[Écart AC 2026]]+Portefeuille_ProgPropose[[#This Row],[Écart TR 2026]]</f>
        <v>0</v>
      </c>
      <c r="AJ49">
        <v>4221</v>
      </c>
      <c r="AK49">
        <v>42</v>
      </c>
      <c r="AL49">
        <v>4139</v>
      </c>
      <c r="AT49"/>
      <c r="BC49" s="14">
        <f>SUM(Portefeuille_ProgPropose[[#This Row],[AC ANT]:[TR 2025]],Portefeuille_ProgPropose[[#This Row],[AC 2026]:[TR 2026]],Portefeuille_ProgPropose[[#This Row],[AC 2027]:[TR 2034]])</f>
        <v>8977</v>
      </c>
    </row>
    <row r="50" spans="1:55" x14ac:dyDescent="0.3">
      <c r="A50" t="s">
        <v>662</v>
      </c>
      <c r="B50" t="s">
        <v>286</v>
      </c>
      <c r="D50" t="s">
        <v>118</v>
      </c>
      <c r="E50" t="s">
        <v>102</v>
      </c>
      <c r="F50" t="s">
        <v>103</v>
      </c>
      <c r="G50" t="s">
        <v>206</v>
      </c>
      <c r="H50" t="s">
        <v>16</v>
      </c>
      <c r="I50" t="s">
        <v>20</v>
      </c>
      <c r="J50" t="s">
        <v>131</v>
      </c>
      <c r="K50" t="s">
        <v>210</v>
      </c>
      <c r="L50" t="s">
        <v>211</v>
      </c>
      <c r="M50" t="s">
        <v>209</v>
      </c>
      <c r="N50" t="s">
        <v>197</v>
      </c>
      <c r="O50" t="s">
        <v>155</v>
      </c>
      <c r="P50" s="1">
        <v>45976</v>
      </c>
      <c r="Q50" s="1">
        <v>46341</v>
      </c>
      <c r="R50" s="1">
        <v>46706</v>
      </c>
      <c r="S50">
        <v>8</v>
      </c>
      <c r="W50">
        <v>100</v>
      </c>
      <c r="Y50">
        <v>100</v>
      </c>
      <c r="Z50">
        <f>Portefeuille_ProgPropose[[#This Row],[AC 2025]]-Portefeuille_ProgPropose[[#This Row],[AC 2025 Initiale]]</f>
        <v>0</v>
      </c>
      <c r="AA50">
        <f>Portefeuille_ProgPropose[[#This Row],[TR 2025]]-Portefeuille_ProgPropose[[#This Row],[TR 2025 Initiale]]</f>
        <v>0</v>
      </c>
      <c r="AB50">
        <f>Portefeuille_ProgPropose[[#This Row],[Écart AC 2025]]+Portefeuille_ProgPropose[[#This Row],[Écart TR 2025]]</f>
        <v>0</v>
      </c>
      <c r="AD50">
        <v>100</v>
      </c>
      <c r="AF50">
        <v>100</v>
      </c>
      <c r="AG50">
        <f>Portefeuille_ProgPropose[[#This Row],[AC 2026]]-Portefeuille_ProgPropose[[#This Row],[AC 2026 Initiale]]</f>
        <v>0</v>
      </c>
      <c r="AH50">
        <f>Portefeuille_ProgPropose[[#This Row],[TR 2026]]-Portefeuille_ProgPropose[[#This Row],[TR 2026 Initiale]]</f>
        <v>0</v>
      </c>
      <c r="AI50">
        <f>Portefeuille_ProgPropose[[#This Row],[Écart AC 2026]]+Portefeuille_ProgPropose[[#This Row],[Écart TR 2026]]</f>
        <v>0</v>
      </c>
      <c r="AK50">
        <v>100</v>
      </c>
      <c r="AM50">
        <v>250</v>
      </c>
      <c r="AN50">
        <v>7500</v>
      </c>
      <c r="AT50"/>
      <c r="BC50" s="14">
        <f>SUM(Portefeuille_ProgPropose[[#This Row],[AC ANT]:[TR 2025]],Portefeuille_ProgPropose[[#This Row],[AC 2026]:[TR 2026]],Portefeuille_ProgPropose[[#This Row],[AC 2027]:[TR 2034]])</f>
        <v>8058</v>
      </c>
    </row>
    <row r="51" spans="1:55" x14ac:dyDescent="0.3">
      <c r="A51" t="s">
        <v>664</v>
      </c>
      <c r="B51" t="s">
        <v>286</v>
      </c>
      <c r="D51" t="s">
        <v>101</v>
      </c>
      <c r="E51" t="s">
        <v>102</v>
      </c>
      <c r="F51" t="s">
        <v>200</v>
      </c>
      <c r="G51" t="s">
        <v>104</v>
      </c>
      <c r="H51" t="s">
        <v>16</v>
      </c>
      <c r="I51" t="s">
        <v>16</v>
      </c>
      <c r="J51" t="s">
        <v>105</v>
      </c>
      <c r="K51" t="s">
        <v>330</v>
      </c>
      <c r="L51" t="s">
        <v>331</v>
      </c>
      <c r="M51" t="s">
        <v>180</v>
      </c>
      <c r="N51" t="s">
        <v>148</v>
      </c>
      <c r="O51" t="s">
        <v>164</v>
      </c>
      <c r="P51" s="1">
        <v>43360</v>
      </c>
      <c r="Q51" s="1">
        <v>43671</v>
      </c>
      <c r="R51" s="1">
        <v>44217</v>
      </c>
      <c r="S51">
        <v>432</v>
      </c>
      <c r="T51">
        <v>3057</v>
      </c>
      <c r="U51">
        <v>136</v>
      </c>
      <c r="W51">
        <v>137</v>
      </c>
      <c r="X51">
        <v>73</v>
      </c>
      <c r="Y51">
        <v>13</v>
      </c>
      <c r="Z51">
        <f>Portefeuille_ProgPropose[[#This Row],[AC 2025]]-Portefeuille_ProgPropose[[#This Row],[AC 2025 Initiale]]</f>
        <v>124</v>
      </c>
      <c r="AA51">
        <f>Portefeuille_ProgPropose[[#This Row],[TR 2025]]-Portefeuille_ProgPropose[[#This Row],[TR 2025 Initiale]]</f>
        <v>73</v>
      </c>
      <c r="AB51">
        <f>Portefeuille_ProgPropose[[#This Row],[Écart AC 2025]]+Portefeuille_ProgPropose[[#This Row],[Écart TR 2025]]</f>
        <v>197</v>
      </c>
      <c r="AD51"/>
      <c r="AG51">
        <f>Portefeuille_ProgPropose[[#This Row],[AC 2026]]-Portefeuille_ProgPropose[[#This Row],[AC 2026 Initiale]]</f>
        <v>0</v>
      </c>
      <c r="AH51">
        <f>Portefeuille_ProgPropose[[#This Row],[TR 2026]]-Portefeuille_ProgPropose[[#This Row],[TR 2026 Initiale]]</f>
        <v>0</v>
      </c>
      <c r="AI51">
        <f>Portefeuille_ProgPropose[[#This Row],[Écart AC 2026]]+Portefeuille_ProgPropose[[#This Row],[Écart TR 2026]]</f>
        <v>0</v>
      </c>
      <c r="AT51"/>
      <c r="BC51" s="14">
        <f>SUM(Portefeuille_ProgPropose[[#This Row],[AC ANT]:[TR 2025]],Portefeuille_ProgPropose[[#This Row],[AC 2026]:[TR 2026]],Portefeuille_ProgPropose[[#This Row],[AC 2027]:[TR 2034]])</f>
        <v>3835</v>
      </c>
    </row>
    <row r="52" spans="1:55" x14ac:dyDescent="0.3">
      <c r="A52" t="s">
        <v>295</v>
      </c>
      <c r="B52" t="s">
        <v>286</v>
      </c>
      <c r="D52" t="s">
        <v>126</v>
      </c>
      <c r="E52" t="s">
        <v>127</v>
      </c>
      <c r="F52" t="s">
        <v>136</v>
      </c>
      <c r="G52" t="s">
        <v>113</v>
      </c>
      <c r="H52" t="s">
        <v>16</v>
      </c>
      <c r="I52" t="s">
        <v>20</v>
      </c>
      <c r="J52" t="s">
        <v>131</v>
      </c>
      <c r="K52" t="s">
        <v>226</v>
      </c>
      <c r="L52" t="s">
        <v>227</v>
      </c>
      <c r="M52" t="s">
        <v>139</v>
      </c>
      <c r="N52" t="s">
        <v>184</v>
      </c>
      <c r="O52" t="s">
        <v>110</v>
      </c>
      <c r="P52" s="1">
        <v>45330</v>
      </c>
      <c r="Q52" s="1">
        <v>46690</v>
      </c>
      <c r="R52" s="1">
        <v>47376</v>
      </c>
      <c r="S52">
        <v>44</v>
      </c>
      <c r="U52">
        <v>35</v>
      </c>
      <c r="W52">
        <v>100</v>
      </c>
      <c r="Y52">
        <v>100</v>
      </c>
      <c r="Z52">
        <f>Portefeuille_ProgPropose[[#This Row],[AC 2025]]-Portefeuille_ProgPropose[[#This Row],[AC 2025 Initiale]]</f>
        <v>0</v>
      </c>
      <c r="AA52">
        <f>Portefeuille_ProgPropose[[#This Row],[TR 2025]]-Portefeuille_ProgPropose[[#This Row],[TR 2025 Initiale]]</f>
        <v>0</v>
      </c>
      <c r="AB52">
        <f>Portefeuille_ProgPropose[[#This Row],[Écart AC 2025]]+Portefeuille_ProgPropose[[#This Row],[Écart TR 2025]]</f>
        <v>0</v>
      </c>
      <c r="AD52">
        <v>288</v>
      </c>
      <c r="AF52">
        <v>288</v>
      </c>
      <c r="AG52">
        <f>Portefeuille_ProgPropose[[#This Row],[AC 2026]]-Portefeuille_ProgPropose[[#This Row],[AC 2026 Initiale]]</f>
        <v>0</v>
      </c>
      <c r="AH52">
        <f>Portefeuille_ProgPropose[[#This Row],[TR 2026]]-Portefeuille_ProgPropose[[#This Row],[TR 2026 Initiale]]</f>
        <v>0</v>
      </c>
      <c r="AI52">
        <f>Portefeuille_ProgPropose[[#This Row],[Écart AC 2026]]+Portefeuille_ProgPropose[[#This Row],[Écart TR 2026]]</f>
        <v>0</v>
      </c>
      <c r="AK52">
        <v>475</v>
      </c>
      <c r="AM52">
        <v>475</v>
      </c>
      <c r="AO52">
        <v>573</v>
      </c>
      <c r="AQ52">
        <v>1000</v>
      </c>
      <c r="AR52">
        <v>4362</v>
      </c>
      <c r="AS52">
        <v>1087</v>
      </c>
      <c r="AT52">
        <v>12800</v>
      </c>
      <c r="BC52" s="14">
        <f>SUM(Portefeuille_ProgPropose[[#This Row],[AC ANT]:[TR 2025]],Portefeuille_ProgPropose[[#This Row],[AC 2026]:[TR 2026]],Portefeuille_ProgPropose[[#This Row],[AC 2027]:[TR 2034]])</f>
        <v>21239</v>
      </c>
    </row>
    <row r="53" spans="1:55" x14ac:dyDescent="0.3">
      <c r="A53" t="s">
        <v>664</v>
      </c>
      <c r="B53" t="s">
        <v>286</v>
      </c>
      <c r="D53" t="s">
        <v>101</v>
      </c>
      <c r="E53" t="s">
        <v>102</v>
      </c>
      <c r="F53" t="s">
        <v>200</v>
      </c>
      <c r="G53" t="s">
        <v>104</v>
      </c>
      <c r="H53" t="s">
        <v>16</v>
      </c>
      <c r="I53" t="s">
        <v>20</v>
      </c>
      <c r="J53" t="s">
        <v>105</v>
      </c>
      <c r="K53" t="s">
        <v>201</v>
      </c>
      <c r="L53" t="s">
        <v>202</v>
      </c>
      <c r="M53" t="s">
        <v>108</v>
      </c>
      <c r="O53" t="s">
        <v>155</v>
      </c>
      <c r="P53" s="1"/>
      <c r="Q53" s="1"/>
      <c r="R53" s="1"/>
      <c r="S53">
        <v>277</v>
      </c>
      <c r="T53">
        <v>4</v>
      </c>
      <c r="Z53">
        <f>Portefeuille_ProgPropose[[#This Row],[AC 2025]]-Portefeuille_ProgPropose[[#This Row],[AC 2025 Initiale]]</f>
        <v>0</v>
      </c>
      <c r="AA53">
        <f>Portefeuille_ProgPropose[[#This Row],[TR 2025]]-Portefeuille_ProgPropose[[#This Row],[TR 2025 Initiale]]</f>
        <v>0</v>
      </c>
      <c r="AB53">
        <f>Portefeuille_ProgPropose[[#This Row],[Écart AC 2025]]+Portefeuille_ProgPropose[[#This Row],[Écart TR 2025]]</f>
        <v>0</v>
      </c>
      <c r="AD53">
        <v>127</v>
      </c>
      <c r="AF53">
        <v>127</v>
      </c>
      <c r="AG53">
        <f>Portefeuille_ProgPropose[[#This Row],[AC 2026]]-Portefeuille_ProgPropose[[#This Row],[AC 2026 Initiale]]</f>
        <v>0</v>
      </c>
      <c r="AH53">
        <f>Portefeuille_ProgPropose[[#This Row],[TR 2026]]-Portefeuille_ProgPropose[[#This Row],[TR 2026 Initiale]]</f>
        <v>0</v>
      </c>
      <c r="AI53">
        <f>Portefeuille_ProgPropose[[#This Row],[Écart AC 2026]]+Portefeuille_ProgPropose[[#This Row],[Écart TR 2026]]</f>
        <v>0</v>
      </c>
      <c r="AK53">
        <v>125</v>
      </c>
      <c r="AM53">
        <v>471</v>
      </c>
      <c r="AT53"/>
      <c r="BC53" s="14">
        <f>SUM(Portefeuille_ProgPropose[[#This Row],[AC ANT]:[TR 2025]],Portefeuille_ProgPropose[[#This Row],[AC 2026]:[TR 2026]],Portefeuille_ProgPropose[[#This Row],[AC 2027]:[TR 2034]])</f>
        <v>1004</v>
      </c>
    </row>
    <row r="54" spans="1:55" x14ac:dyDescent="0.3">
      <c r="A54" t="s">
        <v>295</v>
      </c>
      <c r="B54" t="s">
        <v>286</v>
      </c>
      <c r="D54" t="s">
        <v>126</v>
      </c>
      <c r="E54" t="s">
        <v>127</v>
      </c>
      <c r="F54" t="s">
        <v>103</v>
      </c>
      <c r="G54" t="s">
        <v>149</v>
      </c>
      <c r="H54" t="s">
        <v>16</v>
      </c>
      <c r="I54" t="s">
        <v>20</v>
      </c>
      <c r="J54" t="s">
        <v>131</v>
      </c>
      <c r="K54" t="s">
        <v>233</v>
      </c>
      <c r="L54" t="s">
        <v>542</v>
      </c>
      <c r="M54" t="s">
        <v>152</v>
      </c>
      <c r="N54" t="s">
        <v>197</v>
      </c>
      <c r="O54" t="s">
        <v>155</v>
      </c>
      <c r="P54" s="1">
        <v>46127</v>
      </c>
      <c r="Q54" s="1">
        <v>46553</v>
      </c>
      <c r="R54" s="1">
        <v>46980</v>
      </c>
      <c r="W54">
        <v>100</v>
      </c>
      <c r="Y54">
        <v>100</v>
      </c>
      <c r="Z54">
        <f>Portefeuille_ProgPropose[[#This Row],[AC 2025]]-Portefeuille_ProgPropose[[#This Row],[AC 2025 Initiale]]</f>
        <v>0</v>
      </c>
      <c r="AA54">
        <f>Portefeuille_ProgPropose[[#This Row],[TR 2025]]-Portefeuille_ProgPropose[[#This Row],[TR 2025 Initiale]]</f>
        <v>0</v>
      </c>
      <c r="AB54">
        <f>Portefeuille_ProgPropose[[#This Row],[Écart AC 2025]]+Portefeuille_ProgPropose[[#This Row],[Écart TR 2025]]</f>
        <v>0</v>
      </c>
      <c r="AD54">
        <v>267</v>
      </c>
      <c r="AF54">
        <v>267</v>
      </c>
      <c r="AG54">
        <f>Portefeuille_ProgPropose[[#This Row],[AC 2026]]-Portefeuille_ProgPropose[[#This Row],[AC 2026 Initiale]]</f>
        <v>0</v>
      </c>
      <c r="AH54">
        <f>Portefeuille_ProgPropose[[#This Row],[TR 2026]]-Portefeuille_ProgPropose[[#This Row],[TR 2026 Initiale]]</f>
        <v>0</v>
      </c>
      <c r="AI54">
        <f>Portefeuille_ProgPropose[[#This Row],[Écart AC 2026]]+Portefeuille_ProgPropose[[#This Row],[Écart TR 2026]]</f>
        <v>0</v>
      </c>
      <c r="AK54">
        <v>588</v>
      </c>
      <c r="AN54">
        <v>4500</v>
      </c>
      <c r="AP54">
        <v>3000</v>
      </c>
      <c r="AT54"/>
      <c r="BC54" s="14">
        <f>SUM(Portefeuille_ProgPropose[[#This Row],[AC ANT]:[TR 2025]],Portefeuille_ProgPropose[[#This Row],[AC 2026]:[TR 2026]],Portefeuille_ProgPropose[[#This Row],[AC 2027]:[TR 2034]])</f>
        <v>8455</v>
      </c>
    </row>
    <row r="55" spans="1:55" x14ac:dyDescent="0.3">
      <c r="A55" t="s">
        <v>663</v>
      </c>
      <c r="B55" t="s">
        <v>286</v>
      </c>
      <c r="D55" t="s">
        <v>101</v>
      </c>
      <c r="E55" t="s">
        <v>102</v>
      </c>
      <c r="F55" t="s">
        <v>119</v>
      </c>
      <c r="G55" t="s">
        <v>113</v>
      </c>
      <c r="H55" t="s">
        <v>16</v>
      </c>
      <c r="I55" t="s">
        <v>16</v>
      </c>
      <c r="J55" t="s">
        <v>105</v>
      </c>
      <c r="K55" t="s">
        <v>332</v>
      </c>
      <c r="L55" t="s">
        <v>333</v>
      </c>
      <c r="M55" t="s">
        <v>122</v>
      </c>
      <c r="N55" s="2" t="s">
        <v>148</v>
      </c>
      <c r="O55" t="s">
        <v>164</v>
      </c>
      <c r="P55" s="1">
        <v>44162</v>
      </c>
      <c r="Q55" s="1">
        <v>44489</v>
      </c>
      <c r="R55" s="1">
        <v>44608</v>
      </c>
      <c r="S55">
        <v>183</v>
      </c>
      <c r="T55">
        <v>33</v>
      </c>
      <c r="U55">
        <v>297</v>
      </c>
      <c r="V55">
        <v>6350</v>
      </c>
      <c r="W55">
        <v>162</v>
      </c>
      <c r="X55">
        <v>50</v>
      </c>
      <c r="Z55">
        <f>Portefeuille_ProgPropose[[#This Row],[AC 2025]]-Portefeuille_ProgPropose[[#This Row],[AC 2025 Initiale]]</f>
        <v>162</v>
      </c>
      <c r="AA55">
        <f>Portefeuille_ProgPropose[[#This Row],[TR 2025]]-Portefeuille_ProgPropose[[#This Row],[TR 2025 Initiale]]</f>
        <v>50</v>
      </c>
      <c r="AB55">
        <f>Portefeuille_ProgPropose[[#This Row],[Écart AC 2025]]+Portefeuille_ProgPropose[[#This Row],[Écart TR 2025]]</f>
        <v>212</v>
      </c>
      <c r="AD55"/>
      <c r="AG55">
        <f>Portefeuille_ProgPropose[[#This Row],[AC 2026]]-Portefeuille_ProgPropose[[#This Row],[AC 2026 Initiale]]</f>
        <v>0</v>
      </c>
      <c r="AH55">
        <f>Portefeuille_ProgPropose[[#This Row],[TR 2026]]-Portefeuille_ProgPropose[[#This Row],[TR 2026 Initiale]]</f>
        <v>0</v>
      </c>
      <c r="AI55">
        <f>Portefeuille_ProgPropose[[#This Row],[Écart AC 2026]]+Portefeuille_ProgPropose[[#This Row],[Écart TR 2026]]</f>
        <v>0</v>
      </c>
      <c r="AT55"/>
      <c r="BC55" s="14">
        <f>SUM(Portefeuille_ProgPropose[[#This Row],[AC ANT]:[TR 2025]],Portefeuille_ProgPropose[[#This Row],[AC 2026]:[TR 2026]],Portefeuille_ProgPropose[[#This Row],[AC 2027]:[TR 2034]])</f>
        <v>7075</v>
      </c>
    </row>
    <row r="56" spans="1:55" x14ac:dyDescent="0.3">
      <c r="A56" t="s">
        <v>664</v>
      </c>
      <c r="B56" t="s">
        <v>286</v>
      </c>
      <c r="D56" t="s">
        <v>101</v>
      </c>
      <c r="E56" t="s">
        <v>102</v>
      </c>
      <c r="F56" t="s">
        <v>103</v>
      </c>
      <c r="G56" t="s">
        <v>149</v>
      </c>
      <c r="H56" t="s">
        <v>16</v>
      </c>
      <c r="I56" t="s">
        <v>20</v>
      </c>
      <c r="J56" t="s">
        <v>105</v>
      </c>
      <c r="K56" t="s">
        <v>237</v>
      </c>
      <c r="L56" t="s">
        <v>238</v>
      </c>
      <c r="M56" t="s">
        <v>239</v>
      </c>
      <c r="N56" t="s">
        <v>173</v>
      </c>
      <c r="O56" t="s">
        <v>110</v>
      </c>
      <c r="P56" s="1">
        <v>45915</v>
      </c>
      <c r="Q56" s="1">
        <v>46037</v>
      </c>
      <c r="R56" s="1">
        <v>46310</v>
      </c>
      <c r="W56">
        <v>100</v>
      </c>
      <c r="Y56">
        <v>100</v>
      </c>
      <c r="Z56">
        <f>Portefeuille_ProgPropose[[#This Row],[AC 2025]]-Portefeuille_ProgPropose[[#This Row],[AC 2025 Initiale]]</f>
        <v>0</v>
      </c>
      <c r="AA56">
        <f>Portefeuille_ProgPropose[[#This Row],[TR 2025]]-Portefeuille_ProgPropose[[#This Row],[TR 2025 Initiale]]</f>
        <v>0</v>
      </c>
      <c r="AB56">
        <f>Portefeuille_ProgPropose[[#This Row],[Écart AC 2025]]+Portefeuille_ProgPropose[[#This Row],[Écart TR 2025]]</f>
        <v>0</v>
      </c>
      <c r="AD56">
        <v>200</v>
      </c>
      <c r="AF56">
        <v>200</v>
      </c>
      <c r="AG56">
        <f>Portefeuille_ProgPropose[[#This Row],[AC 2026]]-Portefeuille_ProgPropose[[#This Row],[AC 2026 Initiale]]</f>
        <v>0</v>
      </c>
      <c r="AH56">
        <f>Portefeuille_ProgPropose[[#This Row],[TR 2026]]-Portefeuille_ProgPropose[[#This Row],[TR 2026 Initiale]]</f>
        <v>0</v>
      </c>
      <c r="AI56">
        <f>Portefeuille_ProgPropose[[#This Row],[Écart AC 2026]]+Portefeuille_ProgPropose[[#This Row],[Écart TR 2026]]</f>
        <v>0</v>
      </c>
      <c r="AK56">
        <v>475</v>
      </c>
      <c r="AL56">
        <v>11000</v>
      </c>
      <c r="AT56"/>
      <c r="BC56" s="14">
        <f>SUM(Portefeuille_ProgPropose[[#This Row],[AC ANT]:[TR 2025]],Portefeuille_ProgPropose[[#This Row],[AC 2026]:[TR 2026]],Portefeuille_ProgPropose[[#This Row],[AC 2027]:[TR 2034]])</f>
        <v>11775</v>
      </c>
    </row>
    <row r="57" spans="1:55" x14ac:dyDescent="0.3">
      <c r="A57" t="s">
        <v>664</v>
      </c>
      <c r="B57" t="s">
        <v>286</v>
      </c>
      <c r="D57" t="s">
        <v>101</v>
      </c>
      <c r="E57" t="s">
        <v>102</v>
      </c>
      <c r="F57" t="s">
        <v>200</v>
      </c>
      <c r="G57" t="s">
        <v>149</v>
      </c>
      <c r="H57" t="s">
        <v>16</v>
      </c>
      <c r="I57" t="s">
        <v>16</v>
      </c>
      <c r="J57" t="s">
        <v>105</v>
      </c>
      <c r="K57" t="s">
        <v>334</v>
      </c>
      <c r="L57" t="s">
        <v>335</v>
      </c>
      <c r="M57" t="s">
        <v>205</v>
      </c>
      <c r="N57" t="s">
        <v>148</v>
      </c>
      <c r="O57" t="s">
        <v>164</v>
      </c>
      <c r="P57" s="1">
        <v>44228</v>
      </c>
      <c r="Q57" s="1">
        <v>44579</v>
      </c>
      <c r="R57" s="1">
        <v>44865</v>
      </c>
      <c r="S57">
        <v>262</v>
      </c>
      <c r="T57">
        <v>16</v>
      </c>
      <c r="U57">
        <v>265</v>
      </c>
      <c r="V57">
        <v>6205</v>
      </c>
      <c r="W57">
        <v>183</v>
      </c>
      <c r="X57">
        <v>282</v>
      </c>
      <c r="Z57">
        <f>Portefeuille_ProgPropose[[#This Row],[AC 2025]]-Portefeuille_ProgPropose[[#This Row],[AC 2025 Initiale]]</f>
        <v>183</v>
      </c>
      <c r="AA57">
        <f>Portefeuille_ProgPropose[[#This Row],[TR 2025]]-Portefeuille_ProgPropose[[#This Row],[TR 2025 Initiale]]</f>
        <v>282</v>
      </c>
      <c r="AB57">
        <f>Portefeuille_ProgPropose[[#This Row],[Écart AC 2025]]+Portefeuille_ProgPropose[[#This Row],[Écart TR 2025]]</f>
        <v>465</v>
      </c>
      <c r="AD57"/>
      <c r="AG57">
        <f>Portefeuille_ProgPropose[[#This Row],[AC 2026]]-Portefeuille_ProgPropose[[#This Row],[AC 2026 Initiale]]</f>
        <v>0</v>
      </c>
      <c r="AH57">
        <f>Portefeuille_ProgPropose[[#This Row],[TR 2026]]-Portefeuille_ProgPropose[[#This Row],[TR 2026 Initiale]]</f>
        <v>0</v>
      </c>
      <c r="AI57">
        <f>Portefeuille_ProgPropose[[#This Row],[Écart AC 2026]]+Portefeuille_ProgPropose[[#This Row],[Écart TR 2026]]</f>
        <v>0</v>
      </c>
      <c r="AT57"/>
      <c r="BC57" s="14">
        <f>SUM(Portefeuille_ProgPropose[[#This Row],[AC ANT]:[TR 2025]],Portefeuille_ProgPropose[[#This Row],[AC 2026]:[TR 2026]],Portefeuille_ProgPropose[[#This Row],[AC 2027]:[TR 2034]])</f>
        <v>7213</v>
      </c>
    </row>
    <row r="58" spans="1:55" x14ac:dyDescent="0.3">
      <c r="A58" t="s">
        <v>663</v>
      </c>
      <c r="B58" t="s">
        <v>286</v>
      </c>
      <c r="D58" t="s">
        <v>101</v>
      </c>
      <c r="E58" t="s">
        <v>102</v>
      </c>
      <c r="F58" t="s">
        <v>136</v>
      </c>
      <c r="G58" t="s">
        <v>149</v>
      </c>
      <c r="H58" t="s">
        <v>16</v>
      </c>
      <c r="I58" t="s">
        <v>20</v>
      </c>
      <c r="J58" t="s">
        <v>105</v>
      </c>
      <c r="K58" t="s">
        <v>203</v>
      </c>
      <c r="L58" t="s">
        <v>204</v>
      </c>
      <c r="M58" t="s">
        <v>205</v>
      </c>
      <c r="N58" t="s">
        <v>197</v>
      </c>
      <c r="O58" t="s">
        <v>155</v>
      </c>
      <c r="P58" s="1">
        <v>45960</v>
      </c>
      <c r="Q58" s="1">
        <v>46264</v>
      </c>
      <c r="R58" s="1">
        <v>46629</v>
      </c>
      <c r="W58">
        <v>85</v>
      </c>
      <c r="Y58">
        <v>85</v>
      </c>
      <c r="Z58">
        <f>Portefeuille_ProgPropose[[#This Row],[AC 2025]]-Portefeuille_ProgPropose[[#This Row],[AC 2025 Initiale]]</f>
        <v>0</v>
      </c>
      <c r="AA58">
        <f>Portefeuille_ProgPropose[[#This Row],[TR 2025]]-Portefeuille_ProgPropose[[#This Row],[TR 2025 Initiale]]</f>
        <v>0</v>
      </c>
      <c r="AB58">
        <f>Portefeuille_ProgPropose[[#This Row],[Écart AC 2025]]+Portefeuille_ProgPropose[[#This Row],[Écart TR 2025]]</f>
        <v>0</v>
      </c>
      <c r="AD58">
        <v>85</v>
      </c>
      <c r="AF58">
        <v>85</v>
      </c>
      <c r="AG58">
        <f>Portefeuille_ProgPropose[[#This Row],[AC 2026]]-Portefeuille_ProgPropose[[#This Row],[AC 2026 Initiale]]</f>
        <v>0</v>
      </c>
      <c r="AH58">
        <f>Portefeuille_ProgPropose[[#This Row],[TR 2026]]-Portefeuille_ProgPropose[[#This Row],[TR 2026 Initiale]]</f>
        <v>0</v>
      </c>
      <c r="AI58">
        <f>Portefeuille_ProgPropose[[#This Row],[Écart AC 2026]]+Portefeuille_ProgPropose[[#This Row],[Écart TR 2026]]</f>
        <v>0</v>
      </c>
      <c r="AK58">
        <v>170</v>
      </c>
      <c r="AN58">
        <v>2000</v>
      </c>
      <c r="AT58"/>
      <c r="BC58" s="14">
        <f>SUM(Portefeuille_ProgPropose[[#This Row],[AC ANT]:[TR 2025]],Portefeuille_ProgPropose[[#This Row],[AC 2026]:[TR 2026]],Portefeuille_ProgPropose[[#This Row],[AC 2027]:[TR 2034]])</f>
        <v>2340</v>
      </c>
    </row>
    <row r="59" spans="1:55" x14ac:dyDescent="0.3">
      <c r="A59" t="s">
        <v>664</v>
      </c>
      <c r="B59" t="s">
        <v>286</v>
      </c>
      <c r="D59" t="s">
        <v>101</v>
      </c>
      <c r="E59" t="s">
        <v>102</v>
      </c>
      <c r="F59" t="s">
        <v>103</v>
      </c>
      <c r="G59" t="s">
        <v>149</v>
      </c>
      <c r="H59" t="s">
        <v>16</v>
      </c>
      <c r="I59" t="s">
        <v>20</v>
      </c>
      <c r="J59" t="s">
        <v>105</v>
      </c>
      <c r="K59" t="s">
        <v>235</v>
      </c>
      <c r="L59" t="s">
        <v>510</v>
      </c>
      <c r="M59" t="s">
        <v>205</v>
      </c>
      <c r="N59" t="s">
        <v>173</v>
      </c>
      <c r="O59" t="s">
        <v>110</v>
      </c>
      <c r="P59" s="1">
        <v>45706</v>
      </c>
      <c r="Q59" s="1">
        <v>46055</v>
      </c>
      <c r="R59" s="1">
        <v>46273</v>
      </c>
      <c r="W59">
        <v>90</v>
      </c>
      <c r="Y59">
        <v>90</v>
      </c>
      <c r="Z59">
        <f>Portefeuille_ProgPropose[[#This Row],[AC 2025]]-Portefeuille_ProgPropose[[#This Row],[AC 2025 Initiale]]</f>
        <v>0</v>
      </c>
      <c r="AA59">
        <f>Portefeuille_ProgPropose[[#This Row],[TR 2025]]-Portefeuille_ProgPropose[[#This Row],[TR 2025 Initiale]]</f>
        <v>0</v>
      </c>
      <c r="AB59">
        <f>Portefeuille_ProgPropose[[#This Row],[Écart AC 2025]]+Portefeuille_ProgPropose[[#This Row],[Écart TR 2025]]</f>
        <v>0</v>
      </c>
      <c r="AD59">
        <v>200</v>
      </c>
      <c r="AF59">
        <v>200</v>
      </c>
      <c r="AG59">
        <f>Portefeuille_ProgPropose[[#This Row],[AC 2026]]-Portefeuille_ProgPropose[[#This Row],[AC 2026 Initiale]]</f>
        <v>0</v>
      </c>
      <c r="AH59">
        <f>Portefeuille_ProgPropose[[#This Row],[TR 2026]]-Portefeuille_ProgPropose[[#This Row],[TR 2026 Initiale]]</f>
        <v>0</v>
      </c>
      <c r="AI59">
        <f>Portefeuille_ProgPropose[[#This Row],[Écart AC 2026]]+Portefeuille_ProgPropose[[#This Row],[Écart TR 2026]]</f>
        <v>0</v>
      </c>
      <c r="AK59">
        <v>970</v>
      </c>
      <c r="AL59">
        <v>13608</v>
      </c>
      <c r="AT59"/>
      <c r="BC59" s="14">
        <f>SUM(Portefeuille_ProgPropose[[#This Row],[AC ANT]:[TR 2025]],Portefeuille_ProgPropose[[#This Row],[AC 2026]:[TR 2026]],Portefeuille_ProgPropose[[#This Row],[AC 2027]:[TR 2034]])</f>
        <v>14868</v>
      </c>
    </row>
    <row r="60" spans="1:55" x14ac:dyDescent="0.3">
      <c r="A60" t="s">
        <v>664</v>
      </c>
      <c r="B60" t="s">
        <v>286</v>
      </c>
      <c r="D60" t="s">
        <v>101</v>
      </c>
      <c r="E60" t="s">
        <v>102</v>
      </c>
      <c r="F60" t="s">
        <v>103</v>
      </c>
      <c r="G60" t="s">
        <v>113</v>
      </c>
      <c r="H60" t="s">
        <v>16</v>
      </c>
      <c r="I60" t="s">
        <v>16</v>
      </c>
      <c r="J60" t="s">
        <v>105</v>
      </c>
      <c r="K60" t="s">
        <v>114</v>
      </c>
      <c r="L60" t="s">
        <v>115</v>
      </c>
      <c r="M60" t="s">
        <v>116</v>
      </c>
      <c r="N60" t="s">
        <v>109</v>
      </c>
      <c r="O60" t="s">
        <v>297</v>
      </c>
      <c r="P60" s="1">
        <v>45105</v>
      </c>
      <c r="Q60" s="1">
        <v>45789</v>
      </c>
      <c r="R60" s="1">
        <v>45932</v>
      </c>
      <c r="S60">
        <v>25</v>
      </c>
      <c r="U60">
        <v>17</v>
      </c>
      <c r="W60">
        <v>48</v>
      </c>
      <c r="Y60">
        <v>48</v>
      </c>
      <c r="Z60">
        <f>Portefeuille_ProgPropose[[#This Row],[AC 2025]]-Portefeuille_ProgPropose[[#This Row],[AC 2025 Initiale]]</f>
        <v>0</v>
      </c>
      <c r="AA60">
        <f>Portefeuille_ProgPropose[[#This Row],[TR 2025]]-Portefeuille_ProgPropose[[#This Row],[TR 2025 Initiale]]</f>
        <v>0</v>
      </c>
      <c r="AB60">
        <f>Portefeuille_ProgPropose[[#This Row],[Écart AC 2025]]+Portefeuille_ProgPropose[[#This Row],[Écart TR 2025]]</f>
        <v>0</v>
      </c>
      <c r="AD60">
        <v>520</v>
      </c>
      <c r="AE60">
        <v>19125</v>
      </c>
      <c r="AF60">
        <v>520</v>
      </c>
      <c r="AG60">
        <f>Portefeuille_ProgPropose[[#This Row],[AC 2026]]-Portefeuille_ProgPropose[[#This Row],[AC 2026 Initiale]]</f>
        <v>0</v>
      </c>
      <c r="AH60">
        <f>Portefeuille_ProgPropose[[#This Row],[TR 2026]]-Portefeuille_ProgPropose[[#This Row],[TR 2026 Initiale]]</f>
        <v>0</v>
      </c>
      <c r="AI60">
        <f>Portefeuille_ProgPropose[[#This Row],[Écart AC 2026]]+Portefeuille_ProgPropose[[#This Row],[Écart TR 2026]]</f>
        <v>0</v>
      </c>
      <c r="AJ60">
        <v>19125</v>
      </c>
      <c r="AT60"/>
      <c r="BC60" s="14">
        <f>SUM(Portefeuille_ProgPropose[[#This Row],[AC ANT]:[TR 2025]],Portefeuille_ProgPropose[[#This Row],[AC 2026]:[TR 2026]],Portefeuille_ProgPropose[[#This Row],[AC 2027]:[TR 2034]])</f>
        <v>19735</v>
      </c>
    </row>
    <row r="61" spans="1:55" x14ac:dyDescent="0.3">
      <c r="A61" t="s">
        <v>662</v>
      </c>
      <c r="B61" t="s">
        <v>286</v>
      </c>
      <c r="D61" t="s">
        <v>118</v>
      </c>
      <c r="E61" t="s">
        <v>102</v>
      </c>
      <c r="F61" t="s">
        <v>119</v>
      </c>
      <c r="G61" t="s">
        <v>206</v>
      </c>
      <c r="H61" t="s">
        <v>16</v>
      </c>
      <c r="I61" t="s">
        <v>130</v>
      </c>
      <c r="J61" t="s">
        <v>131</v>
      </c>
      <c r="K61" t="s">
        <v>207</v>
      </c>
      <c r="L61" t="s">
        <v>208</v>
      </c>
      <c r="M61" t="s">
        <v>209</v>
      </c>
      <c r="N61" t="s">
        <v>173</v>
      </c>
      <c r="O61" t="s">
        <v>155</v>
      </c>
      <c r="P61" s="1">
        <v>45976</v>
      </c>
      <c r="Q61" s="1">
        <v>46096</v>
      </c>
      <c r="R61" s="1">
        <v>46280</v>
      </c>
      <c r="S61">
        <v>196</v>
      </c>
      <c r="W61">
        <v>40</v>
      </c>
      <c r="Y61">
        <v>40</v>
      </c>
      <c r="Z61">
        <f>Portefeuille_ProgPropose[[#This Row],[AC 2025]]-Portefeuille_ProgPropose[[#This Row],[AC 2025 Initiale]]</f>
        <v>0</v>
      </c>
      <c r="AA61">
        <f>Portefeuille_ProgPropose[[#This Row],[TR 2025]]-Portefeuille_ProgPropose[[#This Row],[TR 2025 Initiale]]</f>
        <v>0</v>
      </c>
      <c r="AB61">
        <f>Portefeuille_ProgPropose[[#This Row],[Écart AC 2025]]+Portefeuille_ProgPropose[[#This Row],[Écart TR 2025]]</f>
        <v>0</v>
      </c>
      <c r="AD61">
        <v>255</v>
      </c>
      <c r="AF61">
        <v>255</v>
      </c>
      <c r="AG61">
        <f>Portefeuille_ProgPropose[[#This Row],[AC 2026]]-Portefeuille_ProgPropose[[#This Row],[AC 2026 Initiale]]</f>
        <v>0</v>
      </c>
      <c r="AH61">
        <f>Portefeuille_ProgPropose[[#This Row],[TR 2026]]-Portefeuille_ProgPropose[[#This Row],[TR 2026 Initiale]]</f>
        <v>0</v>
      </c>
      <c r="AI61">
        <f>Portefeuille_ProgPropose[[#This Row],[Écart AC 2026]]+Portefeuille_ProgPropose[[#This Row],[Écart TR 2026]]</f>
        <v>0</v>
      </c>
      <c r="AK61">
        <v>396</v>
      </c>
      <c r="AL61">
        <v>1500</v>
      </c>
      <c r="AT61"/>
      <c r="BC61" s="14">
        <f>SUM(Portefeuille_ProgPropose[[#This Row],[AC ANT]:[TR 2025]],Portefeuille_ProgPropose[[#This Row],[AC 2026]:[TR 2026]],Portefeuille_ProgPropose[[#This Row],[AC 2027]:[TR 2034]])</f>
        <v>2387</v>
      </c>
    </row>
    <row r="62" spans="1:55" x14ac:dyDescent="0.3">
      <c r="A62" t="s">
        <v>663</v>
      </c>
      <c r="B62" t="s">
        <v>286</v>
      </c>
      <c r="D62" t="s">
        <v>101</v>
      </c>
      <c r="E62" t="s">
        <v>102</v>
      </c>
      <c r="F62" t="s">
        <v>177</v>
      </c>
      <c r="G62" t="s">
        <v>129</v>
      </c>
      <c r="H62" t="s">
        <v>16</v>
      </c>
      <c r="I62" t="s">
        <v>16</v>
      </c>
      <c r="J62" t="s">
        <v>131</v>
      </c>
      <c r="K62" t="s">
        <v>178</v>
      </c>
      <c r="L62" t="s">
        <v>179</v>
      </c>
      <c r="M62" t="s">
        <v>180</v>
      </c>
      <c r="N62" t="s">
        <v>148</v>
      </c>
      <c r="O62" t="s">
        <v>164</v>
      </c>
      <c r="P62" s="1"/>
      <c r="Q62" s="1"/>
      <c r="R62" s="1">
        <v>45195</v>
      </c>
      <c r="S62">
        <v>75</v>
      </c>
      <c r="T62">
        <v>101.00000000000001</v>
      </c>
      <c r="U62">
        <v>25</v>
      </c>
      <c r="V62">
        <v>1137</v>
      </c>
      <c r="W62">
        <v>73</v>
      </c>
      <c r="X62">
        <v>596</v>
      </c>
      <c r="Y62">
        <v>73</v>
      </c>
      <c r="Z62">
        <f>Portefeuille_ProgPropose[[#This Row],[AC 2025]]-Portefeuille_ProgPropose[[#This Row],[AC 2025 Initiale]]</f>
        <v>0</v>
      </c>
      <c r="AA62">
        <f>Portefeuille_ProgPropose[[#This Row],[TR 2025]]-Portefeuille_ProgPropose[[#This Row],[TR 2025 Initiale]]</f>
        <v>16</v>
      </c>
      <c r="AB62">
        <f>Portefeuille_ProgPropose[[#This Row],[Écart AC 2025]]+Portefeuille_ProgPropose[[#This Row],[Écart TR 2025]]</f>
        <v>16</v>
      </c>
      <c r="AC62">
        <v>580</v>
      </c>
      <c r="AD62"/>
      <c r="AG62">
        <f>Portefeuille_ProgPropose[[#This Row],[AC 2026]]-Portefeuille_ProgPropose[[#This Row],[AC 2026 Initiale]]</f>
        <v>0</v>
      </c>
      <c r="AH62">
        <f>Portefeuille_ProgPropose[[#This Row],[TR 2026]]-Portefeuille_ProgPropose[[#This Row],[TR 2026 Initiale]]</f>
        <v>0</v>
      </c>
      <c r="AI62">
        <f>Portefeuille_ProgPropose[[#This Row],[Écart AC 2026]]+Portefeuille_ProgPropose[[#This Row],[Écart TR 2026]]</f>
        <v>0</v>
      </c>
      <c r="AT62"/>
      <c r="BC62" s="14">
        <f>SUM(Portefeuille_ProgPropose[[#This Row],[AC ANT]:[TR 2025]],Portefeuille_ProgPropose[[#This Row],[AC 2026]:[TR 2026]],Portefeuille_ProgPropose[[#This Row],[AC 2027]:[TR 2034]])</f>
        <v>2007</v>
      </c>
    </row>
    <row r="63" spans="1:55" x14ac:dyDescent="0.3">
      <c r="A63" t="s">
        <v>662</v>
      </c>
      <c r="B63" t="s">
        <v>286</v>
      </c>
      <c r="D63" t="s">
        <v>118</v>
      </c>
      <c r="E63" t="s">
        <v>102</v>
      </c>
      <c r="F63" t="s">
        <v>242</v>
      </c>
      <c r="G63" t="s">
        <v>129</v>
      </c>
      <c r="H63" t="s">
        <v>16</v>
      </c>
      <c r="I63" t="s">
        <v>20</v>
      </c>
      <c r="J63" t="s">
        <v>131</v>
      </c>
      <c r="K63" t="s">
        <v>385</v>
      </c>
      <c r="L63" t="s">
        <v>386</v>
      </c>
      <c r="M63" t="s">
        <v>134</v>
      </c>
      <c r="N63" t="s">
        <v>197</v>
      </c>
      <c r="O63" t="s">
        <v>155</v>
      </c>
      <c r="P63" s="1">
        <v>45960</v>
      </c>
      <c r="Q63" s="1">
        <v>46395</v>
      </c>
      <c r="R63" s="1">
        <v>46631</v>
      </c>
      <c r="W63">
        <v>20</v>
      </c>
      <c r="Y63">
        <v>20</v>
      </c>
      <c r="Z63">
        <f>Portefeuille_ProgPropose[[#This Row],[AC 2025]]-Portefeuille_ProgPropose[[#This Row],[AC 2025 Initiale]]</f>
        <v>0</v>
      </c>
      <c r="AA63">
        <f>Portefeuille_ProgPropose[[#This Row],[TR 2025]]-Portefeuille_ProgPropose[[#This Row],[TR 2025 Initiale]]</f>
        <v>0</v>
      </c>
      <c r="AB63">
        <f>Portefeuille_ProgPropose[[#This Row],[Écart AC 2025]]+Portefeuille_ProgPropose[[#This Row],[Écart TR 2025]]</f>
        <v>0</v>
      </c>
      <c r="AD63">
        <v>50</v>
      </c>
      <c r="AF63">
        <v>50</v>
      </c>
      <c r="AG63">
        <f>Portefeuille_ProgPropose[[#This Row],[AC 2026]]-Portefeuille_ProgPropose[[#This Row],[AC 2026 Initiale]]</f>
        <v>0</v>
      </c>
      <c r="AH63">
        <f>Portefeuille_ProgPropose[[#This Row],[TR 2026]]-Portefeuille_ProgPropose[[#This Row],[TR 2026 Initiale]]</f>
        <v>0</v>
      </c>
      <c r="AI63">
        <f>Portefeuille_ProgPropose[[#This Row],[Écart AC 2026]]+Portefeuille_ProgPropose[[#This Row],[Écart TR 2026]]</f>
        <v>0</v>
      </c>
      <c r="AK63">
        <v>50</v>
      </c>
      <c r="AM63">
        <v>200</v>
      </c>
      <c r="AN63">
        <v>2000</v>
      </c>
      <c r="AT63"/>
      <c r="BC63" s="14">
        <f>SUM(Portefeuille_ProgPropose[[#This Row],[AC ANT]:[TR 2025]],Portefeuille_ProgPropose[[#This Row],[AC 2026]:[TR 2026]],Portefeuille_ProgPropose[[#This Row],[AC 2027]:[TR 2034]])</f>
        <v>2320</v>
      </c>
    </row>
    <row r="64" spans="1:55" x14ac:dyDescent="0.3">
      <c r="A64" t="s">
        <v>664</v>
      </c>
      <c r="B64" t="s">
        <v>286</v>
      </c>
      <c r="D64" t="s">
        <v>101</v>
      </c>
      <c r="E64" t="s">
        <v>102</v>
      </c>
      <c r="F64" t="s">
        <v>103</v>
      </c>
      <c r="G64" t="s">
        <v>113</v>
      </c>
      <c r="H64" t="s">
        <v>16</v>
      </c>
      <c r="I64" t="s">
        <v>16</v>
      </c>
      <c r="J64" t="s">
        <v>105</v>
      </c>
      <c r="K64" t="s">
        <v>362</v>
      </c>
      <c r="L64" t="s">
        <v>363</v>
      </c>
      <c r="M64" t="s">
        <v>122</v>
      </c>
      <c r="O64" t="s">
        <v>164</v>
      </c>
      <c r="P64" s="1">
        <v>44316</v>
      </c>
      <c r="Q64" s="1">
        <v>44636</v>
      </c>
      <c r="R64" s="1">
        <v>45084</v>
      </c>
      <c r="S64">
        <v>123</v>
      </c>
      <c r="U64">
        <v>81</v>
      </c>
      <c r="V64">
        <v>10747</v>
      </c>
      <c r="W64">
        <v>178</v>
      </c>
      <c r="Z64">
        <f>Portefeuille_ProgPropose[[#This Row],[AC 2025]]-Portefeuille_ProgPropose[[#This Row],[AC 2025 Initiale]]</f>
        <v>178</v>
      </c>
      <c r="AA64">
        <f>Portefeuille_ProgPropose[[#This Row],[TR 2025]]-Portefeuille_ProgPropose[[#This Row],[TR 2025 Initiale]]</f>
        <v>0</v>
      </c>
      <c r="AB64">
        <f>Portefeuille_ProgPropose[[#This Row],[Écart AC 2025]]+Portefeuille_ProgPropose[[#This Row],[Écart TR 2025]]</f>
        <v>178</v>
      </c>
      <c r="AD64"/>
      <c r="AG64">
        <f>Portefeuille_ProgPropose[[#This Row],[AC 2026]]-Portefeuille_ProgPropose[[#This Row],[AC 2026 Initiale]]</f>
        <v>0</v>
      </c>
      <c r="AH64">
        <f>Portefeuille_ProgPropose[[#This Row],[TR 2026]]-Portefeuille_ProgPropose[[#This Row],[TR 2026 Initiale]]</f>
        <v>0</v>
      </c>
      <c r="AI64">
        <f>Portefeuille_ProgPropose[[#This Row],[Écart AC 2026]]+Portefeuille_ProgPropose[[#This Row],[Écart TR 2026]]</f>
        <v>0</v>
      </c>
      <c r="AT64"/>
      <c r="BC64" s="14">
        <f>SUM(Portefeuille_ProgPropose[[#This Row],[AC ANT]:[TR 2025]],Portefeuille_ProgPropose[[#This Row],[AC 2026]:[TR 2026]],Portefeuille_ProgPropose[[#This Row],[AC 2027]:[TR 2034]])</f>
        <v>11129</v>
      </c>
    </row>
    <row r="65" spans="1:56" x14ac:dyDescent="0.3">
      <c r="A65" t="s">
        <v>662</v>
      </c>
      <c r="B65" t="s">
        <v>286</v>
      </c>
      <c r="D65" t="s">
        <v>118</v>
      </c>
      <c r="E65" t="s">
        <v>102</v>
      </c>
      <c r="F65" t="s">
        <v>242</v>
      </c>
      <c r="G65" t="s">
        <v>113</v>
      </c>
      <c r="H65" t="s">
        <v>16</v>
      </c>
      <c r="I65" t="s">
        <v>20</v>
      </c>
      <c r="J65" t="s">
        <v>131</v>
      </c>
      <c r="K65" t="s">
        <v>243</v>
      </c>
      <c r="L65" t="s">
        <v>244</v>
      </c>
      <c r="M65" t="s">
        <v>245</v>
      </c>
      <c r="N65" t="s">
        <v>197</v>
      </c>
      <c r="O65" t="s">
        <v>155</v>
      </c>
      <c r="P65" s="1">
        <v>45976</v>
      </c>
      <c r="Q65" s="1">
        <v>46280</v>
      </c>
      <c r="R65" s="1">
        <v>46433</v>
      </c>
      <c r="W65">
        <v>50</v>
      </c>
      <c r="Y65">
        <v>50</v>
      </c>
      <c r="Z65">
        <f>Portefeuille_ProgPropose[[#This Row],[AC 2025]]-Portefeuille_ProgPropose[[#This Row],[AC 2025 Initiale]]</f>
        <v>0</v>
      </c>
      <c r="AA65">
        <f>Portefeuille_ProgPropose[[#This Row],[TR 2025]]-Portefeuille_ProgPropose[[#This Row],[TR 2025 Initiale]]</f>
        <v>0</v>
      </c>
      <c r="AB65">
        <f>Portefeuille_ProgPropose[[#This Row],[Écart AC 2025]]+Portefeuille_ProgPropose[[#This Row],[Écart TR 2025]]</f>
        <v>0</v>
      </c>
      <c r="AD65">
        <v>150</v>
      </c>
      <c r="AF65">
        <v>150</v>
      </c>
      <c r="AG65">
        <f>Portefeuille_ProgPropose[[#This Row],[AC 2026]]-Portefeuille_ProgPropose[[#This Row],[AC 2026 Initiale]]</f>
        <v>0</v>
      </c>
      <c r="AH65">
        <f>Portefeuille_ProgPropose[[#This Row],[TR 2026]]-Portefeuille_ProgPropose[[#This Row],[TR 2026 Initiale]]</f>
        <v>0</v>
      </c>
      <c r="AI65">
        <f>Portefeuille_ProgPropose[[#This Row],[Écart AC 2026]]+Portefeuille_ProgPropose[[#This Row],[Écart TR 2026]]</f>
        <v>0</v>
      </c>
      <c r="AK65">
        <v>150</v>
      </c>
      <c r="AN65">
        <v>2000</v>
      </c>
      <c r="AT65"/>
      <c r="BC65" s="14">
        <f>SUM(Portefeuille_ProgPropose[[#This Row],[AC ANT]:[TR 2025]],Portefeuille_ProgPropose[[#This Row],[AC 2026]:[TR 2026]],Portefeuille_ProgPropose[[#This Row],[AC 2027]:[TR 2034]])</f>
        <v>2350</v>
      </c>
    </row>
    <row r="66" spans="1:56" x14ac:dyDescent="0.3">
      <c r="A66" t="s">
        <v>664</v>
      </c>
      <c r="B66" t="s">
        <v>286</v>
      </c>
      <c r="D66" t="s">
        <v>101</v>
      </c>
      <c r="E66" t="s">
        <v>102</v>
      </c>
      <c r="F66" t="s">
        <v>200</v>
      </c>
      <c r="G66" t="s">
        <v>113</v>
      </c>
      <c r="H66" t="s">
        <v>16</v>
      </c>
      <c r="I66" t="s">
        <v>16</v>
      </c>
      <c r="J66" t="s">
        <v>131</v>
      </c>
      <c r="K66" t="s">
        <v>336</v>
      </c>
      <c r="L66" t="s">
        <v>337</v>
      </c>
      <c r="M66" t="s">
        <v>180</v>
      </c>
      <c r="N66" t="s">
        <v>148</v>
      </c>
      <c r="O66" t="s">
        <v>164</v>
      </c>
      <c r="P66" s="1"/>
      <c r="Q66" s="1">
        <v>44518</v>
      </c>
      <c r="R66" s="1">
        <v>44657</v>
      </c>
      <c r="S66">
        <v>594</v>
      </c>
      <c r="T66">
        <v>3359</v>
      </c>
      <c r="U66">
        <v>264</v>
      </c>
      <c r="V66">
        <v>2717</v>
      </c>
      <c r="W66">
        <v>63</v>
      </c>
      <c r="X66">
        <v>462</v>
      </c>
      <c r="Z66">
        <f>Portefeuille_ProgPropose[[#This Row],[AC 2025]]-Portefeuille_ProgPropose[[#This Row],[AC 2025 Initiale]]</f>
        <v>63</v>
      </c>
      <c r="AA66">
        <f>Portefeuille_ProgPropose[[#This Row],[TR 2025]]-Portefeuille_ProgPropose[[#This Row],[TR 2025 Initiale]]</f>
        <v>462</v>
      </c>
      <c r="AB66">
        <f>Portefeuille_ProgPropose[[#This Row],[Écart AC 2025]]+Portefeuille_ProgPropose[[#This Row],[Écart TR 2025]]</f>
        <v>525</v>
      </c>
      <c r="AD66"/>
      <c r="AG66">
        <f>Portefeuille_ProgPropose[[#This Row],[AC 2026]]-Portefeuille_ProgPropose[[#This Row],[AC 2026 Initiale]]</f>
        <v>0</v>
      </c>
      <c r="AH66">
        <f>Portefeuille_ProgPropose[[#This Row],[TR 2026]]-Portefeuille_ProgPropose[[#This Row],[TR 2026 Initiale]]</f>
        <v>0</v>
      </c>
      <c r="AI66">
        <f>Portefeuille_ProgPropose[[#This Row],[Écart AC 2026]]+Portefeuille_ProgPropose[[#This Row],[Écart TR 2026]]</f>
        <v>0</v>
      </c>
      <c r="AT66"/>
      <c r="BC66" s="14">
        <f>SUM(Portefeuille_ProgPropose[[#This Row],[AC ANT]:[TR 2025]],Portefeuille_ProgPropose[[#This Row],[AC 2026]:[TR 2026]],Portefeuille_ProgPropose[[#This Row],[AC 2027]:[TR 2034]])</f>
        <v>7459</v>
      </c>
    </row>
    <row r="67" spans="1:56" x14ac:dyDescent="0.3">
      <c r="A67" t="s">
        <v>664</v>
      </c>
      <c r="B67" t="s">
        <v>286</v>
      </c>
      <c r="D67" t="s">
        <v>101</v>
      </c>
      <c r="E67" t="s">
        <v>102</v>
      </c>
      <c r="F67" t="s">
        <v>200</v>
      </c>
      <c r="G67" t="s">
        <v>104</v>
      </c>
      <c r="H67" t="s">
        <v>16</v>
      </c>
      <c r="I67" t="s">
        <v>16</v>
      </c>
      <c r="J67" t="s">
        <v>105</v>
      </c>
      <c r="K67" t="s">
        <v>338</v>
      </c>
      <c r="L67" t="s">
        <v>339</v>
      </c>
      <c r="M67" t="s">
        <v>180</v>
      </c>
      <c r="O67" t="s">
        <v>164</v>
      </c>
      <c r="P67" s="1">
        <v>43360</v>
      </c>
      <c r="Q67" s="1">
        <v>43671</v>
      </c>
      <c r="R67" s="1">
        <v>44217</v>
      </c>
      <c r="S67">
        <v>128</v>
      </c>
      <c r="T67">
        <v>2061</v>
      </c>
      <c r="U67">
        <v>142</v>
      </c>
      <c r="W67">
        <v>65</v>
      </c>
      <c r="Y67">
        <v>43</v>
      </c>
      <c r="Z67">
        <f>Portefeuille_ProgPropose[[#This Row],[AC 2025]]-Portefeuille_ProgPropose[[#This Row],[AC 2025 Initiale]]</f>
        <v>22</v>
      </c>
      <c r="AA67">
        <f>Portefeuille_ProgPropose[[#This Row],[TR 2025]]-Portefeuille_ProgPropose[[#This Row],[TR 2025 Initiale]]</f>
        <v>0</v>
      </c>
      <c r="AB67">
        <f>Portefeuille_ProgPropose[[#This Row],[Écart AC 2025]]+Portefeuille_ProgPropose[[#This Row],[Écart TR 2025]]</f>
        <v>22</v>
      </c>
      <c r="AD67"/>
      <c r="AG67">
        <f>Portefeuille_ProgPropose[[#This Row],[AC 2026]]-Portefeuille_ProgPropose[[#This Row],[AC 2026 Initiale]]</f>
        <v>0</v>
      </c>
      <c r="AH67">
        <f>Portefeuille_ProgPropose[[#This Row],[TR 2026]]-Portefeuille_ProgPropose[[#This Row],[TR 2026 Initiale]]</f>
        <v>0</v>
      </c>
      <c r="AI67">
        <f>Portefeuille_ProgPropose[[#This Row],[Écart AC 2026]]+Portefeuille_ProgPropose[[#This Row],[Écart TR 2026]]</f>
        <v>0</v>
      </c>
      <c r="AT67"/>
      <c r="BC67" s="14">
        <f>SUM(Portefeuille_ProgPropose[[#This Row],[AC ANT]:[TR 2025]],Portefeuille_ProgPropose[[#This Row],[AC 2026]:[TR 2026]],Portefeuille_ProgPropose[[#This Row],[AC 2027]:[TR 2034]])</f>
        <v>2396</v>
      </c>
      <c r="BD67" s="57"/>
    </row>
    <row r="68" spans="1:56" x14ac:dyDescent="0.3">
      <c r="A68" t="s">
        <v>662</v>
      </c>
      <c r="B68" t="s">
        <v>286</v>
      </c>
      <c r="D68" t="s">
        <v>118</v>
      </c>
      <c r="E68" t="s">
        <v>102</v>
      </c>
      <c r="F68" t="s">
        <v>103</v>
      </c>
      <c r="G68" t="s">
        <v>340</v>
      </c>
      <c r="H68" t="s">
        <v>16</v>
      </c>
      <c r="I68" t="s">
        <v>16</v>
      </c>
      <c r="J68" t="s">
        <v>131</v>
      </c>
      <c r="K68" t="s">
        <v>341</v>
      </c>
      <c r="L68" t="s">
        <v>342</v>
      </c>
      <c r="M68" t="s">
        <v>147</v>
      </c>
      <c r="O68" t="s">
        <v>164</v>
      </c>
      <c r="P68" s="1">
        <v>44245</v>
      </c>
      <c r="Q68" s="1">
        <v>44469</v>
      </c>
      <c r="R68" s="1">
        <v>44538</v>
      </c>
      <c r="S68">
        <v>603</v>
      </c>
      <c r="T68">
        <v>10120</v>
      </c>
      <c r="U68">
        <v>13</v>
      </c>
      <c r="V68">
        <v>169</v>
      </c>
      <c r="W68">
        <v>60</v>
      </c>
      <c r="Z68">
        <f>Portefeuille_ProgPropose[[#This Row],[AC 2025]]-Portefeuille_ProgPropose[[#This Row],[AC 2025 Initiale]]</f>
        <v>60</v>
      </c>
      <c r="AA68">
        <f>Portefeuille_ProgPropose[[#This Row],[TR 2025]]-Portefeuille_ProgPropose[[#This Row],[TR 2025 Initiale]]</f>
        <v>0</v>
      </c>
      <c r="AB68">
        <f>Portefeuille_ProgPropose[[#This Row],[Écart AC 2025]]+Portefeuille_ProgPropose[[#This Row],[Écart TR 2025]]</f>
        <v>60</v>
      </c>
      <c r="AD68"/>
      <c r="AG68">
        <f>Portefeuille_ProgPropose[[#This Row],[AC 2026]]-Portefeuille_ProgPropose[[#This Row],[AC 2026 Initiale]]</f>
        <v>0</v>
      </c>
      <c r="AH68">
        <f>Portefeuille_ProgPropose[[#This Row],[TR 2026]]-Portefeuille_ProgPropose[[#This Row],[TR 2026 Initiale]]</f>
        <v>0</v>
      </c>
      <c r="AI68">
        <f>Portefeuille_ProgPropose[[#This Row],[Écart AC 2026]]+Portefeuille_ProgPropose[[#This Row],[Écart TR 2026]]</f>
        <v>0</v>
      </c>
      <c r="AT68"/>
      <c r="BC68" s="14">
        <f>SUM(Portefeuille_ProgPropose[[#This Row],[AC ANT]:[TR 2025]],Portefeuille_ProgPropose[[#This Row],[AC 2026]:[TR 2026]],Portefeuille_ProgPropose[[#This Row],[AC 2027]:[TR 2034]])</f>
        <v>10965</v>
      </c>
    </row>
    <row r="69" spans="1:56" x14ac:dyDescent="0.3">
      <c r="A69" t="s">
        <v>663</v>
      </c>
      <c r="B69" t="s">
        <v>286</v>
      </c>
      <c r="D69" t="s">
        <v>101</v>
      </c>
      <c r="E69" t="s">
        <v>102</v>
      </c>
      <c r="F69" t="s">
        <v>119</v>
      </c>
      <c r="G69" t="s">
        <v>129</v>
      </c>
      <c r="H69" t="s">
        <v>16</v>
      </c>
      <c r="I69" t="s">
        <v>16</v>
      </c>
      <c r="J69" t="s">
        <v>131</v>
      </c>
      <c r="K69" t="s">
        <v>153</v>
      </c>
      <c r="L69" t="s">
        <v>154</v>
      </c>
      <c r="M69" t="s">
        <v>134</v>
      </c>
      <c r="N69" t="s">
        <v>109</v>
      </c>
      <c r="O69" t="s">
        <v>123</v>
      </c>
      <c r="P69" s="1">
        <v>45601</v>
      </c>
      <c r="Q69" s="1">
        <v>45731</v>
      </c>
      <c r="R69" s="1">
        <v>45976</v>
      </c>
      <c r="W69">
        <v>20</v>
      </c>
      <c r="Y69">
        <v>20</v>
      </c>
      <c r="Z69">
        <f>Portefeuille_ProgPropose[[#This Row],[AC 2025]]-Portefeuille_ProgPropose[[#This Row],[AC 2025 Initiale]]</f>
        <v>0</v>
      </c>
      <c r="AA69">
        <f>Portefeuille_ProgPropose[[#This Row],[TR 2025]]-Portefeuille_ProgPropose[[#This Row],[TR 2025 Initiale]]</f>
        <v>0</v>
      </c>
      <c r="AB69">
        <f>Portefeuille_ProgPropose[[#This Row],[Écart AC 2025]]+Portefeuille_ProgPropose[[#This Row],[Écart TR 2025]]</f>
        <v>0</v>
      </c>
      <c r="AD69">
        <v>55</v>
      </c>
      <c r="AE69">
        <v>543</v>
      </c>
      <c r="AF69">
        <v>55</v>
      </c>
      <c r="AG69">
        <f>Portefeuille_ProgPropose[[#This Row],[AC 2026]]-Portefeuille_ProgPropose[[#This Row],[AC 2026 Initiale]]</f>
        <v>0</v>
      </c>
      <c r="AH69">
        <f>Portefeuille_ProgPropose[[#This Row],[TR 2026]]-Portefeuille_ProgPropose[[#This Row],[TR 2026 Initiale]]</f>
        <v>0</v>
      </c>
      <c r="AI69">
        <f>Portefeuille_ProgPropose[[#This Row],[Écart AC 2026]]+Portefeuille_ProgPropose[[#This Row],[Écart TR 2026]]</f>
        <v>0</v>
      </c>
      <c r="AJ69">
        <v>543</v>
      </c>
      <c r="AT69"/>
      <c r="BC69" s="14">
        <f>SUM(Portefeuille_ProgPropose[[#This Row],[AC ANT]:[TR 2025]],Portefeuille_ProgPropose[[#This Row],[AC 2026]:[TR 2026]],Portefeuille_ProgPropose[[#This Row],[AC 2027]:[TR 2034]])</f>
        <v>618</v>
      </c>
    </row>
    <row r="70" spans="1:56" x14ac:dyDescent="0.3">
      <c r="A70" t="s">
        <v>663</v>
      </c>
      <c r="B70" t="s">
        <v>286</v>
      </c>
      <c r="D70" t="s">
        <v>101</v>
      </c>
      <c r="E70" t="s">
        <v>102</v>
      </c>
      <c r="F70" t="s">
        <v>103</v>
      </c>
      <c r="G70" t="s">
        <v>140</v>
      </c>
      <c r="H70" t="s">
        <v>16</v>
      </c>
      <c r="I70" t="s">
        <v>20</v>
      </c>
      <c r="J70" t="s">
        <v>131</v>
      </c>
      <c r="K70" t="s">
        <v>246</v>
      </c>
      <c r="L70" t="s">
        <v>515</v>
      </c>
      <c r="M70" t="s">
        <v>180</v>
      </c>
      <c r="N70" t="s">
        <v>173</v>
      </c>
      <c r="O70" t="s">
        <v>110</v>
      </c>
      <c r="P70" s="1">
        <v>45679</v>
      </c>
      <c r="Q70" s="1">
        <v>46096</v>
      </c>
      <c r="R70" s="1">
        <v>46371</v>
      </c>
      <c r="W70">
        <v>130</v>
      </c>
      <c r="Y70">
        <v>130</v>
      </c>
      <c r="Z70">
        <f>Portefeuille_ProgPropose[[#This Row],[AC 2025]]-Portefeuille_ProgPropose[[#This Row],[AC 2025 Initiale]]</f>
        <v>0</v>
      </c>
      <c r="AA70">
        <f>Portefeuille_ProgPropose[[#This Row],[TR 2025]]-Portefeuille_ProgPropose[[#This Row],[TR 2025 Initiale]]</f>
        <v>0</v>
      </c>
      <c r="AB70">
        <f>Portefeuille_ProgPropose[[#This Row],[Écart AC 2025]]+Portefeuille_ProgPropose[[#This Row],[Écart TR 2025]]</f>
        <v>0</v>
      </c>
      <c r="AD70">
        <v>60</v>
      </c>
      <c r="AF70">
        <v>60</v>
      </c>
      <c r="AG70">
        <f>Portefeuille_ProgPropose[[#This Row],[AC 2026]]-Portefeuille_ProgPropose[[#This Row],[AC 2026 Initiale]]</f>
        <v>0</v>
      </c>
      <c r="AH70">
        <f>Portefeuille_ProgPropose[[#This Row],[TR 2026]]-Portefeuille_ProgPropose[[#This Row],[TR 2026 Initiale]]</f>
        <v>0</v>
      </c>
      <c r="AI70">
        <f>Portefeuille_ProgPropose[[#This Row],[Écart AC 2026]]+Portefeuille_ProgPropose[[#This Row],[Écart TR 2026]]</f>
        <v>0</v>
      </c>
      <c r="AK70">
        <v>283</v>
      </c>
      <c r="AL70">
        <v>3902</v>
      </c>
      <c r="AT70"/>
      <c r="BC70" s="14">
        <f>SUM(Portefeuille_ProgPropose[[#This Row],[AC ANT]:[TR 2025]],Portefeuille_ProgPropose[[#This Row],[AC 2026]:[TR 2026]],Portefeuille_ProgPropose[[#This Row],[AC 2027]:[TR 2034]])</f>
        <v>4375</v>
      </c>
    </row>
    <row r="71" spans="1:56" x14ac:dyDescent="0.3">
      <c r="A71" t="s">
        <v>662</v>
      </c>
      <c r="B71" t="s">
        <v>286</v>
      </c>
      <c r="D71" t="s">
        <v>118</v>
      </c>
      <c r="E71" t="s">
        <v>102</v>
      </c>
      <c r="F71" t="s">
        <v>136</v>
      </c>
      <c r="G71" t="s">
        <v>113</v>
      </c>
      <c r="H71" t="s">
        <v>16</v>
      </c>
      <c r="I71" t="s">
        <v>20</v>
      </c>
      <c r="J71" t="s">
        <v>105</v>
      </c>
      <c r="K71" t="s">
        <v>248</v>
      </c>
      <c r="L71" t="s">
        <v>249</v>
      </c>
      <c r="M71" t="s">
        <v>180</v>
      </c>
      <c r="N71" t="s">
        <v>173</v>
      </c>
      <c r="O71" t="s">
        <v>110</v>
      </c>
      <c r="P71" s="1">
        <v>45476</v>
      </c>
      <c r="Q71" s="1">
        <v>46068</v>
      </c>
      <c r="R71" s="1">
        <v>46068</v>
      </c>
      <c r="W71">
        <v>100</v>
      </c>
      <c r="Y71">
        <v>100</v>
      </c>
      <c r="Z71">
        <f>Portefeuille_ProgPropose[[#This Row],[AC 2025]]-Portefeuille_ProgPropose[[#This Row],[AC 2025 Initiale]]</f>
        <v>0</v>
      </c>
      <c r="AA71">
        <f>Portefeuille_ProgPropose[[#This Row],[TR 2025]]-Portefeuille_ProgPropose[[#This Row],[TR 2025 Initiale]]</f>
        <v>0</v>
      </c>
      <c r="AB71">
        <f>Portefeuille_ProgPropose[[#This Row],[Écart AC 2025]]+Portefeuille_ProgPropose[[#This Row],[Écart TR 2025]]</f>
        <v>0</v>
      </c>
      <c r="AD71">
        <v>110</v>
      </c>
      <c r="AF71">
        <v>110</v>
      </c>
      <c r="AG71">
        <f>Portefeuille_ProgPropose[[#This Row],[AC 2026]]-Portefeuille_ProgPropose[[#This Row],[AC 2026 Initiale]]</f>
        <v>0</v>
      </c>
      <c r="AH71">
        <f>Portefeuille_ProgPropose[[#This Row],[TR 2026]]-Portefeuille_ProgPropose[[#This Row],[TR 2026 Initiale]]</f>
        <v>0</v>
      </c>
      <c r="AI71">
        <f>Portefeuille_ProgPropose[[#This Row],[Écart AC 2026]]+Portefeuille_ProgPropose[[#This Row],[Écart TR 2026]]</f>
        <v>0</v>
      </c>
      <c r="AK71">
        <v>110</v>
      </c>
      <c r="AL71">
        <v>3445</v>
      </c>
      <c r="AT71"/>
      <c r="BC71" s="14">
        <f>SUM(Portefeuille_ProgPropose[[#This Row],[AC ANT]:[TR 2025]],Portefeuille_ProgPropose[[#This Row],[AC 2026]:[TR 2026]],Portefeuille_ProgPropose[[#This Row],[AC 2027]:[TR 2034]])</f>
        <v>3765</v>
      </c>
      <c r="BD71" s="57"/>
    </row>
    <row r="72" spans="1:56" x14ac:dyDescent="0.3">
      <c r="A72" t="s">
        <v>662</v>
      </c>
      <c r="B72" t="s">
        <v>286</v>
      </c>
      <c r="D72" t="s">
        <v>118</v>
      </c>
      <c r="E72" t="s">
        <v>102</v>
      </c>
      <c r="F72" t="s">
        <v>136</v>
      </c>
      <c r="G72" t="s">
        <v>104</v>
      </c>
      <c r="H72" t="s">
        <v>16</v>
      </c>
      <c r="I72" t="s">
        <v>20</v>
      </c>
      <c r="J72" t="s">
        <v>131</v>
      </c>
      <c r="K72" t="s">
        <v>157</v>
      </c>
      <c r="L72" t="s">
        <v>158</v>
      </c>
      <c r="M72" t="s">
        <v>159</v>
      </c>
      <c r="N72" t="s">
        <v>173</v>
      </c>
      <c r="O72" t="s">
        <v>155</v>
      </c>
      <c r="P72" s="1">
        <v>45991</v>
      </c>
      <c r="Q72" s="1"/>
      <c r="R72" s="1">
        <v>46249</v>
      </c>
      <c r="W72">
        <v>75</v>
      </c>
      <c r="Y72">
        <v>75</v>
      </c>
      <c r="Z72">
        <f>Portefeuille_ProgPropose[[#This Row],[AC 2025]]-Portefeuille_ProgPropose[[#This Row],[AC 2025 Initiale]]</f>
        <v>0</v>
      </c>
      <c r="AA72">
        <f>Portefeuille_ProgPropose[[#This Row],[TR 2025]]-Portefeuille_ProgPropose[[#This Row],[TR 2025 Initiale]]</f>
        <v>0</v>
      </c>
      <c r="AB72">
        <f>Portefeuille_ProgPropose[[#This Row],[Écart AC 2025]]+Portefeuille_ProgPropose[[#This Row],[Écart TR 2025]]</f>
        <v>0</v>
      </c>
      <c r="AD72">
        <v>75</v>
      </c>
      <c r="AF72">
        <v>75</v>
      </c>
      <c r="AG72">
        <f>Portefeuille_ProgPropose[[#This Row],[AC 2026]]-Portefeuille_ProgPropose[[#This Row],[AC 2026 Initiale]]</f>
        <v>0</v>
      </c>
      <c r="AH72">
        <f>Portefeuille_ProgPropose[[#This Row],[TR 2026]]-Portefeuille_ProgPropose[[#This Row],[TR 2026 Initiale]]</f>
        <v>0</v>
      </c>
      <c r="AI72">
        <f>Portefeuille_ProgPropose[[#This Row],[Écart AC 2026]]+Portefeuille_ProgPropose[[#This Row],[Écart TR 2026]]</f>
        <v>0</v>
      </c>
      <c r="AK72">
        <v>150</v>
      </c>
      <c r="AL72">
        <v>650</v>
      </c>
      <c r="AT72"/>
      <c r="BC72" s="14">
        <f>SUM(Portefeuille_ProgPropose[[#This Row],[AC ANT]:[TR 2025]],Portefeuille_ProgPropose[[#This Row],[AC 2026]:[TR 2026]],Portefeuille_ProgPropose[[#This Row],[AC 2027]:[TR 2034]])</f>
        <v>950</v>
      </c>
    </row>
    <row r="73" spans="1:56" x14ac:dyDescent="0.3">
      <c r="A73" t="s">
        <v>662</v>
      </c>
      <c r="B73" t="s">
        <v>286</v>
      </c>
      <c r="D73" t="s">
        <v>118</v>
      </c>
      <c r="E73" t="s">
        <v>102</v>
      </c>
      <c r="F73" t="s">
        <v>119</v>
      </c>
      <c r="G73" t="s">
        <v>113</v>
      </c>
      <c r="H73" t="s">
        <v>16</v>
      </c>
      <c r="I73" t="s">
        <v>16</v>
      </c>
      <c r="J73" t="s">
        <v>105</v>
      </c>
      <c r="K73" t="s">
        <v>120</v>
      </c>
      <c r="L73" t="s">
        <v>289</v>
      </c>
      <c r="M73" t="s">
        <v>122</v>
      </c>
      <c r="N73" t="s">
        <v>148</v>
      </c>
      <c r="O73" t="s">
        <v>164</v>
      </c>
      <c r="P73" s="1"/>
      <c r="Q73" s="1"/>
      <c r="R73" s="1">
        <v>45712</v>
      </c>
      <c r="W73">
        <v>20</v>
      </c>
      <c r="X73">
        <v>895</v>
      </c>
      <c r="Y73">
        <v>20</v>
      </c>
      <c r="Z73">
        <f>Portefeuille_ProgPropose[[#This Row],[AC 2025]]-Portefeuille_ProgPropose[[#This Row],[AC 2025 Initiale]]</f>
        <v>0</v>
      </c>
      <c r="AA73">
        <f>Portefeuille_ProgPropose[[#This Row],[TR 2025]]-Portefeuille_ProgPropose[[#This Row],[TR 2025 Initiale]]</f>
        <v>0</v>
      </c>
      <c r="AB73">
        <f>Portefeuille_ProgPropose[[#This Row],[Écart AC 2025]]+Portefeuille_ProgPropose[[#This Row],[Écart TR 2025]]</f>
        <v>0</v>
      </c>
      <c r="AC73">
        <v>895</v>
      </c>
      <c r="AD73"/>
      <c r="AG73">
        <f>Portefeuille_ProgPropose[[#This Row],[AC 2026]]-Portefeuille_ProgPropose[[#This Row],[AC 2026 Initiale]]</f>
        <v>0</v>
      </c>
      <c r="AH73">
        <f>Portefeuille_ProgPropose[[#This Row],[TR 2026]]-Portefeuille_ProgPropose[[#This Row],[TR 2026 Initiale]]</f>
        <v>0</v>
      </c>
      <c r="AI73">
        <f>Portefeuille_ProgPropose[[#This Row],[Écart AC 2026]]+Portefeuille_ProgPropose[[#This Row],[Écart TR 2026]]</f>
        <v>0</v>
      </c>
      <c r="AT73"/>
      <c r="BC73" s="14">
        <f>SUM(Portefeuille_ProgPropose[[#This Row],[AC ANT]:[TR 2025]],Portefeuille_ProgPropose[[#This Row],[AC 2026]:[TR 2026]],Portefeuille_ProgPropose[[#This Row],[AC 2027]:[TR 2034]])</f>
        <v>915</v>
      </c>
    </row>
    <row r="74" spans="1:56" x14ac:dyDescent="0.3">
      <c r="A74" t="s">
        <v>664</v>
      </c>
      <c r="B74" t="s">
        <v>286</v>
      </c>
      <c r="D74" t="s">
        <v>101</v>
      </c>
      <c r="E74" t="s">
        <v>102</v>
      </c>
      <c r="F74" t="s">
        <v>128</v>
      </c>
      <c r="G74" t="s">
        <v>129</v>
      </c>
      <c r="H74" t="s">
        <v>16</v>
      </c>
      <c r="I74" t="s">
        <v>20</v>
      </c>
      <c r="J74" t="s">
        <v>131</v>
      </c>
      <c r="K74" t="s">
        <v>250</v>
      </c>
      <c r="L74" t="s">
        <v>251</v>
      </c>
      <c r="M74" t="s">
        <v>214</v>
      </c>
      <c r="N74" t="s">
        <v>197</v>
      </c>
      <c r="O74" t="s">
        <v>110</v>
      </c>
      <c r="P74" s="1">
        <v>45490</v>
      </c>
      <c r="Q74" s="1"/>
      <c r="R74" s="1">
        <v>46447</v>
      </c>
      <c r="W74">
        <v>37</v>
      </c>
      <c r="Y74">
        <v>37</v>
      </c>
      <c r="Z74">
        <f>Portefeuille_ProgPropose[[#This Row],[AC 2025]]-Portefeuille_ProgPropose[[#This Row],[AC 2025 Initiale]]</f>
        <v>0</v>
      </c>
      <c r="AA74">
        <f>Portefeuille_ProgPropose[[#This Row],[TR 2025]]-Portefeuille_ProgPropose[[#This Row],[TR 2025 Initiale]]</f>
        <v>0</v>
      </c>
      <c r="AB74">
        <f>Portefeuille_ProgPropose[[#This Row],[Écart AC 2025]]+Portefeuille_ProgPropose[[#This Row],[Écart TR 2025]]</f>
        <v>0</v>
      </c>
      <c r="AD74">
        <v>10</v>
      </c>
      <c r="AF74">
        <v>10</v>
      </c>
      <c r="AG74">
        <f>Portefeuille_ProgPropose[[#This Row],[AC 2026]]-Portefeuille_ProgPropose[[#This Row],[AC 2026 Initiale]]</f>
        <v>0</v>
      </c>
      <c r="AH74">
        <f>Portefeuille_ProgPropose[[#This Row],[TR 2026]]-Portefeuille_ProgPropose[[#This Row],[TR 2026 Initiale]]</f>
        <v>0</v>
      </c>
      <c r="AI74">
        <f>Portefeuille_ProgPropose[[#This Row],[Écart AC 2026]]+Portefeuille_ProgPropose[[#This Row],[Écart TR 2026]]</f>
        <v>0</v>
      </c>
      <c r="AK74">
        <v>12</v>
      </c>
      <c r="AM74">
        <v>30</v>
      </c>
      <c r="AN74">
        <v>194</v>
      </c>
      <c r="AT74"/>
      <c r="BC74" s="14">
        <f>SUM(Portefeuille_ProgPropose[[#This Row],[AC ANT]:[TR 2025]],Portefeuille_ProgPropose[[#This Row],[AC 2026]:[TR 2026]],Portefeuille_ProgPropose[[#This Row],[AC 2027]:[TR 2034]])</f>
        <v>283</v>
      </c>
    </row>
    <row r="75" spans="1:56" x14ac:dyDescent="0.3">
      <c r="A75" t="s">
        <v>295</v>
      </c>
      <c r="B75" t="s">
        <v>286</v>
      </c>
      <c r="D75" t="s">
        <v>126</v>
      </c>
      <c r="E75" t="s">
        <v>127</v>
      </c>
      <c r="F75" t="s">
        <v>128</v>
      </c>
      <c r="G75" t="s">
        <v>252</v>
      </c>
      <c r="H75" t="s">
        <v>16</v>
      </c>
      <c r="I75" t="s">
        <v>16</v>
      </c>
      <c r="J75" t="s">
        <v>131</v>
      </c>
      <c r="K75" t="s">
        <v>253</v>
      </c>
      <c r="L75" t="s">
        <v>254</v>
      </c>
      <c r="M75" t="s">
        <v>147</v>
      </c>
      <c r="N75" t="s">
        <v>148</v>
      </c>
      <c r="O75" t="s">
        <v>291</v>
      </c>
      <c r="P75" s="1"/>
      <c r="Q75" s="1"/>
      <c r="R75" s="1"/>
      <c r="W75">
        <v>10</v>
      </c>
      <c r="X75">
        <v>39</v>
      </c>
      <c r="Y75">
        <v>10</v>
      </c>
      <c r="Z75">
        <f>Portefeuille_ProgPropose[[#This Row],[AC 2025]]-Portefeuille_ProgPropose[[#This Row],[AC 2025 Initiale]]</f>
        <v>0</v>
      </c>
      <c r="AA75">
        <f>Portefeuille_ProgPropose[[#This Row],[TR 2025]]-Portefeuille_ProgPropose[[#This Row],[TR 2025 Initiale]]</f>
        <v>0</v>
      </c>
      <c r="AB75">
        <f>Portefeuille_ProgPropose[[#This Row],[Écart AC 2025]]+Portefeuille_ProgPropose[[#This Row],[Écart TR 2025]]</f>
        <v>0</v>
      </c>
      <c r="AC75">
        <v>39</v>
      </c>
      <c r="AD75"/>
      <c r="AG75">
        <f>Portefeuille_ProgPropose[[#This Row],[AC 2026]]-Portefeuille_ProgPropose[[#This Row],[AC 2026 Initiale]]</f>
        <v>0</v>
      </c>
      <c r="AH75">
        <f>Portefeuille_ProgPropose[[#This Row],[TR 2026]]-Portefeuille_ProgPropose[[#This Row],[TR 2026 Initiale]]</f>
        <v>0</v>
      </c>
      <c r="AI75">
        <f>Portefeuille_ProgPropose[[#This Row],[Écart AC 2026]]+Portefeuille_ProgPropose[[#This Row],[Écart TR 2026]]</f>
        <v>0</v>
      </c>
      <c r="AT75"/>
      <c r="BC75" s="14">
        <f>SUM(Portefeuille_ProgPropose[[#This Row],[AC ANT]:[TR 2025]],Portefeuille_ProgPropose[[#This Row],[AC 2026]:[TR 2026]],Portefeuille_ProgPropose[[#This Row],[AC 2027]:[TR 2034]])</f>
        <v>49</v>
      </c>
    </row>
    <row r="76" spans="1:56" x14ac:dyDescent="0.3">
      <c r="A76" t="s">
        <v>662</v>
      </c>
      <c r="B76" t="s">
        <v>286</v>
      </c>
      <c r="D76" t="s">
        <v>118</v>
      </c>
      <c r="E76" t="s">
        <v>102</v>
      </c>
      <c r="F76" t="s">
        <v>136</v>
      </c>
      <c r="G76" t="s">
        <v>252</v>
      </c>
      <c r="H76" t="s">
        <v>16</v>
      </c>
      <c r="I76" t="s">
        <v>16</v>
      </c>
      <c r="J76" t="s">
        <v>131</v>
      </c>
      <c r="K76" t="s">
        <v>255</v>
      </c>
      <c r="L76" t="s">
        <v>529</v>
      </c>
      <c r="M76" t="s">
        <v>209</v>
      </c>
      <c r="N76" t="s">
        <v>109</v>
      </c>
      <c r="O76" t="s">
        <v>291</v>
      </c>
      <c r="P76" s="1"/>
      <c r="Q76" s="1"/>
      <c r="R76" s="1">
        <v>46006</v>
      </c>
      <c r="W76">
        <v>60</v>
      </c>
      <c r="Y76">
        <v>60</v>
      </c>
      <c r="Z76">
        <f>Portefeuille_ProgPropose[[#This Row],[AC 2025]]-Portefeuille_ProgPropose[[#This Row],[AC 2025 Initiale]]</f>
        <v>0</v>
      </c>
      <c r="AA76">
        <f>Portefeuille_ProgPropose[[#This Row],[TR 2025]]-Portefeuille_ProgPropose[[#This Row],[TR 2025 Initiale]]</f>
        <v>0</v>
      </c>
      <c r="AB76">
        <f>Portefeuille_ProgPropose[[#This Row],[Écart AC 2025]]+Portefeuille_ProgPropose[[#This Row],[Écart TR 2025]]</f>
        <v>0</v>
      </c>
      <c r="AD76">
        <v>20</v>
      </c>
      <c r="AE76">
        <v>540</v>
      </c>
      <c r="AF76">
        <v>20</v>
      </c>
      <c r="AG76">
        <f>Portefeuille_ProgPropose[[#This Row],[AC 2026]]-Portefeuille_ProgPropose[[#This Row],[AC 2026 Initiale]]</f>
        <v>0</v>
      </c>
      <c r="AH76">
        <f>Portefeuille_ProgPropose[[#This Row],[TR 2026]]-Portefeuille_ProgPropose[[#This Row],[TR 2026 Initiale]]</f>
        <v>0</v>
      </c>
      <c r="AI76">
        <f>Portefeuille_ProgPropose[[#This Row],[Écart AC 2026]]+Portefeuille_ProgPropose[[#This Row],[Écart TR 2026]]</f>
        <v>0</v>
      </c>
      <c r="AJ76">
        <v>540</v>
      </c>
      <c r="AT76"/>
      <c r="BC76" s="14">
        <f>SUM(Portefeuille_ProgPropose[[#This Row],[AC ANT]:[TR 2025]],Portefeuille_ProgPropose[[#This Row],[AC 2026]:[TR 2026]],Portefeuille_ProgPropose[[#This Row],[AC 2027]:[TR 2034]])</f>
        <v>620</v>
      </c>
    </row>
    <row r="77" spans="1:56" x14ac:dyDescent="0.3">
      <c r="B77" t="s">
        <v>11</v>
      </c>
      <c r="D77" t="s">
        <v>118</v>
      </c>
      <c r="E77" t="s">
        <v>102</v>
      </c>
      <c r="F77" t="s">
        <v>103</v>
      </c>
      <c r="G77" t="s">
        <v>252</v>
      </c>
      <c r="H77" t="s">
        <v>20</v>
      </c>
      <c r="I77" t="s">
        <v>16</v>
      </c>
      <c r="J77" t="s">
        <v>131</v>
      </c>
      <c r="K77" t="s">
        <v>257</v>
      </c>
      <c r="L77" t="s">
        <v>258</v>
      </c>
      <c r="M77" t="s">
        <v>180</v>
      </c>
      <c r="N77" t="s">
        <v>148</v>
      </c>
      <c r="O77" t="s">
        <v>291</v>
      </c>
      <c r="P77" s="1"/>
      <c r="Q77" s="1"/>
      <c r="R77" s="1"/>
      <c r="X77">
        <v>300</v>
      </c>
      <c r="Z77">
        <f>Portefeuille_ProgPropose[[#This Row],[AC 2025]]-Portefeuille_ProgPropose[[#This Row],[AC 2025 Initiale]]</f>
        <v>0</v>
      </c>
      <c r="AA77">
        <f>Portefeuille_ProgPropose[[#This Row],[TR 2025]]-Portefeuille_ProgPropose[[#This Row],[TR 2025 Initiale]]</f>
        <v>0</v>
      </c>
      <c r="AB77">
        <f>Portefeuille_ProgPropose[[#This Row],[Écart AC 2025]]+Portefeuille_ProgPropose[[#This Row],[Écart TR 2025]]</f>
        <v>0</v>
      </c>
      <c r="AC77">
        <v>300</v>
      </c>
      <c r="AD77"/>
      <c r="AG77">
        <f>Portefeuille_ProgPropose[[#This Row],[AC 2026]]-Portefeuille_ProgPropose[[#This Row],[AC 2026 Initiale]]</f>
        <v>0</v>
      </c>
      <c r="AH77">
        <f>Portefeuille_ProgPropose[[#This Row],[TR 2026]]-Portefeuille_ProgPropose[[#This Row],[TR 2026 Initiale]]</f>
        <v>0</v>
      </c>
      <c r="AI77">
        <f>Portefeuille_ProgPropose[[#This Row],[Écart AC 2026]]+Portefeuille_ProgPropose[[#This Row],[Écart TR 2026]]</f>
        <v>0</v>
      </c>
      <c r="AT77"/>
      <c r="BC77" s="14">
        <f>SUM(Portefeuille_ProgPropose[[#This Row],[AC ANT]:[TR 2025]],Portefeuille_ProgPropose[[#This Row],[AC 2026]:[TR 2026]],Portefeuille_ProgPropose[[#This Row],[AC 2027]:[TR 2034]])</f>
        <v>300</v>
      </c>
    </row>
    <row r="78" spans="1:56" x14ac:dyDescent="0.3">
      <c r="A78" t="s">
        <v>295</v>
      </c>
      <c r="B78" t="s">
        <v>286</v>
      </c>
      <c r="D78" t="s">
        <v>126</v>
      </c>
      <c r="E78" t="s">
        <v>127</v>
      </c>
      <c r="F78" t="s">
        <v>128</v>
      </c>
      <c r="G78" t="s">
        <v>252</v>
      </c>
      <c r="H78" t="s">
        <v>16</v>
      </c>
      <c r="I78" t="s">
        <v>16</v>
      </c>
      <c r="J78" t="s">
        <v>131</v>
      </c>
      <c r="K78" t="s">
        <v>259</v>
      </c>
      <c r="L78" t="s">
        <v>260</v>
      </c>
      <c r="M78" t="s">
        <v>159</v>
      </c>
      <c r="N78" t="s">
        <v>148</v>
      </c>
      <c r="O78" t="s">
        <v>291</v>
      </c>
      <c r="P78" s="1"/>
      <c r="Q78" s="1"/>
      <c r="R78" s="1"/>
      <c r="W78">
        <v>15</v>
      </c>
      <c r="X78">
        <v>85</v>
      </c>
      <c r="Y78">
        <v>15</v>
      </c>
      <c r="Z78">
        <f>Portefeuille_ProgPropose[[#This Row],[AC 2025]]-Portefeuille_ProgPropose[[#This Row],[AC 2025 Initiale]]</f>
        <v>0</v>
      </c>
      <c r="AA78">
        <f>Portefeuille_ProgPropose[[#This Row],[TR 2025]]-Portefeuille_ProgPropose[[#This Row],[TR 2025 Initiale]]</f>
        <v>0</v>
      </c>
      <c r="AB78">
        <f>Portefeuille_ProgPropose[[#This Row],[Écart AC 2025]]+Portefeuille_ProgPropose[[#This Row],[Écart TR 2025]]</f>
        <v>0</v>
      </c>
      <c r="AC78">
        <v>85</v>
      </c>
      <c r="AD78"/>
      <c r="AG78">
        <f>Portefeuille_ProgPropose[[#This Row],[AC 2026]]-Portefeuille_ProgPropose[[#This Row],[AC 2026 Initiale]]</f>
        <v>0</v>
      </c>
      <c r="AH78">
        <f>Portefeuille_ProgPropose[[#This Row],[TR 2026]]-Portefeuille_ProgPropose[[#This Row],[TR 2026 Initiale]]</f>
        <v>0</v>
      </c>
      <c r="AI78">
        <f>Portefeuille_ProgPropose[[#This Row],[Écart AC 2026]]+Portefeuille_ProgPropose[[#This Row],[Écart TR 2026]]</f>
        <v>0</v>
      </c>
      <c r="AT78"/>
      <c r="BC78" s="14">
        <f>SUM(Portefeuille_ProgPropose[[#This Row],[AC ANT]:[TR 2025]],Portefeuille_ProgPropose[[#This Row],[AC 2026]:[TR 2026]],Portefeuille_ProgPropose[[#This Row],[AC 2027]:[TR 2034]])</f>
        <v>100</v>
      </c>
    </row>
    <row r="79" spans="1:56" x14ac:dyDescent="0.3">
      <c r="A79" t="s">
        <v>662</v>
      </c>
      <c r="B79" t="s">
        <v>286</v>
      </c>
      <c r="D79" t="s">
        <v>118</v>
      </c>
      <c r="E79" t="s">
        <v>102</v>
      </c>
      <c r="F79" t="s">
        <v>177</v>
      </c>
      <c r="G79" t="s">
        <v>129</v>
      </c>
      <c r="H79" t="s">
        <v>16</v>
      </c>
      <c r="I79" t="s">
        <v>16</v>
      </c>
      <c r="J79" t="s">
        <v>131</v>
      </c>
      <c r="K79" t="s">
        <v>293</v>
      </c>
      <c r="L79" t="s">
        <v>294</v>
      </c>
      <c r="M79" t="s">
        <v>134</v>
      </c>
      <c r="N79" t="s">
        <v>148</v>
      </c>
      <c r="O79" t="s">
        <v>164</v>
      </c>
      <c r="P79" s="1">
        <v>45702</v>
      </c>
      <c r="Q79" s="1">
        <v>45702</v>
      </c>
      <c r="R79" s="1">
        <v>45702</v>
      </c>
      <c r="W79">
        <v>50</v>
      </c>
      <c r="X79">
        <v>2894</v>
      </c>
      <c r="Y79">
        <v>50</v>
      </c>
      <c r="Z79">
        <f>Portefeuille_ProgPropose[[#This Row],[AC 2025]]-Portefeuille_ProgPropose[[#This Row],[AC 2025 Initiale]]</f>
        <v>0</v>
      </c>
      <c r="AA79">
        <f>Portefeuille_ProgPropose[[#This Row],[TR 2025]]-Portefeuille_ProgPropose[[#This Row],[TR 2025 Initiale]]</f>
        <v>0</v>
      </c>
      <c r="AB79">
        <f>Portefeuille_ProgPropose[[#This Row],[Écart AC 2025]]+Portefeuille_ProgPropose[[#This Row],[Écart TR 2025]]</f>
        <v>0</v>
      </c>
      <c r="AC79">
        <v>2894</v>
      </c>
      <c r="AD79"/>
      <c r="AG79">
        <f>Portefeuille_ProgPropose[[#This Row],[AC 2026]]-Portefeuille_ProgPropose[[#This Row],[AC 2026 Initiale]]</f>
        <v>0</v>
      </c>
      <c r="AH79">
        <f>Portefeuille_ProgPropose[[#This Row],[TR 2026]]-Portefeuille_ProgPropose[[#This Row],[TR 2026 Initiale]]</f>
        <v>0</v>
      </c>
      <c r="AI79">
        <f>Portefeuille_ProgPropose[[#This Row],[Écart AC 2026]]+Portefeuille_ProgPropose[[#This Row],[Écart TR 2026]]</f>
        <v>0</v>
      </c>
      <c r="AT79"/>
      <c r="BC79" s="14">
        <f>SUM(Portefeuille_ProgPropose[[#This Row],[AC ANT]:[TR 2025]],Portefeuille_ProgPropose[[#This Row],[AC 2026]:[TR 2026]],Portefeuille_ProgPropose[[#This Row],[AC 2027]:[TR 2034]])</f>
        <v>2944</v>
      </c>
    </row>
    <row r="80" spans="1:56" x14ac:dyDescent="0.3">
      <c r="A80" t="s">
        <v>662</v>
      </c>
      <c r="B80" t="s">
        <v>286</v>
      </c>
      <c r="D80" t="s">
        <v>118</v>
      </c>
      <c r="E80" t="s">
        <v>102</v>
      </c>
      <c r="F80" t="s">
        <v>136</v>
      </c>
      <c r="G80" t="s">
        <v>104</v>
      </c>
      <c r="H80" t="s">
        <v>16</v>
      </c>
      <c r="I80" t="s">
        <v>20</v>
      </c>
      <c r="J80" t="s">
        <v>105</v>
      </c>
      <c r="K80" t="s">
        <v>516</v>
      </c>
      <c r="L80" t="s">
        <v>517</v>
      </c>
      <c r="M80" t="s">
        <v>302</v>
      </c>
      <c r="N80" t="s">
        <v>109</v>
      </c>
      <c r="O80" t="s">
        <v>110</v>
      </c>
      <c r="P80" s="1">
        <v>45904</v>
      </c>
      <c r="Q80" s="1"/>
      <c r="R80" s="1">
        <v>46096</v>
      </c>
      <c r="W80">
        <v>59</v>
      </c>
      <c r="Y80">
        <v>25</v>
      </c>
      <c r="Z80">
        <f>Portefeuille_ProgPropose[[#This Row],[AC 2025]]-Portefeuille_ProgPropose[[#This Row],[AC 2025 Initiale]]</f>
        <v>34</v>
      </c>
      <c r="AA80">
        <f>Portefeuille_ProgPropose[[#This Row],[TR 2025]]-Portefeuille_ProgPropose[[#This Row],[TR 2025 Initiale]]</f>
        <v>0</v>
      </c>
      <c r="AB80">
        <f>Portefeuille_ProgPropose[[#This Row],[Écart AC 2025]]+Portefeuille_ProgPropose[[#This Row],[Écart TR 2025]]</f>
        <v>34</v>
      </c>
      <c r="AD80">
        <v>131</v>
      </c>
      <c r="AE80">
        <v>478</v>
      </c>
      <c r="AF80">
        <v>25</v>
      </c>
      <c r="AG80">
        <f>Portefeuille_ProgPropose[[#This Row],[AC 2026]]-Portefeuille_ProgPropose[[#This Row],[AC 2026 Initiale]]</f>
        <v>106</v>
      </c>
      <c r="AH80">
        <f>Portefeuille_ProgPropose[[#This Row],[TR 2026]]-Portefeuille_ProgPropose[[#This Row],[TR 2026 Initiale]]</f>
        <v>478</v>
      </c>
      <c r="AI80">
        <f>Portefeuille_ProgPropose[[#This Row],[Écart AC 2026]]+Portefeuille_ProgPropose[[#This Row],[Écart TR 2026]]</f>
        <v>584</v>
      </c>
      <c r="AT80"/>
      <c r="BC80" s="14">
        <f>SUM(Portefeuille_ProgPropose[[#This Row],[AC ANT]:[TR 2025]],Portefeuille_ProgPropose[[#This Row],[AC 2026]:[TR 2026]],Portefeuille_ProgPropose[[#This Row],[AC 2027]:[TR 2034]])</f>
        <v>668</v>
      </c>
    </row>
    <row r="81" spans="1:55" x14ac:dyDescent="0.3">
      <c r="A81" t="s">
        <v>662</v>
      </c>
      <c r="B81" t="s">
        <v>286</v>
      </c>
      <c r="D81" t="s">
        <v>118</v>
      </c>
      <c r="E81" t="s">
        <v>102</v>
      </c>
      <c r="F81" t="s">
        <v>136</v>
      </c>
      <c r="G81" t="s">
        <v>104</v>
      </c>
      <c r="H81" t="s">
        <v>16</v>
      </c>
      <c r="I81" t="s">
        <v>20</v>
      </c>
      <c r="J81" t="s">
        <v>105</v>
      </c>
      <c r="K81" t="s">
        <v>518</v>
      </c>
      <c r="L81" t="s">
        <v>519</v>
      </c>
      <c r="M81" t="s">
        <v>143</v>
      </c>
      <c r="N81" t="s">
        <v>173</v>
      </c>
      <c r="O81" t="s">
        <v>155</v>
      </c>
      <c r="P81" s="1">
        <v>46127</v>
      </c>
      <c r="Q81" s="1"/>
      <c r="R81" s="1"/>
      <c r="W81">
        <v>25</v>
      </c>
      <c r="Y81">
        <v>25</v>
      </c>
      <c r="Z81">
        <f>Portefeuille_ProgPropose[[#This Row],[AC 2025]]-Portefeuille_ProgPropose[[#This Row],[AC 2025 Initiale]]</f>
        <v>0</v>
      </c>
      <c r="AA81">
        <f>Portefeuille_ProgPropose[[#This Row],[TR 2025]]-Portefeuille_ProgPropose[[#This Row],[TR 2025 Initiale]]</f>
        <v>0</v>
      </c>
      <c r="AB81">
        <f>Portefeuille_ProgPropose[[#This Row],[Écart AC 2025]]+Portefeuille_ProgPropose[[#This Row],[Écart TR 2025]]</f>
        <v>0</v>
      </c>
      <c r="AD81">
        <v>25</v>
      </c>
      <c r="AF81">
        <v>25</v>
      </c>
      <c r="AG81">
        <f>Portefeuille_ProgPropose[[#This Row],[AC 2026]]-Portefeuille_ProgPropose[[#This Row],[AC 2026 Initiale]]</f>
        <v>0</v>
      </c>
      <c r="AH81">
        <f>Portefeuille_ProgPropose[[#This Row],[TR 2026]]-Portefeuille_ProgPropose[[#This Row],[TR 2026 Initiale]]</f>
        <v>0</v>
      </c>
      <c r="AI81">
        <f>Portefeuille_ProgPropose[[#This Row],[Écart AC 2026]]+Portefeuille_ProgPropose[[#This Row],[Écart TR 2026]]</f>
        <v>0</v>
      </c>
      <c r="AL81">
        <v>150</v>
      </c>
      <c r="AT81"/>
      <c r="BC81" s="14">
        <f>SUM(Portefeuille_ProgPropose[[#This Row],[AC ANT]:[TR 2025]],Portefeuille_ProgPropose[[#This Row],[AC 2026]:[TR 2026]],Portefeuille_ProgPropose[[#This Row],[AC 2027]:[TR 2034]])</f>
        <v>200</v>
      </c>
    </row>
    <row r="82" spans="1:55" x14ac:dyDescent="0.3">
      <c r="B82" t="s">
        <v>286</v>
      </c>
      <c r="D82" t="s">
        <v>118</v>
      </c>
      <c r="E82" t="s">
        <v>102</v>
      </c>
      <c r="F82" t="s">
        <v>136</v>
      </c>
      <c r="G82" t="s">
        <v>252</v>
      </c>
      <c r="H82" t="s">
        <v>20</v>
      </c>
      <c r="I82" t="s">
        <v>16</v>
      </c>
      <c r="J82" t="s">
        <v>131</v>
      </c>
      <c r="K82" t="s">
        <v>599</v>
      </c>
      <c r="L82" t="s">
        <v>638</v>
      </c>
      <c r="M82" t="s">
        <v>139</v>
      </c>
      <c r="N82" t="s">
        <v>148</v>
      </c>
      <c r="O82" t="s">
        <v>291</v>
      </c>
      <c r="P82" s="1"/>
      <c r="Q82" s="1"/>
      <c r="R82" s="1"/>
      <c r="X82">
        <v>35</v>
      </c>
      <c r="Z82">
        <f>Portefeuille_ProgPropose[[#This Row],[AC 2025]]-Portefeuille_ProgPropose[[#This Row],[AC 2025 Initiale]]</f>
        <v>0</v>
      </c>
      <c r="AA82">
        <f>Portefeuille_ProgPropose[[#This Row],[TR 2025]]-Portefeuille_ProgPropose[[#This Row],[TR 2025 Initiale]]</f>
        <v>35</v>
      </c>
      <c r="AB82">
        <f>Portefeuille_ProgPropose[[#This Row],[Écart AC 2025]]+Portefeuille_ProgPropose[[#This Row],[Écart TR 2025]]</f>
        <v>35</v>
      </c>
      <c r="AD82"/>
      <c r="AG82">
        <f>Portefeuille_ProgPropose[[#This Row],[AC 2026]]-Portefeuille_ProgPropose[[#This Row],[AC 2026 Initiale]]</f>
        <v>0</v>
      </c>
      <c r="AH82">
        <f>Portefeuille_ProgPropose[[#This Row],[TR 2026]]-Portefeuille_ProgPropose[[#This Row],[TR 2026 Initiale]]</f>
        <v>0</v>
      </c>
      <c r="AI82">
        <f>Portefeuille_ProgPropose[[#This Row],[Écart AC 2026]]+Portefeuille_ProgPropose[[#This Row],[Écart TR 2026]]</f>
        <v>0</v>
      </c>
      <c r="AT82"/>
      <c r="BC82" s="14">
        <f>SUM(Portefeuille_ProgPropose[[#This Row],[AC ANT]:[TR 2025]],Portefeuille_ProgPropose[[#This Row],[AC 2026]:[TR 2026]],Portefeuille_ProgPropose[[#This Row],[AC 2027]:[TR 2034]])</f>
        <v>35</v>
      </c>
    </row>
    <row r="83" spans="1:55" x14ac:dyDescent="0.3">
      <c r="B83" t="s">
        <v>286</v>
      </c>
      <c r="D83" t="s">
        <v>126</v>
      </c>
      <c r="E83" t="s">
        <v>127</v>
      </c>
      <c r="F83" t="s">
        <v>136</v>
      </c>
      <c r="G83" t="s">
        <v>252</v>
      </c>
      <c r="H83" t="s">
        <v>20</v>
      </c>
      <c r="I83" t="s">
        <v>16</v>
      </c>
      <c r="J83" t="s">
        <v>131</v>
      </c>
      <c r="K83" t="s">
        <v>645</v>
      </c>
      <c r="L83" t="s">
        <v>646</v>
      </c>
      <c r="M83" t="s">
        <v>139</v>
      </c>
      <c r="N83" t="s">
        <v>148</v>
      </c>
      <c r="O83" t="s">
        <v>291</v>
      </c>
      <c r="P83" s="1"/>
      <c r="Q83" s="1"/>
      <c r="R83" s="1"/>
      <c r="X83">
        <v>100</v>
      </c>
      <c r="Z83">
        <f>Portefeuille_ProgPropose[[#This Row],[AC 2025]]-Portefeuille_ProgPropose[[#This Row],[AC 2025 Initiale]]</f>
        <v>0</v>
      </c>
      <c r="AA83">
        <f>Portefeuille_ProgPropose[[#This Row],[TR 2025]]-Portefeuille_ProgPropose[[#This Row],[TR 2025 Initiale]]</f>
        <v>100</v>
      </c>
      <c r="AB83">
        <f>Portefeuille_ProgPropose[[#This Row],[Écart AC 2025]]+Portefeuille_ProgPropose[[#This Row],[Écart TR 2025]]</f>
        <v>100</v>
      </c>
      <c r="AD83"/>
      <c r="AG83">
        <f>Portefeuille_ProgPropose[[#This Row],[AC 2026]]-Portefeuille_ProgPropose[[#This Row],[AC 2026 Initiale]]</f>
        <v>0</v>
      </c>
      <c r="AH83">
        <f>Portefeuille_ProgPropose[[#This Row],[TR 2026]]-Portefeuille_ProgPropose[[#This Row],[TR 2026 Initiale]]</f>
        <v>0</v>
      </c>
      <c r="AI83">
        <f>Portefeuille_ProgPropose[[#This Row],[Écart AC 2026]]+Portefeuille_ProgPropose[[#This Row],[Écart TR 2026]]</f>
        <v>0</v>
      </c>
      <c r="AT83"/>
      <c r="BC83" s="14">
        <f>SUM(Portefeuille_ProgPropose[[#This Row],[AC ANT]:[TR 2025]],Portefeuille_ProgPropose[[#This Row],[AC 2026]:[TR 2026]],Portefeuille_ProgPropose[[#This Row],[AC 2027]:[TR 2034]])</f>
        <v>100</v>
      </c>
    </row>
    <row r="84" spans="1:55" x14ac:dyDescent="0.3">
      <c r="A84" t="s">
        <v>295</v>
      </c>
      <c r="B84" t="s">
        <v>286</v>
      </c>
      <c r="D84" t="s">
        <v>126</v>
      </c>
      <c r="E84" t="s">
        <v>127</v>
      </c>
      <c r="F84" t="s">
        <v>136</v>
      </c>
      <c r="G84" t="s">
        <v>113</v>
      </c>
      <c r="H84" t="s">
        <v>16</v>
      </c>
      <c r="I84" t="s">
        <v>16</v>
      </c>
      <c r="J84" t="s">
        <v>105</v>
      </c>
      <c r="K84" t="s">
        <v>358</v>
      </c>
      <c r="L84" t="s">
        <v>359</v>
      </c>
      <c r="M84" t="s">
        <v>108</v>
      </c>
      <c r="O84" t="s">
        <v>164</v>
      </c>
      <c r="P84" s="1"/>
      <c r="Q84" s="1">
        <v>42383</v>
      </c>
      <c r="R84" s="1">
        <v>43404</v>
      </c>
      <c r="S84">
        <v>2099</v>
      </c>
      <c r="T84">
        <v>8991</v>
      </c>
      <c r="U84">
        <v>93</v>
      </c>
      <c r="W84">
        <v>29</v>
      </c>
      <c r="Z84">
        <f>Portefeuille_ProgPropose[[#This Row],[AC 2025]]-Portefeuille_ProgPropose[[#This Row],[AC 2025 Initiale]]</f>
        <v>29</v>
      </c>
      <c r="AA84">
        <f>Portefeuille_ProgPropose[[#This Row],[TR 2025]]-Portefeuille_ProgPropose[[#This Row],[TR 2025 Initiale]]</f>
        <v>0</v>
      </c>
      <c r="AB84">
        <f>Portefeuille_ProgPropose[[#This Row],[Écart AC 2025]]+Portefeuille_ProgPropose[[#This Row],[Écart TR 2025]]</f>
        <v>29</v>
      </c>
      <c r="AD84"/>
      <c r="AG84">
        <f>Portefeuille_ProgPropose[[#This Row],[AC 2026]]-Portefeuille_ProgPropose[[#This Row],[AC 2026 Initiale]]</f>
        <v>0</v>
      </c>
      <c r="AH84">
        <f>Portefeuille_ProgPropose[[#This Row],[TR 2026]]-Portefeuille_ProgPropose[[#This Row],[TR 2026 Initiale]]</f>
        <v>0</v>
      </c>
      <c r="AI84">
        <f>Portefeuille_ProgPropose[[#This Row],[Écart AC 2026]]+Portefeuille_ProgPropose[[#This Row],[Écart TR 2026]]</f>
        <v>0</v>
      </c>
      <c r="AT84"/>
      <c r="BC84" s="14">
        <f>SUM(Portefeuille_ProgPropose[[#This Row],[AC ANT]:[TR 2025]],Portefeuille_ProgPropose[[#This Row],[AC 2026]:[TR 2026]],Portefeuille_ProgPropose[[#This Row],[AC 2027]:[TR 2034]])</f>
        <v>11212</v>
      </c>
    </row>
    <row r="85" spans="1:55" x14ac:dyDescent="0.3">
      <c r="K85">
        <f>SUBTOTAL(103,Portefeuille_ProgPropose[Numéro projet])</f>
        <v>67</v>
      </c>
      <c r="S85" s="14">
        <f>SUBTOTAL(109,Portefeuille_ProgPropose[AC ANT])</f>
        <v>18490</v>
      </c>
      <c r="T85" s="14">
        <f>SUBTOTAL(109,Portefeuille_ProgPropose[TR ANT])</f>
        <v>108030</v>
      </c>
      <c r="U85" s="14">
        <f>SUBTOTAL(109,Portefeuille_ProgPropose[AC 2024])</f>
        <v>4258</v>
      </c>
      <c r="V85" s="14">
        <f>SUBTOTAL(109,Portefeuille_ProgPropose[TR 2024])</f>
        <v>66635</v>
      </c>
      <c r="W85" s="14">
        <f>SUBTOTAL(109,Portefeuille_ProgPropose[AC 2025])</f>
        <v>11792</v>
      </c>
      <c r="X85" s="14">
        <f>SUBTOTAL(109,Portefeuille_ProgPropose[TR 2025])</f>
        <v>55714</v>
      </c>
      <c r="Y85" s="14">
        <f>SUBTOTAL(109,Portefeuille_ProgPropose[AC 2025 Initiale])</f>
        <v>10230</v>
      </c>
      <c r="Z85" s="14">
        <f>SUBTOTAL(109,Portefeuille_ProgPropose[Écart AC 2025])</f>
        <v>1562</v>
      </c>
      <c r="AA85" s="14">
        <f>SUBTOTAL(109,Portefeuille_ProgPropose[Écart TR 2025])</f>
        <v>5436</v>
      </c>
      <c r="AB85" s="14">
        <f>SUBTOTAL(109,Portefeuille_ProgPropose[Écart 2025 Total])</f>
        <v>6998</v>
      </c>
      <c r="AC85" s="14">
        <f>SUBTOTAL(109,Portefeuille_ProgPropose[TR 2025 Initiale])</f>
        <v>50278</v>
      </c>
      <c r="AD85" s="14">
        <f>SUBTOTAL(109,Portefeuille_ProgPropose[AC 2026])</f>
        <v>10981</v>
      </c>
      <c r="AE85" s="14">
        <f>SUBTOTAL(109,Portefeuille_ProgPropose[TR 2026])</f>
        <v>68290</v>
      </c>
      <c r="AF85" s="14">
        <f>SUBTOTAL(109,Portefeuille_ProgPropose[AC 2026 Initiale])</f>
        <v>10982</v>
      </c>
      <c r="AG85" s="14">
        <f>SUBTOTAL(109,Portefeuille_ProgPropose[Écart AC 2026])</f>
        <v>-1</v>
      </c>
      <c r="AH85" s="14">
        <f>SUBTOTAL(109,Portefeuille_ProgPropose[Écart TR 2026])</f>
        <v>1778</v>
      </c>
      <c r="AI85" s="14">
        <f>SUBTOTAL(109,Portefeuille_ProgPropose[Écart 2026 Total])</f>
        <v>1777</v>
      </c>
      <c r="AJ85" s="14">
        <f>SUBTOTAL(109,Portefeuille_ProgPropose[TR 2026 Initiale])</f>
        <v>66512</v>
      </c>
      <c r="AK85" s="14">
        <f>SUBTOTAL(109,Portefeuille_ProgPropose[AC 2027])</f>
        <v>10406</v>
      </c>
      <c r="AL85" s="14">
        <f>SUBTOTAL(109,Portefeuille_ProgPropose[TR 2027])</f>
        <v>59351</v>
      </c>
      <c r="AM85" s="14">
        <f>SUBTOTAL(109,Portefeuille_ProgPropose[AC 2028])</f>
        <v>6115</v>
      </c>
      <c r="AN85" s="14">
        <f>SUBTOTAL(109,Portefeuille_ProgPropose[TR 2028])</f>
        <v>66548</v>
      </c>
      <c r="AO85" s="14">
        <f>SUBTOTAL(109,Portefeuille_ProgPropose[AC 2029])</f>
        <v>3062</v>
      </c>
      <c r="AP85" s="14">
        <f>SUBTOTAL(109,Portefeuille_ProgPropose[TR 2029])</f>
        <v>55251</v>
      </c>
      <c r="AQ85" s="14">
        <f>SUBTOTAL(109,Portefeuille_ProgPropose[AC 2030])</f>
        <v>2395</v>
      </c>
      <c r="AR85" s="14">
        <f>SUBTOTAL(109,Portefeuille_ProgPropose[TR 2030])</f>
        <v>36208</v>
      </c>
      <c r="AS85" s="14">
        <f>SUBTOTAL(109,Portefeuille_ProgPropose[AC 2031])</f>
        <v>1918</v>
      </c>
      <c r="AT85" s="14">
        <f>SUBTOTAL(109,Portefeuille_ProgPropose[TR 2031])</f>
        <v>41119</v>
      </c>
      <c r="AU85" s="14">
        <f>SUBTOTAL(109,Portefeuille_ProgPropose[AC 2032])</f>
        <v>0</v>
      </c>
      <c r="AV85" s="14">
        <f>SUBTOTAL(109,Portefeuille_ProgPropose[TR 2032])</f>
        <v>0</v>
      </c>
      <c r="AW85" s="14">
        <f>SUBTOTAL(109,Portefeuille_ProgPropose[AC 2033])</f>
        <v>0</v>
      </c>
      <c r="AX85" s="14">
        <f>SUBTOTAL(109,Portefeuille_ProgPropose[TR 2033])</f>
        <v>0</v>
      </c>
      <c r="AY85" s="14">
        <f>SUBTOTAL(109,Portefeuille_ProgPropose[AC 2034])</f>
        <v>0</v>
      </c>
      <c r="AZ85" s="14">
        <f>SUBTOTAL(109,Portefeuille_ProgPropose[TR 2034])</f>
        <v>0</v>
      </c>
      <c r="BC85" s="14">
        <f>SUBTOTAL(109,Portefeuille_ProgPropose[Total Projet])</f>
        <v>626563</v>
      </c>
    </row>
    <row r="87" spans="1:55" x14ac:dyDescent="0.3">
      <c r="AV87" s="57"/>
      <c r="AW87" s="57"/>
      <c r="AX87" s="57"/>
      <c r="AY87" s="57"/>
      <c r="AZ87" s="57"/>
      <c r="BA87" s="57"/>
      <c r="BB87" s="57"/>
      <c r="BC87" s="57"/>
    </row>
    <row r="147" spans="61:62" x14ac:dyDescent="0.3">
      <c r="BI147" s="57"/>
      <c r="BJ147" s="57"/>
    </row>
  </sheetData>
  <mergeCells count="239">
    <mergeCell ref="Q3:R3"/>
    <mergeCell ref="AH4:AJ4"/>
    <mergeCell ref="AA13:AC13"/>
    <mergeCell ref="AA12:AC12"/>
    <mergeCell ref="AA14:AC14"/>
    <mergeCell ref="AA15:AC15"/>
    <mergeCell ref="AA16:AC16"/>
    <mergeCell ref="AH12:AJ12"/>
    <mergeCell ref="AH13:AJ13"/>
    <mergeCell ref="AH14:AJ14"/>
    <mergeCell ref="AH15:AJ15"/>
    <mergeCell ref="AH16:AJ16"/>
    <mergeCell ref="S3:T3"/>
    <mergeCell ref="U3:V3"/>
    <mergeCell ref="W3:X3"/>
    <mergeCell ref="AD3:AE3"/>
    <mergeCell ref="S12:T12"/>
    <mergeCell ref="U12:V12"/>
    <mergeCell ref="W12:X12"/>
    <mergeCell ref="S15:T15"/>
    <mergeCell ref="U15:V15"/>
    <mergeCell ref="W15:X15"/>
    <mergeCell ref="AD15:AE15"/>
    <mergeCell ref="AH5:AJ5"/>
    <mergeCell ref="P2:Q2"/>
    <mergeCell ref="Y3:Z3"/>
    <mergeCell ref="AF3:AG3"/>
    <mergeCell ref="AA3:AC3"/>
    <mergeCell ref="AH3:AJ3"/>
    <mergeCell ref="AY3:AZ3"/>
    <mergeCell ref="S4:T4"/>
    <mergeCell ref="U4:V4"/>
    <mergeCell ref="W4:X4"/>
    <mergeCell ref="AD4:AE4"/>
    <mergeCell ref="AK4:AL4"/>
    <mergeCell ref="AM4:AN4"/>
    <mergeCell ref="AO4:AP4"/>
    <mergeCell ref="AQ4:AR4"/>
    <mergeCell ref="AS4:AT4"/>
    <mergeCell ref="AM3:AN3"/>
    <mergeCell ref="AO3:AP3"/>
    <mergeCell ref="AQ3:AR3"/>
    <mergeCell ref="AS3:AT3"/>
    <mergeCell ref="AU3:AV3"/>
    <mergeCell ref="AW3:AX3"/>
    <mergeCell ref="AU4:AV4"/>
    <mergeCell ref="AW4:AX4"/>
    <mergeCell ref="AY4:AZ4"/>
    <mergeCell ref="AK3:AL3"/>
    <mergeCell ref="AU5:AV5"/>
    <mergeCell ref="AW5:AX5"/>
    <mergeCell ref="AY5:AZ5"/>
    <mergeCell ref="S6:T6"/>
    <mergeCell ref="U6:V6"/>
    <mergeCell ref="W6:X6"/>
    <mergeCell ref="AD6:AE6"/>
    <mergeCell ref="AK6:AL6"/>
    <mergeCell ref="AY6:AZ6"/>
    <mergeCell ref="AM6:AN6"/>
    <mergeCell ref="AO6:AP6"/>
    <mergeCell ref="AQ6:AR6"/>
    <mergeCell ref="AS6:AT6"/>
    <mergeCell ref="AU6:AV6"/>
    <mergeCell ref="AW6:AX6"/>
    <mergeCell ref="S5:T5"/>
    <mergeCell ref="U5:V5"/>
    <mergeCell ref="W5:X5"/>
    <mergeCell ref="AD5:AE5"/>
    <mergeCell ref="AK5:AL5"/>
    <mergeCell ref="AM5:AN5"/>
    <mergeCell ref="AO5:AP5"/>
    <mergeCell ref="AQ5:AR5"/>
    <mergeCell ref="AS5:AT5"/>
    <mergeCell ref="AU7:AV7"/>
    <mergeCell ref="AW7:AX7"/>
    <mergeCell ref="AY7:AZ7"/>
    <mergeCell ref="S8:T8"/>
    <mergeCell ref="U8:V8"/>
    <mergeCell ref="W8:X8"/>
    <mergeCell ref="AD8:AE8"/>
    <mergeCell ref="AK8:AL8"/>
    <mergeCell ref="AM8:AN8"/>
    <mergeCell ref="AO8:AP8"/>
    <mergeCell ref="AQ8:AR8"/>
    <mergeCell ref="AS8:AT8"/>
    <mergeCell ref="AU8:AV8"/>
    <mergeCell ref="AW8:AX8"/>
    <mergeCell ref="AY8:AZ8"/>
    <mergeCell ref="S7:T7"/>
    <mergeCell ref="U7:V7"/>
    <mergeCell ref="W7:X7"/>
    <mergeCell ref="AD7:AE7"/>
    <mergeCell ref="AK7:AL7"/>
    <mergeCell ref="AM7:AN7"/>
    <mergeCell ref="AO7:AP7"/>
    <mergeCell ref="AQ7:AR7"/>
    <mergeCell ref="AS7:AT7"/>
    <mergeCell ref="S9:T9"/>
    <mergeCell ref="U9:V9"/>
    <mergeCell ref="W9:X9"/>
    <mergeCell ref="AD9:AE9"/>
    <mergeCell ref="AK9:AL9"/>
    <mergeCell ref="AY9:AZ9"/>
    <mergeCell ref="S10:T10"/>
    <mergeCell ref="U10:V10"/>
    <mergeCell ref="W10:X10"/>
    <mergeCell ref="AD10:AE10"/>
    <mergeCell ref="AK10:AL10"/>
    <mergeCell ref="AM10:AN10"/>
    <mergeCell ref="AO10:AP10"/>
    <mergeCell ref="AQ10:AR10"/>
    <mergeCell ref="AS10:AT10"/>
    <mergeCell ref="AM9:AN9"/>
    <mergeCell ref="AO9:AP9"/>
    <mergeCell ref="AQ9:AR9"/>
    <mergeCell ref="AS9:AT9"/>
    <mergeCell ref="AU9:AV9"/>
    <mergeCell ref="AW9:AX9"/>
    <mergeCell ref="AU10:AV10"/>
    <mergeCell ref="AW10:AX10"/>
    <mergeCell ref="AY10:AZ10"/>
    <mergeCell ref="S11:T11"/>
    <mergeCell ref="U11:V11"/>
    <mergeCell ref="W11:X11"/>
    <mergeCell ref="AD11:AE11"/>
    <mergeCell ref="AK11:AL11"/>
    <mergeCell ref="AM11:AN11"/>
    <mergeCell ref="AO11:AP11"/>
    <mergeCell ref="AQ11:AR11"/>
    <mergeCell ref="AS11:AT11"/>
    <mergeCell ref="AK12:AL12"/>
    <mergeCell ref="AY12:AZ12"/>
    <mergeCell ref="U13:V13"/>
    <mergeCell ref="W13:X13"/>
    <mergeCell ref="AD13:AE13"/>
    <mergeCell ref="AK13:AL13"/>
    <mergeCell ref="AM13:AN13"/>
    <mergeCell ref="AO13:AP13"/>
    <mergeCell ref="AQ13:AR13"/>
    <mergeCell ref="AS13:AT13"/>
    <mergeCell ref="AU13:AV13"/>
    <mergeCell ref="AM12:AN12"/>
    <mergeCell ref="AO12:AP12"/>
    <mergeCell ref="AQ12:AR12"/>
    <mergeCell ref="AS12:AT12"/>
    <mergeCell ref="AU12:AV12"/>
    <mergeCell ref="AW12:AX12"/>
    <mergeCell ref="AF12:AG12"/>
    <mergeCell ref="Y12:Z12"/>
    <mergeCell ref="AF13:AG13"/>
    <mergeCell ref="AD12:AE12"/>
    <mergeCell ref="Y13:Z13"/>
    <mergeCell ref="AW14:AX14"/>
    <mergeCell ref="AS15:AT15"/>
    <mergeCell ref="AU15:AV15"/>
    <mergeCell ref="AW15:AX15"/>
    <mergeCell ref="AY15:AZ15"/>
    <mergeCell ref="AS14:AT14"/>
    <mergeCell ref="AU14:AV14"/>
    <mergeCell ref="AU11:AV11"/>
    <mergeCell ref="AW11:AX11"/>
    <mergeCell ref="AY11:AZ11"/>
    <mergeCell ref="AW13:AX13"/>
    <mergeCell ref="AY13:AZ13"/>
    <mergeCell ref="AY14:AZ14"/>
    <mergeCell ref="AO16:AP16"/>
    <mergeCell ref="AQ16:AR16"/>
    <mergeCell ref="AS16:AT16"/>
    <mergeCell ref="AU16:AV16"/>
    <mergeCell ref="AW16:AX16"/>
    <mergeCell ref="AY16:AZ16"/>
    <mergeCell ref="S16:T16"/>
    <mergeCell ref="U16:V16"/>
    <mergeCell ref="W16:X16"/>
    <mergeCell ref="AD16:AE16"/>
    <mergeCell ref="AK16:AL16"/>
    <mergeCell ref="AM16:AN16"/>
    <mergeCell ref="Y16:Z16"/>
    <mergeCell ref="AF16:AG16"/>
    <mergeCell ref="AK15:AL15"/>
    <mergeCell ref="AM15:AN15"/>
    <mergeCell ref="AO15:AP15"/>
    <mergeCell ref="AQ15:AR15"/>
    <mergeCell ref="Y14:Z14"/>
    <mergeCell ref="Y15:Z15"/>
    <mergeCell ref="AF14:AG14"/>
    <mergeCell ref="AF15:AG15"/>
    <mergeCell ref="S14:T14"/>
    <mergeCell ref="U14:V14"/>
    <mergeCell ref="W14:X14"/>
    <mergeCell ref="AD14:AE14"/>
    <mergeCell ref="AK14:AL14"/>
    <mergeCell ref="AM14:AN14"/>
    <mergeCell ref="AO14:AP14"/>
    <mergeCell ref="AQ14:AR14"/>
    <mergeCell ref="AH6:AJ6"/>
    <mergeCell ref="AH7:AJ7"/>
    <mergeCell ref="AH8:AJ8"/>
    <mergeCell ref="AH9:AJ9"/>
    <mergeCell ref="AH10:AJ10"/>
    <mergeCell ref="AH11:AJ11"/>
    <mergeCell ref="AA11:AC11"/>
    <mergeCell ref="AA5:AC5"/>
    <mergeCell ref="AA6:AC6"/>
    <mergeCell ref="AA7:AC7"/>
    <mergeCell ref="AA8:AC8"/>
    <mergeCell ref="AA9:AC9"/>
    <mergeCell ref="AA10:AC10"/>
    <mergeCell ref="AF4:AG4"/>
    <mergeCell ref="AF5:AG5"/>
    <mergeCell ref="AF6:AG6"/>
    <mergeCell ref="AF7:AG7"/>
    <mergeCell ref="AF8:AG8"/>
    <mergeCell ref="AF9:AG9"/>
    <mergeCell ref="AF10:AG10"/>
    <mergeCell ref="AF11:AG11"/>
    <mergeCell ref="Y11:Z11"/>
    <mergeCell ref="Y10:Z10"/>
    <mergeCell ref="Y9:Z9"/>
    <mergeCell ref="Y8:Z8"/>
    <mergeCell ref="Y7:Z7"/>
    <mergeCell ref="Y6:Z6"/>
    <mergeCell ref="Y5:Z5"/>
    <mergeCell ref="Y4:Z4"/>
    <mergeCell ref="AA4:AC4"/>
    <mergeCell ref="BA12:BB12"/>
    <mergeCell ref="BA13:BB13"/>
    <mergeCell ref="BA14:BB14"/>
    <mergeCell ref="BA15:BB15"/>
    <mergeCell ref="BA16:BB16"/>
    <mergeCell ref="BA3:BB3"/>
    <mergeCell ref="BA4:BB4"/>
    <mergeCell ref="BA5:BB5"/>
    <mergeCell ref="BA6:BB6"/>
    <mergeCell ref="BA7:BB7"/>
    <mergeCell ref="BA8:BB8"/>
    <mergeCell ref="BA9:BB9"/>
    <mergeCell ref="BA10:BB10"/>
    <mergeCell ref="BA11:BB11"/>
  </mergeCells>
  <phoneticPr fontId="1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F3E8-1DD5-4F7B-A4D8-B72B61097753}">
  <dimension ref="A1:BU169"/>
  <sheetViews>
    <sheetView topLeftCell="Y1" zoomScale="90" zoomScaleNormal="90" workbookViewId="0">
      <pane ySplit="18" topLeftCell="A19" activePane="bottomLeft" state="frozen"/>
      <selection activeCell="AA1" sqref="AA1"/>
      <selection pane="bottomLeft" activeCell="AM64" sqref="AM64:AN73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8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7.33203125" customWidth="1" outlineLevel="1"/>
    <col min="8" max="8" width="12.44140625" customWidth="1" outlineLevel="1"/>
    <col min="9" max="9" width="17" customWidth="1" outlineLevel="1"/>
    <col min="10" max="10" width="14.33203125" customWidth="1"/>
    <col min="11" max="11" width="19.33203125" bestFit="1" customWidth="1"/>
    <col min="12" max="12" width="80.6640625" customWidth="1" collapsed="1"/>
    <col min="13" max="13" width="30.6640625" customWidth="1"/>
    <col min="14" max="14" width="10" customWidth="1"/>
    <col min="15" max="15" width="23" customWidth="1"/>
    <col min="16" max="16" width="12.5546875" customWidth="1" outlineLevel="1"/>
    <col min="17" max="17" width="17.44140625" customWidth="1" outlineLevel="1"/>
    <col min="18" max="18" width="15" customWidth="1" outlineLevel="1"/>
    <col min="19" max="19" width="14" customWidth="1"/>
    <col min="20" max="21" width="14.33203125" customWidth="1"/>
    <col min="22" max="23" width="15" customWidth="1" outlineLevel="1"/>
    <col min="24" max="24" width="12.33203125" customWidth="1" outlineLevel="1"/>
    <col min="25" max="26" width="11.44140625" customWidth="1" outlineLevel="1"/>
    <col min="27" max="27" width="11.33203125" customWidth="1" outlineLevel="1"/>
    <col min="28" max="28" width="9.88671875" customWidth="1" outlineLevel="1"/>
    <col min="29" max="29" width="14.6640625" customWidth="1" outlineLevel="1"/>
    <col min="30" max="30" width="13.88671875" customWidth="1" outlineLevel="1"/>
    <col min="31" max="31" width="13.5546875" customWidth="1"/>
    <col min="32" max="32" width="6.33203125" customWidth="1"/>
    <col min="33" max="33" width="9.33203125" customWidth="1" outlineLevel="1"/>
    <col min="34" max="34" width="10.44140625" customWidth="1" outlineLevel="1"/>
    <col min="35" max="35" width="9.88671875" customWidth="1" outlineLevel="1"/>
    <col min="36" max="36" width="9.88671875" style="25" customWidth="1" outlineLevel="1"/>
    <col min="37" max="38" width="9.88671875" customWidth="1" outlineLevel="1"/>
    <col min="39" max="39" width="11.109375" customWidth="1"/>
    <col min="40" max="40" width="12.33203125" customWidth="1"/>
    <col min="41" max="41" width="11" customWidth="1"/>
    <col min="42" max="45" width="9.88671875" customWidth="1"/>
    <col min="46" max="46" width="9.88671875" style="8" customWidth="1"/>
    <col min="47" max="58" width="9.88671875" customWidth="1"/>
    <col min="59" max="59" width="14.44140625" bestFit="1" customWidth="1"/>
    <col min="60" max="60" width="14.44140625" customWidth="1"/>
    <col min="61" max="61" width="12.6640625" bestFit="1" customWidth="1"/>
    <col min="62" max="64" width="9.88671875" customWidth="1"/>
    <col min="65" max="65" width="13.44140625" customWidth="1"/>
    <col min="66" max="66" width="13.5546875" customWidth="1"/>
    <col min="67" max="67" width="18" customWidth="1"/>
    <col min="68" max="68" width="17" customWidth="1"/>
    <col min="69" max="69" width="16.6640625" bestFit="1" customWidth="1"/>
    <col min="70" max="79" width="11.33203125" customWidth="1"/>
    <col min="80" max="80" width="12.5546875" customWidth="1"/>
    <col min="81" max="81" width="13.44140625" customWidth="1"/>
    <col min="82" max="82" width="13.109375" customWidth="1"/>
    <col min="83" max="83" width="14" customWidth="1"/>
    <col min="84" max="89" width="17.33203125" customWidth="1"/>
    <col min="90" max="90" width="18.109375" customWidth="1"/>
    <col min="91" max="91" width="17.5546875" customWidth="1"/>
  </cols>
  <sheetData>
    <row r="1" spans="1:73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7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85"/>
      <c r="BR1" s="85"/>
      <c r="BS1" s="85"/>
      <c r="BT1" s="85"/>
      <c r="BU1" s="85"/>
    </row>
    <row r="2" spans="1:73" x14ac:dyDescent="0.3">
      <c r="AA2" s="25"/>
      <c r="AB2" s="25"/>
      <c r="AC2" s="25"/>
      <c r="AD2" s="25"/>
      <c r="AE2" s="25"/>
      <c r="AF2" s="25"/>
      <c r="AG2" s="349" t="s">
        <v>698</v>
      </c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  <c r="BI2" s="349"/>
    </row>
    <row r="3" spans="1:73" ht="26.4" customHeight="1" x14ac:dyDescent="0.3">
      <c r="I3" s="306" t="s">
        <v>2</v>
      </c>
      <c r="J3" s="307"/>
      <c r="N3" s="65"/>
      <c r="O3" s="65"/>
      <c r="P3" s="65"/>
      <c r="Q3" s="65"/>
      <c r="R3" s="65"/>
      <c r="S3" s="65"/>
      <c r="T3" s="65"/>
      <c r="U3" s="65"/>
      <c r="V3" s="65"/>
      <c r="AC3" s="4" t="s">
        <v>3</v>
      </c>
      <c r="AD3" s="80" t="s">
        <v>4</v>
      </c>
      <c r="AE3" s="342" t="s">
        <v>5</v>
      </c>
      <c r="AF3" s="342"/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263">
        <v>2035</v>
      </c>
      <c r="BF3" s="264"/>
      <c r="BG3" s="26" t="s">
        <v>560</v>
      </c>
      <c r="BH3" s="26" t="s">
        <v>699</v>
      </c>
      <c r="BI3" s="26" t="s">
        <v>595</v>
      </c>
    </row>
    <row r="4" spans="1:73" x14ac:dyDescent="0.3">
      <c r="I4" s="27" t="s">
        <v>9</v>
      </c>
      <c r="J4" s="28" t="s">
        <v>10</v>
      </c>
      <c r="N4" s="65"/>
      <c r="O4" s="65"/>
      <c r="P4" s="65"/>
      <c r="Q4" s="65"/>
      <c r="R4" s="65"/>
      <c r="S4" s="65"/>
      <c r="T4" s="65"/>
      <c r="U4" s="65"/>
      <c r="V4" s="65"/>
      <c r="AC4" s="66"/>
      <c r="AD4" s="138"/>
      <c r="AF4" s="104" t="s">
        <v>11</v>
      </c>
      <c r="AG4" s="260"/>
      <c r="AH4" s="260"/>
      <c r="AI4" s="260">
        <f>SUMIFS(Portefeuille_MNT_PPS_Access31[AC 2024],Portefeuille_MNT_PPS_Access31[DES_COMPL_NATR_COMPB],"=Fonctionnement")+SUMIFS(Portefeuille_MNT_PPS_Access31[TR 2024],Portefeuille_MNT_PPS_Access31[DES_COMPL_NATR_COMPB],"=Fonctionnement")</f>
        <v>339</v>
      </c>
      <c r="AJ4" s="260"/>
      <c r="AK4" s="260">
        <f>SUMIFS(Portefeuille_MNT_PPS_Access31[AC 2025],Portefeuille_MNT_PPS_Access31[DES_COMPL_NATR_COMPB],"=Fonctionnement")+SUMIFS(Portefeuille_MNT_PPS_Access31[TR 2025],Portefeuille_MNT_PPS_Access31[DES_COMPL_NATR_COMPB],"=Fonctionnement")</f>
        <v>300</v>
      </c>
      <c r="AL4" s="260"/>
      <c r="AM4" s="260">
        <f>SUMIFS(Portefeuille_MNT_PPS_Access31[AC 2026],Portefeuille_MNT_PPS_Access31[DES_COMPL_NATR_COMPB],"=Fonctionnement")+SUMIFS(Portefeuille_MNT_PPS_Access31[TR 2026],Portefeuille_MNT_PPS_Access31[DES_COMPL_NATR_COMPB],"=Fonctionnement")</f>
        <v>300</v>
      </c>
      <c r="AN4" s="260"/>
      <c r="AO4" s="260">
        <f>SUMIFS(Portefeuille_MNT_PPS_Access31[AC 2027],Portefeuille_MNT_PPS_Access31[DES_COMPL_NATR_COMPB],"=Fonctionnement")+SUMIFS(Portefeuille_MNT_PPS_Access31[TR 2027],Portefeuille_MNT_PPS_Access31[DES_COMPL_NATR_COMPB],"=Fonctionnement")</f>
        <v>510</v>
      </c>
      <c r="AP4" s="260"/>
      <c r="AQ4" s="260">
        <f>SUMIFS(Portefeuille_MNT_PPS_Access31[AC 2028],Portefeuille_MNT_PPS_Access31[DES_COMPL_NATR_COMPB],"=Fonctionnement")+SUMIFS(Portefeuille_MNT_PPS_Access31[TR 2028],Portefeuille_MNT_PPS_Access31[DES_COMPL_NATR_COMPB],"=Fonctionnement")</f>
        <v>0</v>
      </c>
      <c r="AR4" s="260"/>
      <c r="AS4" s="260">
        <f>SUMIFS(Portefeuille_MNT_PPS_Access31[AC 2029],Portefeuille_MNT_PPS_Access31[DES_COMPL_NATR_COMPB],"=Fonctionnement")+SUMIFS(Portefeuille_MNT_PPS_Access31[TR 2029],Portefeuille_MNT_PPS_Access31[DES_COMPL_NATR_COMPB],"=Fonctionnement")</f>
        <v>0</v>
      </c>
      <c r="AT4" s="260"/>
      <c r="AU4" s="260">
        <f>SUMIFS(Portefeuille_MNT_PPS_Access31[AC 2030],Portefeuille_MNT_PPS_Access31[DES_COMPL_NATR_COMPB],"=Fonctionnement")+SUMIFS(Portefeuille_MNT_PPS_Access31[TR 2030],Portefeuille_MNT_PPS_Access31[DES_COMPL_NATR_COMPB],"=Fonctionnement")</f>
        <v>0</v>
      </c>
      <c r="AV4" s="260"/>
      <c r="AW4" s="260">
        <f>SUMIFS(Portefeuille_MNT_PPS_Access31[AC 2031],Portefeuille_MNT_PPS_Access31[DES_COMPL_NATR_COMPB],"=Fonctionnement")+SUMIFS(Portefeuille_MNT_PPS_Access31[TR 2031],Portefeuille_MNT_PPS_Access31[DES_COMPL_NATR_COMPB],"=Fonctionnement")</f>
        <v>0</v>
      </c>
      <c r="AX4" s="260"/>
      <c r="AY4" s="260">
        <f>SUMIFS(Portefeuille_MNT_PPS_Access31[AC 2032],Portefeuille_MNT_PPS_Access31[DES_COMPL_NATR_COMPB],"=Fonctionnement")+SUMIFS(Portefeuille_MNT_PPS_Access31[TR 2032],Portefeuille_MNT_PPS_Access31[DES_COMPL_NATR_COMPB],"=Fonctionnement")</f>
        <v>0</v>
      </c>
      <c r="AZ4" s="260"/>
      <c r="BA4" s="260">
        <f>SUMIFS(Portefeuille_MNT_PPS_Access31[AC 2033],Portefeuille_MNT_PPS_Access31[DES_COMPL_NATR_COMPB],"=Fonctionnement")+SUMIFS(Portefeuille_MNT_PPS_Access31[TR 2033],Portefeuille_MNT_PPS_Access31[DES_COMPL_NATR_COMPB],"=Fonctionnement")</f>
        <v>0</v>
      </c>
      <c r="BB4" s="260"/>
      <c r="BC4" s="260">
        <f>SUMIFS(Portefeuille_MNT_PPS_Access31[AC 2034],Portefeuille_MNT_PPS_Access31[DES_COMPL_NATR_COMPB],"=Fonctionnement")+SUMIFS(Portefeuille_MNT_PPS_Access31[TR 2034],Portefeuille_MNT_PPS_Access31[DES_COMPL_NATR_COMPB],"=Fonctionnement")</f>
        <v>0</v>
      </c>
      <c r="BD4" s="260"/>
      <c r="BE4" s="260">
        <f>SUMIFS(Portefeuille_MNT_PPS_Access31[AC 2035],Portefeuille_MNT_PPS_Access31[DES_COMPL_NATR_COMPB],"=Fonctionnement")+SUMIFS(Portefeuille_MNT_PPS_Access31[TR 2035],Portefeuille_MNT_PPS_Access31[DES_COMPL_NATR_COMPB],"=Fonctionnement")</f>
        <v>0</v>
      </c>
      <c r="BF4" s="260"/>
      <c r="BG4" s="16">
        <f>SUM(AM4:AV4)</f>
        <v>810</v>
      </c>
      <c r="BH4" s="16">
        <f>SUM(AW4:BF4)</f>
        <v>0</v>
      </c>
      <c r="BI4" s="16">
        <f>SUM(AM4:BF4)</f>
        <v>810</v>
      </c>
    </row>
    <row r="5" spans="1:73" x14ac:dyDescent="0.3">
      <c r="I5" s="27" t="s">
        <v>12</v>
      </c>
      <c r="J5" s="28" t="s">
        <v>13</v>
      </c>
      <c r="AC5" s="67"/>
      <c r="AD5" s="139" t="s">
        <v>299</v>
      </c>
      <c r="AF5" s="104" t="s">
        <v>15</v>
      </c>
      <c r="AG5" s="260">
        <f>SUMIFS(Portefeuille_MNT_PPS_Access31[AC ANT],Portefeuille_MNT_PPS_Access31[État Composante AC],"=PR")</f>
        <v>23733</v>
      </c>
      <c r="AH5" s="260"/>
      <c r="AI5" s="260">
        <f>SUMIFS(Portefeuille_MNT_PPS_Access31[AC 2024],Portefeuille_MNT_PPS_Access31[État Composante AC],"=PR")</f>
        <v>4500</v>
      </c>
      <c r="AJ5" s="260"/>
      <c r="AK5" s="260">
        <f>SUMIFS(Portefeuille_MNT_PPS_Access31[AC 2025],Portefeuille_MNT_PPS_Access31[État Composante AC],"=PR")</f>
        <v>10430</v>
      </c>
      <c r="AL5" s="260"/>
      <c r="AM5" s="260">
        <f>SUMIFS(Portefeuille_MNT_PPS_Access31[AC 2026],Portefeuille_MNT_PPS_Access31[État Composante AC],"=PR")</f>
        <v>10142</v>
      </c>
      <c r="AN5" s="260"/>
      <c r="AO5" s="260">
        <f>SUMIFS(Portefeuille_MNT_PPS_Access31[AC 2027],Portefeuille_MNT_PPS_Access31[État Composante AC],"=PR")</f>
        <v>10103</v>
      </c>
      <c r="AP5" s="260"/>
      <c r="AQ5" s="260">
        <f>SUMIFS(Portefeuille_MNT_PPS_Access31[AC 2028],Portefeuille_MNT_PPS_Access31[État Composante AC],"=PR")</f>
        <v>6730</v>
      </c>
      <c r="AR5" s="260"/>
      <c r="AS5" s="260">
        <f>SUMIFS(Portefeuille_MNT_PPS_Access31[AC 2029],Portefeuille_MNT_PPS_Access31[État Composante AC],"=PR")</f>
        <v>4123</v>
      </c>
      <c r="AT5" s="260"/>
      <c r="AU5" s="260">
        <f>SUMIFS(Portefeuille_MNT_PPS_Access31[AC 2030],Portefeuille_MNT_PPS_Access31[État Composante AC],"=PR")</f>
        <v>1835</v>
      </c>
      <c r="AV5" s="260"/>
      <c r="AW5" s="260">
        <f>SUMIFS(Portefeuille_MNT_PPS_Access31[AC 2031],Portefeuille_MNT_PPS_Access31[État Composante AC],"=PR")</f>
        <v>2098</v>
      </c>
      <c r="AX5" s="260"/>
      <c r="AY5" s="260">
        <f>SUMIFS(Portefeuille_MNT_PPS_Access31[AC 2032],Portefeuille_MNT_PPS_Access31[État Composante AC],"=PR")</f>
        <v>0</v>
      </c>
      <c r="AZ5" s="260"/>
      <c r="BA5" s="260">
        <f>SUMIFS(Portefeuille_MNT_PPS_Access31[AC 2033],Portefeuille_MNT_PPS_Access31[État Composante AC],"=PR")</f>
        <v>0</v>
      </c>
      <c r="BB5" s="260"/>
      <c r="BC5" s="260">
        <f>SUMIFS(Portefeuille_MNT_PPS_Access31[AC 2034],Portefeuille_MNT_PPS_Access31[État Composante AC],"=PR")</f>
        <v>0</v>
      </c>
      <c r="BD5" s="260"/>
      <c r="BE5" s="260">
        <f>SUMIFS(Portefeuille_MNT_PPS_Access31[AC 2035],Portefeuille_MNT_PPS_Access31[État Composante TR],"=PR")</f>
        <v>0</v>
      </c>
      <c r="BF5" s="260"/>
      <c r="BG5" s="16">
        <f>SUM(AM5:AV5)</f>
        <v>32933</v>
      </c>
      <c r="BH5" s="16">
        <f t="shared" ref="BH5:BH6" si="0">SUM(AW5:BF5)</f>
        <v>2098</v>
      </c>
      <c r="BI5" s="16">
        <f>SUM(AM5:BF5)</f>
        <v>35031</v>
      </c>
    </row>
    <row r="6" spans="1:73" x14ac:dyDescent="0.3">
      <c r="I6" s="29" t="s">
        <v>16</v>
      </c>
      <c r="J6" s="28" t="s">
        <v>17</v>
      </c>
      <c r="AC6" s="35" t="s">
        <v>18</v>
      </c>
      <c r="AD6" s="140">
        <v>1</v>
      </c>
      <c r="AF6" s="83" t="s">
        <v>19</v>
      </c>
      <c r="AG6" s="260">
        <f>SUMIFS(Portefeuille_MNT_PPS_Access31[TR ANT],Portefeuille_MNT_PPS_Access31[État Composante TR],"=PR")</f>
        <v>133660</v>
      </c>
      <c r="AH6" s="260"/>
      <c r="AI6" s="260">
        <f>SUMIFS(Portefeuille_MNT_PPS_Access31[TR 2024],Portefeuille_MNT_PPS_Access31[État Composante TR],"=PR")</f>
        <v>70599</v>
      </c>
      <c r="AJ6" s="260"/>
      <c r="AK6" s="260">
        <f>SUMIFS(Portefeuille_MNT_PPS_Access31[TR 2025],Portefeuille_MNT_PPS_Access31[État Composante TR],"=PR")</f>
        <v>55335</v>
      </c>
      <c r="AL6" s="260"/>
      <c r="AM6" s="260">
        <f>SUMIFS(Portefeuille_MNT_PPS_Access31[TR 2026],Portefeuille_MNT_PPS_Access31[État Composante TR],"=PR")</f>
        <v>59930</v>
      </c>
      <c r="AN6" s="260"/>
      <c r="AO6" s="260">
        <f>SUMIFS(Portefeuille_MNT_PPS_Access31[TR 2027],Portefeuille_MNT_PPS_Access31[État Composante TR],"=PR")</f>
        <v>13689</v>
      </c>
      <c r="AP6" s="260"/>
      <c r="AQ6" s="260">
        <f>SUMIFS(Portefeuille_MNT_PPS_Access31[TR 2028],Portefeuille_MNT_PPS_Access31[État Composante TR],"=PR")</f>
        <v>3411.0000000000005</v>
      </c>
      <c r="AR6" s="260"/>
      <c r="AS6" s="260">
        <f>SUMIFS(Portefeuille_MNT_PPS_Access31[TR 2029],Portefeuille_MNT_PPS_Access31[État Composante TR],"=PR")</f>
        <v>5141.0000000000018</v>
      </c>
      <c r="AT6" s="260"/>
      <c r="AU6" s="260">
        <f>SUMIFS(Portefeuille_MNT_PPS_Access31[TR 2030],Portefeuille_MNT_PPS_Access31[État Composante TR],"=PR")</f>
        <v>5153.0000000000018</v>
      </c>
      <c r="AV6" s="260"/>
      <c r="AW6" s="260">
        <f>SUMIFS(Portefeuille_MNT_PPS_Access31[TR 2031],Portefeuille_MNT_PPS_Access31[État Composante TR],"=PR")</f>
        <v>5047</v>
      </c>
      <c r="AX6" s="260"/>
      <c r="AY6" s="260">
        <f>SUMIFS(Portefeuille_MNT_PPS_Access31[TR 2032],Portefeuille_MNT_PPS_Access31[État Composante TR],"=PR")</f>
        <v>0</v>
      </c>
      <c r="AZ6" s="260"/>
      <c r="BA6" s="260">
        <f>SUMIFS(Portefeuille_MNT_PPS_Access31[TR 2033],Portefeuille_MNT_PPS_Access31[État Composante TR],"=PR")</f>
        <v>0</v>
      </c>
      <c r="BB6" s="260"/>
      <c r="BC6" s="260">
        <f>SUMIFS(Portefeuille_MNT_PPS_Access31[TR 2034],Portefeuille_MNT_PPS_Access31[État Composante TR],"=PR")</f>
        <v>0</v>
      </c>
      <c r="BD6" s="260"/>
      <c r="BE6" s="260">
        <f>SUMIFS(Portefeuille_MNT_PPS_Access31[TR 2035],Portefeuille_MNT_PPS_Access31[Région],"=PR")</f>
        <v>0</v>
      </c>
      <c r="BF6" s="260"/>
      <c r="BG6" s="16">
        <f>SUM(AM6:AV6)</f>
        <v>87324</v>
      </c>
      <c r="BH6" s="16">
        <f t="shared" si="0"/>
        <v>5047</v>
      </c>
      <c r="BI6" s="16">
        <f>SUM(AM6:BF6)</f>
        <v>92371</v>
      </c>
    </row>
    <row r="7" spans="1:73" x14ac:dyDescent="0.3">
      <c r="I7" s="30" t="s">
        <v>20</v>
      </c>
      <c r="J7" s="31" t="s">
        <v>21</v>
      </c>
      <c r="AC7" s="35" t="s">
        <v>22</v>
      </c>
      <c r="AD7" s="140">
        <v>0.25</v>
      </c>
      <c r="AF7" s="83" t="s">
        <v>23</v>
      </c>
      <c r="AG7" s="262">
        <f>AG5+AG6</f>
        <v>157393</v>
      </c>
      <c r="AH7" s="262"/>
      <c r="AI7" s="262">
        <f>AI5+AI6</f>
        <v>75099</v>
      </c>
      <c r="AJ7" s="262"/>
      <c r="AK7" s="262">
        <f>AK5+AK6</f>
        <v>65765</v>
      </c>
      <c r="AL7" s="262"/>
      <c r="AM7" s="262">
        <f>AM5+AM6</f>
        <v>70072</v>
      </c>
      <c r="AN7" s="262"/>
      <c r="AO7" s="262">
        <f>AO5+AO6</f>
        <v>23792</v>
      </c>
      <c r="AP7" s="262"/>
      <c r="AQ7" s="262">
        <f>AQ5+AQ6</f>
        <v>10141</v>
      </c>
      <c r="AR7" s="262"/>
      <c r="AS7" s="262">
        <f>AS5+AS6</f>
        <v>9264.0000000000018</v>
      </c>
      <c r="AT7" s="262"/>
      <c r="AU7" s="262">
        <f>AU5+AU6</f>
        <v>6988.0000000000018</v>
      </c>
      <c r="AV7" s="262"/>
      <c r="AW7" s="262">
        <f>AW5+AW6</f>
        <v>7145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0">
        <f>BG6+BG5</f>
        <v>120257</v>
      </c>
      <c r="BH7" s="20">
        <f>BH6+BH5</f>
        <v>7145</v>
      </c>
      <c r="BI7" s="20">
        <f>BI6+BI5</f>
        <v>127402</v>
      </c>
    </row>
    <row r="8" spans="1:73" x14ac:dyDescent="0.3">
      <c r="I8" s="131"/>
      <c r="J8" s="28" t="s">
        <v>270</v>
      </c>
      <c r="AC8" s="35" t="s">
        <v>24</v>
      </c>
      <c r="AD8" s="140">
        <v>0.25</v>
      </c>
      <c r="AF8" s="83" t="s">
        <v>25</v>
      </c>
      <c r="AG8" s="260">
        <f>SUMIFS(Portefeuille_MNT_PPS_Access31[AC ANT],Portefeuille_MNT_PPS_Access31[État Composante AC],"&lt;&gt;PR")</f>
        <v>0</v>
      </c>
      <c r="AH8" s="260"/>
      <c r="AI8" s="260">
        <f>SUMIFS(Portefeuille_MNT_PPS_Access31[AC 2024],Portefeuille_MNT_PPS_Access31[État Composante AC],"&lt;&gt;PR")</f>
        <v>0</v>
      </c>
      <c r="AJ8" s="260"/>
      <c r="AK8" s="260">
        <f>SUMIFS(Portefeuille_MNT_PPS_Access31[AC 2025],Portefeuille_MNT_PPS_Access31[État Composante AC],"&lt;&gt;PR")</f>
        <v>0</v>
      </c>
      <c r="AL8" s="260"/>
      <c r="AM8" s="260">
        <f>SUMIFS(Portefeuille_MNT_PPS_Access31[AC 2026],Portefeuille_MNT_PPS_Access31[État Composante AC],"&lt;&gt;PR")</f>
        <v>831</v>
      </c>
      <c r="AN8" s="260"/>
      <c r="AO8" s="260">
        <f>SUMIFS(Portefeuille_MNT_PPS_Access31[AC 2027],Portefeuille_MNT_PPS_Access31[État Composante AC],"&lt;&gt;PR")</f>
        <v>3005</v>
      </c>
      <c r="AP8" s="260"/>
      <c r="AQ8" s="260">
        <f>SUMIFS(Portefeuille_MNT_PPS_Access31[AC 2028],Portefeuille_MNT_PPS_Access31[État Composante AC],"&lt;&gt;PR")</f>
        <v>6370</v>
      </c>
      <c r="AR8" s="260"/>
      <c r="AS8" s="260">
        <f>SUMIFS(Portefeuille_MNT_PPS_Access31[AC 2029],Portefeuille_MNT_PPS_Access31[État Composante AC],"&lt;&gt;PR")</f>
        <v>6145</v>
      </c>
      <c r="AT8" s="260"/>
      <c r="AU8" s="260">
        <f>SUMIFS(Portefeuille_MNT_PPS_Access31[AC 2030],Portefeuille_MNT_PPS_Access31[État Composante AC],"&lt;&gt;PR")</f>
        <v>6375</v>
      </c>
      <c r="AV8" s="260"/>
      <c r="AW8" s="260">
        <f>SUMIFS(Portefeuille_MNT_PPS_Access31[AC 2031],Portefeuille_MNT_PPS_Access31[État Composante AC],"&lt;&gt;PR")</f>
        <v>6400</v>
      </c>
      <c r="AX8" s="260"/>
      <c r="AY8" s="260">
        <f>SUMIFS(Portefeuille_MNT_PPS_Access31[AC 2032],Portefeuille_MNT_PPS_Access31[État Composante AC],"&lt;&gt;PR")</f>
        <v>7850</v>
      </c>
      <c r="AZ8" s="260"/>
      <c r="BA8" s="260">
        <f>SUMIFS(Portefeuille_MNT_PPS_Access31[AC 2033],Portefeuille_MNT_PPS_Access31[État Composante AC],"&lt;&gt;PR")</f>
        <v>7225</v>
      </c>
      <c r="BB8" s="260"/>
      <c r="BC8" s="260">
        <f>SUMIFS(Portefeuille_MNT_PPS_Access31[AC 2034],Portefeuille_MNT_PPS_Access31[État Composante AC],"&lt;&gt;PR")</f>
        <v>5125</v>
      </c>
      <c r="BD8" s="260"/>
      <c r="BE8" s="260">
        <f>SUMIFS(Portefeuille_MNT_PPS_Access31[AC 2035],Portefeuille_MNT_PPS_Access31[État Composante TR],"&lt;&gt;PR")</f>
        <v>3350</v>
      </c>
      <c r="BF8" s="260"/>
      <c r="BG8" s="16">
        <f>SUM(AM8:AV8)</f>
        <v>22726</v>
      </c>
      <c r="BH8" s="16">
        <f>SUM(AW8:BF8)</f>
        <v>29950</v>
      </c>
      <c r="BI8" s="16">
        <f>SUM(AM8:BF8)</f>
        <v>52676</v>
      </c>
    </row>
    <row r="9" spans="1:73" x14ac:dyDescent="0.3">
      <c r="I9" s="176"/>
      <c r="J9" s="28" t="s">
        <v>271</v>
      </c>
      <c r="AC9" s="35" t="s">
        <v>26</v>
      </c>
      <c r="AD9" s="140">
        <v>0.25</v>
      </c>
      <c r="AF9" s="83" t="s">
        <v>27</v>
      </c>
      <c r="AG9" s="260">
        <f>SUMIFS(Portefeuille_MNT_PPS_Access31[TR ANT],Portefeuille_MNT_PPS_Access31[État Composante TR],"&lt;&gt;PR")</f>
        <v>19527</v>
      </c>
      <c r="AH9" s="260"/>
      <c r="AI9" s="260">
        <f>SUMIFS(Portefeuille_MNT_PPS_Access31[TR 2024],Portefeuille_MNT_PPS_Access31[État Composante TR],"&lt;&gt;PR")</f>
        <v>0</v>
      </c>
      <c r="AJ9" s="260"/>
      <c r="AK9" s="260">
        <f>SUMIFS(Portefeuille_MNT_PPS_Access31[TR 2025],Portefeuille_MNT_PPS_Access31[État Composante TR],"&lt;&gt;PR")</f>
        <v>0</v>
      </c>
      <c r="AL9" s="260"/>
      <c r="AM9" s="260">
        <f>SUMIFS(Portefeuille_MNT_PPS_Access31[TR 2026],Portefeuille_MNT_PPS_Access31[État Composante TR],"&lt;&gt;PR")</f>
        <v>3824</v>
      </c>
      <c r="AN9" s="260"/>
      <c r="AO9" s="260">
        <f>SUMIFS(Portefeuille_MNT_PPS_Access31[TR 2027],Portefeuille_MNT_PPS_Access31[État Composante TR],"&lt;&gt;PR")</f>
        <v>57203</v>
      </c>
      <c r="AP9" s="260"/>
      <c r="AQ9" s="260">
        <f>SUMIFS(Portefeuille_MNT_PPS_Access31[TR 2028],Portefeuille_MNT_PPS_Access31[État Composante TR],"&lt;&gt;PR")</f>
        <v>84017</v>
      </c>
      <c r="AR9" s="260"/>
      <c r="AS9" s="260">
        <f>SUMIFS(Portefeuille_MNT_PPS_Access31[TR 2029],Portefeuille_MNT_PPS_Access31[État Composante TR],"&lt;&gt;PR")</f>
        <v>84669</v>
      </c>
      <c r="AT9" s="260"/>
      <c r="AU9" s="260">
        <f>SUMIFS(Portefeuille_MNT_PPS_Access31[TR 2030],Portefeuille_MNT_PPS_Access31[État Composante TR],"&lt;&gt;PR")</f>
        <v>86637</v>
      </c>
      <c r="AV9" s="260"/>
      <c r="AW9" s="260">
        <f>SUMIFS(Portefeuille_MNT_PPS_Access31[TR 2031],Portefeuille_MNT_PPS_Access31[État Composante TR],"&lt;&gt;PR")</f>
        <v>86955</v>
      </c>
      <c r="AX9" s="260"/>
      <c r="AY9" s="260">
        <f>SUMIFS(Portefeuille_MNT_PPS_Access31[TR 2032],Portefeuille_MNT_PPS_Access31[État Composante TR],"&lt;&gt;PR")</f>
        <v>92650</v>
      </c>
      <c r="AZ9" s="260"/>
      <c r="BA9" s="260">
        <f>SUMIFS(Portefeuille_MNT_PPS_Access31[TR 2033],Portefeuille_MNT_PPS_Access31[État Composante TR],"&lt;&gt;PR")</f>
        <v>93275</v>
      </c>
      <c r="BB9" s="260"/>
      <c r="BC9" s="260">
        <f>SUMIFS(Portefeuille_MNT_PPS_Access31[TR 2034],Portefeuille_MNT_PPS_Access31[État Composante TR],"&lt;&gt;PR")</f>
        <v>94236</v>
      </c>
      <c r="BD9" s="260"/>
      <c r="BE9" s="260">
        <f>SUMIFS(Portefeuille_MNT_PPS_Access31[TR 2035],Portefeuille_MNT_PPS_Access31[Région],"&lt;&gt;PR")</f>
        <v>102764</v>
      </c>
      <c r="BF9" s="260"/>
      <c r="BG9" s="16">
        <f>SUM(AM9:AV9)</f>
        <v>316350</v>
      </c>
      <c r="BH9" s="16">
        <f>SUM(AW9:BF9)</f>
        <v>469880</v>
      </c>
      <c r="BI9" s="16">
        <f>SUM(AM9:BF9)</f>
        <v>786230</v>
      </c>
    </row>
    <row r="10" spans="1:73" x14ac:dyDescent="0.3">
      <c r="I10" s="175"/>
      <c r="J10" s="31" t="s">
        <v>521</v>
      </c>
      <c r="AC10" s="35" t="s">
        <v>28</v>
      </c>
      <c r="AD10" s="140">
        <v>0.25</v>
      </c>
      <c r="AF10" s="83" t="s">
        <v>29</v>
      </c>
      <c r="AG10" s="262">
        <f>AG8+AG9</f>
        <v>19527</v>
      </c>
      <c r="AH10" s="262"/>
      <c r="AI10" s="262">
        <f>AI8+AI9</f>
        <v>0</v>
      </c>
      <c r="AJ10" s="262"/>
      <c r="AK10" s="262">
        <f>AK8+AK9</f>
        <v>0</v>
      </c>
      <c r="AL10" s="262"/>
      <c r="AM10" s="262">
        <f>AM8+AM9</f>
        <v>4655</v>
      </c>
      <c r="AN10" s="262"/>
      <c r="AO10" s="262">
        <f>AO8+AO9</f>
        <v>60208</v>
      </c>
      <c r="AP10" s="262"/>
      <c r="AQ10" s="262">
        <f>AQ8+AQ9</f>
        <v>90387</v>
      </c>
      <c r="AR10" s="262"/>
      <c r="AS10" s="262">
        <f>AS8+AS9</f>
        <v>90814</v>
      </c>
      <c r="AT10" s="262"/>
      <c r="AU10" s="262">
        <f>AU8+AU9</f>
        <v>93012</v>
      </c>
      <c r="AV10" s="262"/>
      <c r="AW10" s="262">
        <f>AW8+AW9</f>
        <v>93355</v>
      </c>
      <c r="AX10" s="262"/>
      <c r="AY10" s="262">
        <f>AY8+AY9</f>
        <v>100500</v>
      </c>
      <c r="AZ10" s="262"/>
      <c r="BA10" s="262">
        <f>BA8+BA9</f>
        <v>100500</v>
      </c>
      <c r="BB10" s="262"/>
      <c r="BC10" s="262">
        <f>BC8+BC9</f>
        <v>99361</v>
      </c>
      <c r="BD10" s="262"/>
      <c r="BE10" s="262">
        <f>BE8+BE9</f>
        <v>106114</v>
      </c>
      <c r="BF10" s="262"/>
      <c r="BG10" s="20">
        <f>BG9+BG8</f>
        <v>339076</v>
      </c>
      <c r="BH10" s="20">
        <f>BH9+BH8</f>
        <v>499830</v>
      </c>
      <c r="BI10" s="20">
        <f>BI9+BI8</f>
        <v>838906</v>
      </c>
    </row>
    <row r="11" spans="1:73" ht="15.6" x14ac:dyDescent="0.3">
      <c r="AC11" s="24" t="s">
        <v>30</v>
      </c>
      <c r="AD11" s="212">
        <f>SUM(AD7:AD10)</f>
        <v>1</v>
      </c>
      <c r="AE11" s="343" t="s">
        <v>31</v>
      </c>
      <c r="AF11" s="344"/>
      <c r="AG11" s="261">
        <f>AG10+AG7</f>
        <v>176920</v>
      </c>
      <c r="AH11" s="259"/>
      <c r="AI11" s="258">
        <f>AI10+AI7</f>
        <v>75099</v>
      </c>
      <c r="AJ11" s="259"/>
      <c r="AK11" s="258">
        <f>AK10+AK7</f>
        <v>65765</v>
      </c>
      <c r="AL11" s="259"/>
      <c r="AM11" s="258">
        <f>AM10+AM7</f>
        <v>74727</v>
      </c>
      <c r="AN11" s="259"/>
      <c r="AO11" s="258">
        <f>AO10+AO7</f>
        <v>84000</v>
      </c>
      <c r="AP11" s="259"/>
      <c r="AQ11" s="258">
        <f>AQ10+AQ7</f>
        <v>100528</v>
      </c>
      <c r="AR11" s="259"/>
      <c r="AS11" s="258">
        <f>AS10+AS7</f>
        <v>100078</v>
      </c>
      <c r="AT11" s="259"/>
      <c r="AU11" s="258">
        <f>AU10+AU7</f>
        <v>100000</v>
      </c>
      <c r="AV11" s="259"/>
      <c r="AW11" s="258">
        <f t="shared" ref="AW11" si="1">AW10+AW7</f>
        <v>100500</v>
      </c>
      <c r="AX11" s="259"/>
      <c r="AY11" s="258">
        <f t="shared" ref="AY11" si="2">AY10+AY7</f>
        <v>100500</v>
      </c>
      <c r="AZ11" s="259"/>
      <c r="BA11" s="258">
        <f t="shared" ref="BA11" si="3">BA10+BA7</f>
        <v>100500</v>
      </c>
      <c r="BB11" s="259"/>
      <c r="BC11" s="258">
        <f t="shared" ref="BC11" si="4">BC10+BC7</f>
        <v>99361</v>
      </c>
      <c r="BD11" s="259"/>
      <c r="BE11" s="258">
        <f>BE10+BE7</f>
        <v>106114</v>
      </c>
      <c r="BF11" s="259"/>
      <c r="BG11" s="21">
        <f>BG7+BG10</f>
        <v>459333</v>
      </c>
      <c r="BH11" s="21">
        <f>BH7+BH10</f>
        <v>506975</v>
      </c>
      <c r="BI11" s="21">
        <f>BI7+BI10</f>
        <v>966308</v>
      </c>
    </row>
    <row r="12" spans="1:73" ht="15.6" x14ac:dyDescent="0.3">
      <c r="AE12" s="209"/>
      <c r="AF12" s="83" t="s">
        <v>700</v>
      </c>
      <c r="AG12" s="260"/>
      <c r="AH12" s="260"/>
      <c r="AI12" s="260"/>
      <c r="AJ12" s="280"/>
      <c r="AK12" s="260">
        <v>90</v>
      </c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76">
        <f>SUM(AM12:AV12)</f>
        <v>0</v>
      </c>
      <c r="BH12" s="76">
        <f>SUM(AW12:BF12)</f>
        <v>0</v>
      </c>
      <c r="BI12" s="76">
        <f>SUM(AM12:BF12)</f>
        <v>0</v>
      </c>
    </row>
    <row r="13" spans="1:73" ht="15.6" x14ac:dyDescent="0.3">
      <c r="AE13" s="345" t="s">
        <v>592</v>
      </c>
      <c r="AF13" s="346"/>
      <c r="AG13" s="258">
        <f>AG12+AG11</f>
        <v>176920</v>
      </c>
      <c r="AH13" s="259"/>
      <c r="AI13" s="258">
        <v>75021</v>
      </c>
      <c r="AJ13" s="259"/>
      <c r="AK13" s="258">
        <f>AK12+AK11</f>
        <v>65855</v>
      </c>
      <c r="AL13" s="259"/>
      <c r="AM13" s="258">
        <f>AM12+AM11</f>
        <v>74727</v>
      </c>
      <c r="AN13" s="259"/>
      <c r="AO13" s="258">
        <f>AO12+AO11</f>
        <v>84000</v>
      </c>
      <c r="AP13" s="259"/>
      <c r="AQ13" s="258">
        <f>AQ12+AQ11</f>
        <v>100528</v>
      </c>
      <c r="AR13" s="259"/>
      <c r="AS13" s="258">
        <f>AS12+AS11</f>
        <v>100078</v>
      </c>
      <c r="AT13" s="259"/>
      <c r="AU13" s="258">
        <f>AU12+AU11</f>
        <v>100000</v>
      </c>
      <c r="AV13" s="259"/>
      <c r="AW13" s="258">
        <f>AW12+AW11</f>
        <v>100500</v>
      </c>
      <c r="AX13" s="259"/>
      <c r="AY13" s="258">
        <f>AY12+AY11</f>
        <v>100500</v>
      </c>
      <c r="AZ13" s="259"/>
      <c r="BA13" s="258">
        <f>BA12+BA11</f>
        <v>100500</v>
      </c>
      <c r="BB13" s="259"/>
      <c r="BC13" s="258">
        <f>BC12+BC11</f>
        <v>99361</v>
      </c>
      <c r="BD13" s="259"/>
      <c r="BE13" s="258">
        <f>BE12+BE11</f>
        <v>106114</v>
      </c>
      <c r="BF13" s="259"/>
      <c r="BG13" s="21">
        <f>BG12+BG11</f>
        <v>459333</v>
      </c>
      <c r="BH13" s="21">
        <f>BH12+BH11</f>
        <v>506975</v>
      </c>
      <c r="BI13" s="21">
        <f>BI12+BI11</f>
        <v>966308</v>
      </c>
    </row>
    <row r="14" spans="1:73" ht="15.6" x14ac:dyDescent="0.3">
      <c r="AE14" s="210"/>
      <c r="AF14" s="144" t="s">
        <v>692</v>
      </c>
      <c r="AG14" s="256"/>
      <c r="AH14" s="257"/>
      <c r="AI14" s="256">
        <v>64600</v>
      </c>
      <c r="AJ14" s="257"/>
      <c r="AK14" s="256">
        <v>71000</v>
      </c>
      <c r="AL14" s="257"/>
      <c r="AM14" s="256">
        <v>75500</v>
      </c>
      <c r="AN14" s="257"/>
      <c r="AO14" s="256">
        <v>80500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100500</v>
      </c>
      <c r="AX14" s="257"/>
      <c r="AY14" s="256">
        <v>100500</v>
      </c>
      <c r="AZ14" s="257"/>
      <c r="BA14" s="256">
        <v>100500</v>
      </c>
      <c r="BB14" s="257"/>
      <c r="BC14" s="256">
        <v>100500</v>
      </c>
      <c r="BD14" s="257"/>
      <c r="BE14" s="256">
        <v>100500</v>
      </c>
      <c r="BF14" s="257"/>
      <c r="BG14" s="17">
        <f>SUM(AM14:AV14)</f>
        <v>397500</v>
      </c>
      <c r="BH14" s="17">
        <f>SUM(AW14:BF14)</f>
        <v>502500</v>
      </c>
      <c r="BI14" s="17">
        <f>SUM(AM14:BF14)</f>
        <v>900000</v>
      </c>
    </row>
    <row r="15" spans="1:73" ht="15.6" x14ac:dyDescent="0.3">
      <c r="AE15" s="210"/>
      <c r="AF15" s="84" t="s">
        <v>690</v>
      </c>
      <c r="AG15" s="252">
        <f>AG14-AG13</f>
        <v>-176920</v>
      </c>
      <c r="AH15" s="348"/>
      <c r="AI15" s="252">
        <f>AI14-AI13</f>
        <v>-10421</v>
      </c>
      <c r="AJ15" s="253"/>
      <c r="AK15" s="252">
        <f>AK14-AK13</f>
        <v>5145</v>
      </c>
      <c r="AL15" s="253"/>
      <c r="AM15" s="252">
        <f>AM14-AM13</f>
        <v>773</v>
      </c>
      <c r="AN15" s="253"/>
      <c r="AO15" s="252">
        <f t="shared" ref="AO15" si="5">AO14-AO13</f>
        <v>-3500</v>
      </c>
      <c r="AP15" s="253"/>
      <c r="AQ15" s="252">
        <f t="shared" ref="AQ15" si="6">AQ14-AQ13</f>
        <v>-20028</v>
      </c>
      <c r="AR15" s="253"/>
      <c r="AS15" s="252">
        <f t="shared" ref="AS15" si="7">AS14-AS13</f>
        <v>-19578</v>
      </c>
      <c r="AT15" s="253"/>
      <c r="AU15" s="252">
        <f t="shared" ref="AU15" si="8">AU14-AU13</f>
        <v>-19500</v>
      </c>
      <c r="AV15" s="253"/>
      <c r="AW15" s="252">
        <f t="shared" ref="AW15" si="9">AW14-AW13</f>
        <v>0</v>
      </c>
      <c r="AX15" s="253"/>
      <c r="AY15" s="252">
        <f t="shared" ref="AY15" si="10">AY14-AY13</f>
        <v>0</v>
      </c>
      <c r="AZ15" s="253"/>
      <c r="BA15" s="252">
        <f>BA14-BA13</f>
        <v>0</v>
      </c>
      <c r="BB15" s="253"/>
      <c r="BC15" s="252">
        <f>BC14-BC13</f>
        <v>1139</v>
      </c>
      <c r="BD15" s="253"/>
      <c r="BE15" s="252">
        <f>BE14-BE13</f>
        <v>-5614</v>
      </c>
      <c r="BF15" s="253"/>
      <c r="BG15" s="23">
        <f>BG14-BG13</f>
        <v>-61833</v>
      </c>
      <c r="BH15" s="23">
        <f>BH14-BH13</f>
        <v>-4475</v>
      </c>
      <c r="BI15" s="23">
        <f>BI14-BI13</f>
        <v>-66308</v>
      </c>
    </row>
    <row r="16" spans="1:73" ht="15.6" x14ac:dyDescent="0.3">
      <c r="AE16" s="211"/>
      <c r="AF16" s="145" t="s">
        <v>691</v>
      </c>
      <c r="AG16" s="254"/>
      <c r="AH16" s="255"/>
      <c r="AI16" s="254">
        <f t="shared" ref="AI16" si="11">AI13/AI14</f>
        <v>1.1613157894736843</v>
      </c>
      <c r="AJ16" s="255"/>
      <c r="AK16" s="254">
        <f>AK13/AK14</f>
        <v>0.92753521126760563</v>
      </c>
      <c r="AL16" s="255"/>
      <c r="AM16" s="254">
        <f>(AM14-AM13)/AM14</f>
        <v>1.023841059602649E-2</v>
      </c>
      <c r="AN16" s="255"/>
      <c r="AO16" s="254">
        <f t="shared" ref="AO16" si="12">(AO14-AO13)/AO14</f>
        <v>-4.3478260869565216E-2</v>
      </c>
      <c r="AP16" s="255"/>
      <c r="AQ16" s="254">
        <f t="shared" ref="AQ16" si="13">(AQ14-AQ13)/AQ14</f>
        <v>-0.24879503105590062</v>
      </c>
      <c r="AR16" s="255"/>
      <c r="AS16" s="254">
        <f t="shared" ref="AS16" si="14">(AS14-AS13)/AS14</f>
        <v>-0.24320496894409938</v>
      </c>
      <c r="AT16" s="255"/>
      <c r="AU16" s="254">
        <f t="shared" ref="AU16" si="15">(AU14-AU13)/AU14</f>
        <v>-0.24223602484472051</v>
      </c>
      <c r="AV16" s="255"/>
      <c r="AW16" s="254">
        <f t="shared" ref="AW16" si="16">(AW14-AW13)/AW14</f>
        <v>0</v>
      </c>
      <c r="AX16" s="255"/>
      <c r="AY16" s="254">
        <f t="shared" ref="AY16" si="17">(AY14-AY13)/AY14</f>
        <v>0</v>
      </c>
      <c r="AZ16" s="255"/>
      <c r="BA16" s="254">
        <f>(BA14-BA13)/BA14</f>
        <v>0</v>
      </c>
      <c r="BB16" s="255"/>
      <c r="BC16" s="254">
        <f>(BC14-BC13)/BC14</f>
        <v>1.1333333333333334E-2</v>
      </c>
      <c r="BD16" s="255"/>
      <c r="BE16" s="254">
        <f>(BE14-BE13)/BE14</f>
        <v>-5.5860696517412933E-2</v>
      </c>
      <c r="BF16" s="255"/>
      <c r="BG16" s="22">
        <f>(BG14-BG13)/BG14</f>
        <v>-0.15555471698113207</v>
      </c>
      <c r="BH16" s="22">
        <f>(BH14-BH13)/BH14</f>
        <v>-8.9054726368159205E-3</v>
      </c>
      <c r="BI16" s="22">
        <f>(BI14-BI13)/BI14</f>
        <v>-7.367555555555555E-2</v>
      </c>
    </row>
    <row r="17" spans="1:60" ht="13.95" customHeight="1" thickBot="1" x14ac:dyDescent="0.35">
      <c r="AI17" s="8"/>
      <c r="AJ17"/>
      <c r="AT17"/>
    </row>
    <row r="18" spans="1:60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50</v>
      </c>
      <c r="Q18" s="11" t="s">
        <v>51</v>
      </c>
      <c r="R18" s="11" t="s">
        <v>52</v>
      </c>
      <c r="S18" s="11" t="s">
        <v>548</v>
      </c>
      <c r="T18" s="11" t="s">
        <v>538</v>
      </c>
      <c r="U18" s="11" t="s">
        <v>537</v>
      </c>
      <c r="V18" s="11" t="s">
        <v>535</v>
      </c>
      <c r="W18" s="11" t="s">
        <v>534</v>
      </c>
      <c r="X18" s="11" t="s">
        <v>536</v>
      </c>
      <c r="Y18" s="11" t="s">
        <v>657</v>
      </c>
      <c r="Z18" s="11" t="s">
        <v>658</v>
      </c>
      <c r="AA18" s="11" t="s">
        <v>659</v>
      </c>
      <c r="AB18" s="11" t="s">
        <v>69</v>
      </c>
      <c r="AC18" s="11" t="s">
        <v>660</v>
      </c>
      <c r="AD18" s="9" t="s">
        <v>73</v>
      </c>
      <c r="AE18" s="9" t="s">
        <v>74</v>
      </c>
      <c r="AF18" s="10" t="s">
        <v>75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593</v>
      </c>
      <c r="BF18" s="9" t="s">
        <v>594</v>
      </c>
      <c r="BG18" s="9" t="s">
        <v>100</v>
      </c>
      <c r="BH18" s="231"/>
    </row>
    <row r="19" spans="1:60" x14ac:dyDescent="0.3">
      <c r="A19" t="s">
        <v>286</v>
      </c>
      <c r="D19" t="s">
        <v>126</v>
      </c>
      <c r="E19" t="s">
        <v>127</v>
      </c>
      <c r="F19" t="s">
        <v>136</v>
      </c>
      <c r="G19" t="s">
        <v>252</v>
      </c>
      <c r="H19" t="s">
        <v>20</v>
      </c>
      <c r="I19" t="s">
        <v>16</v>
      </c>
      <c r="J19" t="s">
        <v>131</v>
      </c>
      <c r="K19">
        <v>154250374</v>
      </c>
      <c r="L19" t="s">
        <v>646</v>
      </c>
      <c r="M19" t="s">
        <v>139</v>
      </c>
      <c r="N19" t="s">
        <v>148</v>
      </c>
      <c r="O19" t="s">
        <v>291</v>
      </c>
      <c r="P19" s="1"/>
      <c r="Q19" s="1"/>
      <c r="R19" s="1"/>
      <c r="S1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9">
        <f>Portefeuille_MNT_PPS_Access31[[#This Row],[Délais PC1 et PC3]]+Portefeuille_MNT_PPS_Access31[[#This Row],[Délais PC3 et PC5]]</f>
        <v>0</v>
      </c>
      <c r="Y19">
        <v>1</v>
      </c>
      <c r="Z19">
        <v>1</v>
      </c>
      <c r="AB19" t="s">
        <v>311</v>
      </c>
      <c r="AC19">
        <v>2</v>
      </c>
      <c r="AD19" s="2">
        <f>_xlfn.XLOOKUP(Portefeuille_MNT_PPS_Access31[[#This Row],[Numéro projet]],Portefeuille_MNT_PPS_Access27[Numéro projet],Portefeuille_MNT_PPS_Access27[Critère Etat Infrastructure])</f>
        <v>4</v>
      </c>
      <c r="AE1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35</v>
      </c>
      <c r="AF19" s="221"/>
      <c r="AJ19"/>
      <c r="AL19">
        <v>100</v>
      </c>
      <c r="AT19"/>
      <c r="BG19" s="14">
        <f>SUM(Portefeuille_MNT_PPS_Access31[[#This Row],[AC ANT]:[TR 2035]])</f>
        <v>100</v>
      </c>
      <c r="BH19" s="14"/>
    </row>
    <row r="20" spans="1:60" hidden="1" x14ac:dyDescent="0.3">
      <c r="A20" t="s">
        <v>286</v>
      </c>
      <c r="B20" t="s">
        <v>664</v>
      </c>
      <c r="D20" t="s">
        <v>101</v>
      </c>
      <c r="E20" t="s">
        <v>102</v>
      </c>
      <c r="F20" t="s">
        <v>103</v>
      </c>
      <c r="G20" t="s">
        <v>104</v>
      </c>
      <c r="H20" t="s">
        <v>20</v>
      </c>
      <c r="I20" t="s">
        <v>20</v>
      </c>
      <c r="J20" t="s">
        <v>105</v>
      </c>
      <c r="K20">
        <v>154190685</v>
      </c>
      <c r="L20" t="s">
        <v>541</v>
      </c>
      <c r="M20" t="s">
        <v>172</v>
      </c>
      <c r="N20" t="s">
        <v>184</v>
      </c>
      <c r="O20" t="s">
        <v>291</v>
      </c>
      <c r="P20" s="1"/>
      <c r="Q20" s="1"/>
      <c r="R20" s="1"/>
      <c r="S2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2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2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2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2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20">
        <f>Portefeuille_MNT_PPS_Access31[[#This Row],[Délais PC1 et PC3]]+Portefeuille_MNT_PPS_Access31[[#This Row],[Délais PC3 et PC5]]</f>
        <v>0</v>
      </c>
      <c r="Z20">
        <v>1</v>
      </c>
      <c r="AB20" t="s">
        <v>311</v>
      </c>
      <c r="AC20">
        <v>3.6666666666666665</v>
      </c>
      <c r="AD20" s="2">
        <f>_xlfn.XLOOKUP(Portefeuille_MNT_PPS_Access31[[#This Row],[Numéro projet]],Portefeuille_MNT_PPS_Access27[Numéro projet],Portefeuille_MNT_PPS_Access27[Critère Etat Infrastructure])</f>
        <v>4</v>
      </c>
      <c r="AE2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43.333333333333329</v>
      </c>
      <c r="AF20" s="221"/>
      <c r="AJ20"/>
      <c r="AQ20">
        <v>100</v>
      </c>
      <c r="AS20">
        <v>100</v>
      </c>
      <c r="AT20"/>
      <c r="AU20">
        <v>700</v>
      </c>
      <c r="AV20">
        <v>15000</v>
      </c>
      <c r="BG20" s="14">
        <f>SUM(Portefeuille_MNT_PPS_Access31[[#This Row],[AC ANT]:[TR 2035]])</f>
        <v>15900</v>
      </c>
      <c r="BH20" s="14"/>
    </row>
    <row r="21" spans="1:60" hidden="1" x14ac:dyDescent="0.3">
      <c r="A21" t="s">
        <v>286</v>
      </c>
      <c r="B21" t="s">
        <v>662</v>
      </c>
      <c r="D21" t="s">
        <v>118</v>
      </c>
      <c r="E21" t="s">
        <v>102</v>
      </c>
      <c r="F21" t="s">
        <v>103</v>
      </c>
      <c r="G21" t="s">
        <v>129</v>
      </c>
      <c r="H21" t="s">
        <v>20</v>
      </c>
      <c r="I21" t="s">
        <v>20</v>
      </c>
      <c r="J21" t="s">
        <v>131</v>
      </c>
      <c r="K21">
        <v>154200654</v>
      </c>
      <c r="L21" t="s">
        <v>643</v>
      </c>
      <c r="M21" t="s">
        <v>214</v>
      </c>
      <c r="N21" s="2" t="s">
        <v>184</v>
      </c>
      <c r="O21" t="s">
        <v>155</v>
      </c>
      <c r="P21" s="1">
        <v>46218</v>
      </c>
      <c r="Q21" s="1">
        <v>46722</v>
      </c>
      <c r="R21" s="1">
        <v>47011</v>
      </c>
      <c r="S2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2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2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17</v>
      </c>
      <c r="W2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21">
        <f>Portefeuille_MNT_PPS_Access31[[#This Row],[Délais PC1 et PC3]]+Portefeuille_MNT_PPS_Access31[[#This Row],[Délais PC3 et PC5]]</f>
        <v>26</v>
      </c>
      <c r="Z21">
        <v>1</v>
      </c>
      <c r="AB21" t="s">
        <v>156</v>
      </c>
      <c r="AC21">
        <v>3</v>
      </c>
      <c r="AD21" s="2">
        <f>_xlfn.XLOOKUP(Portefeuille_MNT_PPS_Access31[[#This Row],[Numéro projet]],Portefeuille_MNT_PPS_Access27[Numéro projet],Portefeuille_MNT_PPS_Access27[Critère Etat Infrastructure])</f>
        <v>4</v>
      </c>
      <c r="AE2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21" s="221"/>
      <c r="AJ21"/>
      <c r="AQ21">
        <v>100</v>
      </c>
      <c r="AS21">
        <v>200</v>
      </c>
      <c r="AT21"/>
      <c r="AU21">
        <v>200</v>
      </c>
      <c r="AV21">
        <v>10500</v>
      </c>
      <c r="BG21" s="14">
        <f>SUM(Portefeuille_MNT_PPS_Access31[[#This Row],[AC ANT]:[TR 2035]])</f>
        <v>11000</v>
      </c>
      <c r="BH21" s="14"/>
    </row>
    <row r="22" spans="1:60" x14ac:dyDescent="0.3">
      <c r="A22" t="s">
        <v>286</v>
      </c>
      <c r="D22" t="s">
        <v>118</v>
      </c>
      <c r="E22" t="s">
        <v>102</v>
      </c>
      <c r="F22" t="s">
        <v>136</v>
      </c>
      <c r="G22" t="s">
        <v>252</v>
      </c>
      <c r="H22" t="s">
        <v>20</v>
      </c>
      <c r="I22" t="s">
        <v>16</v>
      </c>
      <c r="J22" t="s">
        <v>131</v>
      </c>
      <c r="K22">
        <v>154250180</v>
      </c>
      <c r="L22" t="s">
        <v>638</v>
      </c>
      <c r="M22" t="s">
        <v>139</v>
      </c>
      <c r="N22" t="s">
        <v>148</v>
      </c>
      <c r="O22" t="s">
        <v>291</v>
      </c>
      <c r="P22" s="1"/>
      <c r="Q22" s="1"/>
      <c r="R22" s="1"/>
      <c r="S2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2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2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2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2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22">
        <f>Portefeuille_MNT_PPS_Access31[[#This Row],[Délais PC1 et PC3]]+Portefeuille_MNT_PPS_Access31[[#This Row],[Délais PC3 et PC5]]</f>
        <v>0</v>
      </c>
      <c r="Y22">
        <v>1</v>
      </c>
      <c r="Z22">
        <v>1</v>
      </c>
      <c r="AB22" t="s">
        <v>311</v>
      </c>
      <c r="AC22">
        <v>2</v>
      </c>
      <c r="AD22" s="2">
        <f>_xlfn.XLOOKUP(Portefeuille_MNT_PPS_Access31[[#This Row],[Numéro projet]],Portefeuille_MNT_PPS_Access27[Numéro projet],Portefeuille_MNT_PPS_Access27[Critère Etat Infrastructure])</f>
        <v>5</v>
      </c>
      <c r="AE2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22" s="221"/>
      <c r="AJ22"/>
      <c r="AL22">
        <v>35</v>
      </c>
      <c r="AT22"/>
      <c r="BG22" s="14">
        <f>SUM(Portefeuille_MNT_PPS_Access31[[#This Row],[AC ANT]:[TR 2035]])</f>
        <v>35</v>
      </c>
      <c r="BH22" s="14"/>
    </row>
    <row r="23" spans="1:60" hidden="1" x14ac:dyDescent="0.3">
      <c r="A23" t="s">
        <v>286</v>
      </c>
      <c r="B23" t="s">
        <v>295</v>
      </c>
      <c r="D23" t="s">
        <v>126</v>
      </c>
      <c r="E23" t="s">
        <v>127</v>
      </c>
      <c r="F23" t="s">
        <v>136</v>
      </c>
      <c r="G23" t="s">
        <v>104</v>
      </c>
      <c r="H23" t="s">
        <v>16</v>
      </c>
      <c r="I23" t="s">
        <v>16</v>
      </c>
      <c r="J23" t="s">
        <v>105</v>
      </c>
      <c r="K23">
        <v>154061991</v>
      </c>
      <c r="L23" t="s">
        <v>301</v>
      </c>
      <c r="M23" t="s">
        <v>302</v>
      </c>
      <c r="N23" t="s">
        <v>148</v>
      </c>
      <c r="O23" t="s">
        <v>164</v>
      </c>
      <c r="P23" s="1">
        <v>41907</v>
      </c>
      <c r="Q23" s="1">
        <v>41968</v>
      </c>
      <c r="R23" s="1">
        <v>42045</v>
      </c>
      <c r="S2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2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2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2</v>
      </c>
      <c r="W2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</v>
      </c>
      <c r="X23">
        <f>Portefeuille_MNT_PPS_Access31[[#This Row],[Délais PC1 et PC3]]+Portefeuille_MNT_PPS_Access31[[#This Row],[Délais PC3 et PC5]]</f>
        <v>5</v>
      </c>
      <c r="Y23">
        <v>1</v>
      </c>
      <c r="Z23">
        <v>1</v>
      </c>
      <c r="AB23" t="s">
        <v>165</v>
      </c>
      <c r="AC23">
        <v>4</v>
      </c>
      <c r="AD23" s="2" t="e">
        <f>_xlfn.XLOOKUP(Portefeuille_MNT_PPS_Access31[[#This Row],[Numéro projet]],Portefeuille_MNT_PPS_Access27[Numéro projet],Portefeuille_MNT_PPS_Access27[Critère Etat Infrastructure])</f>
        <v>#N/A</v>
      </c>
      <c r="AE23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23" s="221"/>
      <c r="AG23">
        <v>2582</v>
      </c>
      <c r="AH23">
        <v>17091</v>
      </c>
      <c r="AI23">
        <v>25</v>
      </c>
      <c r="AJ23">
        <v>98</v>
      </c>
      <c r="AK23">
        <v>11</v>
      </c>
      <c r="AL23">
        <v>577</v>
      </c>
      <c r="AT23"/>
      <c r="BG23" s="14">
        <f>SUM(Portefeuille_MNT_PPS_Access31[[#This Row],[AC ANT]:[TR 2035]])</f>
        <v>20384</v>
      </c>
      <c r="BH23" s="14"/>
    </row>
    <row r="24" spans="1:60" hidden="1" x14ac:dyDescent="0.3">
      <c r="A24" t="s">
        <v>286</v>
      </c>
      <c r="B24" t="s">
        <v>663</v>
      </c>
      <c r="C24">
        <v>2</v>
      </c>
      <c r="D24" t="s">
        <v>101</v>
      </c>
      <c r="E24" t="s">
        <v>102</v>
      </c>
      <c r="F24" t="s">
        <v>136</v>
      </c>
      <c r="G24" t="s">
        <v>140</v>
      </c>
      <c r="H24" t="s">
        <v>16</v>
      </c>
      <c r="I24" t="s">
        <v>20</v>
      </c>
      <c r="J24" t="s">
        <v>131</v>
      </c>
      <c r="K24">
        <v>154101522</v>
      </c>
      <c r="L24" t="s">
        <v>296</v>
      </c>
      <c r="M24" t="s">
        <v>183</v>
      </c>
      <c r="N24" t="s">
        <v>173</v>
      </c>
      <c r="O24" t="s">
        <v>110</v>
      </c>
      <c r="P24" s="1">
        <v>45590</v>
      </c>
      <c r="Q24" s="1">
        <v>46157</v>
      </c>
      <c r="R24" s="1">
        <v>46157</v>
      </c>
      <c r="S2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2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2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19</v>
      </c>
      <c r="W2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24">
        <f>Portefeuille_MNT_PPS_Access31[[#This Row],[Délais PC1 et PC3]]+Portefeuille_MNT_PPS_Access31[[#This Row],[Délais PC3 et PC5]]</f>
        <v>19</v>
      </c>
      <c r="Z24">
        <v>1</v>
      </c>
      <c r="AA24">
        <v>1</v>
      </c>
      <c r="AB24" t="s">
        <v>112</v>
      </c>
      <c r="AC24">
        <v>2.3333333333333335</v>
      </c>
      <c r="AD24" s="2">
        <f>_xlfn.XLOOKUP(Portefeuille_MNT_PPS_Access31[[#This Row],[Numéro projet]],Portefeuille_MNT_PPS_Access27[Numéro projet],Portefeuille_MNT_PPS_Access27[Critère Etat Infrastructure])</f>
        <v>3</v>
      </c>
      <c r="AE2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24" s="221"/>
      <c r="AJ24"/>
      <c r="AK24">
        <v>99</v>
      </c>
      <c r="AM24">
        <v>656</v>
      </c>
      <c r="AO24">
        <v>654</v>
      </c>
      <c r="AP24">
        <v>1461</v>
      </c>
      <c r="AT24"/>
      <c r="BG24" s="14">
        <f>SUM(Portefeuille_MNT_PPS_Access31[[#This Row],[AC ANT]:[TR 2035]])</f>
        <v>2870</v>
      </c>
      <c r="BH24" s="14"/>
    </row>
    <row r="25" spans="1:60" hidden="1" x14ac:dyDescent="0.3">
      <c r="A25" t="s">
        <v>286</v>
      </c>
      <c r="B25" t="s">
        <v>664</v>
      </c>
      <c r="D25" t="s">
        <v>101</v>
      </c>
      <c r="E25" t="s">
        <v>102</v>
      </c>
      <c r="F25" t="s">
        <v>103</v>
      </c>
      <c r="G25" t="s">
        <v>140</v>
      </c>
      <c r="H25" t="s">
        <v>16</v>
      </c>
      <c r="I25" t="s">
        <v>16</v>
      </c>
      <c r="J25" t="s">
        <v>105</v>
      </c>
      <c r="K25">
        <v>154171517</v>
      </c>
      <c r="L25" t="s">
        <v>175</v>
      </c>
      <c r="M25" t="s">
        <v>143</v>
      </c>
      <c r="N25" t="s">
        <v>148</v>
      </c>
      <c r="O25" t="s">
        <v>164</v>
      </c>
      <c r="P25" s="1">
        <v>44014</v>
      </c>
      <c r="Q25" s="1">
        <v>44294</v>
      </c>
      <c r="R25" s="1">
        <v>45239</v>
      </c>
      <c r="S2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2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2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9</v>
      </c>
      <c r="W2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31</v>
      </c>
      <c r="X25">
        <f>Portefeuille_MNT_PPS_Access31[[#This Row],[Délais PC1 et PC3]]+Portefeuille_MNT_PPS_Access31[[#This Row],[Délais PC3 et PC5]]</f>
        <v>40</v>
      </c>
      <c r="Y25">
        <v>5</v>
      </c>
      <c r="Z25">
        <v>5</v>
      </c>
      <c r="AB25" t="s">
        <v>165</v>
      </c>
      <c r="AC25">
        <v>4.333333333333333</v>
      </c>
      <c r="AD25" s="2">
        <f>_xlfn.XLOOKUP(Portefeuille_MNT_PPS_Access31[[#This Row],[Numéro projet]],Portefeuille_MNT_PPS_Access27[Numéro projet],Portefeuille_MNT_PPS_Access27[Critère Etat Infrastructure])</f>
        <v>4</v>
      </c>
      <c r="AE2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100</v>
      </c>
      <c r="AF25" s="221"/>
      <c r="AG25">
        <v>389</v>
      </c>
      <c r="AH25">
        <v>4986</v>
      </c>
      <c r="AI25">
        <v>450</v>
      </c>
      <c r="AJ25">
        <v>25618</v>
      </c>
      <c r="AK25">
        <v>623</v>
      </c>
      <c r="AL25">
        <v>13622</v>
      </c>
      <c r="AM25">
        <v>55</v>
      </c>
      <c r="AN25">
        <v>1361</v>
      </c>
      <c r="AT25"/>
      <c r="BG25" s="14">
        <f>SUM(Portefeuille_MNT_PPS_Access31[[#This Row],[AC ANT]:[TR 2035]])</f>
        <v>47104</v>
      </c>
      <c r="BH25" s="14"/>
    </row>
    <row r="26" spans="1:60" hidden="1" x14ac:dyDescent="0.3">
      <c r="A26" t="s">
        <v>286</v>
      </c>
      <c r="B26" t="s">
        <v>662</v>
      </c>
      <c r="D26" t="s">
        <v>118</v>
      </c>
      <c r="E26" t="s">
        <v>102</v>
      </c>
      <c r="F26" t="s">
        <v>136</v>
      </c>
      <c r="G26" t="s">
        <v>129</v>
      </c>
      <c r="H26" t="s">
        <v>16</v>
      </c>
      <c r="I26" t="s">
        <v>16</v>
      </c>
      <c r="J26" t="s">
        <v>131</v>
      </c>
      <c r="K26">
        <v>154101520</v>
      </c>
      <c r="L26" t="s">
        <v>219</v>
      </c>
      <c r="M26" t="s">
        <v>152</v>
      </c>
      <c r="N26" t="s">
        <v>148</v>
      </c>
      <c r="O26" t="s">
        <v>164</v>
      </c>
      <c r="P26" s="1">
        <v>45370</v>
      </c>
      <c r="Q26" s="1"/>
      <c r="R26" s="1">
        <v>45706</v>
      </c>
      <c r="S2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2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2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2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-1490</v>
      </c>
      <c r="W2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1501</v>
      </c>
      <c r="X26">
        <f>Portefeuille_MNT_PPS_Access31[[#This Row],[Délais PC1 et PC3]]+Portefeuille_MNT_PPS_Access31[[#This Row],[Délais PC3 et PC5]]</f>
        <v>11</v>
      </c>
      <c r="Y26">
        <v>1</v>
      </c>
      <c r="Z26">
        <v>5</v>
      </c>
      <c r="AB26" t="s">
        <v>165</v>
      </c>
      <c r="AC26">
        <v>3.3333333333333335</v>
      </c>
      <c r="AD26" s="2">
        <f>_xlfn.XLOOKUP(Portefeuille_MNT_PPS_Access31[[#This Row],[Numéro projet]],Portefeuille_MNT_PPS_Access27[Numéro projet],Portefeuille_MNT_PPS_Access27[Critère Etat Infrastructure])</f>
        <v>5</v>
      </c>
      <c r="AE2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101.66666666666666</v>
      </c>
      <c r="AF26" s="221"/>
      <c r="AG26">
        <v>6</v>
      </c>
      <c r="AI26">
        <v>45</v>
      </c>
      <c r="AJ26"/>
      <c r="AK26">
        <v>38</v>
      </c>
      <c r="AL26">
        <v>605</v>
      </c>
      <c r="AT26"/>
      <c r="BG26" s="14">
        <f>SUM(Portefeuille_MNT_PPS_Access31[[#This Row],[AC ANT]:[TR 2035]])</f>
        <v>694</v>
      </c>
      <c r="BH26" s="14"/>
    </row>
    <row r="27" spans="1:60" hidden="1" x14ac:dyDescent="0.3">
      <c r="A27" t="s">
        <v>286</v>
      </c>
      <c r="B27" t="s">
        <v>295</v>
      </c>
      <c r="D27" t="s">
        <v>126</v>
      </c>
      <c r="E27" t="s">
        <v>127</v>
      </c>
      <c r="F27" t="s">
        <v>136</v>
      </c>
      <c r="G27" t="s">
        <v>113</v>
      </c>
      <c r="H27" t="s">
        <v>16</v>
      </c>
      <c r="I27" t="s">
        <v>16</v>
      </c>
      <c r="J27" t="s">
        <v>105</v>
      </c>
      <c r="K27">
        <v>154951715</v>
      </c>
      <c r="L27" t="s">
        <v>359</v>
      </c>
      <c r="M27" t="s">
        <v>108</v>
      </c>
      <c r="N27" t="s">
        <v>148</v>
      </c>
      <c r="O27" t="s">
        <v>164</v>
      </c>
      <c r="P27" s="1"/>
      <c r="Q27" s="1">
        <v>42383</v>
      </c>
      <c r="R27" s="1">
        <v>43404</v>
      </c>
      <c r="S2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2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2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2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1392</v>
      </c>
      <c r="W2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33</v>
      </c>
      <c r="X27">
        <f>Portefeuille_MNT_PPS_Access31[[#This Row],[Délais PC1 et PC3]]+Portefeuille_MNT_PPS_Access31[[#This Row],[Délais PC3 et PC5]]</f>
        <v>1425</v>
      </c>
      <c r="Y27">
        <v>1</v>
      </c>
      <c r="Z27">
        <v>1</v>
      </c>
      <c r="AB27" t="s">
        <v>165</v>
      </c>
      <c r="AC27">
        <v>4</v>
      </c>
      <c r="AD27" s="2" t="e">
        <f>_xlfn.XLOOKUP(Portefeuille_MNT_PPS_Access31[[#This Row],[Numéro projet]],Portefeuille_MNT_PPS_Access27[Numéro projet],Portefeuille_MNT_PPS_Access27[Critère Etat Infrastructure])</f>
        <v>#N/A</v>
      </c>
      <c r="AE27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27" s="221"/>
      <c r="AG27">
        <v>2099</v>
      </c>
      <c r="AH27">
        <v>8991</v>
      </c>
      <c r="AI27">
        <v>93</v>
      </c>
      <c r="AJ27"/>
      <c r="AK27">
        <v>15</v>
      </c>
      <c r="AL27">
        <v>407</v>
      </c>
      <c r="AT27"/>
      <c r="BG27" s="14">
        <f>SUM(Portefeuille_MNT_PPS_Access31[[#This Row],[AC ANT]:[TR 2035]])</f>
        <v>11605</v>
      </c>
      <c r="BH27" s="14"/>
    </row>
    <row r="28" spans="1:60" hidden="1" x14ac:dyDescent="0.3">
      <c r="A28" t="s">
        <v>286</v>
      </c>
      <c r="B28" t="s">
        <v>664</v>
      </c>
      <c r="D28" t="s">
        <v>101</v>
      </c>
      <c r="E28" t="s">
        <v>102</v>
      </c>
      <c r="F28" t="s">
        <v>128</v>
      </c>
      <c r="G28" t="s">
        <v>149</v>
      </c>
      <c r="H28" t="s">
        <v>16</v>
      </c>
      <c r="I28" t="s">
        <v>16</v>
      </c>
      <c r="J28" t="s">
        <v>131</v>
      </c>
      <c r="K28">
        <v>154200665</v>
      </c>
      <c r="L28" t="s">
        <v>151</v>
      </c>
      <c r="M28" t="s">
        <v>152</v>
      </c>
      <c r="N28" t="s">
        <v>109</v>
      </c>
      <c r="O28" t="s">
        <v>123</v>
      </c>
      <c r="P28" s="1">
        <v>45079</v>
      </c>
      <c r="Q28" s="1">
        <v>45685</v>
      </c>
      <c r="R28" s="1">
        <v>46142</v>
      </c>
      <c r="S2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2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1.Très à risque</v>
      </c>
      <c r="V2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19</v>
      </c>
      <c r="W2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</v>
      </c>
      <c r="X28">
        <f>Portefeuille_MNT_PPS_Access31[[#This Row],[Délais PC1 et PC3]]+Portefeuille_MNT_PPS_Access31[[#This Row],[Délais PC3 et PC5]]</f>
        <v>34</v>
      </c>
      <c r="Y28">
        <v>1</v>
      </c>
      <c r="Z28">
        <v>5</v>
      </c>
      <c r="AA28">
        <v>1</v>
      </c>
      <c r="AB28" t="s">
        <v>125</v>
      </c>
      <c r="AC28">
        <v>3.3333333333333335</v>
      </c>
      <c r="AD28" s="2">
        <f>_xlfn.XLOOKUP(Portefeuille_MNT_PPS_Access31[[#This Row],[Numéro projet]],Portefeuille_MNT_PPS_Access27[Numéro projet],Portefeuille_MNT_PPS_Access27[Critère Etat Infrastructure])</f>
        <v>4</v>
      </c>
      <c r="AE2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66.666666666666671</v>
      </c>
      <c r="AF28" s="221"/>
      <c r="AG28">
        <v>12</v>
      </c>
      <c r="AI28">
        <v>163</v>
      </c>
      <c r="AJ28"/>
      <c r="AK28">
        <v>120</v>
      </c>
      <c r="AM28">
        <v>172</v>
      </c>
      <c r="AN28">
        <v>6837</v>
      </c>
      <c r="AO28">
        <v>150</v>
      </c>
      <c r="AP28">
        <v>1523</v>
      </c>
      <c r="AT28"/>
      <c r="BG28" s="14">
        <f>SUM(Portefeuille_MNT_PPS_Access31[[#This Row],[AC ANT]:[TR 2035]])</f>
        <v>8977</v>
      </c>
      <c r="BH28" s="14"/>
    </row>
    <row r="29" spans="1:60" hidden="1" x14ac:dyDescent="0.3">
      <c r="A29" t="s">
        <v>286</v>
      </c>
      <c r="B29" t="s">
        <v>295</v>
      </c>
      <c r="D29" t="s">
        <v>126</v>
      </c>
      <c r="E29" t="s">
        <v>127</v>
      </c>
      <c r="F29" t="s">
        <v>177</v>
      </c>
      <c r="G29" t="s">
        <v>206</v>
      </c>
      <c r="H29" t="s">
        <v>16</v>
      </c>
      <c r="I29" t="s">
        <v>16</v>
      </c>
      <c r="J29" t="s">
        <v>223</v>
      </c>
      <c r="K29">
        <v>154190529</v>
      </c>
      <c r="L29" t="s">
        <v>520</v>
      </c>
      <c r="M29" t="s">
        <v>180</v>
      </c>
      <c r="N29" t="s">
        <v>109</v>
      </c>
      <c r="O29" t="s">
        <v>123</v>
      </c>
      <c r="P29" s="1">
        <v>44623</v>
      </c>
      <c r="Q29" s="1">
        <v>45698</v>
      </c>
      <c r="R29" s="1">
        <v>46341</v>
      </c>
      <c r="S2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2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2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1.Très à risque</v>
      </c>
      <c r="V2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35</v>
      </c>
      <c r="W2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21</v>
      </c>
      <c r="X29">
        <f>Portefeuille_MNT_PPS_Access31[[#This Row],[Délais PC1 et PC3]]+Portefeuille_MNT_PPS_Access31[[#This Row],[Délais PC3 et PC5]]</f>
        <v>56</v>
      </c>
      <c r="Y29">
        <v>1</v>
      </c>
      <c r="Z29">
        <v>1</v>
      </c>
      <c r="AA29">
        <v>1</v>
      </c>
      <c r="AB29" t="s">
        <v>125</v>
      </c>
      <c r="AC29">
        <v>3.35</v>
      </c>
      <c r="AD29" s="2">
        <f>_xlfn.XLOOKUP(Portefeuille_MNT_PPS_Access31[[#This Row],[Numéro projet]],Portefeuille_MNT_PPS_Access27[Numéro projet],Portefeuille_MNT_PPS_Access27[Critère Etat Infrastructure])</f>
        <v>5</v>
      </c>
      <c r="AE2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51.750000000000007</v>
      </c>
      <c r="AF29" s="221"/>
      <c r="AG29">
        <v>180.00000000000003</v>
      </c>
      <c r="AI29">
        <v>53.000000000000014</v>
      </c>
      <c r="AJ29"/>
      <c r="AK29">
        <v>343.99999999999994</v>
      </c>
      <c r="AM29">
        <v>50</v>
      </c>
      <c r="AN29">
        <v>100</v>
      </c>
      <c r="AO29">
        <v>200.00000000000003</v>
      </c>
      <c r="AP29">
        <v>1594.9999999999995</v>
      </c>
      <c r="AQ29">
        <v>106.00000000000001</v>
      </c>
      <c r="AR29">
        <v>3411.0000000000005</v>
      </c>
      <c r="AS29">
        <v>212</v>
      </c>
      <c r="AT29">
        <v>5141.0000000000018</v>
      </c>
      <c r="AU29">
        <v>27.999999999999993</v>
      </c>
      <c r="AV29">
        <v>5153.0000000000018</v>
      </c>
      <c r="AW29">
        <v>27.999999999999996</v>
      </c>
      <c r="AX29">
        <v>5047</v>
      </c>
      <c r="BG29" s="14">
        <f>SUM(Portefeuille_MNT_PPS_Access31[[#This Row],[AC ANT]:[TR 2035]])</f>
        <v>21648.000000000004</v>
      </c>
      <c r="BH29" s="14"/>
    </row>
    <row r="30" spans="1:60" hidden="1" x14ac:dyDescent="0.3">
      <c r="A30" t="s">
        <v>286</v>
      </c>
      <c r="B30" t="s">
        <v>662</v>
      </c>
      <c r="D30" t="s">
        <v>118</v>
      </c>
      <c r="E30" t="s">
        <v>102</v>
      </c>
      <c r="F30" t="s">
        <v>242</v>
      </c>
      <c r="G30" t="s">
        <v>129</v>
      </c>
      <c r="H30" t="s">
        <v>20</v>
      </c>
      <c r="I30" t="s">
        <v>20</v>
      </c>
      <c r="J30" t="s">
        <v>131</v>
      </c>
      <c r="K30">
        <v>154210546</v>
      </c>
      <c r="L30" t="s">
        <v>644</v>
      </c>
      <c r="M30" t="s">
        <v>414</v>
      </c>
      <c r="N30" t="s">
        <v>184</v>
      </c>
      <c r="O30" t="s">
        <v>291</v>
      </c>
      <c r="P30" s="1"/>
      <c r="Q30" s="1"/>
      <c r="R30" s="1"/>
      <c r="S3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0">
        <f>Portefeuille_MNT_PPS_Access31[[#This Row],[Délais PC1 et PC3]]+Portefeuille_MNT_PPS_Access31[[#This Row],[Délais PC3 et PC5]]</f>
        <v>0</v>
      </c>
      <c r="Z30">
        <v>1</v>
      </c>
      <c r="AB30" t="s">
        <v>311</v>
      </c>
      <c r="AC30">
        <v>1</v>
      </c>
      <c r="AD30" s="2">
        <f>_xlfn.XLOOKUP(Portefeuille_MNT_PPS_Access31[[#This Row],[Numéro projet]],Portefeuille_MNT_PPS_Access27[Numéro projet],Portefeuille_MNT_PPS_Access27[Critère Etat Infrastructure])</f>
        <v>4</v>
      </c>
      <c r="AE3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30</v>
      </c>
      <c r="AF30" s="221"/>
      <c r="AJ30"/>
      <c r="AQ30">
        <v>150</v>
      </c>
      <c r="AS30">
        <v>150</v>
      </c>
      <c r="AT30"/>
      <c r="AU30">
        <v>250</v>
      </c>
      <c r="AV30">
        <v>2000</v>
      </c>
      <c r="BG30" s="14">
        <f>SUM(Portefeuille_MNT_PPS_Access31[[#This Row],[AC ANT]:[TR 2035]])</f>
        <v>2550</v>
      </c>
      <c r="BH30" s="14"/>
    </row>
    <row r="31" spans="1:60" hidden="1" x14ac:dyDescent="0.3">
      <c r="A31" t="s">
        <v>286</v>
      </c>
      <c r="B31" t="s">
        <v>662</v>
      </c>
      <c r="D31" t="s">
        <v>118</v>
      </c>
      <c r="E31" t="s">
        <v>102</v>
      </c>
      <c r="F31" t="s">
        <v>177</v>
      </c>
      <c r="H31" t="s">
        <v>20</v>
      </c>
      <c r="I31" t="s">
        <v>20</v>
      </c>
      <c r="J31" t="s">
        <v>131</v>
      </c>
      <c r="K31">
        <v>154240787</v>
      </c>
      <c r="L31" t="s">
        <v>523</v>
      </c>
      <c r="M31" t="s">
        <v>187</v>
      </c>
      <c r="N31" s="2" t="s">
        <v>184</v>
      </c>
      <c r="O31" t="s">
        <v>291</v>
      </c>
      <c r="P31" s="1"/>
      <c r="Q31" s="1"/>
      <c r="R31" s="1"/>
      <c r="S3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1">
        <f>Portefeuille_MNT_PPS_Access31[[#This Row],[Délais PC1 et PC3]]+Portefeuille_MNT_PPS_Access31[[#This Row],[Délais PC3 et PC5]]</f>
        <v>0</v>
      </c>
      <c r="Z31">
        <v>1</v>
      </c>
      <c r="AB31" t="s">
        <v>311</v>
      </c>
      <c r="AC31">
        <v>3</v>
      </c>
      <c r="AD31" s="2">
        <f>_xlfn.XLOOKUP(Portefeuille_MNT_PPS_Access31[[#This Row],[Numéro projet]],Portefeuille_MNT_PPS_Access27[Numéro projet],Portefeuille_MNT_PPS_Access27[Critère Etat Infrastructure])</f>
        <v>5</v>
      </c>
      <c r="AE3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31" s="221"/>
      <c r="AJ31"/>
      <c r="AQ31">
        <v>50</v>
      </c>
      <c r="AS31">
        <v>100</v>
      </c>
      <c r="AT31"/>
      <c r="AU31">
        <v>200</v>
      </c>
      <c r="AV31">
        <v>2000</v>
      </c>
      <c r="BG31" s="14">
        <f>SUM(Portefeuille_MNT_PPS_Access31[[#This Row],[AC ANT]:[TR 2035]])</f>
        <v>2350</v>
      </c>
      <c r="BH31" s="14"/>
    </row>
    <row r="32" spans="1:60" hidden="1" x14ac:dyDescent="0.3">
      <c r="A32" t="s">
        <v>286</v>
      </c>
      <c r="B32" t="s">
        <v>663</v>
      </c>
      <c r="D32" t="s">
        <v>101</v>
      </c>
      <c r="E32" t="s">
        <v>102</v>
      </c>
      <c r="F32" t="s">
        <v>177</v>
      </c>
      <c r="G32" t="s">
        <v>129</v>
      </c>
      <c r="H32" t="s">
        <v>20</v>
      </c>
      <c r="I32" t="s">
        <v>20</v>
      </c>
      <c r="J32" t="s">
        <v>131</v>
      </c>
      <c r="K32">
        <v>154230631</v>
      </c>
      <c r="L32" t="s">
        <v>439</v>
      </c>
      <c r="M32" t="s">
        <v>180</v>
      </c>
      <c r="N32" t="s">
        <v>184</v>
      </c>
      <c r="O32" t="s">
        <v>291</v>
      </c>
      <c r="P32" s="1"/>
      <c r="Q32" s="1"/>
      <c r="R32" s="1"/>
      <c r="S3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2">
        <f>Portefeuille_MNT_PPS_Access31[[#This Row],[Délais PC1 et PC3]]+Portefeuille_MNT_PPS_Access31[[#This Row],[Délais PC3 et PC5]]</f>
        <v>0</v>
      </c>
      <c r="Z32">
        <v>1</v>
      </c>
      <c r="AB32" t="s">
        <v>311</v>
      </c>
      <c r="AC32">
        <v>3.1428571428571428</v>
      </c>
      <c r="AD32" s="2">
        <f>_xlfn.XLOOKUP(Portefeuille_MNT_PPS_Access31[[#This Row],[Numéro projet]],Portefeuille_MNT_PPS_Access27[Numéro projet],Portefeuille_MNT_PPS_Access27[Critère Etat Infrastructure])</f>
        <v>4</v>
      </c>
      <c r="AE3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40.714285714285715</v>
      </c>
      <c r="AF32" s="221"/>
      <c r="AJ32"/>
      <c r="AS32">
        <v>100</v>
      </c>
      <c r="AT32"/>
      <c r="AU32">
        <v>175.00000000000003</v>
      </c>
      <c r="AV32">
        <v>1500.0000000000002</v>
      </c>
      <c r="BG32" s="14">
        <f>SUM(Portefeuille_MNT_PPS_Access31[[#This Row],[AC ANT]:[TR 2035]])</f>
        <v>1775.0000000000002</v>
      </c>
      <c r="BH32" s="14"/>
    </row>
    <row r="33" spans="1:60" hidden="1" x14ac:dyDescent="0.3">
      <c r="A33" t="s">
        <v>286</v>
      </c>
      <c r="B33" t="s">
        <v>662</v>
      </c>
      <c r="D33" t="s">
        <v>118</v>
      </c>
      <c r="E33" t="s">
        <v>102</v>
      </c>
      <c r="F33" t="s">
        <v>242</v>
      </c>
      <c r="H33" t="s">
        <v>20</v>
      </c>
      <c r="I33" t="s">
        <v>20</v>
      </c>
      <c r="J33" t="s">
        <v>131</v>
      </c>
      <c r="K33">
        <v>154250476</v>
      </c>
      <c r="L33" t="s">
        <v>686</v>
      </c>
      <c r="M33" t="s">
        <v>687</v>
      </c>
      <c r="N33" t="s">
        <v>184</v>
      </c>
      <c r="P33" s="1"/>
      <c r="Q33" s="1"/>
      <c r="R33" s="1"/>
      <c r="S3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3">
        <f>Portefeuille_MNT_PPS_Access31[[#This Row],[Délais PC1 et PC3]]+Portefeuille_MNT_PPS_Access31[[#This Row],[Délais PC3 et PC5]]</f>
        <v>0</v>
      </c>
      <c r="Z33">
        <v>1</v>
      </c>
      <c r="AC33">
        <v>1.6666666666666667</v>
      </c>
      <c r="AD33" s="2">
        <f>_xlfn.XLOOKUP(Portefeuille_MNT_PPS_Access31[[#This Row],[Numéro projet]],Portefeuille_MNT_PPS_Access27[Numéro projet],Portefeuille_MNT_PPS_Access27[Critère Etat Infrastructure])</f>
        <v>3</v>
      </c>
      <c r="AE3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28.333333333333332</v>
      </c>
      <c r="AF33" s="221"/>
      <c r="AJ33"/>
      <c r="AQ33">
        <v>50</v>
      </c>
      <c r="AS33">
        <v>100</v>
      </c>
      <c r="AT33"/>
      <c r="AU33">
        <v>200</v>
      </c>
      <c r="AV33">
        <v>1500</v>
      </c>
      <c r="BG33" s="14">
        <f>SUM(Portefeuille_MNT_PPS_Access31[[#This Row],[AC ANT]:[TR 2035]])</f>
        <v>1850</v>
      </c>
      <c r="BH33" s="14"/>
    </row>
    <row r="34" spans="1:60" hidden="1" x14ac:dyDescent="0.3">
      <c r="A34" t="s">
        <v>286</v>
      </c>
      <c r="B34" t="s">
        <v>662</v>
      </c>
      <c r="D34" t="s">
        <v>118</v>
      </c>
      <c r="E34" t="s">
        <v>102</v>
      </c>
      <c r="F34" t="s">
        <v>177</v>
      </c>
      <c r="H34" t="s">
        <v>20</v>
      </c>
      <c r="I34" t="s">
        <v>20</v>
      </c>
      <c r="J34" t="s">
        <v>131</v>
      </c>
      <c r="K34">
        <v>154230555</v>
      </c>
      <c r="L34" t="s">
        <v>639</v>
      </c>
      <c r="M34" t="s">
        <v>147</v>
      </c>
      <c r="N34" t="s">
        <v>184</v>
      </c>
      <c r="O34" t="s">
        <v>291</v>
      </c>
      <c r="P34" s="1"/>
      <c r="Q34" s="1"/>
      <c r="R34" s="1"/>
      <c r="S3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4">
        <f>Portefeuille_MNT_PPS_Access31[[#This Row],[Délais PC1 et PC3]]+Portefeuille_MNT_PPS_Access31[[#This Row],[Délais PC3 et PC5]]</f>
        <v>0</v>
      </c>
      <c r="Z34">
        <v>1</v>
      </c>
      <c r="AB34" t="s">
        <v>311</v>
      </c>
      <c r="AC34">
        <v>2.6666666666666665</v>
      </c>
      <c r="AD34" s="2">
        <f>_xlfn.XLOOKUP(Portefeuille_MNT_PPS_Access31[[#This Row],[Numéro projet]],Portefeuille_MNT_PPS_Access27[Numéro projet],Portefeuille_MNT_PPS_Access27[Critère Etat Infrastructure])</f>
        <v>3</v>
      </c>
      <c r="AE3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33.333333333333329</v>
      </c>
      <c r="AF34" s="221"/>
      <c r="AJ34"/>
      <c r="AQ34">
        <v>50</v>
      </c>
      <c r="AS34">
        <v>50</v>
      </c>
      <c r="AT34"/>
      <c r="AU34">
        <v>100</v>
      </c>
      <c r="AV34">
        <v>1000</v>
      </c>
      <c r="BG34" s="14">
        <f>SUM(Portefeuille_MNT_PPS_Access31[[#This Row],[AC ANT]:[TR 2035]])</f>
        <v>1200</v>
      </c>
      <c r="BH34" s="14"/>
    </row>
    <row r="35" spans="1:60" hidden="1" x14ac:dyDescent="0.3">
      <c r="A35" t="s">
        <v>286</v>
      </c>
      <c r="B35" t="s">
        <v>295</v>
      </c>
      <c r="D35" t="s">
        <v>126</v>
      </c>
      <c r="E35" t="s">
        <v>127</v>
      </c>
      <c r="F35" t="s">
        <v>103</v>
      </c>
      <c r="H35" t="s">
        <v>20</v>
      </c>
      <c r="I35" t="s">
        <v>20</v>
      </c>
      <c r="J35" t="s">
        <v>105</v>
      </c>
      <c r="K35">
        <v>154240511</v>
      </c>
      <c r="L35" t="s">
        <v>637</v>
      </c>
      <c r="M35" t="s">
        <v>108</v>
      </c>
      <c r="N35" t="s">
        <v>395</v>
      </c>
      <c r="O35" t="s">
        <v>291</v>
      </c>
      <c r="P35" s="1"/>
      <c r="Q35" s="1"/>
      <c r="R35" s="1"/>
      <c r="S3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5">
        <f>Portefeuille_MNT_PPS_Access31[[#This Row],[Délais PC1 et PC3]]+Portefeuille_MNT_PPS_Access31[[#This Row],[Délais PC3 et PC5]]</f>
        <v>0</v>
      </c>
      <c r="Z35">
        <v>1</v>
      </c>
      <c r="AB35" t="s">
        <v>311</v>
      </c>
      <c r="AC35">
        <v>4</v>
      </c>
      <c r="AD35" s="2">
        <f>_xlfn.XLOOKUP(Portefeuille_MNT_PPS_Access31[[#This Row],[Numéro projet]],Portefeuille_MNT_PPS_Access27[Numéro projet],Portefeuille_MNT_PPS_Access27[Critère Etat Infrastructure])</f>
        <v>3</v>
      </c>
      <c r="AE3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35" s="221"/>
      <c r="AJ35"/>
      <c r="AT35"/>
      <c r="AW35">
        <v>375</v>
      </c>
      <c r="AY35">
        <v>750</v>
      </c>
      <c r="BA35">
        <v>1125</v>
      </c>
      <c r="BC35">
        <v>875</v>
      </c>
      <c r="BD35">
        <v>18236</v>
      </c>
      <c r="BE35">
        <v>1250</v>
      </c>
      <c r="BF35">
        <v>63764</v>
      </c>
      <c r="BG35" s="14">
        <f>SUM(Portefeuille_MNT_PPS_Access31[[#This Row],[AC ANT]:[TR 2035]])</f>
        <v>86375</v>
      </c>
      <c r="BH35" s="14"/>
    </row>
    <row r="36" spans="1:60" hidden="1" x14ac:dyDescent="0.3">
      <c r="A36" t="s">
        <v>286</v>
      </c>
      <c r="B36" t="s">
        <v>664</v>
      </c>
      <c r="D36" t="s">
        <v>101</v>
      </c>
      <c r="E36" t="s">
        <v>102</v>
      </c>
      <c r="F36" t="s">
        <v>103</v>
      </c>
      <c r="H36" t="s">
        <v>20</v>
      </c>
      <c r="I36" t="s">
        <v>20</v>
      </c>
      <c r="J36" t="s">
        <v>105</v>
      </c>
      <c r="K36">
        <v>154220344</v>
      </c>
      <c r="L36" t="s">
        <v>394</v>
      </c>
      <c r="M36" t="s">
        <v>122</v>
      </c>
      <c r="N36" t="s">
        <v>533</v>
      </c>
      <c r="O36" t="s">
        <v>291</v>
      </c>
      <c r="P36" s="1"/>
      <c r="Q36" s="1"/>
      <c r="R36" s="1"/>
      <c r="S3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6">
        <f>Portefeuille_MNT_PPS_Access31[[#This Row],[Délais PC1 et PC3]]+Portefeuille_MNT_PPS_Access31[[#This Row],[Délais PC3 et PC5]]</f>
        <v>0</v>
      </c>
      <c r="Z36">
        <v>1</v>
      </c>
      <c r="AB36" t="s">
        <v>311</v>
      </c>
      <c r="AC36">
        <v>4</v>
      </c>
      <c r="AD36" s="2">
        <f>_xlfn.XLOOKUP(Portefeuille_MNT_PPS_Access31[[#This Row],[Numéro projet]],Portefeuille_MNT_PPS_Access27[Numéro projet],Portefeuille_MNT_PPS_Access27[Critère Etat Infrastructure])</f>
        <v>4</v>
      </c>
      <c r="AE3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36" s="221"/>
      <c r="AJ36"/>
      <c r="AT36"/>
      <c r="BA36">
        <v>100</v>
      </c>
      <c r="BC36">
        <v>100</v>
      </c>
      <c r="BE36">
        <v>500</v>
      </c>
      <c r="BF36">
        <v>12000</v>
      </c>
      <c r="BG36" s="14">
        <f>SUM(Portefeuille_MNT_PPS_Access31[[#This Row],[AC ANT]:[TR 2035]])</f>
        <v>12700</v>
      </c>
      <c r="BH36" s="14"/>
    </row>
    <row r="37" spans="1:60" hidden="1" x14ac:dyDescent="0.3">
      <c r="A37" t="s">
        <v>286</v>
      </c>
      <c r="B37" t="s">
        <v>664</v>
      </c>
      <c r="D37" t="s">
        <v>101</v>
      </c>
      <c r="E37" t="s">
        <v>102</v>
      </c>
      <c r="F37" t="s">
        <v>103</v>
      </c>
      <c r="H37" t="s">
        <v>20</v>
      </c>
      <c r="I37" t="s">
        <v>20</v>
      </c>
      <c r="J37" t="s">
        <v>105</v>
      </c>
      <c r="K37">
        <v>154240285</v>
      </c>
      <c r="L37" t="s">
        <v>447</v>
      </c>
      <c r="M37" t="s">
        <v>168</v>
      </c>
      <c r="N37" t="s">
        <v>533</v>
      </c>
      <c r="O37" t="s">
        <v>291</v>
      </c>
      <c r="P37" s="1"/>
      <c r="Q37" s="1"/>
      <c r="R37" s="1"/>
      <c r="S3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7">
        <f>Portefeuille_MNT_PPS_Access31[[#This Row],[Délais PC1 et PC3]]+Portefeuille_MNT_PPS_Access31[[#This Row],[Délais PC3 et PC5]]</f>
        <v>0</v>
      </c>
      <c r="Z37">
        <v>1</v>
      </c>
      <c r="AB37" t="s">
        <v>311</v>
      </c>
      <c r="AC37">
        <v>3.3333333333333335</v>
      </c>
      <c r="AD37" s="2">
        <f>_xlfn.XLOOKUP(Portefeuille_MNT_PPS_Access31[[#This Row],[Numéro projet]],Portefeuille_MNT_PPS_Access27[Numéro projet],Portefeuille_MNT_PPS_Access27[Critère Etat Infrastructure])</f>
        <v>4</v>
      </c>
      <c r="AE3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41.666666666666671</v>
      </c>
      <c r="AF37" s="221"/>
      <c r="AJ37"/>
      <c r="AT37"/>
      <c r="BA37">
        <v>150</v>
      </c>
      <c r="BC37">
        <v>150</v>
      </c>
      <c r="BE37">
        <v>600</v>
      </c>
      <c r="BF37">
        <v>12000</v>
      </c>
      <c r="BG37" s="14">
        <f>SUM(Portefeuille_MNT_PPS_Access31[[#This Row],[AC ANT]:[TR 2035]])</f>
        <v>12900</v>
      </c>
      <c r="BH37" s="14"/>
    </row>
    <row r="38" spans="1:60" hidden="1" x14ac:dyDescent="0.3">
      <c r="A38" t="s">
        <v>286</v>
      </c>
      <c r="B38" t="s">
        <v>664</v>
      </c>
      <c r="D38" t="s">
        <v>101</v>
      </c>
      <c r="E38" t="s">
        <v>102</v>
      </c>
      <c r="F38" t="s">
        <v>103</v>
      </c>
      <c r="H38" t="s">
        <v>20</v>
      </c>
      <c r="I38" t="s">
        <v>20</v>
      </c>
      <c r="J38" t="s">
        <v>131</v>
      </c>
      <c r="K38">
        <v>154180769</v>
      </c>
      <c r="L38" t="s">
        <v>380</v>
      </c>
      <c r="M38" t="s">
        <v>134</v>
      </c>
      <c r="N38" t="s">
        <v>533</v>
      </c>
      <c r="O38" t="s">
        <v>291</v>
      </c>
      <c r="P38" s="1"/>
      <c r="Q38" s="1"/>
      <c r="R38" s="1"/>
      <c r="S3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8">
        <f>Portefeuille_MNT_PPS_Access31[[#This Row],[Délais PC1 et PC3]]+Portefeuille_MNT_PPS_Access31[[#This Row],[Délais PC3 et PC5]]</f>
        <v>0</v>
      </c>
      <c r="Z38">
        <v>1</v>
      </c>
      <c r="AB38" t="s">
        <v>311</v>
      </c>
      <c r="AC38">
        <v>2.3333333333333335</v>
      </c>
      <c r="AD38" s="2">
        <f>_xlfn.XLOOKUP(Portefeuille_MNT_PPS_Access31[[#This Row],[Numéro projet]],Portefeuille_MNT_PPS_Access27[Numéro projet],Portefeuille_MNT_PPS_Access27[Critère Etat Infrastructure])</f>
        <v>4</v>
      </c>
      <c r="AE3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38" s="221"/>
      <c r="AJ38"/>
      <c r="AT38"/>
      <c r="BC38">
        <v>150</v>
      </c>
      <c r="BE38">
        <v>250</v>
      </c>
      <c r="BF38">
        <v>5000</v>
      </c>
      <c r="BG38" s="14">
        <f>SUM(Portefeuille_MNT_PPS_Access31[[#This Row],[AC ANT]:[TR 2035]])</f>
        <v>5400</v>
      </c>
      <c r="BH38" s="14"/>
    </row>
    <row r="39" spans="1:60" hidden="1" x14ac:dyDescent="0.3">
      <c r="A39" t="s">
        <v>286</v>
      </c>
      <c r="B39" t="s">
        <v>664</v>
      </c>
      <c r="D39" t="s">
        <v>101</v>
      </c>
      <c r="E39" t="s">
        <v>102</v>
      </c>
      <c r="F39" t="s">
        <v>103</v>
      </c>
      <c r="H39" t="s">
        <v>20</v>
      </c>
      <c r="I39" t="s">
        <v>20</v>
      </c>
      <c r="J39" t="s">
        <v>131</v>
      </c>
      <c r="K39">
        <v>154180771</v>
      </c>
      <c r="L39" t="s">
        <v>384</v>
      </c>
      <c r="M39" t="s">
        <v>183</v>
      </c>
      <c r="N39" t="s">
        <v>533</v>
      </c>
      <c r="O39" t="s">
        <v>291</v>
      </c>
      <c r="P39" s="1"/>
      <c r="Q39" s="1"/>
      <c r="R39" s="1"/>
      <c r="S3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3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3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3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3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39">
        <f>Portefeuille_MNT_PPS_Access31[[#This Row],[Délais PC1 et PC3]]+Portefeuille_MNT_PPS_Access31[[#This Row],[Délais PC3 et PC5]]</f>
        <v>0</v>
      </c>
      <c r="Z39">
        <v>1</v>
      </c>
      <c r="AB39" t="s">
        <v>311</v>
      </c>
      <c r="AC39">
        <v>2.3333333333333335</v>
      </c>
      <c r="AD39" s="2">
        <f>_xlfn.XLOOKUP(Portefeuille_MNT_PPS_Access31[[#This Row],[Numéro projet]],Portefeuille_MNT_PPS_Access27[Numéro projet],Portefeuille_MNT_PPS_Access27[Critère Etat Infrastructure])</f>
        <v>4</v>
      </c>
      <c r="AE3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39" s="221"/>
      <c r="AJ39"/>
      <c r="AT39"/>
      <c r="BC39">
        <v>150</v>
      </c>
      <c r="BE39">
        <v>250</v>
      </c>
      <c r="BF39">
        <v>5000</v>
      </c>
      <c r="BG39" s="14">
        <f>SUM(Portefeuille_MNT_PPS_Access31[[#This Row],[AC ANT]:[TR 2035]])</f>
        <v>5400</v>
      </c>
      <c r="BH39" s="14"/>
    </row>
    <row r="40" spans="1:60" hidden="1" x14ac:dyDescent="0.3">
      <c r="A40" t="s">
        <v>286</v>
      </c>
      <c r="B40" t="s">
        <v>664</v>
      </c>
      <c r="D40" t="s">
        <v>101</v>
      </c>
      <c r="E40" t="s">
        <v>102</v>
      </c>
      <c r="F40" t="s">
        <v>389</v>
      </c>
      <c r="H40" t="s">
        <v>20</v>
      </c>
      <c r="I40" t="s">
        <v>20</v>
      </c>
      <c r="J40" t="s">
        <v>105</v>
      </c>
      <c r="K40">
        <v>154250181</v>
      </c>
      <c r="L40" t="s">
        <v>602</v>
      </c>
      <c r="M40" t="s">
        <v>239</v>
      </c>
      <c r="N40" t="s">
        <v>533</v>
      </c>
      <c r="O40" t="s">
        <v>291</v>
      </c>
      <c r="P40" s="1"/>
      <c r="Q40" s="1"/>
      <c r="R40" s="1"/>
      <c r="S4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4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4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4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40">
        <f>Portefeuille_MNT_PPS_Access31[[#This Row],[Délais PC1 et PC3]]+Portefeuille_MNT_PPS_Access31[[#This Row],[Délais PC3 et PC5]]</f>
        <v>0</v>
      </c>
      <c r="Z40">
        <v>1</v>
      </c>
      <c r="AB40" t="s">
        <v>311</v>
      </c>
      <c r="AC40">
        <v>3.3333333333333335</v>
      </c>
      <c r="AD40" s="2">
        <f>_xlfn.XLOOKUP(Portefeuille_MNT_PPS_Access31[[#This Row],[Numéro projet]],Portefeuille_MNT_PPS_Access27[Numéro projet],Portefeuille_MNT_PPS_Access27[Critère Etat Infrastructure])</f>
        <v>4</v>
      </c>
      <c r="AE4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41.666666666666671</v>
      </c>
      <c r="AF40" s="221"/>
      <c r="AJ40"/>
      <c r="AT40"/>
      <c r="BA40">
        <v>100</v>
      </c>
      <c r="BC40">
        <v>100</v>
      </c>
      <c r="BE40">
        <v>500</v>
      </c>
      <c r="BF40">
        <v>5000</v>
      </c>
      <c r="BG40" s="14">
        <f>SUM(Portefeuille_MNT_PPS_Access31[[#This Row],[AC ANT]:[TR 2035]])</f>
        <v>5700</v>
      </c>
      <c r="BH40" s="14"/>
    </row>
    <row r="41" spans="1:60" hidden="1" x14ac:dyDescent="0.3">
      <c r="A41" t="s">
        <v>286</v>
      </c>
      <c r="B41" t="s">
        <v>664</v>
      </c>
      <c r="D41" t="s">
        <v>101</v>
      </c>
      <c r="E41" t="s">
        <v>102</v>
      </c>
      <c r="F41" t="s">
        <v>103</v>
      </c>
      <c r="G41" t="s">
        <v>144</v>
      </c>
      <c r="H41" t="s">
        <v>16</v>
      </c>
      <c r="I41" t="s">
        <v>16</v>
      </c>
      <c r="J41" t="s">
        <v>131</v>
      </c>
      <c r="K41">
        <v>154190674</v>
      </c>
      <c r="L41" t="s">
        <v>146</v>
      </c>
      <c r="M41" t="s">
        <v>147</v>
      </c>
      <c r="N41" t="s">
        <v>109</v>
      </c>
      <c r="O41" t="s">
        <v>110</v>
      </c>
      <c r="P41" s="1">
        <v>44609</v>
      </c>
      <c r="Q41" s="1">
        <v>45996</v>
      </c>
      <c r="R41" s="1">
        <v>46310</v>
      </c>
      <c r="S4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4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4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1.Très à risque</v>
      </c>
      <c r="V4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46</v>
      </c>
      <c r="W4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10</v>
      </c>
      <c r="X41">
        <f>Portefeuille_MNT_PPS_Access31[[#This Row],[Délais PC1 et PC3]]+Portefeuille_MNT_PPS_Access31[[#This Row],[Délais PC3 et PC5]]</f>
        <v>56</v>
      </c>
      <c r="Y41">
        <v>1</v>
      </c>
      <c r="Z41">
        <v>5</v>
      </c>
      <c r="AA41">
        <v>1</v>
      </c>
      <c r="AB41" t="s">
        <v>112</v>
      </c>
      <c r="AC41">
        <v>2.6666666666666665</v>
      </c>
      <c r="AD41" s="2">
        <f>_xlfn.XLOOKUP(Portefeuille_MNT_PPS_Access31[[#This Row],[Numéro projet]],Portefeuille_MNT_PPS_Access27[Numéro projet],Portefeuille_MNT_PPS_Access27[Critère Etat Infrastructure])</f>
        <v>3</v>
      </c>
      <c r="AE4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58.333333333333336</v>
      </c>
      <c r="AF41" s="221"/>
      <c r="AG41">
        <v>117</v>
      </c>
      <c r="AI41">
        <v>84</v>
      </c>
      <c r="AJ41"/>
      <c r="AK41">
        <v>195</v>
      </c>
      <c r="AM41">
        <v>125</v>
      </c>
      <c r="AN41">
        <v>3737</v>
      </c>
      <c r="AO41">
        <v>202</v>
      </c>
      <c r="AP41">
        <v>5947</v>
      </c>
      <c r="AT41"/>
      <c r="BG41" s="14">
        <f>SUM(Portefeuille_MNT_PPS_Access31[[#This Row],[AC ANT]:[TR 2035]])</f>
        <v>10407</v>
      </c>
      <c r="BH41" s="14"/>
    </row>
    <row r="42" spans="1:60" hidden="1" x14ac:dyDescent="0.3">
      <c r="A42" t="s">
        <v>286</v>
      </c>
      <c r="B42" t="s">
        <v>662</v>
      </c>
      <c r="C42">
        <v>4</v>
      </c>
      <c r="D42" t="s">
        <v>118</v>
      </c>
      <c r="E42" t="s">
        <v>102</v>
      </c>
      <c r="F42" t="s">
        <v>136</v>
      </c>
      <c r="G42" t="s">
        <v>104</v>
      </c>
      <c r="H42" t="s">
        <v>16</v>
      </c>
      <c r="I42" t="s">
        <v>20</v>
      </c>
      <c r="J42" t="s">
        <v>131</v>
      </c>
      <c r="K42">
        <v>154230792</v>
      </c>
      <c r="L42" t="s">
        <v>158</v>
      </c>
      <c r="M42" t="s">
        <v>159</v>
      </c>
      <c r="N42" t="s">
        <v>109</v>
      </c>
      <c r="O42" t="s">
        <v>155</v>
      </c>
      <c r="P42" s="1">
        <v>45991</v>
      </c>
      <c r="Q42" s="1"/>
      <c r="R42" s="1">
        <v>46249</v>
      </c>
      <c r="S4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1.Très à risque</v>
      </c>
      <c r="V4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-1510</v>
      </c>
      <c r="W4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1519</v>
      </c>
      <c r="X42">
        <f>Portefeuille_MNT_PPS_Access31[[#This Row],[Délais PC1 et PC3]]+Portefeuille_MNT_PPS_Access31[[#This Row],[Délais PC3 et PC5]]</f>
        <v>9</v>
      </c>
      <c r="Y42">
        <v>1</v>
      </c>
      <c r="Z42">
        <v>1</v>
      </c>
      <c r="AA42">
        <v>1</v>
      </c>
      <c r="AB42" t="s">
        <v>156</v>
      </c>
      <c r="AC42">
        <v>4.333333333333333</v>
      </c>
      <c r="AD42" s="2">
        <f>_xlfn.XLOOKUP(Portefeuille_MNT_PPS_Access31[[#This Row],[Numéro projet]],Portefeuille_MNT_PPS_Access27[Numéro projet],Portefeuille_MNT_PPS_Access27[Critère Etat Infrastructure])</f>
        <v>3</v>
      </c>
      <c r="AE4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42" s="221"/>
      <c r="AJ42"/>
      <c r="AK42">
        <v>75</v>
      </c>
      <c r="AM42">
        <v>75</v>
      </c>
      <c r="AN42">
        <v>325</v>
      </c>
      <c r="AO42">
        <v>150</v>
      </c>
      <c r="AP42">
        <v>325</v>
      </c>
      <c r="AT42"/>
      <c r="BG42" s="14">
        <f>SUM(Portefeuille_MNT_PPS_Access31[[#This Row],[AC ANT]:[TR 2035]])</f>
        <v>950</v>
      </c>
      <c r="BH42" s="14"/>
    </row>
    <row r="43" spans="1:60" hidden="1" x14ac:dyDescent="0.3">
      <c r="A43" t="s">
        <v>286</v>
      </c>
      <c r="B43" t="s">
        <v>662</v>
      </c>
      <c r="C43">
        <v>7</v>
      </c>
      <c r="D43" t="s">
        <v>118</v>
      </c>
      <c r="E43" t="s">
        <v>102</v>
      </c>
      <c r="F43" t="s">
        <v>136</v>
      </c>
      <c r="G43" t="s">
        <v>113</v>
      </c>
      <c r="H43" t="s">
        <v>20</v>
      </c>
      <c r="I43" t="s">
        <v>20</v>
      </c>
      <c r="J43" t="s">
        <v>131</v>
      </c>
      <c r="K43">
        <v>154250021</v>
      </c>
      <c r="L43" t="s">
        <v>544</v>
      </c>
      <c r="M43" t="s">
        <v>187</v>
      </c>
      <c r="N43" t="s">
        <v>109</v>
      </c>
      <c r="O43" t="s">
        <v>123</v>
      </c>
      <c r="P43" s="1">
        <v>45762</v>
      </c>
      <c r="Q43" s="1">
        <v>46096</v>
      </c>
      <c r="R43" s="1">
        <v>46096</v>
      </c>
      <c r="S4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4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4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4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43">
        <f>Portefeuille_MNT_PPS_Access31[[#This Row],[Délais PC1 et PC3]]+Portefeuille_MNT_PPS_Access31[[#This Row],[Délais PC3 et PC5]]</f>
        <v>11</v>
      </c>
      <c r="Y43">
        <v>1</v>
      </c>
      <c r="Z43">
        <v>1</v>
      </c>
      <c r="AA43">
        <v>3</v>
      </c>
      <c r="AB43" t="s">
        <v>125</v>
      </c>
      <c r="AC43">
        <v>3</v>
      </c>
      <c r="AD43" s="2">
        <f>_xlfn.XLOOKUP(Portefeuille_MNT_PPS_Access31[[#This Row],[Numéro projet]],Portefeuille_MNT_PPS_Access27[Numéro projet],Portefeuille_MNT_PPS_Access27[Critère Etat Infrastructure])</f>
        <v>3</v>
      </c>
      <c r="AE4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49.999999999999993</v>
      </c>
      <c r="AF43" s="221"/>
      <c r="AJ43"/>
      <c r="AM43">
        <v>1</v>
      </c>
      <c r="AN43">
        <v>164</v>
      </c>
      <c r="AT43"/>
      <c r="BG43" s="14">
        <f>SUM(Portefeuille_MNT_PPS_Access31[[#This Row],[AC ANT]:[TR 2035]])</f>
        <v>165</v>
      </c>
      <c r="BH43" s="14"/>
    </row>
    <row r="44" spans="1:60" hidden="1" x14ac:dyDescent="0.3">
      <c r="A44" t="s">
        <v>286</v>
      </c>
      <c r="B44" t="s">
        <v>662</v>
      </c>
      <c r="C44">
        <v>6</v>
      </c>
      <c r="D44" t="s">
        <v>118</v>
      </c>
      <c r="E44" t="s">
        <v>102</v>
      </c>
      <c r="F44" t="s">
        <v>136</v>
      </c>
      <c r="G44" t="s">
        <v>104</v>
      </c>
      <c r="H44" t="s">
        <v>16</v>
      </c>
      <c r="I44" t="s">
        <v>20</v>
      </c>
      <c r="J44" t="s">
        <v>105</v>
      </c>
      <c r="K44">
        <v>154240756</v>
      </c>
      <c r="L44" t="s">
        <v>517</v>
      </c>
      <c r="M44" t="s">
        <v>302</v>
      </c>
      <c r="N44" t="s">
        <v>109</v>
      </c>
      <c r="O44" t="s">
        <v>110</v>
      </c>
      <c r="P44" s="1">
        <v>45904</v>
      </c>
      <c r="Q44" s="1"/>
      <c r="R44" s="1">
        <v>46096</v>
      </c>
      <c r="S4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4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-1508</v>
      </c>
      <c r="W4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1514</v>
      </c>
      <c r="X44">
        <f>Portefeuille_MNT_PPS_Access31[[#This Row],[Délais PC1 et PC3]]+Portefeuille_MNT_PPS_Access31[[#This Row],[Délais PC3 et PC5]]</f>
        <v>6</v>
      </c>
      <c r="Y44">
        <v>1</v>
      </c>
      <c r="Z44">
        <v>1</v>
      </c>
      <c r="AA44">
        <v>3</v>
      </c>
      <c r="AB44" t="s">
        <v>112</v>
      </c>
      <c r="AC44">
        <v>4</v>
      </c>
      <c r="AD44" s="2">
        <f>_xlfn.XLOOKUP(Portefeuille_MNT_PPS_Access31[[#This Row],[Numéro projet]],Portefeuille_MNT_PPS_Access27[Numéro projet],Portefeuille_MNT_PPS_Access27[Critère Etat Infrastructure])</f>
        <v>5</v>
      </c>
      <c r="AE4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65.000000000000014</v>
      </c>
      <c r="AF44" s="221"/>
      <c r="AJ44"/>
      <c r="AK44">
        <v>59</v>
      </c>
      <c r="AM44">
        <v>131</v>
      </c>
      <c r="AN44">
        <v>478</v>
      </c>
      <c r="AT44"/>
      <c r="BG44" s="14">
        <f>SUM(Portefeuille_MNT_PPS_Access31[[#This Row],[AC ANT]:[TR 2035]])</f>
        <v>668</v>
      </c>
      <c r="BH44" s="14"/>
    </row>
    <row r="45" spans="1:60" hidden="1" x14ac:dyDescent="0.3">
      <c r="A45" t="s">
        <v>286</v>
      </c>
      <c r="B45" t="s">
        <v>662</v>
      </c>
      <c r="D45" t="s">
        <v>118</v>
      </c>
      <c r="E45" t="s">
        <v>102</v>
      </c>
      <c r="F45" t="s">
        <v>136</v>
      </c>
      <c r="G45" t="s">
        <v>252</v>
      </c>
      <c r="H45" t="s">
        <v>16</v>
      </c>
      <c r="I45" t="s">
        <v>16</v>
      </c>
      <c r="J45" t="s">
        <v>131</v>
      </c>
      <c r="K45">
        <v>154240497</v>
      </c>
      <c r="L45" t="s">
        <v>529</v>
      </c>
      <c r="M45" t="s">
        <v>209</v>
      </c>
      <c r="N45" t="s">
        <v>109</v>
      </c>
      <c r="O45" t="s">
        <v>291</v>
      </c>
      <c r="P45" s="1"/>
      <c r="Q45" s="1"/>
      <c r="R45" s="1">
        <v>46006</v>
      </c>
      <c r="S4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4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4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4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1511</v>
      </c>
      <c r="X45">
        <f>Portefeuille_MNT_PPS_Access31[[#This Row],[Délais PC1 et PC3]]+Portefeuille_MNT_PPS_Access31[[#This Row],[Délais PC3 et PC5]]</f>
        <v>1511</v>
      </c>
      <c r="Y45">
        <v>1</v>
      </c>
      <c r="Z45">
        <v>1</v>
      </c>
      <c r="AA45">
        <v>5</v>
      </c>
      <c r="AB45" t="s">
        <v>311</v>
      </c>
      <c r="AC45">
        <v>3.3333333333333335</v>
      </c>
      <c r="AD45" s="2">
        <f>_xlfn.XLOOKUP(Portefeuille_MNT_PPS_Access31[[#This Row],[Numéro projet]],Portefeuille_MNT_PPS_Access27[Numéro projet],Portefeuille_MNT_PPS_Access27[Critère Etat Infrastructure])</f>
        <v>4</v>
      </c>
      <c r="AE4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66.666666666666671</v>
      </c>
      <c r="AF45" s="221"/>
      <c r="AJ45"/>
      <c r="AK45">
        <v>60</v>
      </c>
      <c r="AM45">
        <v>20</v>
      </c>
      <c r="AN45">
        <v>540</v>
      </c>
      <c r="AT45"/>
      <c r="BG45" s="14">
        <f>SUM(Portefeuille_MNT_PPS_Access31[[#This Row],[AC ANT]:[TR 2035]])</f>
        <v>620</v>
      </c>
      <c r="BH45" s="14"/>
    </row>
    <row r="46" spans="1:60" hidden="1" x14ac:dyDescent="0.3">
      <c r="A46" t="s">
        <v>286</v>
      </c>
      <c r="B46" t="s">
        <v>662</v>
      </c>
      <c r="C46">
        <v>3</v>
      </c>
      <c r="D46" t="s">
        <v>118</v>
      </c>
      <c r="E46" t="s">
        <v>102</v>
      </c>
      <c r="F46" t="s">
        <v>136</v>
      </c>
      <c r="G46" t="s">
        <v>113</v>
      </c>
      <c r="H46" t="s">
        <v>16</v>
      </c>
      <c r="I46" t="s">
        <v>20</v>
      </c>
      <c r="J46" t="s">
        <v>105</v>
      </c>
      <c r="K46">
        <v>154230630</v>
      </c>
      <c r="L46" t="s">
        <v>249</v>
      </c>
      <c r="M46" t="s">
        <v>180</v>
      </c>
      <c r="N46" t="s">
        <v>109</v>
      </c>
      <c r="O46" t="s">
        <v>110</v>
      </c>
      <c r="P46" s="1">
        <v>45476</v>
      </c>
      <c r="Q46" s="1">
        <v>45703</v>
      </c>
      <c r="R46" s="1">
        <v>46068</v>
      </c>
      <c r="S4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4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4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7</v>
      </c>
      <c r="W4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46">
        <f>Portefeuille_MNT_PPS_Access31[[#This Row],[Délais PC1 et PC3]]+Portefeuille_MNT_PPS_Access31[[#This Row],[Délais PC3 et PC5]]</f>
        <v>19</v>
      </c>
      <c r="Y46">
        <v>1</v>
      </c>
      <c r="Z46">
        <v>1</v>
      </c>
      <c r="AA46">
        <v>5</v>
      </c>
      <c r="AB46" t="s">
        <v>112</v>
      </c>
      <c r="AC46">
        <v>3.1333333333333333</v>
      </c>
      <c r="AD46" s="2">
        <f>_xlfn.XLOOKUP(Portefeuille_MNT_PPS_Access31[[#This Row],[Numéro projet]],Portefeuille_MNT_PPS_Access27[Numéro projet],Portefeuille_MNT_PPS_Access27[Critère Etat Infrastructure])</f>
        <v>5</v>
      </c>
      <c r="AE4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70.666666666666671</v>
      </c>
      <c r="AF46" s="221"/>
      <c r="AJ46"/>
      <c r="AK46">
        <v>35</v>
      </c>
      <c r="AM46">
        <v>110</v>
      </c>
      <c r="AN46">
        <v>1100</v>
      </c>
      <c r="AO46">
        <v>175</v>
      </c>
      <c r="AP46">
        <v>1100</v>
      </c>
      <c r="AT46"/>
      <c r="BG46" s="14">
        <f>SUM(Portefeuille_MNT_PPS_Access31[[#This Row],[AC ANT]:[TR 2035]])</f>
        <v>2520</v>
      </c>
      <c r="BH46" s="14"/>
    </row>
    <row r="47" spans="1:60" hidden="1" x14ac:dyDescent="0.3">
      <c r="A47" t="s">
        <v>286</v>
      </c>
      <c r="B47" t="s">
        <v>664</v>
      </c>
      <c r="D47" t="s">
        <v>101</v>
      </c>
      <c r="E47" t="s">
        <v>102</v>
      </c>
      <c r="F47" t="s">
        <v>103</v>
      </c>
      <c r="G47" t="s">
        <v>104</v>
      </c>
      <c r="H47" t="s">
        <v>16</v>
      </c>
      <c r="I47" t="s">
        <v>16</v>
      </c>
      <c r="J47" t="s">
        <v>105</v>
      </c>
      <c r="K47">
        <v>154190692</v>
      </c>
      <c r="L47" t="s">
        <v>107</v>
      </c>
      <c r="M47" t="s">
        <v>108</v>
      </c>
      <c r="N47" t="s">
        <v>109</v>
      </c>
      <c r="O47" t="s">
        <v>123</v>
      </c>
      <c r="P47" s="1">
        <v>45014</v>
      </c>
      <c r="Q47" s="1">
        <v>45799</v>
      </c>
      <c r="R47" s="1">
        <v>46006</v>
      </c>
      <c r="S4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4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4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4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26</v>
      </c>
      <c r="W4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7</v>
      </c>
      <c r="X47">
        <f>Portefeuille_MNT_PPS_Access31[[#This Row],[Délais PC1 et PC3]]+Portefeuille_MNT_PPS_Access31[[#This Row],[Délais PC3 et PC5]]</f>
        <v>33</v>
      </c>
      <c r="Y47">
        <v>1</v>
      </c>
      <c r="Z47">
        <v>5</v>
      </c>
      <c r="AA47">
        <v>5</v>
      </c>
      <c r="AB47" t="s">
        <v>125</v>
      </c>
      <c r="AC47">
        <v>4</v>
      </c>
      <c r="AD47" s="2">
        <f>_xlfn.XLOOKUP(Portefeuille_MNT_PPS_Access31[[#This Row],[Numéro projet]],Portefeuille_MNT_PPS_Access27[Numéro projet],Portefeuille_MNT_PPS_Access27[Critère Etat Infrastructure])</f>
        <v>4</v>
      </c>
      <c r="AE4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90</v>
      </c>
      <c r="AF47" s="221"/>
      <c r="AG47">
        <v>69</v>
      </c>
      <c r="AI47">
        <v>213</v>
      </c>
      <c r="AJ47"/>
      <c r="AK47">
        <v>296</v>
      </c>
      <c r="AM47">
        <v>318</v>
      </c>
      <c r="AN47">
        <v>12253</v>
      </c>
      <c r="AO47">
        <v>294</v>
      </c>
      <c r="AP47">
        <v>4254</v>
      </c>
      <c r="AT47"/>
      <c r="BG47" s="14">
        <f>SUM(Portefeuille_MNT_PPS_Access31[[#This Row],[AC ANT]:[TR 2035]])</f>
        <v>17697</v>
      </c>
      <c r="BH47" s="14"/>
    </row>
    <row r="48" spans="1:60" hidden="1" x14ac:dyDescent="0.3">
      <c r="A48" t="s">
        <v>286</v>
      </c>
      <c r="B48" t="s">
        <v>662</v>
      </c>
      <c r="C48">
        <v>1</v>
      </c>
      <c r="D48" t="s">
        <v>118</v>
      </c>
      <c r="E48" t="s">
        <v>102</v>
      </c>
      <c r="F48" t="s">
        <v>188</v>
      </c>
      <c r="G48" t="s">
        <v>113</v>
      </c>
      <c r="H48" t="s">
        <v>16</v>
      </c>
      <c r="I48" t="s">
        <v>130</v>
      </c>
      <c r="J48" t="s">
        <v>131</v>
      </c>
      <c r="K48">
        <v>154151031</v>
      </c>
      <c r="L48" t="s">
        <v>190</v>
      </c>
      <c r="M48" t="s">
        <v>191</v>
      </c>
      <c r="N48" t="s">
        <v>109</v>
      </c>
      <c r="O48" t="s">
        <v>123</v>
      </c>
      <c r="P48" s="1">
        <v>45684</v>
      </c>
      <c r="Q48" s="1"/>
      <c r="R48" s="1">
        <v>46006</v>
      </c>
      <c r="S4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4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-1500</v>
      </c>
      <c r="W4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1511</v>
      </c>
      <c r="X48">
        <f>Portefeuille_MNT_PPS_Access31[[#This Row],[Délais PC1 et PC3]]+Portefeuille_MNT_PPS_Access31[[#This Row],[Délais PC3 et PC5]]</f>
        <v>11</v>
      </c>
      <c r="Y48">
        <v>1</v>
      </c>
      <c r="Z48">
        <v>1</v>
      </c>
      <c r="AA48">
        <v>5</v>
      </c>
      <c r="AB48" t="s">
        <v>125</v>
      </c>
      <c r="AC48">
        <v>1.6666666666666667</v>
      </c>
      <c r="AD48" s="2">
        <f>_xlfn.XLOOKUP(Portefeuille_MNT_PPS_Access31[[#This Row],[Numéro projet]],Portefeuille_MNT_PPS_Access27[Numéro projet],Portefeuille_MNT_PPS_Access27[Critère Etat Infrastructure])</f>
        <v>5</v>
      </c>
      <c r="AE4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63.333333333333343</v>
      </c>
      <c r="AF48" s="221"/>
      <c r="AJ48"/>
      <c r="AK48">
        <v>132</v>
      </c>
      <c r="AM48">
        <v>262</v>
      </c>
      <c r="AN48">
        <v>899</v>
      </c>
      <c r="AT48"/>
      <c r="BG48" s="14">
        <f>SUM(Portefeuille_MNT_PPS_Access31[[#This Row],[AC ANT]:[TR 2035]])</f>
        <v>1293</v>
      </c>
      <c r="BH48" s="14"/>
    </row>
    <row r="49" spans="1:60" hidden="1" x14ac:dyDescent="0.3">
      <c r="A49" t="s">
        <v>286</v>
      </c>
      <c r="B49" t="s">
        <v>663</v>
      </c>
      <c r="C49">
        <v>6</v>
      </c>
      <c r="D49" t="s">
        <v>101</v>
      </c>
      <c r="E49" t="s">
        <v>102</v>
      </c>
      <c r="F49" t="s">
        <v>119</v>
      </c>
      <c r="G49" t="s">
        <v>129</v>
      </c>
      <c r="H49" t="s">
        <v>20</v>
      </c>
      <c r="I49" t="s">
        <v>20</v>
      </c>
      <c r="J49" t="s">
        <v>131</v>
      </c>
      <c r="K49">
        <v>154230793</v>
      </c>
      <c r="L49" t="s">
        <v>441</v>
      </c>
      <c r="M49" t="s">
        <v>152</v>
      </c>
      <c r="N49" t="s">
        <v>109</v>
      </c>
      <c r="O49" t="s">
        <v>155</v>
      </c>
      <c r="P49" s="1">
        <v>45992</v>
      </c>
      <c r="Q49" s="1"/>
      <c r="R49" s="1">
        <v>45992</v>
      </c>
      <c r="S4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4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4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4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-1511</v>
      </c>
      <c r="W4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1511</v>
      </c>
      <c r="X49">
        <f>Portefeuille_MNT_PPS_Access31[[#This Row],[Délais PC1 et PC3]]+Portefeuille_MNT_PPS_Access31[[#This Row],[Délais PC3 et PC5]]</f>
        <v>0</v>
      </c>
      <c r="Y49">
        <v>1</v>
      </c>
      <c r="Z49">
        <v>1</v>
      </c>
      <c r="AA49">
        <v>5</v>
      </c>
      <c r="AB49" t="s">
        <v>156</v>
      </c>
      <c r="AC49">
        <v>3.3333333333333335</v>
      </c>
      <c r="AD49" s="2">
        <f>_xlfn.XLOOKUP(Portefeuille_MNT_PPS_Access31[[#This Row],[Numéro projet]],Portefeuille_MNT_PPS_Access27[Numéro projet],Portefeuille_MNT_PPS_Access27[Critère Etat Infrastructure])</f>
        <v>3</v>
      </c>
      <c r="AE4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61.666666666666671</v>
      </c>
      <c r="AF49" s="221"/>
      <c r="AJ49"/>
      <c r="AM49">
        <v>55</v>
      </c>
      <c r="AN49">
        <v>543</v>
      </c>
      <c r="AT49"/>
      <c r="BG49" s="14">
        <f>SUM(Portefeuille_MNT_PPS_Access31[[#This Row],[AC ANT]:[TR 2035]])</f>
        <v>598</v>
      </c>
      <c r="BH49" s="14"/>
    </row>
    <row r="50" spans="1:60" hidden="1" x14ac:dyDescent="0.3">
      <c r="A50" t="s">
        <v>286</v>
      </c>
      <c r="B50" t="s">
        <v>664</v>
      </c>
      <c r="D50" t="s">
        <v>101</v>
      </c>
      <c r="E50" t="s">
        <v>102</v>
      </c>
      <c r="F50" t="s">
        <v>103</v>
      </c>
      <c r="G50" t="s">
        <v>129</v>
      </c>
      <c r="H50" t="s">
        <v>16</v>
      </c>
      <c r="I50" t="s">
        <v>16</v>
      </c>
      <c r="J50" t="s">
        <v>131</v>
      </c>
      <c r="K50">
        <v>154151060</v>
      </c>
      <c r="L50" t="s">
        <v>288</v>
      </c>
      <c r="M50" t="s">
        <v>134</v>
      </c>
      <c r="N50" t="s">
        <v>109</v>
      </c>
      <c r="O50" t="s">
        <v>123</v>
      </c>
      <c r="P50" s="1">
        <v>45218</v>
      </c>
      <c r="Q50" s="1">
        <v>45722</v>
      </c>
      <c r="R50" s="1">
        <v>45976</v>
      </c>
      <c r="S5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5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5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5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17</v>
      </c>
      <c r="W5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8</v>
      </c>
      <c r="X50">
        <f>Portefeuille_MNT_PPS_Access31[[#This Row],[Délais PC1 et PC3]]+Portefeuille_MNT_PPS_Access31[[#This Row],[Délais PC3 et PC5]]</f>
        <v>25</v>
      </c>
      <c r="Y50">
        <v>1</v>
      </c>
      <c r="Z50">
        <v>5</v>
      </c>
      <c r="AA50">
        <v>5</v>
      </c>
      <c r="AB50" t="s">
        <v>125</v>
      </c>
      <c r="AC50">
        <v>2.3333333333333335</v>
      </c>
      <c r="AD50" s="2">
        <f>_xlfn.XLOOKUP(Portefeuille_MNT_PPS_Access31[[#This Row],[Numéro projet]],Portefeuille_MNT_PPS_Access27[Numéro projet],Portefeuille_MNT_PPS_Access27[Critère Etat Infrastructure])</f>
        <v>5</v>
      </c>
      <c r="AE5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86.666666666666671</v>
      </c>
      <c r="AF50" s="221"/>
      <c r="AI50">
        <v>12</v>
      </c>
      <c r="AJ50"/>
      <c r="AK50">
        <v>10</v>
      </c>
      <c r="AM50">
        <v>350</v>
      </c>
      <c r="AN50">
        <v>4669</v>
      </c>
      <c r="AT50"/>
      <c r="BG50" s="14">
        <f>SUM(Portefeuille_MNT_PPS_Access31[[#This Row],[AC ANT]:[TR 2035]])</f>
        <v>5041</v>
      </c>
      <c r="BH50" s="14"/>
    </row>
    <row r="51" spans="1:60" hidden="1" x14ac:dyDescent="0.3">
      <c r="A51" t="s">
        <v>286</v>
      </c>
      <c r="B51" t="s">
        <v>662</v>
      </c>
      <c r="D51" t="s">
        <v>118</v>
      </c>
      <c r="E51" t="s">
        <v>102</v>
      </c>
      <c r="F51" t="s">
        <v>242</v>
      </c>
      <c r="G51" t="s">
        <v>113</v>
      </c>
      <c r="H51" t="s">
        <v>16</v>
      </c>
      <c r="I51" t="s">
        <v>20</v>
      </c>
      <c r="J51" t="s">
        <v>131</v>
      </c>
      <c r="K51">
        <v>154210524</v>
      </c>
      <c r="L51" t="s">
        <v>244</v>
      </c>
      <c r="M51" t="s">
        <v>245</v>
      </c>
      <c r="N51" t="s">
        <v>173</v>
      </c>
      <c r="O51" t="s">
        <v>155</v>
      </c>
      <c r="P51" s="1">
        <v>45976</v>
      </c>
      <c r="Q51" s="1">
        <v>46280</v>
      </c>
      <c r="R51" s="1">
        <v>46433</v>
      </c>
      <c r="S5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5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5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10</v>
      </c>
      <c r="W5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5</v>
      </c>
      <c r="X51">
        <f>Portefeuille_MNT_PPS_Access31[[#This Row],[Délais PC1 et PC3]]+Portefeuille_MNT_PPS_Access31[[#This Row],[Délais PC3 et PC5]]</f>
        <v>15</v>
      </c>
      <c r="Z51">
        <v>1</v>
      </c>
      <c r="AA51">
        <v>1</v>
      </c>
      <c r="AB51" t="s">
        <v>156</v>
      </c>
      <c r="AC51">
        <v>1.6666666666666667</v>
      </c>
      <c r="AD51" s="2">
        <f>_xlfn.XLOOKUP(Portefeuille_MNT_PPS_Access31[[#This Row],[Numéro projet]],Portefeuille_MNT_PPS_Access27[Numéro projet],Portefeuille_MNT_PPS_Access27[Critère Etat Infrastructure])</f>
        <v>4</v>
      </c>
      <c r="AE5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38.333333333333336</v>
      </c>
      <c r="AF51" s="221"/>
      <c r="AJ51"/>
      <c r="AK51">
        <v>5</v>
      </c>
      <c r="AM51">
        <v>150</v>
      </c>
      <c r="AO51">
        <v>195</v>
      </c>
      <c r="AP51">
        <v>2000</v>
      </c>
      <c r="AT51"/>
      <c r="BG51" s="14">
        <f>SUM(Portefeuille_MNT_PPS_Access31[[#This Row],[AC ANT]:[TR 2035]])</f>
        <v>2350</v>
      </c>
      <c r="BH51" s="14"/>
    </row>
    <row r="52" spans="1:60" hidden="1" x14ac:dyDescent="0.3">
      <c r="A52" t="s">
        <v>286</v>
      </c>
      <c r="B52" t="s">
        <v>662</v>
      </c>
      <c r="D52" t="s">
        <v>118</v>
      </c>
      <c r="E52" t="s">
        <v>102</v>
      </c>
      <c r="F52" t="s">
        <v>119</v>
      </c>
      <c r="G52" t="s">
        <v>206</v>
      </c>
      <c r="H52" t="s">
        <v>16</v>
      </c>
      <c r="I52" t="s">
        <v>130</v>
      </c>
      <c r="J52" t="s">
        <v>131</v>
      </c>
      <c r="K52">
        <v>154180745</v>
      </c>
      <c r="L52" t="s">
        <v>208</v>
      </c>
      <c r="M52" t="s">
        <v>209</v>
      </c>
      <c r="N52" t="s">
        <v>173</v>
      </c>
      <c r="O52" t="s">
        <v>155</v>
      </c>
      <c r="P52" s="1">
        <v>45976</v>
      </c>
      <c r="Q52" s="1">
        <v>46096</v>
      </c>
      <c r="R52" s="1">
        <v>46280</v>
      </c>
      <c r="S5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5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5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</v>
      </c>
      <c r="W5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6</v>
      </c>
      <c r="X52">
        <f>Portefeuille_MNT_PPS_Access31[[#This Row],[Délais PC1 et PC3]]+Portefeuille_MNT_PPS_Access31[[#This Row],[Délais PC3 et PC5]]</f>
        <v>10</v>
      </c>
      <c r="Z52">
        <v>1</v>
      </c>
      <c r="AA52">
        <v>3</v>
      </c>
      <c r="AB52" t="s">
        <v>156</v>
      </c>
      <c r="AC52">
        <v>3.3333333333333335</v>
      </c>
      <c r="AD52" s="2">
        <f>_xlfn.XLOOKUP(Portefeuille_MNT_PPS_Access31[[#This Row],[Numéro projet]],Portefeuille_MNT_PPS_Access27[Numéro projet],Portefeuille_MNT_PPS_Access27[Critère Etat Infrastructure])</f>
        <v>3</v>
      </c>
      <c r="AE5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51.666666666666671</v>
      </c>
      <c r="AF52" s="221"/>
      <c r="AG52">
        <v>196</v>
      </c>
      <c r="AJ52"/>
      <c r="AK52">
        <v>40</v>
      </c>
      <c r="AM52">
        <v>255</v>
      </c>
      <c r="AO52">
        <v>396</v>
      </c>
      <c r="AP52">
        <v>1500</v>
      </c>
      <c r="AT52"/>
      <c r="BG52" s="14">
        <f>SUM(Portefeuille_MNT_PPS_Access31[[#This Row],[AC ANT]:[TR 2035]])</f>
        <v>2387</v>
      </c>
      <c r="BH52" s="14"/>
    </row>
    <row r="53" spans="1:60" hidden="1" x14ac:dyDescent="0.3">
      <c r="A53" t="s">
        <v>286</v>
      </c>
      <c r="B53" t="s">
        <v>662</v>
      </c>
      <c r="D53" t="s">
        <v>118</v>
      </c>
      <c r="E53" t="s">
        <v>102</v>
      </c>
      <c r="F53" t="s">
        <v>136</v>
      </c>
      <c r="G53" t="s">
        <v>104</v>
      </c>
      <c r="H53" t="s">
        <v>16</v>
      </c>
      <c r="I53" t="s">
        <v>20</v>
      </c>
      <c r="J53" t="s">
        <v>105</v>
      </c>
      <c r="K53">
        <v>154240757</v>
      </c>
      <c r="L53" t="s">
        <v>519</v>
      </c>
      <c r="M53" t="s">
        <v>143</v>
      </c>
      <c r="N53" t="s">
        <v>197</v>
      </c>
      <c r="O53" t="s">
        <v>155</v>
      </c>
      <c r="P53" s="1">
        <v>46127</v>
      </c>
      <c r="Q53" s="1"/>
      <c r="R53" s="1"/>
      <c r="S5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5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5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-1515</v>
      </c>
      <c r="W5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53">
        <f>Portefeuille_MNT_PPS_Access31[[#This Row],[Délais PC1 et PC3]]+Portefeuille_MNT_PPS_Access31[[#This Row],[Délais PC3 et PC5]]</f>
        <v>-1515</v>
      </c>
      <c r="Z53">
        <v>1</v>
      </c>
      <c r="AA53">
        <v>1</v>
      </c>
      <c r="AB53" t="s">
        <v>156</v>
      </c>
      <c r="AC53">
        <v>4.333333333333333</v>
      </c>
      <c r="AD53" s="2">
        <f>_xlfn.XLOOKUP(Portefeuille_MNT_PPS_Access31[[#This Row],[Numéro projet]],Portefeuille_MNT_PPS_Access27[Numéro projet],Portefeuille_MNT_PPS_Access27[Critère Etat Infrastructure])</f>
        <v>5</v>
      </c>
      <c r="AE5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56.666666666666664</v>
      </c>
      <c r="AF53" s="221"/>
      <c r="AJ53"/>
      <c r="AM53">
        <v>10</v>
      </c>
      <c r="AO53">
        <v>15</v>
      </c>
      <c r="AQ53">
        <v>25</v>
      </c>
      <c r="AR53">
        <v>250</v>
      </c>
      <c r="AT53"/>
      <c r="BG53" s="14">
        <f>SUM(Portefeuille_MNT_PPS_Access31[[#This Row],[AC ANT]:[TR 2035]])</f>
        <v>300</v>
      </c>
      <c r="BH53" s="14"/>
    </row>
    <row r="54" spans="1:60" hidden="1" x14ac:dyDescent="0.3">
      <c r="A54" t="s">
        <v>286</v>
      </c>
      <c r="B54" t="s">
        <v>663</v>
      </c>
      <c r="D54" t="s">
        <v>101</v>
      </c>
      <c r="E54" t="s">
        <v>102</v>
      </c>
      <c r="F54" t="s">
        <v>119</v>
      </c>
      <c r="G54" t="s">
        <v>129</v>
      </c>
      <c r="H54" t="s">
        <v>16</v>
      </c>
      <c r="I54" t="s">
        <v>16</v>
      </c>
      <c r="J54" t="s">
        <v>131</v>
      </c>
      <c r="K54">
        <v>154200653</v>
      </c>
      <c r="L54" t="s">
        <v>154</v>
      </c>
      <c r="M54" t="s">
        <v>134</v>
      </c>
      <c r="N54" t="s">
        <v>109</v>
      </c>
      <c r="O54" t="s">
        <v>123</v>
      </c>
      <c r="P54" s="1">
        <v>45601</v>
      </c>
      <c r="Q54" s="1">
        <v>45731</v>
      </c>
      <c r="R54" s="1">
        <v>45976</v>
      </c>
      <c r="S5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5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5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</v>
      </c>
      <c r="W5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8</v>
      </c>
      <c r="X54">
        <f>Portefeuille_MNT_PPS_Access31[[#This Row],[Délais PC1 et PC3]]+Portefeuille_MNT_PPS_Access31[[#This Row],[Délais PC3 et PC5]]</f>
        <v>12</v>
      </c>
      <c r="Y54">
        <v>1</v>
      </c>
      <c r="Z54">
        <v>5</v>
      </c>
      <c r="AA54">
        <v>5</v>
      </c>
      <c r="AB54" t="s">
        <v>125</v>
      </c>
      <c r="AC54">
        <v>2.3333333333333335</v>
      </c>
      <c r="AD54" s="2">
        <f>_xlfn.XLOOKUP(Portefeuille_MNT_PPS_Access31[[#This Row],[Numéro projet]],Portefeuille_MNT_PPS_Access27[Numéro projet],Portefeuille_MNT_PPS_Access27[Critère Etat Infrastructure])</f>
        <v>3</v>
      </c>
      <c r="AE5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76.666666666666671</v>
      </c>
      <c r="AF54" s="221"/>
      <c r="AJ54"/>
      <c r="AK54">
        <v>20</v>
      </c>
      <c r="AM54">
        <v>55</v>
      </c>
      <c r="AN54">
        <v>543</v>
      </c>
      <c r="AT54"/>
      <c r="BG54" s="14">
        <f>SUM(Portefeuille_MNT_PPS_Access31[[#This Row],[AC ANT]:[TR 2035]])</f>
        <v>618</v>
      </c>
      <c r="BH54" s="14"/>
    </row>
    <row r="55" spans="1:60" hidden="1" x14ac:dyDescent="0.3">
      <c r="A55" t="s">
        <v>286</v>
      </c>
      <c r="B55" t="s">
        <v>663</v>
      </c>
      <c r="C55">
        <v>1</v>
      </c>
      <c r="D55" t="s">
        <v>101</v>
      </c>
      <c r="E55" t="s">
        <v>102</v>
      </c>
      <c r="F55" t="s">
        <v>136</v>
      </c>
      <c r="G55" t="s">
        <v>104</v>
      </c>
      <c r="H55" t="s">
        <v>130</v>
      </c>
      <c r="I55" t="s">
        <v>130</v>
      </c>
      <c r="J55" t="s">
        <v>105</v>
      </c>
      <c r="K55">
        <v>154200684</v>
      </c>
      <c r="L55" t="s">
        <v>514</v>
      </c>
      <c r="M55" t="s">
        <v>108</v>
      </c>
      <c r="N55" t="s">
        <v>197</v>
      </c>
      <c r="O55" t="s">
        <v>155</v>
      </c>
      <c r="P55" s="1">
        <v>46127</v>
      </c>
      <c r="Q55" s="1">
        <v>46492</v>
      </c>
      <c r="R55" s="1">
        <v>46706</v>
      </c>
      <c r="S5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5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5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5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7</v>
      </c>
      <c r="X55">
        <f>Portefeuille_MNT_PPS_Access31[[#This Row],[Délais PC1 et PC3]]+Portefeuille_MNT_PPS_Access31[[#This Row],[Délais PC3 et PC5]]</f>
        <v>19</v>
      </c>
      <c r="Z55">
        <v>1</v>
      </c>
      <c r="AA55">
        <v>1</v>
      </c>
      <c r="AB55" t="s">
        <v>156</v>
      </c>
      <c r="AC55">
        <v>4</v>
      </c>
      <c r="AD55" s="2">
        <f>_xlfn.XLOOKUP(Portefeuille_MNT_PPS_Access31[[#This Row],[Numéro projet]],Portefeuille_MNT_PPS_Access27[Numéro projet],Portefeuille_MNT_PPS_Access27[Critère Etat Infrastructure])</f>
        <v>5</v>
      </c>
      <c r="AE5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55.000000000000007</v>
      </c>
      <c r="AF55" s="221"/>
      <c r="AJ55"/>
      <c r="AM55">
        <v>150</v>
      </c>
      <c r="AO55">
        <v>150</v>
      </c>
      <c r="AQ55">
        <v>550</v>
      </c>
      <c r="AR55">
        <v>4000</v>
      </c>
      <c r="AT55"/>
      <c r="BG55" s="14">
        <f>SUM(Portefeuille_MNT_PPS_Access31[[#This Row],[AC ANT]:[TR 2035]])</f>
        <v>4850</v>
      </c>
      <c r="BH55" s="14"/>
    </row>
    <row r="56" spans="1:60" hidden="1" x14ac:dyDescent="0.3">
      <c r="A56" t="s">
        <v>11</v>
      </c>
      <c r="C56">
        <v>9</v>
      </c>
      <c r="D56" t="s">
        <v>118</v>
      </c>
      <c r="E56" t="s">
        <v>102</v>
      </c>
      <c r="F56" t="s">
        <v>103</v>
      </c>
      <c r="G56" t="s">
        <v>252</v>
      </c>
      <c r="H56" t="s">
        <v>20</v>
      </c>
      <c r="I56" t="s">
        <v>20</v>
      </c>
      <c r="J56" t="s">
        <v>131</v>
      </c>
      <c r="K56">
        <v>154250200</v>
      </c>
      <c r="L56" t="s">
        <v>607</v>
      </c>
      <c r="M56" t="s">
        <v>180</v>
      </c>
      <c r="N56" t="s">
        <v>173</v>
      </c>
      <c r="O56" t="s">
        <v>291</v>
      </c>
      <c r="P56" s="1"/>
      <c r="Q56" s="1"/>
      <c r="R56" s="1"/>
      <c r="S5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5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5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5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5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56">
        <f>Portefeuille_MNT_PPS_Access31[[#This Row],[Délais PC1 et PC3]]+Portefeuille_MNT_PPS_Access31[[#This Row],[Délais PC3 et PC5]]</f>
        <v>0</v>
      </c>
      <c r="Z56">
        <v>1</v>
      </c>
      <c r="AA56">
        <v>3</v>
      </c>
      <c r="AB56" t="s">
        <v>311</v>
      </c>
      <c r="AC56">
        <v>3</v>
      </c>
      <c r="AD56" s="2">
        <f>_xlfn.XLOOKUP(Portefeuille_MNT_PPS_Access31[[#This Row],[Numéro projet]],Portefeuille_MNT_PPS_Access27[Numéro projet],Portefeuille_MNT_PPS_Access27[Critère Etat Infrastructure])</f>
        <v>3</v>
      </c>
      <c r="AE5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49.999999999999993</v>
      </c>
      <c r="AF56" s="221"/>
      <c r="AJ56"/>
      <c r="AP56">
        <v>300</v>
      </c>
      <c r="AT56"/>
      <c r="BG56" s="14">
        <f>SUM(Portefeuille_MNT_PPS_Access31[[#This Row],[AC ANT]:[TR 2035]])</f>
        <v>300</v>
      </c>
      <c r="BH56" s="14"/>
    </row>
    <row r="57" spans="1:60" hidden="1" x14ac:dyDescent="0.3">
      <c r="A57" t="s">
        <v>286</v>
      </c>
      <c r="B57" t="s">
        <v>664</v>
      </c>
      <c r="C57">
        <v>4</v>
      </c>
      <c r="D57" t="s">
        <v>101</v>
      </c>
      <c r="E57" t="s">
        <v>102</v>
      </c>
      <c r="F57" t="s">
        <v>103</v>
      </c>
      <c r="G57" t="s">
        <v>149</v>
      </c>
      <c r="H57" t="s">
        <v>16</v>
      </c>
      <c r="I57" t="s">
        <v>20</v>
      </c>
      <c r="J57" t="s">
        <v>105</v>
      </c>
      <c r="K57">
        <v>154190686</v>
      </c>
      <c r="L57" t="s">
        <v>665</v>
      </c>
      <c r="M57" t="s">
        <v>239</v>
      </c>
      <c r="N57" t="s">
        <v>173</v>
      </c>
      <c r="O57" t="s">
        <v>110</v>
      </c>
      <c r="P57" s="1">
        <v>45915</v>
      </c>
      <c r="Q57" s="1">
        <v>46037</v>
      </c>
      <c r="R57" s="1">
        <v>46310</v>
      </c>
      <c r="S5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5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5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5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</v>
      </c>
      <c r="W5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57">
        <f>Portefeuille_MNT_PPS_Access31[[#This Row],[Délais PC1 et PC3]]+Portefeuille_MNT_PPS_Access31[[#This Row],[Délais PC3 et PC5]]</f>
        <v>13</v>
      </c>
      <c r="Z57">
        <v>1</v>
      </c>
      <c r="AA57">
        <v>3</v>
      </c>
      <c r="AB57" t="s">
        <v>112</v>
      </c>
      <c r="AC57">
        <v>3.3333333333333335</v>
      </c>
      <c r="AD57" s="2">
        <f>_xlfn.XLOOKUP(Portefeuille_MNT_PPS_Access31[[#This Row],[Numéro projet]],Portefeuille_MNT_PPS_Access27[Numéro projet],Portefeuille_MNT_PPS_Access27[Critère Etat Infrastructure])</f>
        <v>4</v>
      </c>
      <c r="AE5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56.666666666666664</v>
      </c>
      <c r="AF57" s="221"/>
      <c r="AJ57"/>
      <c r="AK57">
        <v>25</v>
      </c>
      <c r="AM57">
        <v>26</v>
      </c>
      <c r="AO57">
        <v>723</v>
      </c>
      <c r="AP57">
        <v>10494</v>
      </c>
      <c r="AT57"/>
      <c r="BG57" s="14">
        <f>SUM(Portefeuille_MNT_PPS_Access31[[#This Row],[AC ANT]:[TR 2035]])</f>
        <v>11268</v>
      </c>
      <c r="BH57" s="14"/>
    </row>
    <row r="58" spans="1:60" hidden="1" x14ac:dyDescent="0.3">
      <c r="A58" t="s">
        <v>11</v>
      </c>
      <c r="D58" t="s">
        <v>118</v>
      </c>
      <c r="E58" t="s">
        <v>102</v>
      </c>
      <c r="F58" t="s">
        <v>177</v>
      </c>
      <c r="G58" t="s">
        <v>252</v>
      </c>
      <c r="H58" t="s">
        <v>20</v>
      </c>
      <c r="I58" t="s">
        <v>20</v>
      </c>
      <c r="J58" t="s">
        <v>131</v>
      </c>
      <c r="K58" s="8">
        <v>154240494</v>
      </c>
      <c r="L58" t="s">
        <v>449</v>
      </c>
      <c r="M58" t="s">
        <v>159</v>
      </c>
      <c r="N58" t="s">
        <v>173</v>
      </c>
      <c r="O58" t="s">
        <v>291</v>
      </c>
      <c r="P58" s="1"/>
      <c r="Q58" s="1"/>
      <c r="R58" s="1"/>
      <c r="S5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5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5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5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5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58">
        <f>Portefeuille_MNT_PPS_Access31[[#This Row],[Délais PC1 et PC3]]+Portefeuille_MNT_PPS_Access31[[#This Row],[Délais PC3 et PC5]]</f>
        <v>0</v>
      </c>
      <c r="Z58">
        <v>1</v>
      </c>
      <c r="AA58">
        <v>3</v>
      </c>
      <c r="AB58" t="s">
        <v>311</v>
      </c>
      <c r="AC58">
        <v>4.333333333333333</v>
      </c>
      <c r="AD58" s="2">
        <f>_xlfn.XLOOKUP(Portefeuille_MNT_PPS_Access31[[#This Row],[Numéro projet]],Portefeuille_MNT_PPS_Access27[Numéro projet],Portefeuille_MNT_PPS_Access27[Critère Etat Infrastructure])</f>
        <v>4</v>
      </c>
      <c r="AE5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61.666666666666671</v>
      </c>
      <c r="AF58" s="221"/>
      <c r="AJ58"/>
      <c r="AP58">
        <v>100</v>
      </c>
      <c r="AT58"/>
      <c r="BG58" s="14">
        <f>SUM(Portefeuille_MNT_PPS_Access31[[#This Row],[AC ANT]:[TR 2035]])</f>
        <v>100</v>
      </c>
      <c r="BH58" s="14"/>
    </row>
    <row r="59" spans="1:60" hidden="1" x14ac:dyDescent="0.3">
      <c r="A59" t="s">
        <v>11</v>
      </c>
      <c r="D59" t="s">
        <v>118</v>
      </c>
      <c r="E59" t="s">
        <v>102</v>
      </c>
      <c r="F59" t="s">
        <v>242</v>
      </c>
      <c r="G59" t="s">
        <v>252</v>
      </c>
      <c r="H59" t="s">
        <v>20</v>
      </c>
      <c r="I59" t="s">
        <v>20</v>
      </c>
      <c r="J59" t="s">
        <v>131</v>
      </c>
      <c r="K59">
        <v>154250378</v>
      </c>
      <c r="L59" t="s">
        <v>650</v>
      </c>
      <c r="M59" t="s">
        <v>414</v>
      </c>
      <c r="N59" t="s">
        <v>173</v>
      </c>
      <c r="O59" t="s">
        <v>291</v>
      </c>
      <c r="P59" s="1"/>
      <c r="Q59" s="1"/>
      <c r="R59" s="1"/>
      <c r="S5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5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5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5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5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59">
        <f>Portefeuille_MNT_PPS_Access31[[#This Row],[Délais PC1 et PC3]]+Portefeuille_MNT_PPS_Access31[[#This Row],[Délais PC3 et PC5]]</f>
        <v>0</v>
      </c>
      <c r="Z59">
        <v>1</v>
      </c>
      <c r="AA59">
        <v>3</v>
      </c>
      <c r="AB59" t="s">
        <v>311</v>
      </c>
      <c r="AC59">
        <v>1</v>
      </c>
      <c r="AD59" s="2">
        <f>_xlfn.XLOOKUP(Portefeuille_MNT_PPS_Access31[[#This Row],[Numéro projet]],Portefeuille_MNT_PPS_Access27[Numéro projet],Portefeuille_MNT_PPS_Access27[Critère Etat Infrastructure])</f>
        <v>3</v>
      </c>
      <c r="AE5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59" s="221"/>
      <c r="AJ59"/>
      <c r="AP59">
        <v>100</v>
      </c>
      <c r="AT59"/>
      <c r="BG59" s="14">
        <f>SUM(Portefeuille_MNT_PPS_Access31[[#This Row],[AC ANT]:[TR 2035]])</f>
        <v>100</v>
      </c>
      <c r="BH59" s="14"/>
    </row>
    <row r="60" spans="1:60" hidden="1" x14ac:dyDescent="0.3">
      <c r="A60" t="s">
        <v>11</v>
      </c>
      <c r="D60" t="s">
        <v>118</v>
      </c>
      <c r="E60" t="s">
        <v>102</v>
      </c>
      <c r="F60" t="s">
        <v>103</v>
      </c>
      <c r="G60" t="s">
        <v>252</v>
      </c>
      <c r="H60" t="s">
        <v>20</v>
      </c>
      <c r="I60" t="s">
        <v>20</v>
      </c>
      <c r="J60" t="s">
        <v>131</v>
      </c>
      <c r="K60">
        <v>154250377</v>
      </c>
      <c r="L60" t="s">
        <v>648</v>
      </c>
      <c r="M60" t="s">
        <v>147</v>
      </c>
      <c r="N60" t="s">
        <v>173</v>
      </c>
      <c r="O60" t="s">
        <v>291</v>
      </c>
      <c r="P60" s="1"/>
      <c r="Q60" s="1"/>
      <c r="R60" s="1"/>
      <c r="S6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6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6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6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6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60">
        <f>Portefeuille_MNT_PPS_Access31[[#This Row],[Délais PC1 et PC3]]+Portefeuille_MNT_PPS_Access31[[#This Row],[Délais PC3 et PC5]]</f>
        <v>0</v>
      </c>
      <c r="Z60">
        <v>1</v>
      </c>
      <c r="AA60">
        <v>3</v>
      </c>
      <c r="AB60" t="s">
        <v>311</v>
      </c>
      <c r="AC60">
        <v>2.6666666666666665</v>
      </c>
      <c r="AD60" s="2">
        <f>_xlfn.XLOOKUP(Portefeuille_MNT_PPS_Access31[[#This Row],[Numéro projet]],Portefeuille_MNT_PPS_Access27[Numéro projet],Portefeuille_MNT_PPS_Access27[Critère Etat Infrastructure])</f>
        <v>4</v>
      </c>
      <c r="AE6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53.333333333333336</v>
      </c>
      <c r="AF60" s="221"/>
      <c r="AJ60"/>
      <c r="AP60">
        <v>10</v>
      </c>
      <c r="AT60"/>
      <c r="BG60" s="14">
        <f>SUM(Portefeuille_MNT_PPS_Access31[[#This Row],[AC ANT]:[TR 2035]])</f>
        <v>10</v>
      </c>
      <c r="BH60" s="14"/>
    </row>
    <row r="61" spans="1:60" hidden="1" x14ac:dyDescent="0.3">
      <c r="A61" t="s">
        <v>286</v>
      </c>
      <c r="B61" t="s">
        <v>663</v>
      </c>
      <c r="D61" t="s">
        <v>101</v>
      </c>
      <c r="E61" t="s">
        <v>102</v>
      </c>
      <c r="F61" t="s">
        <v>136</v>
      </c>
      <c r="G61" t="s">
        <v>149</v>
      </c>
      <c r="H61" t="s">
        <v>20</v>
      </c>
      <c r="I61" t="s">
        <v>20</v>
      </c>
      <c r="J61" t="s">
        <v>131</v>
      </c>
      <c r="K61">
        <v>154220313</v>
      </c>
      <c r="L61" t="s">
        <v>382</v>
      </c>
      <c r="M61" t="s">
        <v>194</v>
      </c>
      <c r="N61" t="s">
        <v>173</v>
      </c>
      <c r="O61" t="s">
        <v>291</v>
      </c>
      <c r="P61" s="1"/>
      <c r="Q61" s="1"/>
      <c r="R61" s="1"/>
      <c r="S6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6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6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6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6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61">
        <f>Portefeuille_MNT_PPS_Access31[[#This Row],[Délais PC1 et PC3]]+Portefeuille_MNT_PPS_Access31[[#This Row],[Délais PC3 et PC5]]</f>
        <v>0</v>
      </c>
      <c r="Z61">
        <v>1</v>
      </c>
      <c r="AA61">
        <v>3</v>
      </c>
      <c r="AB61" t="s">
        <v>311</v>
      </c>
      <c r="AC61">
        <v>3.3333333333333335</v>
      </c>
      <c r="AD61" s="2">
        <f>_xlfn.XLOOKUP(Portefeuille_MNT_PPS_Access31[[#This Row],[Numéro projet]],Portefeuille_MNT_PPS_Access27[Numéro projet],Portefeuille_MNT_PPS_Access27[Critère Etat Infrastructure])</f>
        <v>5</v>
      </c>
      <c r="AE6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61.666666666666671</v>
      </c>
      <c r="AF61" s="221"/>
      <c r="AJ61"/>
      <c r="AO61">
        <v>50</v>
      </c>
      <c r="AP61">
        <v>250</v>
      </c>
      <c r="AT61"/>
      <c r="BG61" s="14">
        <f>SUM(Portefeuille_MNT_PPS_Access31[[#This Row],[AC ANT]:[TR 2035]])</f>
        <v>300</v>
      </c>
      <c r="BH61" s="14"/>
    </row>
    <row r="62" spans="1:60" hidden="1" x14ac:dyDescent="0.3">
      <c r="A62" t="s">
        <v>286</v>
      </c>
      <c r="B62" t="s">
        <v>664</v>
      </c>
      <c r="C62">
        <v>3</v>
      </c>
      <c r="D62" t="s">
        <v>101</v>
      </c>
      <c r="E62" t="s">
        <v>102</v>
      </c>
      <c r="F62" t="s">
        <v>103</v>
      </c>
      <c r="G62" t="s">
        <v>149</v>
      </c>
      <c r="H62" t="s">
        <v>16</v>
      </c>
      <c r="I62" t="s">
        <v>20</v>
      </c>
      <c r="J62" t="s">
        <v>105</v>
      </c>
      <c r="K62">
        <v>154190684</v>
      </c>
      <c r="L62" t="s">
        <v>510</v>
      </c>
      <c r="M62" t="s">
        <v>205</v>
      </c>
      <c r="N62" t="s">
        <v>173</v>
      </c>
      <c r="O62" t="s">
        <v>110</v>
      </c>
      <c r="P62" s="1">
        <v>45706</v>
      </c>
      <c r="Q62" s="1">
        <v>46055</v>
      </c>
      <c r="R62" s="1">
        <v>46273</v>
      </c>
      <c r="S6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3.À risque</v>
      </c>
      <c r="T6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6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6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6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7</v>
      </c>
      <c r="X62">
        <f>Portefeuille_MNT_PPS_Access31[[#This Row],[Délais PC1 et PC3]]+Portefeuille_MNT_PPS_Access31[[#This Row],[Délais PC3 et PC5]]</f>
        <v>19</v>
      </c>
      <c r="Z62">
        <v>1</v>
      </c>
      <c r="AA62">
        <v>3</v>
      </c>
      <c r="AB62" t="s">
        <v>112</v>
      </c>
      <c r="AC62">
        <v>3</v>
      </c>
      <c r="AD62" s="2">
        <f>_xlfn.XLOOKUP(Portefeuille_MNT_PPS_Access31[[#This Row],[Numéro projet]],Portefeuille_MNT_PPS_Access27[Numéro projet],Portefeuille_MNT_PPS_Access27[Critère Etat Infrastructure])</f>
        <v>4</v>
      </c>
      <c r="AE6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55.000000000000007</v>
      </c>
      <c r="AF62" s="221"/>
      <c r="AJ62"/>
      <c r="AK62">
        <v>102</v>
      </c>
      <c r="AM62">
        <v>200</v>
      </c>
      <c r="AO62">
        <v>958</v>
      </c>
      <c r="AP62">
        <v>13608</v>
      </c>
      <c r="AT62"/>
      <c r="BG62" s="14">
        <f>SUM(Portefeuille_MNT_PPS_Access31[[#This Row],[AC ANT]:[TR 2035]])</f>
        <v>14868</v>
      </c>
      <c r="BH62" s="14"/>
    </row>
    <row r="63" spans="1:60" hidden="1" x14ac:dyDescent="0.3">
      <c r="A63" t="s">
        <v>286</v>
      </c>
      <c r="B63" t="s">
        <v>663</v>
      </c>
      <c r="C63">
        <v>5</v>
      </c>
      <c r="D63" t="s">
        <v>101</v>
      </c>
      <c r="E63" t="s">
        <v>102</v>
      </c>
      <c r="F63" t="s">
        <v>103</v>
      </c>
      <c r="G63" t="s">
        <v>140</v>
      </c>
      <c r="H63" t="s">
        <v>16</v>
      </c>
      <c r="I63" t="s">
        <v>20</v>
      </c>
      <c r="J63" t="s">
        <v>131</v>
      </c>
      <c r="K63">
        <v>154210528</v>
      </c>
      <c r="L63" t="s">
        <v>515</v>
      </c>
      <c r="M63" t="s">
        <v>180</v>
      </c>
      <c r="N63" t="s">
        <v>173</v>
      </c>
      <c r="O63" t="s">
        <v>110</v>
      </c>
      <c r="P63" s="1">
        <v>45679</v>
      </c>
      <c r="Q63" s="1">
        <v>46096</v>
      </c>
      <c r="R63" s="1">
        <v>46371</v>
      </c>
      <c r="S6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3.À risque</v>
      </c>
      <c r="T6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6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6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6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63">
        <f>Portefeuille_MNT_PPS_Access31[[#This Row],[Délais PC1 et PC3]]+Portefeuille_MNT_PPS_Access31[[#This Row],[Délais PC3 et PC5]]</f>
        <v>23</v>
      </c>
      <c r="Z63">
        <v>1</v>
      </c>
      <c r="AA63">
        <v>3</v>
      </c>
      <c r="AB63" t="s">
        <v>112</v>
      </c>
      <c r="AC63">
        <v>1.8333333333333335</v>
      </c>
      <c r="AD63" s="2">
        <f>_xlfn.XLOOKUP(Portefeuille_MNT_PPS_Access31[[#This Row],[Numéro projet]],Portefeuille_MNT_PPS_Access27[Numéro projet],Portefeuille_MNT_PPS_Access27[Critère Etat Infrastructure])</f>
        <v>5</v>
      </c>
      <c r="AE6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54.166666666666671</v>
      </c>
      <c r="AF63" s="221"/>
      <c r="AJ63"/>
      <c r="AK63">
        <v>200</v>
      </c>
      <c r="AM63">
        <v>110</v>
      </c>
      <c r="AO63">
        <v>82</v>
      </c>
      <c r="AP63">
        <v>2238</v>
      </c>
      <c r="AQ63">
        <v>81</v>
      </c>
      <c r="AR63">
        <v>1664</v>
      </c>
      <c r="AT63"/>
      <c r="BG63" s="14">
        <f>SUM(Portefeuille_MNT_PPS_Access31[[#This Row],[AC ANT]:[TR 2035]])</f>
        <v>4375</v>
      </c>
      <c r="BH63" s="14"/>
    </row>
    <row r="64" spans="1:60" x14ac:dyDescent="0.3">
      <c r="A64" t="s">
        <v>286</v>
      </c>
      <c r="B64" t="s">
        <v>295</v>
      </c>
      <c r="D64" t="s">
        <v>126</v>
      </c>
      <c r="E64" t="s">
        <v>127</v>
      </c>
      <c r="F64" t="s">
        <v>128</v>
      </c>
      <c r="G64" t="s">
        <v>252</v>
      </c>
      <c r="H64" t="s">
        <v>16</v>
      </c>
      <c r="I64" t="s">
        <v>16</v>
      </c>
      <c r="J64" t="s">
        <v>131</v>
      </c>
      <c r="K64">
        <v>154240039</v>
      </c>
      <c r="L64" s="15" t="s">
        <v>254</v>
      </c>
      <c r="M64" t="s">
        <v>147</v>
      </c>
      <c r="N64" t="s">
        <v>148</v>
      </c>
      <c r="O64" t="s">
        <v>291</v>
      </c>
      <c r="P64" s="1"/>
      <c r="Q64" s="1"/>
      <c r="R64" s="1"/>
      <c r="S6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6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6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6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6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64">
        <f>Portefeuille_MNT_PPS_Access31[[#This Row],[Délais PC1 et PC3]]+Portefeuille_MNT_PPS_Access31[[#This Row],[Délais PC3 et PC5]]</f>
        <v>0</v>
      </c>
      <c r="Y64">
        <v>1</v>
      </c>
      <c r="Z64">
        <v>1</v>
      </c>
      <c r="AB64" t="s">
        <v>311</v>
      </c>
      <c r="AC64">
        <v>2.6666666666666665</v>
      </c>
      <c r="AD64" s="2">
        <f>_xlfn.XLOOKUP(Portefeuille_MNT_PPS_Access31[[#This Row],[Numéro projet]],Portefeuille_MNT_PPS_Access27[Numéro projet],Portefeuille_MNT_PPS_Access27[Critère Etat Infrastructure])</f>
        <v>4</v>
      </c>
      <c r="AE6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38.333333333333336</v>
      </c>
      <c r="AF64" s="221"/>
      <c r="AJ64"/>
      <c r="AM64">
        <v>10</v>
      </c>
      <c r="AN64">
        <v>39</v>
      </c>
      <c r="AT64"/>
      <c r="BG64" s="14">
        <f>SUM(Portefeuille_MNT_PPS_Access31[[#This Row],[AC ANT]:[TR 2035]])</f>
        <v>49</v>
      </c>
      <c r="BH64" s="14"/>
    </row>
    <row r="65" spans="1:60" hidden="1" x14ac:dyDescent="0.3">
      <c r="A65" t="s">
        <v>286</v>
      </c>
      <c r="B65" t="s">
        <v>662</v>
      </c>
      <c r="C65">
        <v>1</v>
      </c>
      <c r="D65" t="s">
        <v>118</v>
      </c>
      <c r="E65" t="s">
        <v>102</v>
      </c>
      <c r="F65" t="s">
        <v>103</v>
      </c>
      <c r="G65" t="s">
        <v>113</v>
      </c>
      <c r="H65" t="s">
        <v>20</v>
      </c>
      <c r="I65" t="s">
        <v>20</v>
      </c>
      <c r="J65" t="s">
        <v>131</v>
      </c>
      <c r="K65">
        <v>154180766</v>
      </c>
      <c r="L65" t="s">
        <v>378</v>
      </c>
      <c r="M65" t="s">
        <v>191</v>
      </c>
      <c r="N65" t="s">
        <v>197</v>
      </c>
      <c r="O65" t="s">
        <v>155</v>
      </c>
      <c r="P65" s="1">
        <v>46068</v>
      </c>
      <c r="Q65" s="1">
        <v>46461</v>
      </c>
      <c r="R65" s="1">
        <v>46888</v>
      </c>
      <c r="S6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3.À risque</v>
      </c>
      <c r="T6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6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1.Très à risque</v>
      </c>
      <c r="V6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13</v>
      </c>
      <c r="W6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</v>
      </c>
      <c r="X65">
        <f>Portefeuille_MNT_PPS_Access31[[#This Row],[Délais PC1 et PC3]]+Portefeuille_MNT_PPS_Access31[[#This Row],[Délais PC3 et PC5]]</f>
        <v>27</v>
      </c>
      <c r="Z65">
        <v>1</v>
      </c>
      <c r="AA65">
        <v>3</v>
      </c>
      <c r="AB65" t="s">
        <v>156</v>
      </c>
      <c r="AC65">
        <v>1.6666666666666667</v>
      </c>
      <c r="AD65" s="2">
        <f>_xlfn.XLOOKUP(Portefeuille_MNT_PPS_Access31[[#This Row],[Numéro projet]],Portefeuille_MNT_PPS_Access27[Numéro projet],Portefeuille_MNT_PPS_Access27[Critère Etat Infrastructure])</f>
        <v>4</v>
      </c>
      <c r="AE6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48.333333333333336</v>
      </c>
      <c r="AF65" s="221"/>
      <c r="AJ65"/>
      <c r="AM65">
        <v>100</v>
      </c>
      <c r="AO65">
        <v>200</v>
      </c>
      <c r="AQ65">
        <v>495</v>
      </c>
      <c r="AR65">
        <v>8000</v>
      </c>
      <c r="AT65"/>
      <c r="BG65" s="14">
        <f>SUM(Portefeuille_MNT_PPS_Access31[[#This Row],[AC ANT]:[TR 2035]])</f>
        <v>8795</v>
      </c>
      <c r="BH65" s="14"/>
    </row>
    <row r="66" spans="1:60" hidden="1" x14ac:dyDescent="0.3">
      <c r="A66" t="s">
        <v>286</v>
      </c>
      <c r="B66" t="s">
        <v>663</v>
      </c>
      <c r="D66" t="s">
        <v>101</v>
      </c>
      <c r="E66" t="s">
        <v>102</v>
      </c>
      <c r="F66" t="s">
        <v>136</v>
      </c>
      <c r="G66" t="s">
        <v>113</v>
      </c>
      <c r="H66" t="s">
        <v>16</v>
      </c>
      <c r="I66" t="s">
        <v>16</v>
      </c>
      <c r="J66" t="s">
        <v>131</v>
      </c>
      <c r="K66">
        <v>154081840</v>
      </c>
      <c r="L66" t="s">
        <v>138</v>
      </c>
      <c r="M66" t="s">
        <v>139</v>
      </c>
      <c r="N66" t="s">
        <v>109</v>
      </c>
      <c r="O66" t="s">
        <v>123</v>
      </c>
      <c r="P66" s="1">
        <v>45062</v>
      </c>
      <c r="Q66" s="1">
        <v>45754</v>
      </c>
      <c r="R66" s="1">
        <v>45945</v>
      </c>
      <c r="S6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6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6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6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23</v>
      </c>
      <c r="W6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6</v>
      </c>
      <c r="X66">
        <f>Portefeuille_MNT_PPS_Access31[[#This Row],[Délais PC1 et PC3]]+Portefeuille_MNT_PPS_Access31[[#This Row],[Délais PC3 et PC5]]</f>
        <v>29</v>
      </c>
      <c r="Y66">
        <v>1</v>
      </c>
      <c r="Z66">
        <v>5</v>
      </c>
      <c r="AA66">
        <v>5</v>
      </c>
      <c r="AB66" t="s">
        <v>125</v>
      </c>
      <c r="AC66">
        <v>2</v>
      </c>
      <c r="AD66" s="2">
        <f>_xlfn.XLOOKUP(Portefeuille_MNT_PPS_Access31[[#This Row],[Numéro projet]],Portefeuille_MNT_PPS_Access27[Numéro projet],Portefeuille_MNT_PPS_Access27[Critère Etat Infrastructure])</f>
        <v>4</v>
      </c>
      <c r="AE6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80</v>
      </c>
      <c r="AF66" s="221"/>
      <c r="AG66">
        <v>337</v>
      </c>
      <c r="AH66">
        <v>41</v>
      </c>
      <c r="AI66">
        <v>327</v>
      </c>
      <c r="AJ66"/>
      <c r="AK66">
        <v>363</v>
      </c>
      <c r="AM66">
        <v>907</v>
      </c>
      <c r="AN66">
        <v>5500</v>
      </c>
      <c r="AO66">
        <v>99</v>
      </c>
      <c r="AP66">
        <v>370</v>
      </c>
      <c r="AT66"/>
      <c r="BG66" s="14">
        <f>SUM(Portefeuille_MNT_PPS_Access31[[#This Row],[AC ANT]:[TR 2035]])</f>
        <v>7944</v>
      </c>
      <c r="BH66" s="14"/>
    </row>
    <row r="67" spans="1:60" hidden="1" x14ac:dyDescent="0.3">
      <c r="A67" t="s">
        <v>286</v>
      </c>
      <c r="B67" t="s">
        <v>664</v>
      </c>
      <c r="D67" t="s">
        <v>101</v>
      </c>
      <c r="E67" t="s">
        <v>102</v>
      </c>
      <c r="F67" t="s">
        <v>128</v>
      </c>
      <c r="G67" t="s">
        <v>113</v>
      </c>
      <c r="H67" t="s">
        <v>16</v>
      </c>
      <c r="I67" t="s">
        <v>16</v>
      </c>
      <c r="J67" t="s">
        <v>105</v>
      </c>
      <c r="K67">
        <v>154171105</v>
      </c>
      <c r="L67" t="s">
        <v>161</v>
      </c>
      <c r="M67" t="s">
        <v>122</v>
      </c>
      <c r="N67" t="s">
        <v>148</v>
      </c>
      <c r="O67" t="s">
        <v>164</v>
      </c>
      <c r="P67" s="1">
        <v>44956</v>
      </c>
      <c r="Q67" s="1">
        <v>45321</v>
      </c>
      <c r="R67" s="1">
        <v>45687</v>
      </c>
      <c r="S6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3.À risque</v>
      </c>
      <c r="T6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6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6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6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67">
        <f>Portefeuille_MNT_PPS_Access31[[#This Row],[Délais PC1 et PC3]]+Portefeuille_MNT_PPS_Access31[[#This Row],[Délais PC3 et PC5]]</f>
        <v>24</v>
      </c>
      <c r="Y67">
        <v>1</v>
      </c>
      <c r="Z67">
        <v>5</v>
      </c>
      <c r="AB67" t="s">
        <v>165</v>
      </c>
      <c r="AC67">
        <v>4</v>
      </c>
      <c r="AD67" s="2">
        <f>_xlfn.XLOOKUP(Portefeuille_MNT_PPS_Access31[[#This Row],[Numéro projet]],Portefeuille_MNT_PPS_Access27[Numéro projet],Portefeuille_MNT_PPS_Access27[Critère Etat Infrastructure])</f>
        <v>0</v>
      </c>
      <c r="AE6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80</v>
      </c>
      <c r="AF67" s="221"/>
      <c r="AG67">
        <v>6</v>
      </c>
      <c r="AI67">
        <v>14</v>
      </c>
      <c r="AJ67"/>
      <c r="AK67">
        <v>291</v>
      </c>
      <c r="AL67">
        <v>4537</v>
      </c>
      <c r="AM67">
        <v>34</v>
      </c>
      <c r="AT67"/>
      <c r="BG67" s="14">
        <f>SUM(Portefeuille_MNT_PPS_Access31[[#This Row],[AC ANT]:[TR 2035]])</f>
        <v>4882</v>
      </c>
      <c r="BH67" s="14"/>
    </row>
    <row r="68" spans="1:60" hidden="1" x14ac:dyDescent="0.3">
      <c r="A68" t="s">
        <v>286</v>
      </c>
      <c r="B68" t="s">
        <v>295</v>
      </c>
      <c r="C68">
        <v>1</v>
      </c>
      <c r="D68" t="s">
        <v>126</v>
      </c>
      <c r="E68" t="s">
        <v>127</v>
      </c>
      <c r="F68" t="s">
        <v>136</v>
      </c>
      <c r="G68" t="s">
        <v>144</v>
      </c>
      <c r="H68" t="s">
        <v>16</v>
      </c>
      <c r="I68" t="s">
        <v>20</v>
      </c>
      <c r="J68" t="s">
        <v>131</v>
      </c>
      <c r="K68">
        <v>154190675</v>
      </c>
      <c r="L68" t="s">
        <v>232</v>
      </c>
      <c r="M68" t="s">
        <v>147</v>
      </c>
      <c r="N68" s="2" t="s">
        <v>173</v>
      </c>
      <c r="O68" t="s">
        <v>110</v>
      </c>
      <c r="P68" s="1">
        <v>45099</v>
      </c>
      <c r="Q68" s="1">
        <v>46037</v>
      </c>
      <c r="R68" s="1">
        <v>46283</v>
      </c>
      <c r="S6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6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6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6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31</v>
      </c>
      <c r="W6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8</v>
      </c>
      <c r="X68">
        <f>Portefeuille_MNT_PPS_Access31[[#This Row],[Délais PC1 et PC3]]+Portefeuille_MNT_PPS_Access31[[#This Row],[Délais PC3 et PC5]]</f>
        <v>39</v>
      </c>
      <c r="Z68">
        <v>1</v>
      </c>
      <c r="AA68">
        <v>3</v>
      </c>
      <c r="AB68" t="s">
        <v>112</v>
      </c>
      <c r="AC68">
        <v>2.6666666666666665</v>
      </c>
      <c r="AD68" s="2">
        <f>_xlfn.XLOOKUP(Portefeuille_MNT_PPS_Access31[[#This Row],[Numéro projet]],Portefeuille_MNT_PPS_Access27[Numéro projet],Portefeuille_MNT_PPS_Access27[Critère Etat Infrastructure])</f>
        <v>3</v>
      </c>
      <c r="AE6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48.333333333333336</v>
      </c>
      <c r="AF68" s="221"/>
      <c r="AG68">
        <v>9</v>
      </c>
      <c r="AI68">
        <v>21</v>
      </c>
      <c r="AJ68"/>
      <c r="AK68">
        <v>631</v>
      </c>
      <c r="AM68">
        <v>457</v>
      </c>
      <c r="AO68">
        <v>987</v>
      </c>
      <c r="AP68">
        <v>7725</v>
      </c>
      <c r="AQ68">
        <v>1927</v>
      </c>
      <c r="AR68">
        <v>5427</v>
      </c>
      <c r="AT68"/>
      <c r="BG68" s="14">
        <f>SUM(Portefeuille_MNT_PPS_Access31[[#This Row],[AC ANT]:[TR 2035]])</f>
        <v>17184</v>
      </c>
      <c r="BH68" s="14"/>
    </row>
    <row r="69" spans="1:60" hidden="1" x14ac:dyDescent="0.3">
      <c r="A69" t="s">
        <v>286</v>
      </c>
      <c r="B69" t="s">
        <v>662</v>
      </c>
      <c r="C69">
        <v>2</v>
      </c>
      <c r="D69" t="s">
        <v>118</v>
      </c>
      <c r="E69" t="s">
        <v>102</v>
      </c>
      <c r="F69" t="s">
        <v>177</v>
      </c>
      <c r="G69" t="s">
        <v>113</v>
      </c>
      <c r="H69" t="s">
        <v>16</v>
      </c>
      <c r="I69" t="s">
        <v>20</v>
      </c>
      <c r="J69" t="s">
        <v>131</v>
      </c>
      <c r="K69">
        <v>154200650</v>
      </c>
      <c r="L69" t="s">
        <v>241</v>
      </c>
      <c r="M69" t="s">
        <v>187</v>
      </c>
      <c r="N69" t="s">
        <v>173</v>
      </c>
      <c r="O69" t="s">
        <v>110</v>
      </c>
      <c r="P69" s="1">
        <v>45708</v>
      </c>
      <c r="Q69" s="1">
        <v>45923</v>
      </c>
      <c r="R69" s="1">
        <v>46296</v>
      </c>
      <c r="S6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3.À risque</v>
      </c>
      <c r="T6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6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6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7</v>
      </c>
      <c r="W6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13</v>
      </c>
      <c r="X69">
        <f>Portefeuille_MNT_PPS_Access31[[#This Row],[Délais PC1 et PC3]]+Portefeuille_MNT_PPS_Access31[[#This Row],[Délais PC3 et PC5]]</f>
        <v>20</v>
      </c>
      <c r="Z69">
        <v>1</v>
      </c>
      <c r="AA69">
        <v>5</v>
      </c>
      <c r="AB69" t="s">
        <v>112</v>
      </c>
      <c r="AC69">
        <v>3</v>
      </c>
      <c r="AD69" s="2">
        <f>_xlfn.XLOOKUP(Portefeuille_MNT_PPS_Access31[[#This Row],[Numéro projet]],Portefeuille_MNT_PPS_Access27[Numéro projet],Portefeuille_MNT_PPS_Access27[Critère Etat Infrastructure])</f>
        <v>5</v>
      </c>
      <c r="AE6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70</v>
      </c>
      <c r="AF69" s="221"/>
      <c r="AJ69"/>
      <c r="AK69">
        <v>217</v>
      </c>
      <c r="AM69">
        <v>72</v>
      </c>
      <c r="AO69">
        <v>295</v>
      </c>
      <c r="AP69">
        <v>5162</v>
      </c>
      <c r="AT69"/>
      <c r="BG69" s="14">
        <f>SUM(Portefeuille_MNT_PPS_Access31[[#This Row],[AC ANT]:[TR 2035]])</f>
        <v>5746</v>
      </c>
      <c r="BH69" s="14"/>
    </row>
    <row r="70" spans="1:60" hidden="1" x14ac:dyDescent="0.3">
      <c r="A70" t="s">
        <v>286</v>
      </c>
      <c r="B70" t="s">
        <v>664</v>
      </c>
      <c r="D70" t="s">
        <v>101</v>
      </c>
      <c r="E70" t="s">
        <v>102</v>
      </c>
      <c r="F70" t="s">
        <v>103</v>
      </c>
      <c r="G70" t="s">
        <v>113</v>
      </c>
      <c r="H70" t="s">
        <v>16</v>
      </c>
      <c r="I70" t="s">
        <v>16</v>
      </c>
      <c r="J70" t="s">
        <v>105</v>
      </c>
      <c r="K70">
        <v>154180736</v>
      </c>
      <c r="L70" t="s">
        <v>115</v>
      </c>
      <c r="M70" t="s">
        <v>116</v>
      </c>
      <c r="N70" t="s">
        <v>109</v>
      </c>
      <c r="O70" t="s">
        <v>123</v>
      </c>
      <c r="P70" s="1">
        <v>45105</v>
      </c>
      <c r="Q70" s="1">
        <v>45789</v>
      </c>
      <c r="R70" s="1">
        <v>45932</v>
      </c>
      <c r="S7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7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23</v>
      </c>
      <c r="W7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5</v>
      </c>
      <c r="X70">
        <f>Portefeuille_MNT_PPS_Access31[[#This Row],[Délais PC1 et PC3]]+Portefeuille_MNT_PPS_Access31[[#This Row],[Délais PC3 et PC5]]</f>
        <v>28</v>
      </c>
      <c r="Y70">
        <v>1</v>
      </c>
      <c r="Z70">
        <v>5</v>
      </c>
      <c r="AA70">
        <v>5</v>
      </c>
      <c r="AB70" t="s">
        <v>125</v>
      </c>
      <c r="AC70">
        <v>3.3333333333333335</v>
      </c>
      <c r="AD70" s="2">
        <f>_xlfn.XLOOKUP(Portefeuille_MNT_PPS_Access31[[#This Row],[Numéro projet]],Portefeuille_MNT_PPS_Access27[Numéro projet],Portefeuille_MNT_PPS_Access27[Critère Etat Infrastructure])</f>
        <v>4</v>
      </c>
      <c r="AE7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86.666666666666671</v>
      </c>
      <c r="AF70" s="221"/>
      <c r="AG70">
        <v>25</v>
      </c>
      <c r="AI70">
        <v>17</v>
      </c>
      <c r="AJ70"/>
      <c r="AK70">
        <v>48</v>
      </c>
      <c r="AM70">
        <v>520</v>
      </c>
      <c r="AN70">
        <v>19125</v>
      </c>
      <c r="AT70"/>
      <c r="BG70" s="14">
        <f>SUM(Portefeuille_MNT_PPS_Access31[[#This Row],[AC ANT]:[TR 2035]])</f>
        <v>19735</v>
      </c>
      <c r="BH70" s="14"/>
    </row>
    <row r="71" spans="1:60" hidden="1" x14ac:dyDescent="0.3">
      <c r="A71" t="s">
        <v>286</v>
      </c>
      <c r="B71" t="s">
        <v>663</v>
      </c>
      <c r="C71">
        <v>1</v>
      </c>
      <c r="D71" t="s">
        <v>101</v>
      </c>
      <c r="E71" t="s">
        <v>102</v>
      </c>
      <c r="F71" t="s">
        <v>136</v>
      </c>
      <c r="G71" t="s">
        <v>104</v>
      </c>
      <c r="H71" t="s">
        <v>16</v>
      </c>
      <c r="I71" t="s">
        <v>130</v>
      </c>
      <c r="J71" t="s">
        <v>105</v>
      </c>
      <c r="K71">
        <v>154062002</v>
      </c>
      <c r="L71" t="s">
        <v>171</v>
      </c>
      <c r="M71" t="s">
        <v>172</v>
      </c>
      <c r="N71" t="s">
        <v>173</v>
      </c>
      <c r="O71" t="s">
        <v>110</v>
      </c>
      <c r="P71" s="1">
        <v>44833</v>
      </c>
      <c r="Q71" s="1">
        <v>45976</v>
      </c>
      <c r="R71" s="1">
        <v>46310</v>
      </c>
      <c r="S7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38</v>
      </c>
      <c r="W7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11</v>
      </c>
      <c r="X71">
        <f>Portefeuille_MNT_PPS_Access31[[#This Row],[Délais PC1 et PC3]]+Portefeuille_MNT_PPS_Access31[[#This Row],[Délais PC3 et PC5]]</f>
        <v>49</v>
      </c>
      <c r="Z71">
        <v>1</v>
      </c>
      <c r="AA71">
        <v>5</v>
      </c>
      <c r="AB71" t="s">
        <v>112</v>
      </c>
      <c r="AC71">
        <v>3.6666666666666665</v>
      </c>
      <c r="AD71" s="2">
        <f>_xlfn.XLOOKUP(Portefeuille_MNT_PPS_Access31[[#This Row],[Numéro projet]],Portefeuille_MNT_PPS_Access27[Numéro projet],Portefeuille_MNT_PPS_Access27[Critère Etat Infrastructure])</f>
        <v>4</v>
      </c>
      <c r="AE7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68.333333333333329</v>
      </c>
      <c r="AF71" s="221"/>
      <c r="AG71">
        <v>497</v>
      </c>
      <c r="AH71">
        <v>8</v>
      </c>
      <c r="AI71">
        <v>199</v>
      </c>
      <c r="AJ71"/>
      <c r="AK71">
        <v>1213</v>
      </c>
      <c r="AM71">
        <v>1008</v>
      </c>
      <c r="AO71">
        <v>842</v>
      </c>
      <c r="AP71">
        <v>10830</v>
      </c>
      <c r="AQ71">
        <v>982</v>
      </c>
      <c r="AR71">
        <v>4581</v>
      </c>
      <c r="AS71">
        <v>635</v>
      </c>
      <c r="AT71">
        <v>4326</v>
      </c>
      <c r="BG71" s="14">
        <f>SUM(Portefeuille_MNT_PPS_Access31[[#This Row],[AC ANT]:[TR 2035]])</f>
        <v>25121</v>
      </c>
      <c r="BH71" s="14"/>
    </row>
    <row r="72" spans="1:60" hidden="1" x14ac:dyDescent="0.3">
      <c r="A72" t="s">
        <v>286</v>
      </c>
      <c r="B72" t="s">
        <v>663</v>
      </c>
      <c r="D72" t="s">
        <v>101</v>
      </c>
      <c r="E72" t="s">
        <v>102</v>
      </c>
      <c r="F72" t="s">
        <v>136</v>
      </c>
      <c r="G72" t="s">
        <v>144</v>
      </c>
      <c r="H72" t="s">
        <v>16</v>
      </c>
      <c r="I72" t="s">
        <v>20</v>
      </c>
      <c r="J72" t="s">
        <v>131</v>
      </c>
      <c r="K72">
        <v>154171403</v>
      </c>
      <c r="L72" t="s">
        <v>196</v>
      </c>
      <c r="M72" t="s">
        <v>180</v>
      </c>
      <c r="N72" t="s">
        <v>197</v>
      </c>
      <c r="O72" t="s">
        <v>110</v>
      </c>
      <c r="P72" s="1">
        <v>44889</v>
      </c>
      <c r="Q72" s="1">
        <v>46068</v>
      </c>
      <c r="R72" s="1">
        <v>46583</v>
      </c>
      <c r="S7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39</v>
      </c>
      <c r="W7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17</v>
      </c>
      <c r="X72">
        <f>Portefeuille_MNT_PPS_Access31[[#This Row],[Délais PC1 et PC3]]+Portefeuille_MNT_PPS_Access31[[#This Row],[Délais PC3 et PC5]]</f>
        <v>56</v>
      </c>
      <c r="Z72">
        <v>1</v>
      </c>
      <c r="AA72">
        <v>5</v>
      </c>
      <c r="AB72" t="s">
        <v>112</v>
      </c>
      <c r="AC72">
        <v>2.6666666666666665</v>
      </c>
      <c r="AD72" s="2">
        <f>_xlfn.XLOOKUP(Portefeuille_MNT_PPS_Access31[[#This Row],[Numéro projet]],Portefeuille_MNT_PPS_Access27[Numéro projet],Portefeuille_MNT_PPS_Access27[Critère Etat Infrastructure])</f>
        <v>4</v>
      </c>
      <c r="AE7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63.333333333333343</v>
      </c>
      <c r="AF72" s="221"/>
      <c r="AG72">
        <v>337</v>
      </c>
      <c r="AI72">
        <v>76</v>
      </c>
      <c r="AJ72"/>
      <c r="AK72">
        <v>1535</v>
      </c>
      <c r="AM72">
        <v>1611</v>
      </c>
      <c r="AO72">
        <v>1611</v>
      </c>
      <c r="AQ72">
        <v>1611</v>
      </c>
      <c r="AR72">
        <v>7500</v>
      </c>
      <c r="AS72">
        <v>1200</v>
      </c>
      <c r="AT72">
        <v>11500</v>
      </c>
      <c r="AU72">
        <v>112</v>
      </c>
      <c r="AV72">
        <v>16000</v>
      </c>
      <c r="BG72" s="14">
        <f>SUM(Portefeuille_MNT_PPS_Access31[[#This Row],[AC ANT]:[TR 2035]])</f>
        <v>43093</v>
      </c>
      <c r="BH72" s="14"/>
    </row>
    <row r="73" spans="1:60" x14ac:dyDescent="0.3">
      <c r="A73" t="s">
        <v>286</v>
      </c>
      <c r="B73" t="s">
        <v>295</v>
      </c>
      <c r="D73" t="s">
        <v>126</v>
      </c>
      <c r="E73" t="s">
        <v>127</v>
      </c>
      <c r="F73" t="s">
        <v>128</v>
      </c>
      <c r="G73" t="s">
        <v>252</v>
      </c>
      <c r="H73" t="s">
        <v>16</v>
      </c>
      <c r="I73" t="s">
        <v>16</v>
      </c>
      <c r="J73" t="s">
        <v>131</v>
      </c>
      <c r="K73">
        <v>154240500</v>
      </c>
      <c r="L73" s="15" t="s">
        <v>260</v>
      </c>
      <c r="M73" t="s">
        <v>159</v>
      </c>
      <c r="N73" t="s">
        <v>148</v>
      </c>
      <c r="O73" t="s">
        <v>291</v>
      </c>
      <c r="P73" s="1"/>
      <c r="Q73" s="1"/>
      <c r="R73" s="1"/>
      <c r="S7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7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7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7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7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73">
        <f>Portefeuille_MNT_PPS_Access31[[#This Row],[Délais PC1 et PC3]]+Portefeuille_MNT_PPS_Access31[[#This Row],[Délais PC3 et PC5]]</f>
        <v>0</v>
      </c>
      <c r="Y73">
        <v>1</v>
      </c>
      <c r="Z73">
        <v>5</v>
      </c>
      <c r="AB73" t="s">
        <v>311</v>
      </c>
      <c r="AC73">
        <v>4.333333333333333</v>
      </c>
      <c r="AD73" s="2">
        <f>_xlfn.XLOOKUP(Portefeuille_MNT_PPS_Access31[[#This Row],[Numéro projet]],Portefeuille_MNT_PPS_Access27[Numéro projet],Portefeuille_MNT_PPS_Access27[Critère Etat Infrastructure])</f>
        <v>4</v>
      </c>
      <c r="AE7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66.666666666666657</v>
      </c>
      <c r="AF73" s="221"/>
      <c r="AJ73"/>
      <c r="AM73">
        <v>15</v>
      </c>
      <c r="AN73">
        <v>85</v>
      </c>
      <c r="AT73"/>
      <c r="BG73" s="14">
        <f>SUM(Portefeuille_MNT_PPS_Access31[[#This Row],[AC ANT]:[TR 2035]])</f>
        <v>100</v>
      </c>
      <c r="BH73" s="14"/>
    </row>
    <row r="74" spans="1:60" hidden="1" x14ac:dyDescent="0.3">
      <c r="A74" t="s">
        <v>11</v>
      </c>
      <c r="D74" t="s">
        <v>118</v>
      </c>
      <c r="E74" t="s">
        <v>102</v>
      </c>
      <c r="F74" t="s">
        <v>103</v>
      </c>
      <c r="G74" t="s">
        <v>252</v>
      </c>
      <c r="H74" t="s">
        <v>20</v>
      </c>
      <c r="I74" t="s">
        <v>16</v>
      </c>
      <c r="J74" t="s">
        <v>131</v>
      </c>
      <c r="K74">
        <v>154240498</v>
      </c>
      <c r="L74" t="s">
        <v>258</v>
      </c>
      <c r="M74" t="s">
        <v>180</v>
      </c>
      <c r="N74" t="s">
        <v>148</v>
      </c>
      <c r="O74" t="s">
        <v>291</v>
      </c>
      <c r="P74" s="1"/>
      <c r="Q74" s="1"/>
      <c r="R74" s="1"/>
      <c r="S7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7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7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7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7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74">
        <f>Portefeuille_MNT_PPS_Access31[[#This Row],[Délais PC1 et PC3]]+Portefeuille_MNT_PPS_Access31[[#This Row],[Délais PC3 et PC5]]</f>
        <v>0</v>
      </c>
      <c r="Y74">
        <v>1</v>
      </c>
      <c r="Z74">
        <v>1</v>
      </c>
      <c r="AB74" t="s">
        <v>311</v>
      </c>
      <c r="AC74">
        <v>2.8787878787878789</v>
      </c>
      <c r="AD74" s="2">
        <f>_xlfn.XLOOKUP(Portefeuille_MNT_PPS_Access31[[#This Row],[Numéro projet]],Portefeuille_MNT_PPS_Access27[Numéro projet],Portefeuille_MNT_PPS_Access27[Critère Etat Infrastructure])</f>
        <v>3</v>
      </c>
      <c r="AE7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34.393939393939391</v>
      </c>
      <c r="AF74" s="221"/>
      <c r="AJ74"/>
      <c r="AL74">
        <v>300</v>
      </c>
      <c r="AT74"/>
      <c r="BG74" s="14">
        <f>SUM(Portefeuille_MNT_PPS_Access31[[#This Row],[AC ANT]:[TR 2035]])</f>
        <v>300</v>
      </c>
      <c r="BH74" s="14"/>
    </row>
    <row r="75" spans="1:60" hidden="1" x14ac:dyDescent="0.3">
      <c r="A75" t="s">
        <v>286</v>
      </c>
      <c r="B75" t="s">
        <v>663</v>
      </c>
      <c r="D75" t="s">
        <v>101</v>
      </c>
      <c r="E75" t="s">
        <v>102</v>
      </c>
      <c r="F75" t="s">
        <v>136</v>
      </c>
      <c r="G75" t="s">
        <v>113</v>
      </c>
      <c r="H75" t="s">
        <v>16</v>
      </c>
      <c r="I75" t="s">
        <v>20</v>
      </c>
      <c r="J75" t="s">
        <v>131</v>
      </c>
      <c r="K75">
        <v>154140339</v>
      </c>
      <c r="L75" t="s">
        <v>186</v>
      </c>
      <c r="M75" t="s">
        <v>187</v>
      </c>
      <c r="N75" t="s">
        <v>197</v>
      </c>
      <c r="O75" t="s">
        <v>110</v>
      </c>
      <c r="P75" s="1">
        <v>44823</v>
      </c>
      <c r="Q75" s="1">
        <v>46310</v>
      </c>
      <c r="R75" s="1">
        <v>46521</v>
      </c>
      <c r="S7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49</v>
      </c>
      <c r="W7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7</v>
      </c>
      <c r="X75">
        <f>Portefeuille_MNT_PPS_Access31[[#This Row],[Délais PC1 et PC3]]+Portefeuille_MNT_PPS_Access31[[#This Row],[Délais PC3 et PC5]]</f>
        <v>56</v>
      </c>
      <c r="Z75">
        <v>1</v>
      </c>
      <c r="AA75">
        <v>5</v>
      </c>
      <c r="AB75" t="s">
        <v>112</v>
      </c>
      <c r="AC75">
        <v>3</v>
      </c>
      <c r="AD75" s="2">
        <f>_xlfn.XLOOKUP(Portefeuille_MNT_PPS_Access31[[#This Row],[Numéro projet]],Portefeuille_MNT_PPS_Access27[Numéro projet],Portefeuille_MNT_PPS_Access27[Critère Etat Infrastructure])</f>
        <v>3</v>
      </c>
      <c r="AE7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60.000000000000007</v>
      </c>
      <c r="AF75" s="221"/>
      <c r="AG75">
        <v>282</v>
      </c>
      <c r="AI75">
        <v>175</v>
      </c>
      <c r="AJ75"/>
      <c r="AK75">
        <v>424</v>
      </c>
      <c r="AM75">
        <v>835</v>
      </c>
      <c r="AO75">
        <v>657</v>
      </c>
      <c r="AQ75">
        <v>212</v>
      </c>
      <c r="AR75">
        <v>5369</v>
      </c>
      <c r="AS75">
        <v>289</v>
      </c>
      <c r="AT75">
        <v>10806</v>
      </c>
      <c r="BG75" s="14">
        <f>SUM(Portefeuille_MNT_PPS_Access31[[#This Row],[AC ANT]:[TR 2035]])</f>
        <v>19049</v>
      </c>
      <c r="BH75" s="14"/>
    </row>
    <row r="76" spans="1:60" hidden="1" x14ac:dyDescent="0.3">
      <c r="A76" t="s">
        <v>286</v>
      </c>
      <c r="B76" t="s">
        <v>664</v>
      </c>
      <c r="D76" t="s">
        <v>101</v>
      </c>
      <c r="E76" t="s">
        <v>102</v>
      </c>
      <c r="F76" t="s">
        <v>128</v>
      </c>
      <c r="G76" t="s">
        <v>129</v>
      </c>
      <c r="H76" t="s">
        <v>16</v>
      </c>
      <c r="I76" t="s">
        <v>20</v>
      </c>
      <c r="J76" t="s">
        <v>131</v>
      </c>
      <c r="K76">
        <v>154240034</v>
      </c>
      <c r="L76" t="s">
        <v>251</v>
      </c>
      <c r="M76" t="s">
        <v>214</v>
      </c>
      <c r="N76" t="s">
        <v>197</v>
      </c>
      <c r="O76" t="s">
        <v>110</v>
      </c>
      <c r="P76" s="1">
        <v>45490</v>
      </c>
      <c r="Q76" s="1"/>
      <c r="R76" s="1">
        <v>46447</v>
      </c>
      <c r="S7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7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-1494</v>
      </c>
      <c r="W7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1526</v>
      </c>
      <c r="X76">
        <f>Portefeuille_MNT_PPS_Access31[[#This Row],[Délais PC1 et PC3]]+Portefeuille_MNT_PPS_Access31[[#This Row],[Délais PC3 et PC5]]</f>
        <v>32</v>
      </c>
      <c r="Z76">
        <v>1</v>
      </c>
      <c r="AA76">
        <v>5</v>
      </c>
      <c r="AB76" t="s">
        <v>112</v>
      </c>
      <c r="AC76">
        <v>3</v>
      </c>
      <c r="AD76" s="2">
        <f>_xlfn.XLOOKUP(Portefeuille_MNT_PPS_Access31[[#This Row],[Numéro projet]],Portefeuille_MNT_PPS_Access27[Numéro projet],Portefeuille_MNT_PPS_Access27[Critère Etat Infrastructure])</f>
        <v>4</v>
      </c>
      <c r="AE7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65</v>
      </c>
      <c r="AF76" s="221"/>
      <c r="AJ76"/>
      <c r="AK76">
        <v>37</v>
      </c>
      <c r="AM76">
        <v>10</v>
      </c>
      <c r="AO76">
        <v>12</v>
      </c>
      <c r="AQ76">
        <v>30</v>
      </c>
      <c r="AR76">
        <v>194</v>
      </c>
      <c r="AT76"/>
      <c r="BG76" s="14">
        <f>SUM(Portefeuille_MNT_PPS_Access31[[#This Row],[AC ANT]:[TR 2035]])</f>
        <v>283</v>
      </c>
      <c r="BH76" s="14"/>
    </row>
    <row r="77" spans="1:60" hidden="1" x14ac:dyDescent="0.3">
      <c r="A77" t="s">
        <v>286</v>
      </c>
      <c r="B77" t="s">
        <v>295</v>
      </c>
      <c r="D77" t="s">
        <v>126</v>
      </c>
      <c r="E77" t="s">
        <v>127</v>
      </c>
      <c r="F77" t="s">
        <v>136</v>
      </c>
      <c r="G77" t="s">
        <v>113</v>
      </c>
      <c r="H77" t="s">
        <v>16</v>
      </c>
      <c r="I77" t="s">
        <v>20</v>
      </c>
      <c r="J77" t="s">
        <v>131</v>
      </c>
      <c r="K77">
        <v>154190601</v>
      </c>
      <c r="L77" t="s">
        <v>227</v>
      </c>
      <c r="M77" t="s">
        <v>139</v>
      </c>
      <c r="N77" t="s">
        <v>184</v>
      </c>
      <c r="O77" t="s">
        <v>110</v>
      </c>
      <c r="P77" s="1">
        <v>45330</v>
      </c>
      <c r="Q77" s="1">
        <v>46690</v>
      </c>
      <c r="R77" s="1">
        <v>47376</v>
      </c>
      <c r="S7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44</v>
      </c>
      <c r="W7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23</v>
      </c>
      <c r="X77">
        <f>Portefeuille_MNT_PPS_Access31[[#This Row],[Délais PC1 et PC3]]+Portefeuille_MNT_PPS_Access31[[#This Row],[Délais PC3 et PC5]]</f>
        <v>67</v>
      </c>
      <c r="Z77">
        <v>1</v>
      </c>
      <c r="AB77" t="s">
        <v>112</v>
      </c>
      <c r="AC77">
        <v>2</v>
      </c>
      <c r="AD77" s="2">
        <f>_xlfn.XLOOKUP(Portefeuille_MNT_PPS_Access31[[#This Row],[Numéro projet]],Portefeuille_MNT_PPS_Access27[Numéro projet],Portefeuille_MNT_PPS_Access27[Critère Etat Infrastructure])</f>
        <v>3</v>
      </c>
      <c r="AE7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77" s="221"/>
      <c r="AG77">
        <v>44</v>
      </c>
      <c r="AI77">
        <v>35</v>
      </c>
      <c r="AJ77"/>
      <c r="AK77">
        <v>100</v>
      </c>
      <c r="AM77">
        <v>288</v>
      </c>
      <c r="AO77">
        <v>475</v>
      </c>
      <c r="AQ77">
        <v>475</v>
      </c>
      <c r="AS77">
        <v>573</v>
      </c>
      <c r="AT77"/>
      <c r="AU77">
        <v>1000</v>
      </c>
      <c r="AV77">
        <v>4362</v>
      </c>
      <c r="AW77">
        <v>1087</v>
      </c>
      <c r="AX77">
        <v>12800</v>
      </c>
      <c r="BG77" s="14">
        <f>SUM(Portefeuille_MNT_PPS_Access31[[#This Row],[AC ANT]:[TR 2035]])</f>
        <v>21239</v>
      </c>
      <c r="BH77" s="14"/>
    </row>
    <row r="78" spans="1:60" hidden="1" x14ac:dyDescent="0.3">
      <c r="A78" t="s">
        <v>286</v>
      </c>
      <c r="B78" t="s">
        <v>663</v>
      </c>
      <c r="D78" t="s">
        <v>101</v>
      </c>
      <c r="E78" t="s">
        <v>102</v>
      </c>
      <c r="F78" t="s">
        <v>136</v>
      </c>
      <c r="G78" t="s">
        <v>149</v>
      </c>
      <c r="H78" t="s">
        <v>16</v>
      </c>
      <c r="I78" t="s">
        <v>20</v>
      </c>
      <c r="J78" t="s">
        <v>105</v>
      </c>
      <c r="K78">
        <v>154180731</v>
      </c>
      <c r="L78" t="s">
        <v>204</v>
      </c>
      <c r="M78" t="s">
        <v>205</v>
      </c>
      <c r="N78" t="s">
        <v>197</v>
      </c>
      <c r="O78" t="s">
        <v>155</v>
      </c>
      <c r="P78" s="1">
        <v>45960</v>
      </c>
      <c r="Q78" s="1">
        <v>46264</v>
      </c>
      <c r="R78" s="1">
        <v>46629</v>
      </c>
      <c r="S7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10</v>
      </c>
      <c r="W7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78">
        <f>Portefeuille_MNT_PPS_Access31[[#This Row],[Délais PC1 et PC3]]+Portefeuille_MNT_PPS_Access31[[#This Row],[Délais PC3 et PC5]]</f>
        <v>22</v>
      </c>
      <c r="Z78">
        <v>1</v>
      </c>
      <c r="AA78">
        <v>5</v>
      </c>
      <c r="AB78" t="s">
        <v>156</v>
      </c>
      <c r="AC78">
        <v>3</v>
      </c>
      <c r="AD78" s="2">
        <f>_xlfn.XLOOKUP(Portefeuille_MNT_PPS_Access31[[#This Row],[Numéro projet]],Portefeuille_MNT_PPS_Access27[Numéro projet],Portefeuille_MNT_PPS_Access27[Critère Etat Infrastructure])</f>
        <v>5</v>
      </c>
      <c r="AE7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70</v>
      </c>
      <c r="AF78" s="221"/>
      <c r="AJ78"/>
      <c r="AM78">
        <v>85</v>
      </c>
      <c r="AO78">
        <v>85</v>
      </c>
      <c r="AQ78">
        <v>170</v>
      </c>
      <c r="AR78">
        <v>2000</v>
      </c>
      <c r="AT78"/>
      <c r="BG78" s="14">
        <f>SUM(Portefeuille_MNT_PPS_Access31[[#This Row],[AC ANT]:[TR 2035]])</f>
        <v>2340</v>
      </c>
      <c r="BH78" s="14"/>
    </row>
    <row r="79" spans="1:60" hidden="1" x14ac:dyDescent="0.3">
      <c r="A79" t="s">
        <v>286</v>
      </c>
      <c r="B79" t="s">
        <v>295</v>
      </c>
      <c r="D79" t="s">
        <v>126</v>
      </c>
      <c r="E79" t="s">
        <v>127</v>
      </c>
      <c r="F79" t="s">
        <v>103</v>
      </c>
      <c r="G79" t="s">
        <v>149</v>
      </c>
      <c r="H79" t="s">
        <v>16</v>
      </c>
      <c r="I79" t="s">
        <v>20</v>
      </c>
      <c r="J79" t="s">
        <v>131</v>
      </c>
      <c r="K79">
        <v>154190681</v>
      </c>
      <c r="L79" t="s">
        <v>542</v>
      </c>
      <c r="M79" t="s">
        <v>152</v>
      </c>
      <c r="N79" t="s">
        <v>169</v>
      </c>
      <c r="O79" t="s">
        <v>155</v>
      </c>
      <c r="P79" s="1">
        <v>46127</v>
      </c>
      <c r="Q79" s="1">
        <v>46553</v>
      </c>
      <c r="R79" s="1">
        <v>46980</v>
      </c>
      <c r="S7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7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7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7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7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</v>
      </c>
      <c r="X79">
        <f>Portefeuille_MNT_PPS_Access31[[#This Row],[Délais PC1 et PC3]]+Portefeuille_MNT_PPS_Access31[[#This Row],[Délais PC3 et PC5]]</f>
        <v>28</v>
      </c>
      <c r="Z79">
        <v>1</v>
      </c>
      <c r="AB79" t="s">
        <v>156</v>
      </c>
      <c r="AC79">
        <v>3.3333333333333335</v>
      </c>
      <c r="AD79" s="2">
        <f>_xlfn.XLOOKUP(Portefeuille_MNT_PPS_Access31[[#This Row],[Numéro projet]],Portefeuille_MNT_PPS_Access27[Numéro projet],Portefeuille_MNT_PPS_Access27[Critère Etat Infrastructure])</f>
        <v>3</v>
      </c>
      <c r="AE7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41.666666666666671</v>
      </c>
      <c r="AF79" s="221"/>
      <c r="AJ79"/>
      <c r="AM79">
        <v>100</v>
      </c>
      <c r="AO79">
        <v>167</v>
      </c>
      <c r="AQ79">
        <v>100</v>
      </c>
      <c r="AS79">
        <v>588</v>
      </c>
      <c r="AT79">
        <v>7500</v>
      </c>
      <c r="BG79" s="14">
        <f>SUM(Portefeuille_MNT_PPS_Access31[[#This Row],[AC ANT]:[TR 2035]])</f>
        <v>8455</v>
      </c>
      <c r="BH79" s="14"/>
    </row>
    <row r="80" spans="1:60" hidden="1" x14ac:dyDescent="0.3">
      <c r="A80" t="s">
        <v>286</v>
      </c>
      <c r="D80" t="s">
        <v>126</v>
      </c>
      <c r="E80" t="s">
        <v>127</v>
      </c>
      <c r="F80" t="s">
        <v>200</v>
      </c>
      <c r="G80" t="s">
        <v>252</v>
      </c>
      <c r="H80" t="s">
        <v>20</v>
      </c>
      <c r="I80" t="s">
        <v>20</v>
      </c>
      <c r="J80" t="s">
        <v>131</v>
      </c>
      <c r="K80">
        <v>154250379</v>
      </c>
      <c r="L80" t="s">
        <v>652</v>
      </c>
      <c r="M80" t="s">
        <v>139</v>
      </c>
      <c r="N80" t="s">
        <v>109</v>
      </c>
      <c r="O80" t="s">
        <v>291</v>
      </c>
      <c r="P80" s="1"/>
      <c r="Q80" s="1"/>
      <c r="R80" s="1"/>
      <c r="S8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8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8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8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8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80">
        <f>Portefeuille_MNT_PPS_Access31[[#This Row],[Délais PC1 et PC3]]+Portefeuille_MNT_PPS_Access31[[#This Row],[Délais PC3 et PC5]]</f>
        <v>0</v>
      </c>
      <c r="Y80">
        <v>1</v>
      </c>
      <c r="Z80">
        <v>1</v>
      </c>
      <c r="AA80">
        <v>3</v>
      </c>
      <c r="AB80" t="s">
        <v>311</v>
      </c>
      <c r="AC80">
        <v>2</v>
      </c>
      <c r="AD80" s="2">
        <f>_xlfn.XLOOKUP(Portefeuille_MNT_PPS_Access31[[#This Row],[Numéro projet]],Portefeuille_MNT_PPS_Access27[Numéro projet],Portefeuille_MNT_PPS_Access27[Critère Etat Infrastructure])</f>
        <v>2</v>
      </c>
      <c r="AE8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80" s="221"/>
      <c r="AJ80"/>
      <c r="AN80">
        <v>15</v>
      </c>
      <c r="AT80"/>
      <c r="BG80" s="14">
        <f>SUM(Portefeuille_MNT_PPS_Access31[[#This Row],[AC ANT]:[TR 2035]])</f>
        <v>15</v>
      </c>
      <c r="BH80" s="14"/>
    </row>
    <row r="81" spans="1:60" hidden="1" x14ac:dyDescent="0.3">
      <c r="A81" t="s">
        <v>286</v>
      </c>
      <c r="B81" t="s">
        <v>662</v>
      </c>
      <c r="D81" t="s">
        <v>118</v>
      </c>
      <c r="E81" t="s">
        <v>102</v>
      </c>
      <c r="F81" t="s">
        <v>136</v>
      </c>
      <c r="H81" t="s">
        <v>20</v>
      </c>
      <c r="I81" t="s">
        <v>20</v>
      </c>
      <c r="J81" t="s">
        <v>105</v>
      </c>
      <c r="K81">
        <v>154250512</v>
      </c>
      <c r="L81" t="s">
        <v>693</v>
      </c>
      <c r="M81" t="s">
        <v>239</v>
      </c>
      <c r="N81" t="s">
        <v>197</v>
      </c>
      <c r="P81" s="1"/>
      <c r="Q81" s="1"/>
      <c r="R81" s="1"/>
      <c r="S8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8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8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8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8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81">
        <f>Portefeuille_MNT_PPS_Access31[[#This Row],[Délais PC1 et PC3]]+Portefeuille_MNT_PPS_Access31[[#This Row],[Délais PC3 et PC5]]</f>
        <v>0</v>
      </c>
      <c r="Z81">
        <v>1</v>
      </c>
      <c r="AA81">
        <v>1</v>
      </c>
      <c r="AB81">
        <v>1</v>
      </c>
      <c r="AC81">
        <v>3.3333333333333335</v>
      </c>
      <c r="AD81" s="2">
        <f>_xlfn.XLOOKUP(Portefeuille_MNT_PPS_Access31[[#This Row],[Numéro projet]],Portefeuille_MNT_PPS_Access27[Numéro projet],Portefeuille_MNT_PPS_Access27[Critère Etat Infrastructure])</f>
        <v>5</v>
      </c>
      <c r="AE8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51.666666666666671</v>
      </c>
      <c r="AF81" s="221"/>
      <c r="AJ81"/>
      <c r="AO81">
        <v>75</v>
      </c>
      <c r="AQ81">
        <v>75</v>
      </c>
      <c r="AR81">
        <v>1500</v>
      </c>
      <c r="AT81"/>
      <c r="BG81" s="14">
        <f>SUM(Portefeuille_MNT_PPS_Access31[[#This Row],[AC ANT]:[TR 2035]])</f>
        <v>1650</v>
      </c>
      <c r="BH81" s="14"/>
    </row>
    <row r="82" spans="1:60" hidden="1" x14ac:dyDescent="0.3">
      <c r="A82" t="s">
        <v>286</v>
      </c>
      <c r="B82" t="s">
        <v>295</v>
      </c>
      <c r="D82" t="s">
        <v>126</v>
      </c>
      <c r="E82" t="s">
        <v>127</v>
      </c>
      <c r="F82" t="s">
        <v>136</v>
      </c>
      <c r="G82" t="s">
        <v>104</v>
      </c>
      <c r="H82" t="s">
        <v>16</v>
      </c>
      <c r="I82" t="s">
        <v>16</v>
      </c>
      <c r="J82" t="s">
        <v>131</v>
      </c>
      <c r="K82">
        <v>154091454</v>
      </c>
      <c r="L82" t="s">
        <v>304</v>
      </c>
      <c r="M82" t="s">
        <v>194</v>
      </c>
      <c r="O82" t="s">
        <v>164</v>
      </c>
      <c r="P82" s="1">
        <v>43270</v>
      </c>
      <c r="Q82" s="1">
        <v>44222</v>
      </c>
      <c r="R82" s="1">
        <v>44356</v>
      </c>
      <c r="S82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82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82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8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31</v>
      </c>
      <c r="W8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5</v>
      </c>
      <c r="X82">
        <f>Portefeuille_MNT_PPS_Access31[[#This Row],[Délais PC1 et PC3]]+Portefeuille_MNT_PPS_Access31[[#This Row],[Délais PC3 et PC5]]</f>
        <v>36</v>
      </c>
      <c r="Z82">
        <v>1</v>
      </c>
      <c r="AB82" t="s">
        <v>165</v>
      </c>
      <c r="AC82">
        <v>3.3333333333333335</v>
      </c>
      <c r="AD82" s="2" t="e">
        <f>_xlfn.XLOOKUP(Portefeuille_MNT_PPS_Access31[[#This Row],[Numéro projet]],Portefeuille_MNT_PPS_Access27[Numéro projet],Portefeuille_MNT_PPS_Access27[Critère Etat Infrastructure])</f>
        <v>#N/A</v>
      </c>
      <c r="AE82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82" s="221"/>
      <c r="AG82">
        <v>569</v>
      </c>
      <c r="AH82">
        <v>2223</v>
      </c>
      <c r="AI82">
        <v>18</v>
      </c>
      <c r="AJ82">
        <v>92</v>
      </c>
      <c r="AT82"/>
      <c r="BG82" s="14">
        <f>SUM(Portefeuille_MNT_PPS_Access31[[#This Row],[AC ANT]:[TR 2035]])</f>
        <v>2902</v>
      </c>
      <c r="BH82" s="14"/>
    </row>
    <row r="83" spans="1:60" hidden="1" x14ac:dyDescent="0.3">
      <c r="A83" t="s">
        <v>286</v>
      </c>
      <c r="B83" t="s">
        <v>664</v>
      </c>
      <c r="D83" t="s">
        <v>101</v>
      </c>
      <c r="E83" t="s">
        <v>102</v>
      </c>
      <c r="F83" t="s">
        <v>200</v>
      </c>
      <c r="G83" t="s">
        <v>104</v>
      </c>
      <c r="H83" t="s">
        <v>16</v>
      </c>
      <c r="I83" t="s">
        <v>16</v>
      </c>
      <c r="J83" t="s">
        <v>105</v>
      </c>
      <c r="K83">
        <v>154180001</v>
      </c>
      <c r="L83" t="s">
        <v>331</v>
      </c>
      <c r="M83" t="s">
        <v>180</v>
      </c>
      <c r="N83" t="s">
        <v>148</v>
      </c>
      <c r="O83" t="s">
        <v>164</v>
      </c>
      <c r="P83" s="1">
        <v>43360</v>
      </c>
      <c r="Q83" s="1">
        <v>43671</v>
      </c>
      <c r="R83" s="1">
        <v>44217</v>
      </c>
      <c r="S8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8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8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8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10</v>
      </c>
      <c r="W8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18</v>
      </c>
      <c r="X83">
        <f>Portefeuille_MNT_PPS_Access31[[#This Row],[Délais PC1 et PC3]]+Portefeuille_MNT_PPS_Access31[[#This Row],[Délais PC3 et PC5]]</f>
        <v>28</v>
      </c>
      <c r="Y83">
        <v>1</v>
      </c>
      <c r="Z83">
        <v>1</v>
      </c>
      <c r="AB83" t="s">
        <v>165</v>
      </c>
      <c r="AC83">
        <v>3</v>
      </c>
      <c r="AD83" s="2">
        <f>_xlfn.XLOOKUP(Portefeuille_MNT_PPS_Access31[[#This Row],[Numéro projet]],Portefeuille_MNT_PPS_Access27[Numéro projet],Portefeuille_MNT_PPS_Access27[Critère Etat Infrastructure])</f>
        <v>0</v>
      </c>
      <c r="AE8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55.000000000000007</v>
      </c>
      <c r="AF83" s="221"/>
      <c r="AG83">
        <v>432</v>
      </c>
      <c r="AH83">
        <v>3057</v>
      </c>
      <c r="AI83">
        <v>136</v>
      </c>
      <c r="AJ83"/>
      <c r="AK83">
        <v>137</v>
      </c>
      <c r="AL83">
        <v>73</v>
      </c>
      <c r="AT83"/>
      <c r="BG83" s="14">
        <f>SUM(Portefeuille_MNT_PPS_Access31[[#This Row],[AC ANT]:[TR 2035]])</f>
        <v>3835</v>
      </c>
      <c r="BH83" s="14"/>
    </row>
    <row r="84" spans="1:60" hidden="1" x14ac:dyDescent="0.3">
      <c r="A84" t="s">
        <v>286</v>
      </c>
      <c r="B84" t="s">
        <v>664</v>
      </c>
      <c r="D84" t="s">
        <v>101</v>
      </c>
      <c r="E84" t="s">
        <v>102</v>
      </c>
      <c r="F84" t="s">
        <v>200</v>
      </c>
      <c r="G84" t="s">
        <v>104</v>
      </c>
      <c r="H84" t="s">
        <v>16</v>
      </c>
      <c r="I84" t="s">
        <v>16</v>
      </c>
      <c r="J84" t="s">
        <v>105</v>
      </c>
      <c r="K84">
        <v>154190251</v>
      </c>
      <c r="L84" t="s">
        <v>339</v>
      </c>
      <c r="M84" t="s">
        <v>180</v>
      </c>
      <c r="O84" t="s">
        <v>164</v>
      </c>
      <c r="P84" s="1">
        <v>43360</v>
      </c>
      <c r="Q84" s="1">
        <v>43671</v>
      </c>
      <c r="R84" s="1">
        <v>44217</v>
      </c>
      <c r="S84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84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84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8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10</v>
      </c>
      <c r="W8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18</v>
      </c>
      <c r="X84">
        <f>Portefeuille_MNT_PPS_Access31[[#This Row],[Délais PC1 et PC3]]+Portefeuille_MNT_PPS_Access31[[#This Row],[Délais PC3 et PC5]]</f>
        <v>28</v>
      </c>
      <c r="Z84">
        <v>1</v>
      </c>
      <c r="AB84" t="s">
        <v>165</v>
      </c>
      <c r="AC84">
        <v>2.833333333333333</v>
      </c>
      <c r="AD84" s="2" t="e">
        <f>_xlfn.XLOOKUP(Portefeuille_MNT_PPS_Access31[[#This Row],[Numéro projet]],Portefeuille_MNT_PPS_Access27[Numéro projet],Portefeuille_MNT_PPS_Access27[Critère Etat Infrastructure])</f>
        <v>#N/A</v>
      </c>
      <c r="AE84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84" s="221"/>
      <c r="AG84">
        <v>128</v>
      </c>
      <c r="AH84">
        <v>2061</v>
      </c>
      <c r="AI84">
        <v>142</v>
      </c>
      <c r="AJ84"/>
      <c r="AK84">
        <v>65</v>
      </c>
      <c r="AT84"/>
      <c r="BG84" s="14">
        <f>SUM(Portefeuille_MNT_PPS_Access31[[#This Row],[AC ANT]:[TR 2035]])</f>
        <v>2396</v>
      </c>
      <c r="BH84" s="14"/>
    </row>
    <row r="85" spans="1:60" hidden="1" x14ac:dyDescent="0.3">
      <c r="A85" t="s">
        <v>286</v>
      </c>
      <c r="B85" t="s">
        <v>663</v>
      </c>
      <c r="D85" t="s">
        <v>101</v>
      </c>
      <c r="E85" t="s">
        <v>102</v>
      </c>
      <c r="F85" t="s">
        <v>136</v>
      </c>
      <c r="G85" t="s">
        <v>140</v>
      </c>
      <c r="H85" t="s">
        <v>16</v>
      </c>
      <c r="I85" t="s">
        <v>16</v>
      </c>
      <c r="J85" t="s">
        <v>131</v>
      </c>
      <c r="K85">
        <v>154180746</v>
      </c>
      <c r="L85" t="s">
        <v>361</v>
      </c>
      <c r="M85" t="s">
        <v>134</v>
      </c>
      <c r="O85" t="s">
        <v>164</v>
      </c>
      <c r="P85" s="1">
        <v>43390</v>
      </c>
      <c r="Q85" s="1"/>
      <c r="R85" s="1">
        <v>44890</v>
      </c>
      <c r="S85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8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85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8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-1425</v>
      </c>
      <c r="W8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1474</v>
      </c>
      <c r="X85">
        <f>Portefeuille_MNT_PPS_Access31[[#This Row],[Délais PC1 et PC3]]+Portefeuille_MNT_PPS_Access31[[#This Row],[Délais PC3 et PC5]]</f>
        <v>49</v>
      </c>
      <c r="Z85">
        <v>1</v>
      </c>
      <c r="AB85" t="s">
        <v>165</v>
      </c>
      <c r="AC85">
        <v>2.3333333333333335</v>
      </c>
      <c r="AD85" s="2" t="e">
        <f>_xlfn.XLOOKUP(Portefeuille_MNT_PPS_Access31[[#This Row],[Numéro projet]],Portefeuille_MNT_PPS_Access27[Numéro projet],Portefeuille_MNT_PPS_Access27[Critère Etat Infrastructure])</f>
        <v>#N/A</v>
      </c>
      <c r="AE85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85" s="221"/>
      <c r="AG85">
        <v>37</v>
      </c>
      <c r="AI85">
        <v>18</v>
      </c>
      <c r="AJ85">
        <v>288</v>
      </c>
      <c r="AT85"/>
      <c r="BG85" s="14">
        <f>SUM(Portefeuille_MNT_PPS_Access31[[#This Row],[AC ANT]:[TR 2035]])</f>
        <v>343</v>
      </c>
      <c r="BH85" s="14"/>
    </row>
    <row r="86" spans="1:60" hidden="1" x14ac:dyDescent="0.3">
      <c r="A86" t="s">
        <v>286</v>
      </c>
      <c r="B86" t="s">
        <v>662</v>
      </c>
      <c r="D86" t="s">
        <v>118</v>
      </c>
      <c r="E86" t="s">
        <v>102</v>
      </c>
      <c r="F86" t="s">
        <v>136</v>
      </c>
      <c r="H86" t="s">
        <v>20</v>
      </c>
      <c r="I86" t="s">
        <v>20</v>
      </c>
      <c r="J86" t="s">
        <v>105</v>
      </c>
      <c r="K86">
        <v>154250517</v>
      </c>
      <c r="L86" t="s">
        <v>696</v>
      </c>
      <c r="M86" t="s">
        <v>180</v>
      </c>
      <c r="N86" t="s">
        <v>197</v>
      </c>
      <c r="P86" s="1"/>
      <c r="Q86" s="1"/>
      <c r="R86" s="1"/>
      <c r="S8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8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8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8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8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86">
        <f>Portefeuille_MNT_PPS_Access31[[#This Row],[Délais PC1 et PC3]]+Portefeuille_MNT_PPS_Access31[[#This Row],[Délais PC3 et PC5]]</f>
        <v>0</v>
      </c>
      <c r="Z86">
        <v>1</v>
      </c>
      <c r="AA86">
        <v>1</v>
      </c>
      <c r="AB86">
        <v>1</v>
      </c>
      <c r="AC86">
        <v>3.0833333333333335</v>
      </c>
      <c r="AD86" s="2">
        <f>_xlfn.XLOOKUP(Portefeuille_MNT_PPS_Access31[[#This Row],[Numéro projet]],Portefeuille_MNT_PPS_Access27[Numéro projet],Portefeuille_MNT_PPS_Access27[Critère Etat Infrastructure])</f>
        <v>5</v>
      </c>
      <c r="AE8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50.416666666666664</v>
      </c>
      <c r="AF86" s="221"/>
      <c r="AJ86"/>
      <c r="AO86">
        <v>300</v>
      </c>
      <c r="AQ86">
        <v>300</v>
      </c>
      <c r="AR86">
        <v>1532</v>
      </c>
      <c r="AT86"/>
      <c r="BG86" s="14">
        <f>SUM(Portefeuille_MNT_PPS_Access31[[#This Row],[AC ANT]:[TR 2035]])</f>
        <v>2132</v>
      </c>
      <c r="BH86" s="14"/>
    </row>
    <row r="87" spans="1:60" hidden="1" x14ac:dyDescent="0.3">
      <c r="A87" t="s">
        <v>286</v>
      </c>
      <c r="B87" t="s">
        <v>664</v>
      </c>
      <c r="D87" t="s">
        <v>101</v>
      </c>
      <c r="E87" t="s">
        <v>102</v>
      </c>
      <c r="F87" t="s">
        <v>103</v>
      </c>
      <c r="G87" t="s">
        <v>104</v>
      </c>
      <c r="H87" t="s">
        <v>16</v>
      </c>
      <c r="I87" t="s">
        <v>16</v>
      </c>
      <c r="J87" t="s">
        <v>105</v>
      </c>
      <c r="K87">
        <v>154101262</v>
      </c>
      <c r="L87" t="s">
        <v>306</v>
      </c>
      <c r="M87" t="s">
        <v>302</v>
      </c>
      <c r="O87" t="s">
        <v>164</v>
      </c>
      <c r="P87" s="1">
        <v>43612</v>
      </c>
      <c r="Q87" s="1">
        <v>44098</v>
      </c>
      <c r="R87" s="1">
        <v>44188</v>
      </c>
      <c r="S87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87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87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8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16</v>
      </c>
      <c r="W8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</v>
      </c>
      <c r="X87">
        <f>Portefeuille_MNT_PPS_Access31[[#This Row],[Délais PC1 et PC3]]+Portefeuille_MNT_PPS_Access31[[#This Row],[Délais PC3 et PC5]]</f>
        <v>19</v>
      </c>
      <c r="Z87">
        <v>1</v>
      </c>
      <c r="AB87" t="s">
        <v>165</v>
      </c>
      <c r="AC87">
        <v>4</v>
      </c>
      <c r="AD87" s="2" t="e">
        <f>_xlfn.XLOOKUP(Portefeuille_MNT_PPS_Access31[[#This Row],[Numéro projet]],Portefeuille_MNT_PPS_Access27[Numéro projet],Portefeuille_MNT_PPS_Access27[Critère Etat Infrastructure])</f>
        <v>#N/A</v>
      </c>
      <c r="AE87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87" s="221"/>
      <c r="AG87">
        <v>640</v>
      </c>
      <c r="AH87">
        <v>6783</v>
      </c>
      <c r="AI87">
        <v>36</v>
      </c>
      <c r="AJ87"/>
      <c r="AT87"/>
      <c r="BG87" s="14">
        <f>SUM(Portefeuille_MNT_PPS_Access31[[#This Row],[AC ANT]:[TR 2035]])</f>
        <v>7459</v>
      </c>
      <c r="BH87" s="14"/>
    </row>
    <row r="88" spans="1:60" hidden="1" x14ac:dyDescent="0.3">
      <c r="A88" t="s">
        <v>286</v>
      </c>
      <c r="B88" t="s">
        <v>662</v>
      </c>
      <c r="D88" t="s">
        <v>118</v>
      </c>
      <c r="E88" t="s">
        <v>102</v>
      </c>
      <c r="F88" t="s">
        <v>136</v>
      </c>
      <c r="H88" t="s">
        <v>20</v>
      </c>
      <c r="I88" t="s">
        <v>20</v>
      </c>
      <c r="J88" t="s">
        <v>105</v>
      </c>
      <c r="K88">
        <v>154250514</v>
      </c>
      <c r="L88" t="s">
        <v>694</v>
      </c>
      <c r="M88" t="s">
        <v>402</v>
      </c>
      <c r="N88" t="s">
        <v>197</v>
      </c>
      <c r="P88" s="1"/>
      <c r="Q88" s="1"/>
      <c r="R88" s="1"/>
      <c r="S8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8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8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8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8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88">
        <f>Portefeuille_MNT_PPS_Access31[[#This Row],[Délais PC1 et PC3]]+Portefeuille_MNT_PPS_Access31[[#This Row],[Délais PC3 et PC5]]</f>
        <v>0</v>
      </c>
      <c r="Z88">
        <v>1</v>
      </c>
      <c r="AA88">
        <v>1</v>
      </c>
      <c r="AB88">
        <v>1</v>
      </c>
      <c r="AC88">
        <v>2.6666666666666665</v>
      </c>
      <c r="AD88" s="2">
        <f>_xlfn.XLOOKUP(Portefeuille_MNT_PPS_Access31[[#This Row],[Numéro projet]],Portefeuille_MNT_PPS_Access27[Numéro projet],Portefeuille_MNT_PPS_Access27[Critère Etat Infrastructure])</f>
        <v>5</v>
      </c>
      <c r="AE8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48.333333333333336</v>
      </c>
      <c r="AF88" s="221"/>
      <c r="AJ88"/>
      <c r="AO88">
        <v>75</v>
      </c>
      <c r="AQ88">
        <v>75</v>
      </c>
      <c r="AR88">
        <v>1500</v>
      </c>
      <c r="AT88"/>
      <c r="BG88" s="14">
        <f>SUM(Portefeuille_MNT_PPS_Access31[[#This Row],[AC ANT]:[TR 2035]])</f>
        <v>1650</v>
      </c>
      <c r="BH88" s="14"/>
    </row>
    <row r="89" spans="1:60" hidden="1" x14ac:dyDescent="0.3">
      <c r="A89" t="s">
        <v>286</v>
      </c>
      <c r="B89" t="s">
        <v>664</v>
      </c>
      <c r="D89" t="s">
        <v>101</v>
      </c>
      <c r="E89" t="s">
        <v>102</v>
      </c>
      <c r="F89" t="s">
        <v>103</v>
      </c>
      <c r="G89" t="s">
        <v>206</v>
      </c>
      <c r="H89" t="s">
        <v>16</v>
      </c>
      <c r="I89" t="s">
        <v>16</v>
      </c>
      <c r="J89" t="s">
        <v>105</v>
      </c>
      <c r="K89">
        <v>154160743</v>
      </c>
      <c r="L89" t="s">
        <v>315</v>
      </c>
      <c r="M89" t="s">
        <v>316</v>
      </c>
      <c r="N89" t="s">
        <v>148</v>
      </c>
      <c r="O89" t="s">
        <v>164</v>
      </c>
      <c r="P89" s="1">
        <v>43882</v>
      </c>
      <c r="Q89" s="1">
        <v>44033</v>
      </c>
      <c r="R89" s="1">
        <v>45225</v>
      </c>
      <c r="S8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8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8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8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5</v>
      </c>
      <c r="W8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39</v>
      </c>
      <c r="X89">
        <f>Portefeuille_MNT_PPS_Access31[[#This Row],[Délais PC1 et PC3]]+Portefeuille_MNT_PPS_Access31[[#This Row],[Délais PC3 et PC5]]</f>
        <v>44</v>
      </c>
      <c r="Y89">
        <v>1</v>
      </c>
      <c r="Z89">
        <v>1</v>
      </c>
      <c r="AB89" t="s">
        <v>165</v>
      </c>
      <c r="AC89">
        <v>3</v>
      </c>
      <c r="AD89" s="2">
        <f>_xlfn.XLOOKUP(Portefeuille_MNT_PPS_Access31[[#This Row],[Numéro projet]],Portefeuille_MNT_PPS_Access27[Numéro projet],Portefeuille_MNT_PPS_Access27[Critère Etat Infrastructure])</f>
        <v>4</v>
      </c>
      <c r="AE8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75.000000000000014</v>
      </c>
      <c r="AF89" s="221"/>
      <c r="AG89">
        <v>257</v>
      </c>
      <c r="AH89">
        <v>2407</v>
      </c>
      <c r="AI89">
        <v>439</v>
      </c>
      <c r="AJ89">
        <v>7751</v>
      </c>
      <c r="AK89">
        <v>79</v>
      </c>
      <c r="AL89">
        <v>385</v>
      </c>
      <c r="AT89"/>
      <c r="BG89" s="14">
        <f>SUM(Portefeuille_MNT_PPS_Access31[[#This Row],[AC ANT]:[TR 2035]])</f>
        <v>11318</v>
      </c>
      <c r="BH89" s="14"/>
    </row>
    <row r="90" spans="1:60" hidden="1" x14ac:dyDescent="0.3">
      <c r="A90" t="s">
        <v>286</v>
      </c>
      <c r="B90" t="s">
        <v>662</v>
      </c>
      <c r="D90" t="s">
        <v>118</v>
      </c>
      <c r="E90" t="s">
        <v>102</v>
      </c>
      <c r="F90" t="s">
        <v>103</v>
      </c>
      <c r="G90" t="s">
        <v>206</v>
      </c>
      <c r="H90" t="s">
        <v>16</v>
      </c>
      <c r="I90" t="s">
        <v>20</v>
      </c>
      <c r="J90" t="s">
        <v>131</v>
      </c>
      <c r="K90">
        <v>154180768</v>
      </c>
      <c r="L90" t="s">
        <v>211</v>
      </c>
      <c r="M90" t="s">
        <v>209</v>
      </c>
      <c r="N90" t="s">
        <v>197</v>
      </c>
      <c r="O90" t="s">
        <v>155</v>
      </c>
      <c r="P90" s="1">
        <v>45976</v>
      </c>
      <c r="Q90" s="1">
        <v>46341</v>
      </c>
      <c r="R90" s="1">
        <v>46706</v>
      </c>
      <c r="S9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9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90">
        <f>Portefeuille_MNT_PPS_Access31[[#This Row],[Délais PC1 et PC3]]+Portefeuille_MNT_PPS_Access31[[#This Row],[Délais PC3 et PC5]]</f>
        <v>24</v>
      </c>
      <c r="Z90">
        <v>1</v>
      </c>
      <c r="AA90">
        <v>5</v>
      </c>
      <c r="AB90" t="s">
        <v>156</v>
      </c>
      <c r="AC90">
        <v>3.3333333333333335</v>
      </c>
      <c r="AD90" s="2">
        <f>_xlfn.XLOOKUP(Portefeuille_MNT_PPS_Access31[[#This Row],[Numéro projet]],Portefeuille_MNT_PPS_Access27[Numéro projet],Portefeuille_MNT_PPS_Access27[Critère Etat Infrastructure])</f>
        <v>4</v>
      </c>
      <c r="AE9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66.666666666666671</v>
      </c>
      <c r="AF90" s="221"/>
      <c r="AG90">
        <v>8</v>
      </c>
      <c r="AJ90"/>
      <c r="AK90">
        <v>100</v>
      </c>
      <c r="AM90">
        <v>100</v>
      </c>
      <c r="AO90">
        <v>100</v>
      </c>
      <c r="AQ90">
        <v>250</v>
      </c>
      <c r="AR90">
        <v>7500</v>
      </c>
      <c r="AT90"/>
      <c r="BG90" s="14">
        <f>SUM(Portefeuille_MNT_PPS_Access31[[#This Row],[AC ANT]:[TR 2035]])</f>
        <v>8058</v>
      </c>
      <c r="BH90" s="14"/>
    </row>
    <row r="91" spans="1:60" hidden="1" x14ac:dyDescent="0.3">
      <c r="A91" t="s">
        <v>286</v>
      </c>
      <c r="B91" t="s">
        <v>664</v>
      </c>
      <c r="D91" t="s">
        <v>101</v>
      </c>
      <c r="E91" t="s">
        <v>102</v>
      </c>
      <c r="F91" t="s">
        <v>103</v>
      </c>
      <c r="G91" t="s">
        <v>113</v>
      </c>
      <c r="H91" t="s">
        <v>16</v>
      </c>
      <c r="I91" t="s">
        <v>16</v>
      </c>
      <c r="J91" t="s">
        <v>105</v>
      </c>
      <c r="K91">
        <v>154160152</v>
      </c>
      <c r="L91" t="s">
        <v>313</v>
      </c>
      <c r="M91" t="s">
        <v>168</v>
      </c>
      <c r="N91" t="s">
        <v>148</v>
      </c>
      <c r="O91" t="s">
        <v>164</v>
      </c>
      <c r="P91" s="1">
        <v>44055</v>
      </c>
      <c r="Q91" s="1">
        <v>44315</v>
      </c>
      <c r="R91" s="1">
        <v>44589</v>
      </c>
      <c r="S9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8</v>
      </c>
      <c r="W9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91">
        <f>Portefeuille_MNT_PPS_Access31[[#This Row],[Délais PC1 et PC3]]+Portefeuille_MNT_PPS_Access31[[#This Row],[Délais PC3 et PC5]]</f>
        <v>17</v>
      </c>
      <c r="Y91">
        <v>1</v>
      </c>
      <c r="Z91">
        <v>1</v>
      </c>
      <c r="AB91" t="s">
        <v>165</v>
      </c>
      <c r="AC91">
        <v>3.3333333333333335</v>
      </c>
      <c r="AD91" s="2">
        <f>_xlfn.XLOOKUP(Portefeuille_MNT_PPS_Access31[[#This Row],[Numéro projet]],Portefeuille_MNT_PPS_Access27[Numéro projet],Portefeuille_MNT_PPS_Access27[Critère Etat Infrastructure])</f>
        <v>2</v>
      </c>
      <c r="AE9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66.666666666666671</v>
      </c>
      <c r="AF91" s="221"/>
      <c r="AG91">
        <v>448</v>
      </c>
      <c r="AH91">
        <v>5849</v>
      </c>
      <c r="AI91">
        <v>290</v>
      </c>
      <c r="AJ91">
        <v>3895</v>
      </c>
      <c r="AK91">
        <v>93</v>
      </c>
      <c r="AL91">
        <v>390</v>
      </c>
      <c r="AT91"/>
      <c r="BG91" s="14">
        <f>SUM(Portefeuille_MNT_PPS_Access31[[#This Row],[AC ANT]:[TR 2035]])</f>
        <v>10965</v>
      </c>
      <c r="BH91" s="14"/>
    </row>
    <row r="92" spans="1:60" hidden="1" x14ac:dyDescent="0.3">
      <c r="A92" t="s">
        <v>286</v>
      </c>
      <c r="B92" t="s">
        <v>662</v>
      </c>
      <c r="D92" t="s">
        <v>118</v>
      </c>
      <c r="E92" t="s">
        <v>102</v>
      </c>
      <c r="F92" t="s">
        <v>103</v>
      </c>
      <c r="G92" t="s">
        <v>104</v>
      </c>
      <c r="H92" t="s">
        <v>16</v>
      </c>
      <c r="I92" t="s">
        <v>16</v>
      </c>
      <c r="J92" t="s">
        <v>131</v>
      </c>
      <c r="K92">
        <v>154171269</v>
      </c>
      <c r="L92" t="s">
        <v>320</v>
      </c>
      <c r="M92" t="s">
        <v>159</v>
      </c>
      <c r="O92" t="s">
        <v>164</v>
      </c>
      <c r="P92" s="1">
        <v>44063</v>
      </c>
      <c r="Q92" s="1">
        <v>44488</v>
      </c>
      <c r="R92" s="1">
        <v>44602</v>
      </c>
      <c r="S92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92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92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9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9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4</v>
      </c>
      <c r="X92">
        <f>Portefeuille_MNT_PPS_Access31[[#This Row],[Délais PC1 et PC3]]+Portefeuille_MNT_PPS_Access31[[#This Row],[Délais PC3 et PC5]]</f>
        <v>18</v>
      </c>
      <c r="Z92">
        <v>1</v>
      </c>
      <c r="AB92" t="s">
        <v>165</v>
      </c>
      <c r="AC92">
        <v>4.333333333333333</v>
      </c>
      <c r="AD92" s="2" t="e">
        <f>_xlfn.XLOOKUP(Portefeuille_MNT_PPS_Access31[[#This Row],[Numéro projet]],Portefeuille_MNT_PPS_Access27[Numéro projet],Portefeuille_MNT_PPS_Access27[Critère Etat Infrastructure])</f>
        <v>#N/A</v>
      </c>
      <c r="AE92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92" s="221"/>
      <c r="AG92">
        <v>334</v>
      </c>
      <c r="AH92">
        <v>5521</v>
      </c>
      <c r="AI92">
        <v>24</v>
      </c>
      <c r="AJ92"/>
      <c r="AK92">
        <v>28</v>
      </c>
      <c r="AT92"/>
      <c r="BG92" s="14">
        <f>SUM(Portefeuille_MNT_PPS_Access31[[#This Row],[AC ANT]:[TR 2035]])</f>
        <v>5907</v>
      </c>
      <c r="BH92" s="14"/>
    </row>
    <row r="93" spans="1:60" hidden="1" x14ac:dyDescent="0.3">
      <c r="A93" t="s">
        <v>286</v>
      </c>
      <c r="B93" t="s">
        <v>663</v>
      </c>
      <c r="D93" t="s">
        <v>101</v>
      </c>
      <c r="E93" t="s">
        <v>102</v>
      </c>
      <c r="F93" t="s">
        <v>119</v>
      </c>
      <c r="G93" t="s">
        <v>113</v>
      </c>
      <c r="H93" t="s">
        <v>16</v>
      </c>
      <c r="I93" t="s">
        <v>16</v>
      </c>
      <c r="J93" t="s">
        <v>105</v>
      </c>
      <c r="K93">
        <v>154180091</v>
      </c>
      <c r="L93" t="s">
        <v>333</v>
      </c>
      <c r="M93" t="s">
        <v>122</v>
      </c>
      <c r="N93" t="s">
        <v>148</v>
      </c>
      <c r="O93" t="s">
        <v>164</v>
      </c>
      <c r="P93" s="1">
        <v>44162</v>
      </c>
      <c r="Q93" s="1">
        <v>44489</v>
      </c>
      <c r="R93" s="1">
        <v>44608</v>
      </c>
      <c r="S9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9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4</v>
      </c>
      <c r="X93">
        <f>Portefeuille_MNT_PPS_Access31[[#This Row],[Délais PC1 et PC3]]+Portefeuille_MNT_PPS_Access31[[#This Row],[Délais PC3 et PC5]]</f>
        <v>15</v>
      </c>
      <c r="Y93">
        <v>1</v>
      </c>
      <c r="Z93">
        <v>1</v>
      </c>
      <c r="AB93" t="s">
        <v>165</v>
      </c>
      <c r="AC93">
        <v>4</v>
      </c>
      <c r="AD93" s="2">
        <f>_xlfn.XLOOKUP(Portefeuille_MNT_PPS_Access31[[#This Row],[Numéro projet]],Portefeuille_MNT_PPS_Access27[Numéro projet],Portefeuille_MNT_PPS_Access27[Critère Etat Infrastructure])</f>
        <v>5</v>
      </c>
      <c r="AE9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85.000000000000014</v>
      </c>
      <c r="AF93" s="221"/>
      <c r="AG93">
        <v>183</v>
      </c>
      <c r="AH93">
        <v>33</v>
      </c>
      <c r="AI93">
        <v>297</v>
      </c>
      <c r="AJ93">
        <v>6350</v>
      </c>
      <c r="AK93">
        <v>162</v>
      </c>
      <c r="AL93">
        <v>50</v>
      </c>
      <c r="AT93"/>
      <c r="BG93" s="14">
        <f>SUM(Portefeuille_MNT_PPS_Access31[[#This Row],[AC ANT]:[TR 2035]])</f>
        <v>7075</v>
      </c>
      <c r="BH93" s="14"/>
    </row>
    <row r="94" spans="1:60" hidden="1" x14ac:dyDescent="0.3">
      <c r="A94" t="s">
        <v>286</v>
      </c>
      <c r="B94" t="s">
        <v>664</v>
      </c>
      <c r="D94" t="s">
        <v>101</v>
      </c>
      <c r="E94" t="s">
        <v>102</v>
      </c>
      <c r="F94" t="s">
        <v>200</v>
      </c>
      <c r="G94" t="s">
        <v>149</v>
      </c>
      <c r="H94" t="s">
        <v>16</v>
      </c>
      <c r="I94" t="s">
        <v>16</v>
      </c>
      <c r="J94" t="s">
        <v>105</v>
      </c>
      <c r="K94">
        <v>154180629</v>
      </c>
      <c r="L94" t="s">
        <v>335</v>
      </c>
      <c r="M94" t="s">
        <v>205</v>
      </c>
      <c r="N94" t="s">
        <v>148</v>
      </c>
      <c r="O94" t="s">
        <v>164</v>
      </c>
      <c r="P94" s="1">
        <v>44228</v>
      </c>
      <c r="Q94" s="1">
        <v>44579</v>
      </c>
      <c r="R94" s="1">
        <v>44865</v>
      </c>
      <c r="S9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9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94">
        <f>Portefeuille_MNT_PPS_Access31[[#This Row],[Délais PC1 et PC3]]+Portefeuille_MNT_PPS_Access31[[#This Row],[Délais PC3 et PC5]]</f>
        <v>20</v>
      </c>
      <c r="Y94">
        <v>1</v>
      </c>
      <c r="Z94">
        <v>1</v>
      </c>
      <c r="AB94" t="s">
        <v>165</v>
      </c>
      <c r="AC94">
        <v>3</v>
      </c>
      <c r="AD94" s="2">
        <f>_xlfn.XLOOKUP(Portefeuille_MNT_PPS_Access31[[#This Row],[Numéro projet]],Portefeuille_MNT_PPS_Access27[Numéro projet],Portefeuille_MNT_PPS_Access27[Critère Etat Infrastructure])</f>
        <v>0</v>
      </c>
      <c r="AE9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55.000000000000007</v>
      </c>
      <c r="AF94" s="221"/>
      <c r="AG94">
        <v>262</v>
      </c>
      <c r="AH94">
        <v>16</v>
      </c>
      <c r="AI94">
        <v>265</v>
      </c>
      <c r="AJ94">
        <v>6205</v>
      </c>
      <c r="AK94">
        <v>183</v>
      </c>
      <c r="AL94">
        <v>282</v>
      </c>
      <c r="AT94"/>
      <c r="BG94" s="14">
        <f>SUM(Portefeuille_MNT_PPS_Access31[[#This Row],[AC ANT]:[TR 2035]])</f>
        <v>7213</v>
      </c>
      <c r="BH94" s="14"/>
    </row>
    <row r="95" spans="1:60" hidden="1" x14ac:dyDescent="0.3">
      <c r="A95" t="s">
        <v>286</v>
      </c>
      <c r="B95" t="s">
        <v>662</v>
      </c>
      <c r="D95" t="s">
        <v>118</v>
      </c>
      <c r="E95" t="s">
        <v>102</v>
      </c>
      <c r="F95" t="s">
        <v>103</v>
      </c>
      <c r="G95" t="s">
        <v>340</v>
      </c>
      <c r="H95" t="s">
        <v>16</v>
      </c>
      <c r="I95" t="s">
        <v>16</v>
      </c>
      <c r="J95" t="s">
        <v>131</v>
      </c>
      <c r="K95">
        <v>154190477</v>
      </c>
      <c r="L95" t="s">
        <v>342</v>
      </c>
      <c r="M95" t="s">
        <v>147</v>
      </c>
      <c r="O95" t="s">
        <v>164</v>
      </c>
      <c r="P95" s="1">
        <v>44245</v>
      </c>
      <c r="Q95" s="1">
        <v>44469</v>
      </c>
      <c r="R95" s="1">
        <v>44538</v>
      </c>
      <c r="S95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95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95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9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7</v>
      </c>
      <c r="W9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3</v>
      </c>
      <c r="X95">
        <f>Portefeuille_MNT_PPS_Access31[[#This Row],[Délais PC1 et PC3]]+Portefeuille_MNT_PPS_Access31[[#This Row],[Délais PC3 et PC5]]</f>
        <v>10</v>
      </c>
      <c r="Z95">
        <v>1</v>
      </c>
      <c r="AB95" t="s">
        <v>165</v>
      </c>
      <c r="AC95">
        <v>2.6666666666666665</v>
      </c>
      <c r="AD95" s="2" t="e">
        <f>_xlfn.XLOOKUP(Portefeuille_MNT_PPS_Access31[[#This Row],[Numéro projet]],Portefeuille_MNT_PPS_Access27[Numéro projet],Portefeuille_MNT_PPS_Access27[Critère Etat Infrastructure])</f>
        <v>#N/A</v>
      </c>
      <c r="AE95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95" s="221"/>
      <c r="AG95">
        <v>603</v>
      </c>
      <c r="AH95">
        <v>10120</v>
      </c>
      <c r="AI95">
        <v>13</v>
      </c>
      <c r="AJ95">
        <v>169</v>
      </c>
      <c r="AK95">
        <v>60</v>
      </c>
      <c r="AT95"/>
      <c r="BG95" s="14">
        <f>SUM(Portefeuille_MNT_PPS_Access31[[#This Row],[AC ANT]:[TR 2035]])</f>
        <v>10965</v>
      </c>
      <c r="BH95" s="14"/>
    </row>
    <row r="96" spans="1:60" hidden="1" x14ac:dyDescent="0.3">
      <c r="A96" t="s">
        <v>286</v>
      </c>
      <c r="B96" t="s">
        <v>664</v>
      </c>
      <c r="D96" t="s">
        <v>101</v>
      </c>
      <c r="E96" t="s">
        <v>102</v>
      </c>
      <c r="F96" t="s">
        <v>103</v>
      </c>
      <c r="G96" t="s">
        <v>113</v>
      </c>
      <c r="H96" t="s">
        <v>16</v>
      </c>
      <c r="I96" t="s">
        <v>16</v>
      </c>
      <c r="J96" t="s">
        <v>105</v>
      </c>
      <c r="K96">
        <v>154180843</v>
      </c>
      <c r="L96" t="s">
        <v>363</v>
      </c>
      <c r="M96" t="s">
        <v>122</v>
      </c>
      <c r="O96" t="s">
        <v>164</v>
      </c>
      <c r="P96" s="1">
        <v>44316</v>
      </c>
      <c r="Q96" s="1">
        <v>44636</v>
      </c>
      <c r="R96" s="1">
        <v>45084</v>
      </c>
      <c r="S96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96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96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9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9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</v>
      </c>
      <c r="X96">
        <f>Portefeuille_MNT_PPS_Access31[[#This Row],[Délais PC1 et PC3]]+Portefeuille_MNT_PPS_Access31[[#This Row],[Délais PC3 et PC5]]</f>
        <v>26</v>
      </c>
      <c r="Z96">
        <v>1</v>
      </c>
      <c r="AB96" t="s">
        <v>165</v>
      </c>
      <c r="AC96">
        <v>4</v>
      </c>
      <c r="AD96" s="2" t="e">
        <f>_xlfn.XLOOKUP(Portefeuille_MNT_PPS_Access31[[#This Row],[Numéro projet]],Portefeuille_MNT_PPS_Access27[Numéro projet],Portefeuille_MNT_PPS_Access27[Critère Etat Infrastructure])</f>
        <v>#N/A</v>
      </c>
      <c r="AE96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96" s="221"/>
      <c r="AG96">
        <v>123</v>
      </c>
      <c r="AI96">
        <v>81</v>
      </c>
      <c r="AJ96">
        <v>10747</v>
      </c>
      <c r="AK96">
        <v>178</v>
      </c>
      <c r="AT96"/>
      <c r="BG96" s="14">
        <f>SUM(Portefeuille_MNT_PPS_Access31[[#This Row],[AC ANT]:[TR 2035]])</f>
        <v>11129</v>
      </c>
      <c r="BH96" s="14"/>
    </row>
    <row r="97" spans="1:60" hidden="1" x14ac:dyDescent="0.3">
      <c r="A97" t="s">
        <v>286</v>
      </c>
      <c r="B97" t="s">
        <v>662</v>
      </c>
      <c r="D97" t="s">
        <v>118</v>
      </c>
      <c r="E97" t="s">
        <v>102</v>
      </c>
      <c r="F97" t="s">
        <v>103</v>
      </c>
      <c r="G97" t="s">
        <v>149</v>
      </c>
      <c r="H97" t="s">
        <v>16</v>
      </c>
      <c r="I97" t="s">
        <v>16</v>
      </c>
      <c r="J97" t="s">
        <v>131</v>
      </c>
      <c r="K97">
        <v>154190478</v>
      </c>
      <c r="L97" t="s">
        <v>193</v>
      </c>
      <c r="M97" t="s">
        <v>194</v>
      </c>
      <c r="N97" t="s">
        <v>148</v>
      </c>
      <c r="O97" t="s">
        <v>164</v>
      </c>
      <c r="P97" s="1">
        <v>44547</v>
      </c>
      <c r="Q97" s="1">
        <v>45091</v>
      </c>
      <c r="R97" s="1">
        <v>45375</v>
      </c>
      <c r="S9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18</v>
      </c>
      <c r="W9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9</v>
      </c>
      <c r="X97">
        <f>Portefeuille_MNT_PPS_Access31[[#This Row],[Délais PC1 et PC3]]+Portefeuille_MNT_PPS_Access31[[#This Row],[Délais PC3 et PC5]]</f>
        <v>27</v>
      </c>
      <c r="Y97">
        <v>1</v>
      </c>
      <c r="Z97">
        <v>5</v>
      </c>
      <c r="AB97" t="s">
        <v>165</v>
      </c>
      <c r="AC97">
        <v>3.3333333333333335</v>
      </c>
      <c r="AD97" s="2">
        <f>_xlfn.XLOOKUP(Portefeuille_MNT_PPS_Access31[[#This Row],[Numéro projet]],Portefeuille_MNT_PPS_Access27[Numéro projet],Portefeuille_MNT_PPS_Access27[Critère Etat Infrastructure])</f>
        <v>5</v>
      </c>
      <c r="AE9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101.66666666666666</v>
      </c>
      <c r="AF97" s="221"/>
      <c r="AG97">
        <v>7</v>
      </c>
      <c r="AI97">
        <v>45</v>
      </c>
      <c r="AJ97">
        <v>1057</v>
      </c>
      <c r="AK97">
        <v>221</v>
      </c>
      <c r="AL97">
        <v>4691</v>
      </c>
      <c r="AT97"/>
      <c r="BG97" s="14">
        <f>SUM(Portefeuille_MNT_PPS_Access31[[#This Row],[AC ANT]:[TR 2035]])</f>
        <v>6021</v>
      </c>
      <c r="BH97" s="14"/>
    </row>
    <row r="98" spans="1:60" hidden="1" x14ac:dyDescent="0.3">
      <c r="A98" t="s">
        <v>286</v>
      </c>
      <c r="B98" t="s">
        <v>663</v>
      </c>
      <c r="D98" t="s">
        <v>101</v>
      </c>
      <c r="E98" t="s">
        <v>102</v>
      </c>
      <c r="F98" t="s">
        <v>136</v>
      </c>
      <c r="G98" t="s">
        <v>206</v>
      </c>
      <c r="H98" t="s">
        <v>130</v>
      </c>
      <c r="I98" t="s">
        <v>20</v>
      </c>
      <c r="J98" t="s">
        <v>131</v>
      </c>
      <c r="K98">
        <v>154171404</v>
      </c>
      <c r="L98" t="s">
        <v>376</v>
      </c>
      <c r="M98" t="s">
        <v>209</v>
      </c>
      <c r="N98" t="s">
        <v>169</v>
      </c>
      <c r="O98" t="s">
        <v>155</v>
      </c>
      <c r="P98" s="1">
        <v>46280</v>
      </c>
      <c r="Q98" s="1">
        <v>46645</v>
      </c>
      <c r="R98" s="1">
        <v>47011</v>
      </c>
      <c r="S9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9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9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9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9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98">
        <f>Portefeuille_MNT_PPS_Access31[[#This Row],[Délais PC1 et PC3]]+Portefeuille_MNT_PPS_Access31[[#This Row],[Délais PC3 et PC5]]</f>
        <v>24</v>
      </c>
      <c r="Z98">
        <v>1</v>
      </c>
      <c r="AB98" t="s">
        <v>156</v>
      </c>
      <c r="AC98">
        <v>3.3333333333333335</v>
      </c>
      <c r="AD98" s="2">
        <f>_xlfn.XLOOKUP(Portefeuille_MNT_PPS_Access31[[#This Row],[Numéro projet]],Portefeuille_MNT_PPS_Access27[Numéro projet],Portefeuille_MNT_PPS_Access27[Critère Etat Infrastructure])</f>
        <v>4</v>
      </c>
      <c r="AE9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98" s="221"/>
      <c r="AJ98"/>
      <c r="AO98">
        <v>250</v>
      </c>
      <c r="AQ98">
        <v>350</v>
      </c>
      <c r="AS98">
        <v>500</v>
      </c>
      <c r="AT98">
        <v>5500</v>
      </c>
      <c r="AU98">
        <v>500</v>
      </c>
      <c r="AV98">
        <v>6000</v>
      </c>
      <c r="AW98">
        <v>600</v>
      </c>
      <c r="AX98">
        <v>6000</v>
      </c>
      <c r="BG98" s="14">
        <f>SUM(Portefeuille_MNT_PPS_Access31[[#This Row],[AC ANT]:[TR 2035]])</f>
        <v>19700</v>
      </c>
      <c r="BH98" s="14"/>
    </row>
    <row r="99" spans="1:60" hidden="1" x14ac:dyDescent="0.3">
      <c r="A99" t="s">
        <v>286</v>
      </c>
      <c r="B99" t="s">
        <v>295</v>
      </c>
      <c r="D99" t="s">
        <v>126</v>
      </c>
      <c r="E99" t="s">
        <v>127</v>
      </c>
      <c r="F99" t="s">
        <v>128</v>
      </c>
      <c r="G99" t="s">
        <v>129</v>
      </c>
      <c r="H99" t="s">
        <v>16</v>
      </c>
      <c r="I99" t="s">
        <v>16</v>
      </c>
      <c r="J99" t="s">
        <v>131</v>
      </c>
      <c r="K99">
        <v>154171295</v>
      </c>
      <c r="L99" t="s">
        <v>324</v>
      </c>
      <c r="M99" t="s">
        <v>214</v>
      </c>
      <c r="O99" t="s">
        <v>164</v>
      </c>
      <c r="P99" s="1">
        <v>44644</v>
      </c>
      <c r="Q99" s="1">
        <v>44995</v>
      </c>
      <c r="R99" s="1">
        <v>45061</v>
      </c>
      <c r="S99" s="1" t="e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#NUM!</v>
      </c>
      <c r="T99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99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9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9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2</v>
      </c>
      <c r="X99">
        <f>Portefeuille_MNT_PPS_Access31[[#This Row],[Délais PC1 et PC3]]+Portefeuille_MNT_PPS_Access31[[#This Row],[Délais PC3 et PC5]]</f>
        <v>14</v>
      </c>
      <c r="Z99">
        <v>1</v>
      </c>
      <c r="AB99" t="s">
        <v>165</v>
      </c>
      <c r="AC99">
        <v>3</v>
      </c>
      <c r="AD99" s="2" t="e">
        <f>_xlfn.XLOOKUP(Portefeuille_MNT_PPS_Access31[[#This Row],[Numéro projet]],Portefeuille_MNT_PPS_Access27[Numéro projet],Portefeuille_MNT_PPS_Access27[Critère Etat Infrastructure])</f>
        <v>#N/A</v>
      </c>
      <c r="AE99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99" s="221"/>
      <c r="AG99">
        <v>80</v>
      </c>
      <c r="AH99">
        <v>347</v>
      </c>
      <c r="AI99">
        <v>46</v>
      </c>
      <c r="AJ99">
        <v>141</v>
      </c>
      <c r="AT99"/>
      <c r="BG99" s="14">
        <f>SUM(Portefeuille_MNT_PPS_Access31[[#This Row],[AC ANT]:[TR 2035]])</f>
        <v>614</v>
      </c>
      <c r="BH99" s="14"/>
    </row>
    <row r="100" spans="1:60" hidden="1" x14ac:dyDescent="0.3">
      <c r="A100" t="s">
        <v>286</v>
      </c>
      <c r="B100" t="s">
        <v>295</v>
      </c>
      <c r="D100" t="s">
        <v>126</v>
      </c>
      <c r="E100" t="s">
        <v>127</v>
      </c>
      <c r="F100" t="s">
        <v>103</v>
      </c>
      <c r="G100" t="s">
        <v>104</v>
      </c>
      <c r="H100" t="s">
        <v>16</v>
      </c>
      <c r="I100" t="s">
        <v>130</v>
      </c>
      <c r="J100" t="s">
        <v>131</v>
      </c>
      <c r="K100">
        <v>154190517</v>
      </c>
      <c r="L100" t="s">
        <v>221</v>
      </c>
      <c r="M100" t="s">
        <v>159</v>
      </c>
      <c r="N100" t="s">
        <v>197</v>
      </c>
      <c r="O100" t="s">
        <v>155</v>
      </c>
      <c r="P100" s="1">
        <v>45976</v>
      </c>
      <c r="Q100" s="1">
        <v>46264</v>
      </c>
      <c r="R100" s="1">
        <v>46553</v>
      </c>
      <c r="S10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9</v>
      </c>
      <c r="W10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10</v>
      </c>
      <c r="X100">
        <f>Portefeuille_MNT_PPS_Access31[[#This Row],[Délais PC1 et PC3]]+Portefeuille_MNT_PPS_Access31[[#This Row],[Délais PC3 et PC5]]</f>
        <v>19</v>
      </c>
      <c r="Z100">
        <v>1</v>
      </c>
      <c r="AA100">
        <v>5</v>
      </c>
      <c r="AB100" t="s">
        <v>156</v>
      </c>
      <c r="AC100">
        <v>4.333333333333333</v>
      </c>
      <c r="AD100" s="2">
        <f>_xlfn.XLOOKUP(Portefeuille_MNT_PPS_Access31[[#This Row],[Numéro projet]],Portefeuille_MNT_PPS_Access27[Numéro projet],Portefeuille_MNT_PPS_Access27[Critère Etat Infrastructure])</f>
        <v>3</v>
      </c>
      <c r="AE10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66.666666666666671</v>
      </c>
      <c r="AF100" s="221"/>
      <c r="AJ100"/>
      <c r="AK100">
        <v>44</v>
      </c>
      <c r="AM100">
        <v>130</v>
      </c>
      <c r="AO100">
        <v>94</v>
      </c>
      <c r="AQ100">
        <v>106</v>
      </c>
      <c r="AR100">
        <v>14000</v>
      </c>
      <c r="AS100">
        <v>106</v>
      </c>
      <c r="AT100">
        <v>16662</v>
      </c>
      <c r="BG100" s="14">
        <f>SUM(Portefeuille_MNT_PPS_Access31[[#This Row],[AC ANT]:[TR 2035]])</f>
        <v>31142</v>
      </c>
      <c r="BH100" s="14"/>
    </row>
    <row r="101" spans="1:60" hidden="1" x14ac:dyDescent="0.3">
      <c r="A101" t="s">
        <v>286</v>
      </c>
      <c r="B101" t="s">
        <v>664</v>
      </c>
      <c r="D101" t="s">
        <v>101</v>
      </c>
      <c r="E101" t="s">
        <v>102</v>
      </c>
      <c r="F101" t="s">
        <v>128</v>
      </c>
      <c r="G101" t="s">
        <v>140</v>
      </c>
      <c r="H101" t="s">
        <v>16</v>
      </c>
      <c r="I101" t="s">
        <v>16</v>
      </c>
      <c r="J101" t="s">
        <v>105</v>
      </c>
      <c r="K101">
        <v>154160008</v>
      </c>
      <c r="L101" t="s">
        <v>142</v>
      </c>
      <c r="M101" t="s">
        <v>143</v>
      </c>
      <c r="N101" t="s">
        <v>109</v>
      </c>
      <c r="O101" t="s">
        <v>123</v>
      </c>
      <c r="P101" s="1">
        <v>42900</v>
      </c>
      <c r="Q101" s="1">
        <v>45323</v>
      </c>
      <c r="R101" s="1">
        <v>45889</v>
      </c>
      <c r="S10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80</v>
      </c>
      <c r="W10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18</v>
      </c>
      <c r="X101">
        <f>Portefeuille_MNT_PPS_Access31[[#This Row],[Délais PC1 et PC3]]+Portefeuille_MNT_PPS_Access31[[#This Row],[Délais PC3 et PC5]]</f>
        <v>98</v>
      </c>
      <c r="Y101">
        <v>1</v>
      </c>
      <c r="Z101">
        <v>5</v>
      </c>
      <c r="AA101">
        <v>5</v>
      </c>
      <c r="AB101" t="s">
        <v>125</v>
      </c>
      <c r="AC101">
        <v>4.333333333333333</v>
      </c>
      <c r="AD101" s="2">
        <f>_xlfn.XLOOKUP(Portefeuille_MNT_PPS_Access31[[#This Row],[Numéro projet]],Portefeuille_MNT_PPS_Access27[Numéro projet],Portefeuille_MNT_PPS_Access27[Critère Etat Infrastructure])</f>
        <v>5</v>
      </c>
      <c r="AE10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96.666666666666671</v>
      </c>
      <c r="AF101" s="221"/>
      <c r="AG101">
        <v>61</v>
      </c>
      <c r="AJ101"/>
      <c r="AM101">
        <v>400</v>
      </c>
      <c r="AN101">
        <v>5141</v>
      </c>
      <c r="AT101"/>
      <c r="BG101" s="14">
        <f>SUM(Portefeuille_MNT_PPS_Access31[[#This Row],[AC ANT]:[TR 2035]])</f>
        <v>5602</v>
      </c>
      <c r="BH101" s="14"/>
    </row>
    <row r="102" spans="1:60" hidden="1" x14ac:dyDescent="0.3">
      <c r="A102" t="s">
        <v>286</v>
      </c>
      <c r="B102" t="s">
        <v>662</v>
      </c>
      <c r="D102" t="s">
        <v>118</v>
      </c>
      <c r="E102" t="s">
        <v>102</v>
      </c>
      <c r="F102" t="s">
        <v>242</v>
      </c>
      <c r="G102" t="s">
        <v>129</v>
      </c>
      <c r="H102" t="s">
        <v>16</v>
      </c>
      <c r="I102" t="s">
        <v>20</v>
      </c>
      <c r="J102" t="s">
        <v>131</v>
      </c>
      <c r="K102">
        <v>154180774</v>
      </c>
      <c r="L102" t="s">
        <v>386</v>
      </c>
      <c r="M102" t="s">
        <v>134</v>
      </c>
      <c r="N102" t="s">
        <v>197</v>
      </c>
      <c r="O102" t="s">
        <v>155</v>
      </c>
      <c r="P102" s="1">
        <v>45960</v>
      </c>
      <c r="Q102" s="1">
        <v>46395</v>
      </c>
      <c r="R102" s="1">
        <v>46631</v>
      </c>
      <c r="S10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10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15</v>
      </c>
      <c r="W10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8</v>
      </c>
      <c r="X102">
        <f>Portefeuille_MNT_PPS_Access31[[#This Row],[Délais PC1 et PC3]]+Portefeuille_MNT_PPS_Access31[[#This Row],[Délais PC3 et PC5]]</f>
        <v>23</v>
      </c>
      <c r="Z102">
        <v>1</v>
      </c>
      <c r="AA102">
        <v>5</v>
      </c>
      <c r="AB102" t="s">
        <v>156</v>
      </c>
      <c r="AC102">
        <v>1.3333333333333333</v>
      </c>
      <c r="AD102" s="2">
        <f>_xlfn.XLOOKUP(Portefeuille_MNT_PPS_Access31[[#This Row],[Numéro projet]],Portefeuille_MNT_PPS_Access27[Numéro projet],Portefeuille_MNT_PPS_Access27[Critère Etat Infrastructure])</f>
        <v>4</v>
      </c>
      <c r="AE10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56.666666666666679</v>
      </c>
      <c r="AF102" s="221"/>
      <c r="AJ102"/>
      <c r="AM102">
        <v>50</v>
      </c>
      <c r="AO102">
        <v>50</v>
      </c>
      <c r="AQ102">
        <v>220</v>
      </c>
      <c r="AR102">
        <v>2000</v>
      </c>
      <c r="AT102"/>
      <c r="BG102" s="14">
        <f>SUM(Portefeuille_MNT_PPS_Access31[[#This Row],[AC ANT]:[TR 2035]])</f>
        <v>2320</v>
      </c>
      <c r="BH102" s="14"/>
    </row>
    <row r="103" spans="1:60" hidden="1" x14ac:dyDescent="0.3">
      <c r="A103" t="s">
        <v>286</v>
      </c>
      <c r="B103" t="s">
        <v>664</v>
      </c>
      <c r="C103">
        <v>1</v>
      </c>
      <c r="D103" t="s">
        <v>101</v>
      </c>
      <c r="E103" t="s">
        <v>102</v>
      </c>
      <c r="F103" t="s">
        <v>136</v>
      </c>
      <c r="G103" t="s">
        <v>104</v>
      </c>
      <c r="H103" t="s">
        <v>130</v>
      </c>
      <c r="I103" t="s">
        <v>20</v>
      </c>
      <c r="J103" t="s">
        <v>131</v>
      </c>
      <c r="K103">
        <v>154190597</v>
      </c>
      <c r="L103" t="s">
        <v>374</v>
      </c>
      <c r="M103" t="s">
        <v>159</v>
      </c>
      <c r="N103" t="s">
        <v>184</v>
      </c>
      <c r="O103" t="s">
        <v>155</v>
      </c>
      <c r="P103" s="1">
        <v>45960</v>
      </c>
      <c r="Q103" s="1">
        <v>46280</v>
      </c>
      <c r="R103" s="1">
        <v>46645</v>
      </c>
      <c r="S10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10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03">
        <f>Portefeuille_MNT_PPS_Access31[[#This Row],[Délais PC1 et PC3]]+Portefeuille_MNT_PPS_Access31[[#This Row],[Délais PC3 et PC5]]</f>
        <v>23</v>
      </c>
      <c r="Z103">
        <v>1</v>
      </c>
      <c r="AB103" t="s">
        <v>156</v>
      </c>
      <c r="AC103">
        <v>4.333333333333333</v>
      </c>
      <c r="AD103" s="2">
        <f>_xlfn.XLOOKUP(Portefeuille_MNT_PPS_Access31[[#This Row],[Numéro projet]],Portefeuille_MNT_PPS_Access27[Numéro projet],Portefeuille_MNT_PPS_Access27[Critère Etat Infrastructure])</f>
        <v>4</v>
      </c>
      <c r="AE10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51.666666666666671</v>
      </c>
      <c r="AF103" s="221"/>
      <c r="AJ103"/>
      <c r="AM103">
        <v>100</v>
      </c>
      <c r="AO103">
        <v>250</v>
      </c>
      <c r="AQ103">
        <v>350</v>
      </c>
      <c r="AS103">
        <v>500</v>
      </c>
      <c r="AT103"/>
      <c r="AU103">
        <v>500</v>
      </c>
      <c r="AV103">
        <v>8000</v>
      </c>
      <c r="AW103">
        <v>500</v>
      </c>
      <c r="AX103">
        <v>8000</v>
      </c>
      <c r="BG103" s="14">
        <f>SUM(Portefeuille_MNT_PPS_Access31[[#This Row],[AC ANT]:[TR 2035]])</f>
        <v>18200</v>
      </c>
      <c r="BH103" s="14"/>
    </row>
    <row r="104" spans="1:60" hidden="1" x14ac:dyDescent="0.3">
      <c r="A104" t="s">
        <v>286</v>
      </c>
      <c r="B104" t="s">
        <v>664</v>
      </c>
      <c r="D104" t="s">
        <v>101</v>
      </c>
      <c r="E104" t="s">
        <v>102</v>
      </c>
      <c r="F104" t="s">
        <v>103</v>
      </c>
      <c r="G104" t="s">
        <v>104</v>
      </c>
      <c r="H104" t="s">
        <v>16</v>
      </c>
      <c r="I104" t="s">
        <v>16</v>
      </c>
      <c r="J104" t="s">
        <v>105</v>
      </c>
      <c r="K104">
        <v>154101261</v>
      </c>
      <c r="L104" t="s">
        <v>216</v>
      </c>
      <c r="M104" t="s">
        <v>217</v>
      </c>
      <c r="N104" t="s">
        <v>148</v>
      </c>
      <c r="O104" t="s">
        <v>164</v>
      </c>
      <c r="P104" s="1">
        <v>44838</v>
      </c>
      <c r="Q104" s="1">
        <v>45441</v>
      </c>
      <c r="R104" s="1">
        <v>45623</v>
      </c>
      <c r="S10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10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19</v>
      </c>
      <c r="W10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6</v>
      </c>
      <c r="X104">
        <f>Portefeuille_MNT_PPS_Access31[[#This Row],[Délais PC1 et PC3]]+Portefeuille_MNT_PPS_Access31[[#This Row],[Délais PC3 et PC5]]</f>
        <v>25</v>
      </c>
      <c r="Y104">
        <v>1</v>
      </c>
      <c r="Z104">
        <v>5</v>
      </c>
      <c r="AB104" t="s">
        <v>165</v>
      </c>
      <c r="AC104">
        <v>2.6666666666666665</v>
      </c>
      <c r="AD104" s="2">
        <f>_xlfn.XLOOKUP(Portefeuille_MNT_PPS_Access31[[#This Row],[Numéro projet]],Portefeuille_MNT_PPS_Access27[Numéro projet],Portefeuille_MNT_PPS_Access27[Critère Etat Infrastructure])</f>
        <v>4</v>
      </c>
      <c r="AE10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93.333333333333329</v>
      </c>
      <c r="AF104" s="221"/>
      <c r="AG104">
        <v>218</v>
      </c>
      <c r="AH104">
        <v>3</v>
      </c>
      <c r="AI104">
        <v>96</v>
      </c>
      <c r="AJ104"/>
      <c r="AK104">
        <v>643</v>
      </c>
      <c r="AL104">
        <v>12563</v>
      </c>
      <c r="AT104"/>
      <c r="BG104" s="14">
        <f>SUM(Portefeuille_MNT_PPS_Access31[[#This Row],[AC ANT]:[TR 2035]])</f>
        <v>13523</v>
      </c>
      <c r="BH104" s="14"/>
    </row>
    <row r="105" spans="1:60" hidden="1" x14ac:dyDescent="0.3">
      <c r="A105" t="s">
        <v>11</v>
      </c>
      <c r="C105">
        <v>8</v>
      </c>
      <c r="D105" t="s">
        <v>118</v>
      </c>
      <c r="E105" t="s">
        <v>102</v>
      </c>
      <c r="F105" t="s">
        <v>103</v>
      </c>
      <c r="G105" t="s">
        <v>252</v>
      </c>
      <c r="H105" t="s">
        <v>20</v>
      </c>
      <c r="I105" t="s">
        <v>20</v>
      </c>
      <c r="J105" t="s">
        <v>131</v>
      </c>
      <c r="K105">
        <v>154250176</v>
      </c>
      <c r="L105" t="s">
        <v>598</v>
      </c>
      <c r="M105" t="s">
        <v>214</v>
      </c>
      <c r="N105" s="2" t="s">
        <v>109</v>
      </c>
      <c r="O105" t="s">
        <v>291</v>
      </c>
      <c r="P105" s="1"/>
      <c r="Q105" s="1"/>
      <c r="R105" s="1"/>
      <c r="S10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0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0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0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0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05">
        <f>Portefeuille_MNT_PPS_Access31[[#This Row],[Délais PC1 et PC3]]+Portefeuille_MNT_PPS_Access31[[#This Row],[Délais PC3 et PC5]]</f>
        <v>0</v>
      </c>
      <c r="Y105">
        <v>1</v>
      </c>
      <c r="Z105">
        <v>1</v>
      </c>
      <c r="AA105">
        <v>3</v>
      </c>
      <c r="AB105" t="s">
        <v>311</v>
      </c>
      <c r="AC105">
        <v>3</v>
      </c>
      <c r="AD105" s="2">
        <f>_xlfn.XLOOKUP(Portefeuille_MNT_PPS_Access31[[#This Row],[Numéro projet]],Portefeuille_MNT_PPS_Access27[Numéro projet],Portefeuille_MNT_PPS_Access27[Critère Etat Infrastructure])</f>
        <v>3</v>
      </c>
      <c r="AE10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49.999999999999993</v>
      </c>
      <c r="AF105" s="221"/>
      <c r="AJ105"/>
      <c r="AN105">
        <v>300</v>
      </c>
      <c r="AT105"/>
      <c r="BG105" s="14">
        <f>SUM(Portefeuille_MNT_PPS_Access31[[#This Row],[AC ANT]:[TR 2035]])</f>
        <v>300</v>
      </c>
      <c r="BH105" s="14"/>
    </row>
    <row r="106" spans="1:60" hidden="1" x14ac:dyDescent="0.3">
      <c r="A106" t="s">
        <v>286</v>
      </c>
      <c r="B106" t="s">
        <v>662</v>
      </c>
      <c r="D106" t="s">
        <v>118</v>
      </c>
      <c r="E106" t="s">
        <v>102</v>
      </c>
      <c r="F106" t="s">
        <v>103</v>
      </c>
      <c r="G106" t="s">
        <v>113</v>
      </c>
      <c r="H106" t="s">
        <v>20</v>
      </c>
      <c r="I106" t="s">
        <v>20</v>
      </c>
      <c r="J106" t="s">
        <v>131</v>
      </c>
      <c r="K106">
        <v>154220353</v>
      </c>
      <c r="L106" t="s">
        <v>423</v>
      </c>
      <c r="M106" t="s">
        <v>139</v>
      </c>
      <c r="N106" t="s">
        <v>392</v>
      </c>
      <c r="O106" t="s">
        <v>155</v>
      </c>
      <c r="P106" s="1">
        <v>46127</v>
      </c>
      <c r="Q106" s="1">
        <v>46522</v>
      </c>
      <c r="R106" s="1">
        <v>47041</v>
      </c>
      <c r="S10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13</v>
      </c>
      <c r="W10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17</v>
      </c>
      <c r="X106">
        <f>Portefeuille_MNT_PPS_Access31[[#This Row],[Délais PC1 et PC3]]+Portefeuille_MNT_PPS_Access31[[#This Row],[Délais PC3 et PC5]]</f>
        <v>30</v>
      </c>
      <c r="Z106">
        <v>1</v>
      </c>
      <c r="AB106" t="s">
        <v>156</v>
      </c>
      <c r="AC106">
        <v>2</v>
      </c>
      <c r="AD106" s="2">
        <f>_xlfn.XLOOKUP(Portefeuille_MNT_PPS_Access31[[#This Row],[Numéro projet]],Portefeuille_MNT_PPS_Access27[Numéro projet],Portefeuille_MNT_PPS_Access27[Critère Etat Infrastructure])</f>
        <v>4</v>
      </c>
      <c r="AE10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106" s="221"/>
      <c r="AJ106"/>
      <c r="AT106"/>
      <c r="AW106">
        <v>100</v>
      </c>
      <c r="AY106">
        <v>200</v>
      </c>
      <c r="BA106">
        <v>250</v>
      </c>
      <c r="BB106">
        <v>7500</v>
      </c>
      <c r="BG106" s="14">
        <f>SUM(Portefeuille_MNT_PPS_Access31[[#This Row],[AC ANT]:[TR 2035]])</f>
        <v>8050</v>
      </c>
      <c r="BH106" s="14"/>
    </row>
    <row r="107" spans="1:60" hidden="1" x14ac:dyDescent="0.3">
      <c r="A107" t="s">
        <v>286</v>
      </c>
      <c r="B107" t="s">
        <v>663</v>
      </c>
      <c r="D107" t="s">
        <v>101</v>
      </c>
      <c r="E107" t="s">
        <v>102</v>
      </c>
      <c r="F107" t="s">
        <v>136</v>
      </c>
      <c r="G107" t="s">
        <v>113</v>
      </c>
      <c r="H107" t="s">
        <v>16</v>
      </c>
      <c r="I107" t="s">
        <v>20</v>
      </c>
      <c r="J107" t="s">
        <v>105</v>
      </c>
      <c r="K107">
        <v>154061997</v>
      </c>
      <c r="L107" t="s">
        <v>167</v>
      </c>
      <c r="M107" t="s">
        <v>168</v>
      </c>
      <c r="N107" t="s">
        <v>169</v>
      </c>
      <c r="O107" t="s">
        <v>155</v>
      </c>
      <c r="P107" s="1">
        <v>45976</v>
      </c>
      <c r="Q107" s="1">
        <v>46402</v>
      </c>
      <c r="R107" s="1">
        <v>46980</v>
      </c>
      <c r="S10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10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19</v>
      </c>
      <c r="X107">
        <f>Portefeuille_MNT_PPS_Access31[[#This Row],[Délais PC1 et PC3]]+Portefeuille_MNT_PPS_Access31[[#This Row],[Délais PC3 et PC5]]</f>
        <v>33</v>
      </c>
      <c r="Z107">
        <v>1</v>
      </c>
      <c r="AB107" t="s">
        <v>156</v>
      </c>
      <c r="AC107">
        <v>3.3333333333333335</v>
      </c>
      <c r="AD107" s="2">
        <f>_xlfn.XLOOKUP(Portefeuille_MNT_PPS_Access31[[#This Row],[Numéro projet]],Portefeuille_MNT_PPS_Access27[Numéro projet],Portefeuille_MNT_PPS_Access27[Critère Etat Infrastructure])</f>
        <v>4</v>
      </c>
      <c r="AE10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107" s="221"/>
      <c r="AG107">
        <v>71</v>
      </c>
      <c r="AJ107"/>
      <c r="AK107">
        <v>11</v>
      </c>
      <c r="AM107">
        <v>210</v>
      </c>
      <c r="AO107">
        <v>310</v>
      </c>
      <c r="AQ107">
        <v>310</v>
      </c>
      <c r="AS107">
        <v>395</v>
      </c>
      <c r="AT107">
        <v>2000</v>
      </c>
      <c r="AU107">
        <v>395</v>
      </c>
      <c r="AV107">
        <v>3275</v>
      </c>
      <c r="AW107">
        <v>509</v>
      </c>
      <c r="AX107">
        <v>16319</v>
      </c>
      <c r="BG107" s="14">
        <f>SUM(Portefeuille_MNT_PPS_Access31[[#This Row],[AC ANT]:[TR 2035]])</f>
        <v>23805</v>
      </c>
      <c r="BH107" s="14"/>
    </row>
    <row r="108" spans="1:60" hidden="1" x14ac:dyDescent="0.3">
      <c r="A108" t="s">
        <v>286</v>
      </c>
      <c r="B108" t="s">
        <v>664</v>
      </c>
      <c r="C108">
        <v>1</v>
      </c>
      <c r="D108" t="s">
        <v>101</v>
      </c>
      <c r="E108" t="s">
        <v>102</v>
      </c>
      <c r="F108" t="s">
        <v>103</v>
      </c>
      <c r="G108" t="s">
        <v>129</v>
      </c>
      <c r="H108" t="s">
        <v>20</v>
      </c>
      <c r="I108" t="s">
        <v>20</v>
      </c>
      <c r="J108" t="s">
        <v>105</v>
      </c>
      <c r="K108">
        <v>154190687</v>
      </c>
      <c r="L108" t="s">
        <v>401</v>
      </c>
      <c r="M108" t="s">
        <v>402</v>
      </c>
      <c r="N108" t="s">
        <v>197</v>
      </c>
      <c r="O108" t="s">
        <v>155</v>
      </c>
      <c r="P108" s="1">
        <v>46002</v>
      </c>
      <c r="Q108" s="1">
        <v>46461</v>
      </c>
      <c r="R108" s="1">
        <v>46794</v>
      </c>
      <c r="S10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3.À risque</v>
      </c>
      <c r="U10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10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15</v>
      </c>
      <c r="W10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11</v>
      </c>
      <c r="X108">
        <f>Portefeuille_MNT_PPS_Access31[[#This Row],[Délais PC1 et PC3]]+Portefeuille_MNT_PPS_Access31[[#This Row],[Délais PC3 et PC5]]</f>
        <v>26</v>
      </c>
      <c r="Z108">
        <v>1</v>
      </c>
      <c r="AA108">
        <v>5</v>
      </c>
      <c r="AB108" t="s">
        <v>156</v>
      </c>
      <c r="AC108">
        <v>2.6666666666666665</v>
      </c>
      <c r="AD108" s="2">
        <f>_xlfn.XLOOKUP(Portefeuille_MNT_PPS_Access31[[#This Row],[Numéro projet]],Portefeuille_MNT_PPS_Access27[Numéro projet],Portefeuille_MNT_PPS_Access27[Critère Etat Infrastructure])</f>
        <v>4</v>
      </c>
      <c r="AE10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63.333333333333343</v>
      </c>
      <c r="AF108" s="221"/>
      <c r="AJ108"/>
      <c r="AM108">
        <v>200</v>
      </c>
      <c r="AO108">
        <v>200</v>
      </c>
      <c r="AQ108">
        <v>800</v>
      </c>
      <c r="AR108">
        <v>16000</v>
      </c>
      <c r="BG108" s="14">
        <f>SUM(Portefeuille_MNT_PPS_Access31[[#This Row],[AC ANT]:[TR 2035]])</f>
        <v>17200</v>
      </c>
      <c r="BH108" s="14"/>
    </row>
    <row r="109" spans="1:60" hidden="1" x14ac:dyDescent="0.3">
      <c r="A109" t="s">
        <v>286</v>
      </c>
      <c r="B109" t="s">
        <v>662</v>
      </c>
      <c r="D109" t="s">
        <v>118</v>
      </c>
      <c r="E109" t="s">
        <v>102</v>
      </c>
      <c r="F109" t="s">
        <v>242</v>
      </c>
      <c r="G109" t="s">
        <v>129</v>
      </c>
      <c r="H109" t="s">
        <v>20</v>
      </c>
      <c r="I109" t="s">
        <v>20</v>
      </c>
      <c r="J109" t="s">
        <v>131</v>
      </c>
      <c r="K109">
        <v>154210545</v>
      </c>
      <c r="L109" t="s">
        <v>410</v>
      </c>
      <c r="M109" t="s">
        <v>411</v>
      </c>
      <c r="N109" t="s">
        <v>169</v>
      </c>
      <c r="O109" t="s">
        <v>155</v>
      </c>
      <c r="P109" s="1">
        <v>46143</v>
      </c>
      <c r="Q109" s="1">
        <v>46508</v>
      </c>
      <c r="R109" s="1">
        <v>46874</v>
      </c>
      <c r="S10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0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0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0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10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09">
        <f>Portefeuille_MNT_PPS_Access31[[#This Row],[Délais PC1 et PC3]]+Portefeuille_MNT_PPS_Access31[[#This Row],[Délais PC3 et PC5]]</f>
        <v>24</v>
      </c>
      <c r="Z109">
        <v>1</v>
      </c>
      <c r="AB109" t="s">
        <v>156</v>
      </c>
      <c r="AC109">
        <v>1.3333333333333333</v>
      </c>
      <c r="AD109" s="2">
        <f>_xlfn.XLOOKUP(Portefeuille_MNT_PPS_Access31[[#This Row],[Numéro projet]],Portefeuille_MNT_PPS_Access27[Numéro projet],Portefeuille_MNT_PPS_Access27[Critère Etat Infrastructure])</f>
        <v>4</v>
      </c>
      <c r="AE10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09" s="221"/>
      <c r="AJ109"/>
      <c r="AO109">
        <v>50</v>
      </c>
      <c r="AQ109">
        <v>50</v>
      </c>
      <c r="AS109">
        <v>200</v>
      </c>
      <c r="AT109">
        <v>1000</v>
      </c>
      <c r="BG109" s="14">
        <f>SUM(Portefeuille_MNT_PPS_Access31[[#This Row],[AC ANT]:[TR 2035]])</f>
        <v>1300</v>
      </c>
      <c r="BH109" s="14"/>
    </row>
    <row r="110" spans="1:60" hidden="1" x14ac:dyDescent="0.3">
      <c r="A110" t="s">
        <v>286</v>
      </c>
      <c r="B110" t="s">
        <v>662</v>
      </c>
      <c r="D110" t="s">
        <v>118</v>
      </c>
      <c r="E110" t="s">
        <v>102</v>
      </c>
      <c r="F110" t="s">
        <v>242</v>
      </c>
      <c r="G110" t="s">
        <v>129</v>
      </c>
      <c r="H110" t="s">
        <v>20</v>
      </c>
      <c r="I110" t="s">
        <v>20</v>
      </c>
      <c r="J110" t="s">
        <v>131</v>
      </c>
      <c r="K110">
        <v>154210548</v>
      </c>
      <c r="L110" t="s">
        <v>416</v>
      </c>
      <c r="M110" t="s">
        <v>417</v>
      </c>
      <c r="N110" t="s">
        <v>169</v>
      </c>
      <c r="O110" t="s">
        <v>155</v>
      </c>
      <c r="P110" s="1">
        <v>46143</v>
      </c>
      <c r="Q110" s="1">
        <v>46508</v>
      </c>
      <c r="R110" s="1">
        <v>46874</v>
      </c>
      <c r="S11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1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1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11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10">
        <f>Portefeuille_MNT_PPS_Access31[[#This Row],[Délais PC1 et PC3]]+Portefeuille_MNT_PPS_Access31[[#This Row],[Délais PC3 et PC5]]</f>
        <v>24</v>
      </c>
      <c r="Z110">
        <v>1</v>
      </c>
      <c r="AB110" t="s">
        <v>156</v>
      </c>
      <c r="AC110">
        <v>1.3333333333333333</v>
      </c>
      <c r="AD110" s="2">
        <f>_xlfn.XLOOKUP(Portefeuille_MNT_PPS_Access31[[#This Row],[Numéro projet]],Portefeuille_MNT_PPS_Access27[Numéro projet],Portefeuille_MNT_PPS_Access27[Critère Etat Infrastructure])</f>
        <v>4</v>
      </c>
      <c r="AE11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10" s="221"/>
      <c r="AJ110"/>
      <c r="AO110">
        <v>50</v>
      </c>
      <c r="AQ110">
        <v>50</v>
      </c>
      <c r="AS110">
        <v>200</v>
      </c>
      <c r="AT110">
        <v>1000</v>
      </c>
      <c r="BG110" s="14">
        <f>SUM(Portefeuille_MNT_PPS_Access31[[#This Row],[AC ANT]:[TR 2035]])</f>
        <v>1300</v>
      </c>
      <c r="BH110" s="14"/>
    </row>
    <row r="111" spans="1:60" hidden="1" x14ac:dyDescent="0.3">
      <c r="A111" t="s">
        <v>286</v>
      </c>
      <c r="B111" t="s">
        <v>662</v>
      </c>
      <c r="D111" t="s">
        <v>118</v>
      </c>
      <c r="E111" t="s">
        <v>102</v>
      </c>
      <c r="F111" t="s">
        <v>136</v>
      </c>
      <c r="H111" t="s">
        <v>20</v>
      </c>
      <c r="I111" t="s">
        <v>20</v>
      </c>
      <c r="J111" t="s">
        <v>105</v>
      </c>
      <c r="K111">
        <v>154250513</v>
      </c>
      <c r="L111" t="s">
        <v>697</v>
      </c>
      <c r="M111" t="s">
        <v>230</v>
      </c>
      <c r="N111" t="s">
        <v>169</v>
      </c>
      <c r="P111" s="1"/>
      <c r="Q111" s="1"/>
      <c r="R111" s="1"/>
      <c r="S11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1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1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1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1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11">
        <f>Portefeuille_MNT_PPS_Access31[[#This Row],[Délais PC1 et PC3]]+Portefeuille_MNT_PPS_Access31[[#This Row],[Délais PC3 et PC5]]</f>
        <v>0</v>
      </c>
      <c r="Z111">
        <v>1</v>
      </c>
      <c r="AC111">
        <v>3</v>
      </c>
      <c r="AD111" s="2" t="e">
        <f>_xlfn.XLOOKUP(Portefeuille_MNT_PPS_Access31[[#This Row],[Numéro projet]],Portefeuille_MNT_PPS_Access27[Numéro projet],Portefeuille_MNT_PPS_Access27[Critère Etat Infrastructure])</f>
        <v>#N/A</v>
      </c>
      <c r="AE111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11" s="221"/>
      <c r="AJ111"/>
      <c r="AQ111">
        <v>75</v>
      </c>
      <c r="AS111">
        <v>75</v>
      </c>
      <c r="AT111">
        <v>1500</v>
      </c>
      <c r="BG111" s="14">
        <f>SUM(Portefeuille_MNT_PPS_Access31[[#This Row],[AC ANT]:[TR 2035]])</f>
        <v>1650</v>
      </c>
      <c r="BH111" s="14"/>
    </row>
    <row r="112" spans="1:60" hidden="1" x14ac:dyDescent="0.3">
      <c r="A112" t="s">
        <v>286</v>
      </c>
      <c r="B112" t="s">
        <v>662</v>
      </c>
      <c r="C112">
        <v>5</v>
      </c>
      <c r="D112" t="s">
        <v>118</v>
      </c>
      <c r="E112" t="s">
        <v>102</v>
      </c>
      <c r="F112" t="s">
        <v>177</v>
      </c>
      <c r="G112" t="s">
        <v>113</v>
      </c>
      <c r="H112" t="s">
        <v>20</v>
      </c>
      <c r="I112" t="s">
        <v>20</v>
      </c>
      <c r="J112" t="s">
        <v>131</v>
      </c>
      <c r="K112">
        <v>154240709</v>
      </c>
      <c r="L112" t="s">
        <v>512</v>
      </c>
      <c r="M112" t="s">
        <v>187</v>
      </c>
      <c r="N112" t="s">
        <v>197</v>
      </c>
      <c r="O112" t="s">
        <v>155</v>
      </c>
      <c r="P112" s="1">
        <v>46006</v>
      </c>
      <c r="Q112" s="1">
        <v>46341</v>
      </c>
      <c r="R112" s="1">
        <v>46706</v>
      </c>
      <c r="S11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1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1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11</v>
      </c>
      <c r="W11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12">
        <f>Portefeuille_MNT_PPS_Access31[[#This Row],[Délais PC1 et PC3]]+Portefeuille_MNT_PPS_Access31[[#This Row],[Délais PC3 et PC5]]</f>
        <v>23</v>
      </c>
      <c r="Z112">
        <v>1</v>
      </c>
      <c r="AA112">
        <v>5</v>
      </c>
      <c r="AB112" t="s">
        <v>156</v>
      </c>
      <c r="AC112">
        <v>3</v>
      </c>
      <c r="AD112" s="2">
        <f>_xlfn.XLOOKUP(Portefeuille_MNT_PPS_Access31[[#This Row],[Numéro projet]],Portefeuille_MNT_PPS_Access27[Numéro projet],Portefeuille_MNT_PPS_Access27[Critère Etat Infrastructure])</f>
        <v>5</v>
      </c>
      <c r="AE11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70</v>
      </c>
      <c r="AF112" s="221"/>
      <c r="AJ112"/>
      <c r="AM112">
        <v>75</v>
      </c>
      <c r="AO112">
        <v>75</v>
      </c>
      <c r="AQ112">
        <v>150</v>
      </c>
      <c r="AR112">
        <v>1000</v>
      </c>
      <c r="AT112"/>
      <c r="BG112" s="14">
        <f>SUM(Portefeuille_MNT_PPS_Access31[[#This Row],[AC ANT]:[TR 2035]])</f>
        <v>1300</v>
      </c>
      <c r="BH112" s="14"/>
    </row>
    <row r="113" spans="1:60" hidden="1" x14ac:dyDescent="0.3">
      <c r="A113" t="s">
        <v>286</v>
      </c>
      <c r="B113" t="s">
        <v>662</v>
      </c>
      <c r="D113" t="s">
        <v>118</v>
      </c>
      <c r="E113" t="s">
        <v>102</v>
      </c>
      <c r="F113" t="s">
        <v>103</v>
      </c>
      <c r="G113" t="s">
        <v>113</v>
      </c>
      <c r="H113" t="s">
        <v>20</v>
      </c>
      <c r="I113" t="s">
        <v>20</v>
      </c>
      <c r="J113" t="s">
        <v>105</v>
      </c>
      <c r="K113">
        <v>154220487</v>
      </c>
      <c r="L113" t="s">
        <v>527</v>
      </c>
      <c r="M113" t="s">
        <v>122</v>
      </c>
      <c r="N113" t="s">
        <v>169</v>
      </c>
      <c r="O113" t="s">
        <v>155</v>
      </c>
      <c r="P113" s="1">
        <v>46249</v>
      </c>
      <c r="Q113" s="1">
        <v>46675</v>
      </c>
      <c r="R113" s="1">
        <v>47041</v>
      </c>
      <c r="S11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1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1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11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13">
        <f>Portefeuille_MNT_PPS_Access31[[#This Row],[Délais PC1 et PC3]]+Portefeuille_MNT_PPS_Access31[[#This Row],[Délais PC3 et PC5]]</f>
        <v>26</v>
      </c>
      <c r="Z113">
        <v>1</v>
      </c>
      <c r="AB113" t="s">
        <v>156</v>
      </c>
      <c r="AC113">
        <v>4</v>
      </c>
      <c r="AD113" s="2">
        <f>_xlfn.XLOOKUP(Portefeuille_MNT_PPS_Access31[[#This Row],[Numéro projet]],Portefeuille_MNT_PPS_Access27[Numéro projet],Portefeuille_MNT_PPS_Access27[Critère Etat Infrastructure])</f>
        <v>3</v>
      </c>
      <c r="AE11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113" s="221"/>
      <c r="AJ113"/>
      <c r="AO113">
        <v>100</v>
      </c>
      <c r="AQ113">
        <v>150</v>
      </c>
      <c r="AS113">
        <v>500</v>
      </c>
      <c r="AT113">
        <v>7000</v>
      </c>
      <c r="BG113" s="14">
        <f>SUM(Portefeuille_MNT_PPS_Access31[[#This Row],[AC ANT]:[TR 2035]])</f>
        <v>7750</v>
      </c>
      <c r="BH113" s="14"/>
    </row>
    <row r="114" spans="1:60" hidden="1" x14ac:dyDescent="0.3">
      <c r="A114" t="s">
        <v>286</v>
      </c>
      <c r="B114" t="s">
        <v>664</v>
      </c>
      <c r="D114" t="s">
        <v>101</v>
      </c>
      <c r="E114" t="s">
        <v>102</v>
      </c>
      <c r="F114" t="s">
        <v>103</v>
      </c>
      <c r="G114" t="s">
        <v>149</v>
      </c>
      <c r="H114" t="s">
        <v>16</v>
      </c>
      <c r="I114" t="s">
        <v>16</v>
      </c>
      <c r="J114" t="s">
        <v>105</v>
      </c>
      <c r="K114">
        <v>154190480</v>
      </c>
      <c r="L114" t="s">
        <v>229</v>
      </c>
      <c r="M114" t="s">
        <v>230</v>
      </c>
      <c r="N114" s="2" t="s">
        <v>148</v>
      </c>
      <c r="O114" t="s">
        <v>164</v>
      </c>
      <c r="P114" s="1">
        <v>45022</v>
      </c>
      <c r="Q114" s="1">
        <v>45463</v>
      </c>
      <c r="R114" s="1">
        <v>45590</v>
      </c>
      <c r="S11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11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11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</v>
      </c>
      <c r="W11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4</v>
      </c>
      <c r="X114">
        <f>Portefeuille_MNT_PPS_Access31[[#This Row],[Délais PC1 et PC3]]+Portefeuille_MNT_PPS_Access31[[#This Row],[Délais PC3 et PC5]]</f>
        <v>18</v>
      </c>
      <c r="Y114">
        <v>1</v>
      </c>
      <c r="Z114">
        <v>5</v>
      </c>
      <c r="AB114" t="s">
        <v>165</v>
      </c>
      <c r="AC114">
        <v>3</v>
      </c>
      <c r="AD114" s="2">
        <f>_xlfn.XLOOKUP(Portefeuille_MNT_PPS_Access31[[#This Row],[Numéro projet]],Portefeuille_MNT_PPS_Access27[Numéro projet],Portefeuille_MNT_PPS_Access27[Critère Etat Infrastructure])</f>
        <v>4</v>
      </c>
      <c r="AE11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95</v>
      </c>
      <c r="AF114" s="221"/>
      <c r="AG114">
        <v>61</v>
      </c>
      <c r="AJ114"/>
      <c r="AK114">
        <v>601</v>
      </c>
      <c r="AL114">
        <v>11581</v>
      </c>
      <c r="AT114"/>
      <c r="BG114" s="14">
        <f>SUM(Portefeuille_MNT_PPS_Access31[[#This Row],[AC ANT]:[TR 2035]])</f>
        <v>12243</v>
      </c>
      <c r="BH114" s="14"/>
    </row>
    <row r="115" spans="1:60" hidden="1" x14ac:dyDescent="0.3">
      <c r="A115" t="s">
        <v>286</v>
      </c>
      <c r="B115" t="s">
        <v>662</v>
      </c>
      <c r="D115" t="s">
        <v>118</v>
      </c>
      <c r="E115" t="s">
        <v>102</v>
      </c>
      <c r="F115" t="s">
        <v>103</v>
      </c>
      <c r="G115" t="s">
        <v>149</v>
      </c>
      <c r="H115" t="s">
        <v>20</v>
      </c>
      <c r="I115" t="s">
        <v>20</v>
      </c>
      <c r="J115" t="s">
        <v>131</v>
      </c>
      <c r="K115" s="2">
        <v>154220351</v>
      </c>
      <c r="L115" t="s">
        <v>397</v>
      </c>
      <c r="M115" t="s">
        <v>194</v>
      </c>
      <c r="N115" t="s">
        <v>169</v>
      </c>
      <c r="O115" t="s">
        <v>155</v>
      </c>
      <c r="P115" s="1">
        <v>46371</v>
      </c>
      <c r="Q115" s="1">
        <v>46736</v>
      </c>
      <c r="R115" s="1">
        <v>47102</v>
      </c>
      <c r="S11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1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1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11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15">
        <f>Portefeuille_MNT_PPS_Access31[[#This Row],[Délais PC1 et PC3]]+Portefeuille_MNT_PPS_Access31[[#This Row],[Délais PC3 et PC5]]</f>
        <v>24</v>
      </c>
      <c r="Z115">
        <v>1</v>
      </c>
      <c r="AB115" t="s">
        <v>156</v>
      </c>
      <c r="AC115">
        <v>3.3333333333333335</v>
      </c>
      <c r="AD115" s="2">
        <f>_xlfn.XLOOKUP(Portefeuille_MNT_PPS_Access31[[#This Row],[Numéro projet]],Portefeuille_MNT_PPS_Access27[Numéro projet],Portefeuille_MNT_PPS_Access27[Critère Etat Infrastructure])</f>
        <v>4</v>
      </c>
      <c r="AE11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115" s="221"/>
      <c r="AJ115"/>
      <c r="AO115">
        <v>75</v>
      </c>
      <c r="AQ115">
        <v>250</v>
      </c>
      <c r="AS115">
        <v>675</v>
      </c>
      <c r="AT115">
        <v>10500</v>
      </c>
      <c r="BG115" s="14">
        <f>SUM(Portefeuille_MNT_PPS_Access31[[#This Row],[AC ANT]:[TR 2035]])</f>
        <v>11500</v>
      </c>
      <c r="BH115" s="14"/>
    </row>
    <row r="116" spans="1:60" hidden="1" x14ac:dyDescent="0.3">
      <c r="A116" t="s">
        <v>286</v>
      </c>
      <c r="B116" t="s">
        <v>664</v>
      </c>
      <c r="D116" t="s">
        <v>101</v>
      </c>
      <c r="E116" t="s">
        <v>102</v>
      </c>
      <c r="F116" t="s">
        <v>136</v>
      </c>
      <c r="H116" t="s">
        <v>20</v>
      </c>
      <c r="I116" t="s">
        <v>20</v>
      </c>
      <c r="J116" t="s">
        <v>131</v>
      </c>
      <c r="K116">
        <v>154250515</v>
      </c>
      <c r="L116" t="s">
        <v>702</v>
      </c>
      <c r="M116" t="s">
        <v>245</v>
      </c>
      <c r="N116" t="s">
        <v>169</v>
      </c>
      <c r="P116" s="1"/>
      <c r="Q116" s="1"/>
      <c r="R116" s="1"/>
      <c r="S11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1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1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1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1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16">
        <f>Portefeuille_MNT_PPS_Access31[[#This Row],[Délais PC1 et PC3]]+Portefeuille_MNT_PPS_Access31[[#This Row],[Délais PC3 et PC5]]</f>
        <v>0</v>
      </c>
      <c r="Z116">
        <v>1</v>
      </c>
      <c r="AC116">
        <v>1.6666666666666667</v>
      </c>
      <c r="AD116" s="2" t="e">
        <f>_xlfn.XLOOKUP(Portefeuille_MNT_PPS_Access31[[#This Row],[Numéro projet]],Portefeuille_MNT_PPS_Access27[Numéro projet],Portefeuille_MNT_PPS_Access27[Critère Etat Infrastructure])</f>
        <v>#N/A</v>
      </c>
      <c r="AE116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16" s="221"/>
      <c r="AJ116"/>
      <c r="AQ116">
        <v>50</v>
      </c>
      <c r="AS116">
        <v>100</v>
      </c>
      <c r="AT116">
        <v>875</v>
      </c>
      <c r="BG116" s="14">
        <f>SUM(Portefeuille_MNT_PPS_Access31[[#This Row],[AC ANT]:[TR 2035]])</f>
        <v>1025</v>
      </c>
      <c r="BH116" s="14"/>
    </row>
    <row r="117" spans="1:60" hidden="1" x14ac:dyDescent="0.3">
      <c r="A117" t="s">
        <v>286</v>
      </c>
      <c r="B117" t="s">
        <v>662</v>
      </c>
      <c r="D117" t="s">
        <v>118</v>
      </c>
      <c r="E117" t="s">
        <v>102</v>
      </c>
      <c r="F117" t="s">
        <v>136</v>
      </c>
      <c r="H117" t="s">
        <v>20</v>
      </c>
      <c r="I117" t="s">
        <v>20</v>
      </c>
      <c r="J117" t="s">
        <v>131</v>
      </c>
      <c r="K117">
        <v>154250516</v>
      </c>
      <c r="L117" t="s">
        <v>695</v>
      </c>
      <c r="M117" t="s">
        <v>180</v>
      </c>
      <c r="N117" t="s">
        <v>169</v>
      </c>
      <c r="P117" s="1"/>
      <c r="Q117" s="1"/>
      <c r="R117" s="1"/>
      <c r="S11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1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1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1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1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17">
        <f>Portefeuille_MNT_PPS_Access31[[#This Row],[Délais PC1 et PC3]]+Portefeuille_MNT_PPS_Access31[[#This Row],[Délais PC3 et PC5]]</f>
        <v>0</v>
      </c>
      <c r="Z117">
        <v>1</v>
      </c>
      <c r="AC117">
        <v>1.3333333333333333</v>
      </c>
      <c r="AD117" s="2" t="e">
        <f>_xlfn.XLOOKUP(Portefeuille_MNT_PPS_Access31[[#This Row],[Numéro projet]],Portefeuille_MNT_PPS_Access27[Numéro projet],Portefeuille_MNT_PPS_Access27[Critère Etat Infrastructure])</f>
        <v>#N/A</v>
      </c>
      <c r="AE117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17" s="221"/>
      <c r="AJ117"/>
      <c r="AQ117">
        <v>50</v>
      </c>
      <c r="AS117">
        <v>50</v>
      </c>
      <c r="AT117">
        <v>500</v>
      </c>
      <c r="BG117" s="14">
        <f>SUM(Portefeuille_MNT_PPS_Access31[[#This Row],[AC ANT]:[TR 2035]])</f>
        <v>600</v>
      </c>
      <c r="BH117" s="14"/>
    </row>
    <row r="118" spans="1:60" hidden="1" x14ac:dyDescent="0.3">
      <c r="A118" t="s">
        <v>286</v>
      </c>
      <c r="B118" t="s">
        <v>664</v>
      </c>
      <c r="D118" t="s">
        <v>101</v>
      </c>
      <c r="E118" t="s">
        <v>102</v>
      </c>
      <c r="F118" t="s">
        <v>103</v>
      </c>
      <c r="H118" t="s">
        <v>16</v>
      </c>
      <c r="I118" t="s">
        <v>16</v>
      </c>
      <c r="J118" t="s">
        <v>105</v>
      </c>
      <c r="K118">
        <v>154150340</v>
      </c>
      <c r="L118" t="s">
        <v>310</v>
      </c>
      <c r="M118" t="s">
        <v>108</v>
      </c>
      <c r="N118" t="s">
        <v>148</v>
      </c>
      <c r="O118" t="s">
        <v>291</v>
      </c>
      <c r="P118" s="1"/>
      <c r="Q118" s="1"/>
      <c r="R118" s="1"/>
      <c r="S11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1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1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1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1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18">
        <f>Portefeuille_MNT_PPS_Access31[[#This Row],[Délais PC1 et PC3]]+Portefeuille_MNT_PPS_Access31[[#This Row],[Délais PC3 et PC5]]</f>
        <v>0</v>
      </c>
      <c r="Y118">
        <v>1</v>
      </c>
      <c r="Z118">
        <v>1</v>
      </c>
      <c r="AB118" t="s">
        <v>311</v>
      </c>
      <c r="AC118">
        <v>4</v>
      </c>
      <c r="AD118" s="2">
        <f>_xlfn.XLOOKUP(Portefeuille_MNT_PPS_Access31[[#This Row],[Numéro projet]],Portefeuille_MNT_PPS_Access27[Numéro projet],Portefeuille_MNT_PPS_Access27[Critère Etat Infrastructure])</f>
        <v>0</v>
      </c>
      <c r="AE11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25</v>
      </c>
      <c r="AF118" s="221"/>
      <c r="AG118">
        <v>467</v>
      </c>
      <c r="AH118">
        <v>5053</v>
      </c>
      <c r="AJ118"/>
      <c r="AK118">
        <v>27</v>
      </c>
      <c r="AL118">
        <v>135</v>
      </c>
      <c r="AT118"/>
      <c r="BG118" s="14">
        <f>SUM(Portefeuille_MNT_PPS_Access31[[#This Row],[AC ANT]:[TR 2035]])</f>
        <v>5682</v>
      </c>
      <c r="BH118" s="14"/>
    </row>
    <row r="119" spans="1:60" hidden="1" x14ac:dyDescent="0.3">
      <c r="A119" t="s">
        <v>286</v>
      </c>
      <c r="B119" t="s">
        <v>664</v>
      </c>
      <c r="C119">
        <v>1</v>
      </c>
      <c r="D119" t="s">
        <v>101</v>
      </c>
      <c r="E119" t="s">
        <v>102</v>
      </c>
      <c r="F119" t="s">
        <v>136</v>
      </c>
      <c r="G119" t="s">
        <v>129</v>
      </c>
      <c r="H119" t="s">
        <v>130</v>
      </c>
      <c r="I119" t="s">
        <v>20</v>
      </c>
      <c r="J119" t="s">
        <v>131</v>
      </c>
      <c r="K119">
        <v>154210517</v>
      </c>
      <c r="L119" t="s">
        <v>406</v>
      </c>
      <c r="M119" t="s">
        <v>152</v>
      </c>
      <c r="N119" t="s">
        <v>184</v>
      </c>
      <c r="O119" t="s">
        <v>155</v>
      </c>
      <c r="P119" s="1">
        <v>46054</v>
      </c>
      <c r="Q119" s="1">
        <v>46427</v>
      </c>
      <c r="R119" s="1">
        <v>46813</v>
      </c>
      <c r="S11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1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1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1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11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13</v>
      </c>
      <c r="X119">
        <f>Portefeuille_MNT_PPS_Access31[[#This Row],[Délais PC1 et PC3]]+Portefeuille_MNT_PPS_Access31[[#This Row],[Délais PC3 et PC5]]</f>
        <v>25</v>
      </c>
      <c r="Z119">
        <v>1</v>
      </c>
      <c r="AB119" t="s">
        <v>156</v>
      </c>
      <c r="AC119">
        <v>3.3333333333333335</v>
      </c>
      <c r="AD119" s="2">
        <f>_xlfn.XLOOKUP(Portefeuille_MNT_PPS_Access31[[#This Row],[Numéro projet]],Portefeuille_MNT_PPS_Access27[Numéro projet],Portefeuille_MNT_PPS_Access27[Critère Etat Infrastructure])</f>
        <v>4</v>
      </c>
      <c r="AE11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119" s="221"/>
      <c r="AJ119"/>
      <c r="AM119">
        <v>100</v>
      </c>
      <c r="AO119">
        <v>250</v>
      </c>
      <c r="AQ119">
        <v>350</v>
      </c>
      <c r="AS119">
        <v>200</v>
      </c>
      <c r="AT119"/>
      <c r="AU119">
        <v>600</v>
      </c>
      <c r="AV119">
        <v>5500</v>
      </c>
      <c r="AW119">
        <v>600</v>
      </c>
      <c r="AX119">
        <v>6000</v>
      </c>
      <c r="AY119">
        <v>600</v>
      </c>
      <c r="AZ119">
        <v>6000</v>
      </c>
      <c r="BG119" s="14">
        <f>SUM(Portefeuille_MNT_PPS_Access31[[#This Row],[AC ANT]:[TR 2035]])</f>
        <v>20200</v>
      </c>
      <c r="BH119" s="14"/>
    </row>
    <row r="120" spans="1:60" hidden="1" x14ac:dyDescent="0.3">
      <c r="A120" t="s">
        <v>286</v>
      </c>
      <c r="B120" t="s">
        <v>664</v>
      </c>
      <c r="C120">
        <v>1</v>
      </c>
      <c r="D120" t="s">
        <v>101</v>
      </c>
      <c r="E120" t="s">
        <v>102</v>
      </c>
      <c r="F120" t="s">
        <v>200</v>
      </c>
      <c r="G120" t="s">
        <v>113</v>
      </c>
      <c r="H120" t="s">
        <v>20</v>
      </c>
      <c r="I120" t="s">
        <v>20</v>
      </c>
      <c r="J120" t="s">
        <v>131</v>
      </c>
      <c r="K120">
        <v>154230556</v>
      </c>
      <c r="L120" t="s">
        <v>437</v>
      </c>
      <c r="M120" t="s">
        <v>139</v>
      </c>
      <c r="N120" t="s">
        <v>169</v>
      </c>
      <c r="O120" t="s">
        <v>155</v>
      </c>
      <c r="P120" s="1">
        <v>46127</v>
      </c>
      <c r="Q120" s="1">
        <v>46522</v>
      </c>
      <c r="R120" s="1">
        <v>47041</v>
      </c>
      <c r="S12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2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2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2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13</v>
      </c>
      <c r="W12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17</v>
      </c>
      <c r="X120">
        <f>Portefeuille_MNT_PPS_Access31[[#This Row],[Délais PC1 et PC3]]+Portefeuille_MNT_PPS_Access31[[#This Row],[Délais PC3 et PC5]]</f>
        <v>30</v>
      </c>
      <c r="Z120">
        <v>1</v>
      </c>
      <c r="AB120" t="s">
        <v>156</v>
      </c>
      <c r="AC120">
        <v>2</v>
      </c>
      <c r="AD120" s="2">
        <f>_xlfn.XLOOKUP(Portefeuille_MNT_PPS_Access31[[#This Row],[Numéro projet]],Portefeuille_MNT_PPS_Access27[Numéro projet],Portefeuille_MNT_PPS_Access27[Critère Etat Infrastructure])</f>
        <v>5</v>
      </c>
      <c r="AE12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120" s="221"/>
      <c r="AJ120"/>
      <c r="AM120">
        <v>50</v>
      </c>
      <c r="AO120">
        <v>50</v>
      </c>
      <c r="AQ120">
        <v>150</v>
      </c>
      <c r="AS120">
        <v>300</v>
      </c>
      <c r="AT120">
        <v>3000</v>
      </c>
      <c r="BG120" s="14">
        <f>SUM(Portefeuille_MNT_PPS_Access31[[#This Row],[AC ANT]:[TR 2035]])</f>
        <v>3550</v>
      </c>
      <c r="BH120" s="14"/>
    </row>
    <row r="121" spans="1:60" hidden="1" x14ac:dyDescent="0.3">
      <c r="A121" t="s">
        <v>286</v>
      </c>
      <c r="B121" t="s">
        <v>662</v>
      </c>
      <c r="D121" t="s">
        <v>118</v>
      </c>
      <c r="E121" t="s">
        <v>102</v>
      </c>
      <c r="F121" t="s">
        <v>177</v>
      </c>
      <c r="G121" t="s">
        <v>129</v>
      </c>
      <c r="H121" t="s">
        <v>16</v>
      </c>
      <c r="I121" t="s">
        <v>16</v>
      </c>
      <c r="J121" t="s">
        <v>131</v>
      </c>
      <c r="K121">
        <v>154240647</v>
      </c>
      <c r="L121" t="s">
        <v>294</v>
      </c>
      <c r="M121" t="s">
        <v>134</v>
      </c>
      <c r="N121" t="s">
        <v>148</v>
      </c>
      <c r="O121" t="s">
        <v>164</v>
      </c>
      <c r="P121" s="1">
        <v>45702</v>
      </c>
      <c r="Q121" s="1">
        <v>45702</v>
      </c>
      <c r="R121" s="1">
        <v>45702</v>
      </c>
      <c r="S12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1.Très à risque</v>
      </c>
      <c r="T12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1.Très à risque</v>
      </c>
      <c r="U12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12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1">
        <f>Portefeuille_MNT_PPS_Access31[[#This Row],[Délais PC1 et PC3]]+Portefeuille_MNT_PPS_Access31[[#This Row],[Délais PC3 et PC5]]</f>
        <v>0</v>
      </c>
      <c r="Y121">
        <v>1</v>
      </c>
      <c r="Z121">
        <v>1</v>
      </c>
      <c r="AB121" t="s">
        <v>165</v>
      </c>
      <c r="AC121">
        <v>2.3333333333333335</v>
      </c>
      <c r="AD121" s="2" t="e">
        <f>_xlfn.XLOOKUP(Portefeuille_MNT_PPS_Access31[[#This Row],[Numéro projet]],Portefeuille_MNT_PPS_Access27[Numéro projet],Portefeuille_MNT_PPS_Access27[Critère Etat Infrastructure])</f>
        <v>#N/A</v>
      </c>
      <c r="AE121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1" s="221"/>
      <c r="AJ121"/>
      <c r="AK121">
        <v>50</v>
      </c>
      <c r="AL121">
        <v>2894</v>
      </c>
      <c r="AT121"/>
      <c r="BG121" s="14">
        <f>SUM(Portefeuille_MNT_PPS_Access31[[#This Row],[AC ANT]:[TR 2035]])</f>
        <v>2944</v>
      </c>
      <c r="BH121" s="14"/>
    </row>
    <row r="122" spans="1:60" hidden="1" x14ac:dyDescent="0.3">
      <c r="A122" t="s">
        <v>286</v>
      </c>
      <c r="B122" t="s">
        <v>662</v>
      </c>
      <c r="D122" t="s">
        <v>118</v>
      </c>
      <c r="E122" t="s">
        <v>102</v>
      </c>
      <c r="F122" t="s">
        <v>103</v>
      </c>
      <c r="H122" t="s">
        <v>20</v>
      </c>
      <c r="I122" t="s">
        <v>20</v>
      </c>
      <c r="J122" t="s">
        <v>131</v>
      </c>
      <c r="K122">
        <v>154171401</v>
      </c>
      <c r="L122" t="s">
        <v>372</v>
      </c>
      <c r="M122" t="s">
        <v>152</v>
      </c>
      <c r="N122" t="s">
        <v>370</v>
      </c>
      <c r="O122" t="s">
        <v>291</v>
      </c>
      <c r="P122" s="1"/>
      <c r="Q122" s="1"/>
      <c r="R122" s="1"/>
      <c r="S12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2">
        <f>Portefeuille_MNT_PPS_Access31[[#This Row],[Délais PC1 et PC3]]+Portefeuille_MNT_PPS_Access31[[#This Row],[Délais PC3 et PC5]]</f>
        <v>0</v>
      </c>
      <c r="Z122">
        <v>1</v>
      </c>
      <c r="AB122" t="s">
        <v>311</v>
      </c>
      <c r="AC122">
        <v>3.3333333333333335</v>
      </c>
      <c r="AD122" s="2">
        <f>_xlfn.XLOOKUP(Portefeuille_MNT_PPS_Access31[[#This Row],[Numéro projet]],Portefeuille_MNT_PPS_Access27[Numéro projet],Portefeuille_MNT_PPS_Access27[Critère Etat Infrastructure])</f>
        <v>4</v>
      </c>
      <c r="AE12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41.666666666666671</v>
      </c>
      <c r="AF122" s="221"/>
      <c r="AJ122"/>
      <c r="AS122">
        <v>100</v>
      </c>
      <c r="AT122"/>
      <c r="AU122">
        <v>200</v>
      </c>
      <c r="AW122">
        <v>450</v>
      </c>
      <c r="AX122">
        <v>7500</v>
      </c>
      <c r="BG122" s="14">
        <f>SUM(Portefeuille_MNT_PPS_Access31[[#This Row],[AC ANT]:[TR 2035]])</f>
        <v>8250</v>
      </c>
      <c r="BH122" s="14"/>
    </row>
    <row r="123" spans="1:60" hidden="1" x14ac:dyDescent="0.3">
      <c r="A123" t="s">
        <v>286</v>
      </c>
      <c r="B123" t="s">
        <v>663</v>
      </c>
      <c r="D123" t="s">
        <v>101</v>
      </c>
      <c r="E123" t="s">
        <v>102</v>
      </c>
      <c r="F123" t="s">
        <v>177</v>
      </c>
      <c r="G123" t="s">
        <v>104</v>
      </c>
      <c r="H123" t="s">
        <v>16</v>
      </c>
      <c r="I123" t="s">
        <v>325</v>
      </c>
      <c r="J123" t="s">
        <v>131</v>
      </c>
      <c r="K123">
        <v>154111623</v>
      </c>
      <c r="L123" t="s">
        <v>604</v>
      </c>
      <c r="M123" t="s">
        <v>214</v>
      </c>
      <c r="O123" t="s">
        <v>291</v>
      </c>
      <c r="P123" s="1"/>
      <c r="Q123" s="1"/>
      <c r="R123" s="1"/>
      <c r="S12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3">
        <f>Portefeuille_MNT_PPS_Access31[[#This Row],[Délais PC1 et PC3]]+Portefeuille_MNT_PPS_Access31[[#This Row],[Délais PC3 et PC5]]</f>
        <v>0</v>
      </c>
      <c r="Z123">
        <v>1</v>
      </c>
      <c r="AB123" t="s">
        <v>311</v>
      </c>
      <c r="AC123">
        <v>3</v>
      </c>
      <c r="AD123" s="2" t="e">
        <f>_xlfn.XLOOKUP(Portefeuille_MNT_PPS_Access31[[#This Row],[Numéro projet]],Portefeuille_MNT_PPS_Access27[Numéro projet],Portefeuille_MNT_PPS_Access27[Critère Etat Infrastructure])</f>
        <v>#N/A</v>
      </c>
      <c r="AE123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3" s="221"/>
      <c r="AG123">
        <v>96</v>
      </c>
      <c r="AH123">
        <v>399</v>
      </c>
      <c r="AI123">
        <v>5</v>
      </c>
      <c r="AJ123"/>
      <c r="AT123"/>
      <c r="BG123" s="14">
        <f>SUM(Portefeuille_MNT_PPS_Access31[[#This Row],[AC ANT]:[TR 2035]])</f>
        <v>500</v>
      </c>
      <c r="BH123" s="14"/>
    </row>
    <row r="124" spans="1:60" hidden="1" x14ac:dyDescent="0.3">
      <c r="A124" t="s">
        <v>286</v>
      </c>
      <c r="B124" t="s">
        <v>295</v>
      </c>
      <c r="D124" t="s">
        <v>126</v>
      </c>
      <c r="E124" t="s">
        <v>127</v>
      </c>
      <c r="F124" t="s">
        <v>136</v>
      </c>
      <c r="G124" t="s">
        <v>104</v>
      </c>
      <c r="H124" t="s">
        <v>16</v>
      </c>
      <c r="I124" t="s">
        <v>16</v>
      </c>
      <c r="J124" t="s">
        <v>131</v>
      </c>
      <c r="K124">
        <v>154130267</v>
      </c>
      <c r="L124" t="s">
        <v>308</v>
      </c>
      <c r="M124" t="s">
        <v>159</v>
      </c>
      <c r="O124" t="s">
        <v>164</v>
      </c>
      <c r="P124" s="1"/>
      <c r="Q124" s="1">
        <v>42992</v>
      </c>
      <c r="R124" s="1">
        <v>43783</v>
      </c>
      <c r="S12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4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124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2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1412</v>
      </c>
      <c r="W12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26</v>
      </c>
      <c r="X124">
        <f>Portefeuille_MNT_PPS_Access31[[#This Row],[Délais PC1 et PC3]]+Portefeuille_MNT_PPS_Access31[[#This Row],[Délais PC3 et PC5]]</f>
        <v>1438</v>
      </c>
      <c r="Z124">
        <v>1</v>
      </c>
      <c r="AB124" t="s">
        <v>165</v>
      </c>
      <c r="AC124">
        <v>4.333333333333333</v>
      </c>
      <c r="AD124" s="2" t="e">
        <f>_xlfn.XLOOKUP(Portefeuille_MNT_PPS_Access31[[#This Row],[Numéro projet]],Portefeuille_MNT_PPS_Access27[Numéro projet],Portefeuille_MNT_PPS_Access27[Critère Etat Infrastructure])</f>
        <v>#N/A</v>
      </c>
      <c r="AE124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4" s="221"/>
      <c r="AG124">
        <v>2779</v>
      </c>
      <c r="AH124">
        <v>15336</v>
      </c>
      <c r="AI124">
        <v>16</v>
      </c>
      <c r="AJ124"/>
      <c r="AT124"/>
      <c r="BG124" s="14">
        <f>SUM(Portefeuille_MNT_PPS_Access31[[#This Row],[AC ANT]:[TR 2035]])</f>
        <v>18131</v>
      </c>
      <c r="BH124" s="14"/>
    </row>
    <row r="125" spans="1:60" hidden="1" x14ac:dyDescent="0.3">
      <c r="A125" t="s">
        <v>286</v>
      </c>
      <c r="B125" t="s">
        <v>662</v>
      </c>
      <c r="D125" t="s">
        <v>118</v>
      </c>
      <c r="E125" t="s">
        <v>102</v>
      </c>
      <c r="F125" t="s">
        <v>103</v>
      </c>
      <c r="H125" t="s">
        <v>16</v>
      </c>
      <c r="I125" t="s">
        <v>325</v>
      </c>
      <c r="J125" t="s">
        <v>131</v>
      </c>
      <c r="K125">
        <v>154160752</v>
      </c>
      <c r="L125" t="s">
        <v>318</v>
      </c>
      <c r="M125" t="s">
        <v>187</v>
      </c>
      <c r="O125" t="s">
        <v>291</v>
      </c>
      <c r="P125" s="1"/>
      <c r="Q125" s="1"/>
      <c r="R125" s="1"/>
      <c r="S12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5">
        <f>Portefeuille_MNT_PPS_Access31[[#This Row],[Délais PC1 et PC3]]+Portefeuille_MNT_PPS_Access31[[#This Row],[Délais PC3 et PC5]]</f>
        <v>0</v>
      </c>
      <c r="Z125">
        <v>1</v>
      </c>
      <c r="AB125" t="s">
        <v>311</v>
      </c>
      <c r="AC125">
        <v>3</v>
      </c>
      <c r="AD125" s="2" t="e">
        <f>_xlfn.XLOOKUP(Portefeuille_MNT_PPS_Access31[[#This Row],[Numéro projet]],Portefeuille_MNT_PPS_Access27[Numéro projet],Portefeuille_MNT_PPS_Access27[Critère Etat Infrastructure])</f>
        <v>#N/A</v>
      </c>
      <c r="AE125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5" s="221"/>
      <c r="AG125">
        <v>676</v>
      </c>
      <c r="AH125">
        <v>7943</v>
      </c>
      <c r="AI125">
        <v>17</v>
      </c>
      <c r="AJ125"/>
      <c r="AT125"/>
      <c r="BG125" s="14">
        <f>SUM(Portefeuille_MNT_PPS_Access31[[#This Row],[AC ANT]:[TR 2035]])</f>
        <v>8636</v>
      </c>
      <c r="BH125" s="14"/>
    </row>
    <row r="126" spans="1:60" hidden="1" x14ac:dyDescent="0.3">
      <c r="A126" t="s">
        <v>286</v>
      </c>
      <c r="B126" t="s">
        <v>662</v>
      </c>
      <c r="D126" t="s">
        <v>118</v>
      </c>
      <c r="E126" t="s">
        <v>102</v>
      </c>
      <c r="F126" t="s">
        <v>103</v>
      </c>
      <c r="H126" t="s">
        <v>16</v>
      </c>
      <c r="I126" t="s">
        <v>325</v>
      </c>
      <c r="J126" t="s">
        <v>131</v>
      </c>
      <c r="K126">
        <v>154171270</v>
      </c>
      <c r="L126" t="s">
        <v>525</v>
      </c>
      <c r="M126" t="s">
        <v>147</v>
      </c>
      <c r="O126" t="s">
        <v>291</v>
      </c>
      <c r="P126" s="1"/>
      <c r="Q126" s="1"/>
      <c r="R126" s="1"/>
      <c r="S12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6">
        <f>Portefeuille_MNT_PPS_Access31[[#This Row],[Délais PC1 et PC3]]+Portefeuille_MNT_PPS_Access31[[#This Row],[Délais PC3 et PC5]]</f>
        <v>0</v>
      </c>
      <c r="Z126">
        <v>1</v>
      </c>
      <c r="AB126" t="s">
        <v>311</v>
      </c>
      <c r="AC126">
        <v>2.6666666666666665</v>
      </c>
      <c r="AD126" s="2" t="e">
        <f>_xlfn.XLOOKUP(Portefeuille_MNT_PPS_Access31[[#This Row],[Numéro projet]],Portefeuille_MNT_PPS_Access27[Numéro projet],Portefeuille_MNT_PPS_Access27[Critère Etat Infrastructure])</f>
        <v>#N/A</v>
      </c>
      <c r="AE126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6" s="221"/>
      <c r="AG126">
        <v>468</v>
      </c>
      <c r="AH126">
        <v>4580</v>
      </c>
      <c r="AJ126"/>
      <c r="AK126">
        <v>3</v>
      </c>
      <c r="AT126"/>
      <c r="BG126" s="14">
        <f>SUM(Portefeuille_MNT_PPS_Access31[[#This Row],[AC ANT]:[TR 2035]])</f>
        <v>5051</v>
      </c>
      <c r="BH126" s="14"/>
    </row>
    <row r="127" spans="1:60" hidden="1" x14ac:dyDescent="0.3">
      <c r="A127" t="s">
        <v>286</v>
      </c>
      <c r="B127" t="s">
        <v>664</v>
      </c>
      <c r="D127" t="s">
        <v>101</v>
      </c>
      <c r="E127" t="s">
        <v>102</v>
      </c>
      <c r="F127" t="s">
        <v>103</v>
      </c>
      <c r="H127" t="s">
        <v>16</v>
      </c>
      <c r="I127" t="s">
        <v>325</v>
      </c>
      <c r="J127" t="s">
        <v>131</v>
      </c>
      <c r="K127">
        <v>154171402</v>
      </c>
      <c r="L127" t="s">
        <v>327</v>
      </c>
      <c r="M127" t="s">
        <v>183</v>
      </c>
      <c r="O127" t="s">
        <v>291</v>
      </c>
      <c r="P127" s="1"/>
      <c r="Q127" s="1"/>
      <c r="R127" s="1"/>
      <c r="S12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7">
        <f>Portefeuille_MNT_PPS_Access31[[#This Row],[Délais PC1 et PC3]]+Portefeuille_MNT_PPS_Access31[[#This Row],[Délais PC3 et PC5]]</f>
        <v>0</v>
      </c>
      <c r="Z127">
        <v>1</v>
      </c>
      <c r="AB127" t="s">
        <v>311</v>
      </c>
      <c r="AC127">
        <v>2.3333333333333335</v>
      </c>
      <c r="AD127" s="2" t="e">
        <f>_xlfn.XLOOKUP(Portefeuille_MNT_PPS_Access31[[#This Row],[Numéro projet]],Portefeuille_MNT_PPS_Access27[Numéro projet],Portefeuille_MNT_PPS_Access27[Critère Etat Infrastructure])</f>
        <v>#N/A</v>
      </c>
      <c r="AE127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7" s="221"/>
      <c r="AG127">
        <v>595</v>
      </c>
      <c r="AH127">
        <v>3578</v>
      </c>
      <c r="AJ127"/>
      <c r="AK127">
        <v>1</v>
      </c>
      <c r="AT127"/>
      <c r="BG127" s="14">
        <f>SUM(Portefeuille_MNT_PPS_Access31[[#This Row],[AC ANT]:[TR 2035]])</f>
        <v>4174</v>
      </c>
      <c r="BH127" s="14"/>
    </row>
    <row r="128" spans="1:60" hidden="1" x14ac:dyDescent="0.3">
      <c r="A128" t="s">
        <v>286</v>
      </c>
      <c r="B128" t="s">
        <v>664</v>
      </c>
      <c r="D128" t="s">
        <v>101</v>
      </c>
      <c r="E128" t="s">
        <v>102</v>
      </c>
      <c r="F128" t="s">
        <v>200</v>
      </c>
      <c r="H128" t="s">
        <v>16</v>
      </c>
      <c r="I128" t="s">
        <v>325</v>
      </c>
      <c r="J128" t="s">
        <v>131</v>
      </c>
      <c r="K128">
        <v>154171405</v>
      </c>
      <c r="L128" t="s">
        <v>329</v>
      </c>
      <c r="M128" t="s">
        <v>152</v>
      </c>
      <c r="O128" t="s">
        <v>291</v>
      </c>
      <c r="P128" s="1"/>
      <c r="Q128" s="1"/>
      <c r="R128" s="1"/>
      <c r="S12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2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28">
        <f>Portefeuille_MNT_PPS_Access31[[#This Row],[Délais PC1 et PC3]]+Portefeuille_MNT_PPS_Access31[[#This Row],[Délais PC3 et PC5]]</f>
        <v>0</v>
      </c>
      <c r="Z128">
        <v>1</v>
      </c>
      <c r="AB128" t="s">
        <v>311</v>
      </c>
      <c r="AC128">
        <v>3.3333333333333335</v>
      </c>
      <c r="AD128" s="2" t="e">
        <f>_xlfn.XLOOKUP(Portefeuille_MNT_PPS_Access31[[#This Row],[Numéro projet]],Portefeuille_MNT_PPS_Access27[Numéro projet],Portefeuille_MNT_PPS_Access27[Critère Etat Infrastructure])</f>
        <v>#N/A</v>
      </c>
      <c r="AE128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8" s="221"/>
      <c r="AG128">
        <v>186</v>
      </c>
      <c r="AH128">
        <v>3019</v>
      </c>
      <c r="AJ128"/>
      <c r="AK128">
        <v>9</v>
      </c>
      <c r="AT128"/>
      <c r="BG128" s="14">
        <f>SUM(Portefeuille_MNT_PPS_Access31[[#This Row],[AC ANT]:[TR 2035]])</f>
        <v>3214</v>
      </c>
      <c r="BH128" s="14"/>
    </row>
    <row r="129" spans="1:60" hidden="1" x14ac:dyDescent="0.3">
      <c r="A129" t="s">
        <v>11</v>
      </c>
      <c r="D129" t="s">
        <v>118</v>
      </c>
      <c r="E129" t="s">
        <v>102</v>
      </c>
      <c r="F129" t="s">
        <v>136</v>
      </c>
      <c r="G129" t="s">
        <v>129</v>
      </c>
      <c r="H129" t="s">
        <v>325</v>
      </c>
      <c r="I129" t="s">
        <v>16</v>
      </c>
      <c r="J129" t="s">
        <v>131</v>
      </c>
      <c r="K129">
        <v>154200568</v>
      </c>
      <c r="L129" t="s">
        <v>348</v>
      </c>
      <c r="M129" t="s">
        <v>214</v>
      </c>
      <c r="O129" t="s">
        <v>297</v>
      </c>
      <c r="P129" s="1"/>
      <c r="Q129" s="1"/>
      <c r="R129" s="1">
        <v>45037</v>
      </c>
      <c r="S12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2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29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2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2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1479</v>
      </c>
      <c r="X129">
        <f>Portefeuille_MNT_PPS_Access31[[#This Row],[Délais PC1 et PC3]]+Portefeuille_MNT_PPS_Access31[[#This Row],[Délais PC3 et PC5]]</f>
        <v>1479</v>
      </c>
      <c r="Z129">
        <v>1</v>
      </c>
      <c r="AB129" t="s">
        <v>349</v>
      </c>
      <c r="AC129">
        <v>3</v>
      </c>
      <c r="AD129" s="2" t="e">
        <f>_xlfn.XLOOKUP(Portefeuille_MNT_PPS_Access31[[#This Row],[Numéro projet]],Portefeuille_MNT_PPS_Access27[Numéro projet],Portefeuille_MNT_PPS_Access27[Critère Etat Infrastructure])</f>
        <v>#N/A</v>
      </c>
      <c r="AE129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29" s="221"/>
      <c r="AH129">
        <v>36</v>
      </c>
      <c r="AJ129">
        <v>4</v>
      </c>
      <c r="AT129"/>
      <c r="BG129" s="14">
        <f>SUM(Portefeuille_MNT_PPS_Access31[[#This Row],[AC ANT]:[TR 2035]])</f>
        <v>40</v>
      </c>
      <c r="BH129" s="14"/>
    </row>
    <row r="130" spans="1:60" hidden="1" x14ac:dyDescent="0.3">
      <c r="A130" t="s">
        <v>286</v>
      </c>
      <c r="B130" t="s">
        <v>664</v>
      </c>
      <c r="D130" t="s">
        <v>101</v>
      </c>
      <c r="E130" t="s">
        <v>102</v>
      </c>
      <c r="F130" t="s">
        <v>103</v>
      </c>
      <c r="G130" t="s">
        <v>129</v>
      </c>
      <c r="H130" t="s">
        <v>16</v>
      </c>
      <c r="I130" t="s">
        <v>16</v>
      </c>
      <c r="J130" t="s">
        <v>105</v>
      </c>
      <c r="K130">
        <v>154180005</v>
      </c>
      <c r="L130" t="s">
        <v>357</v>
      </c>
      <c r="M130" t="s">
        <v>116</v>
      </c>
      <c r="O130" t="s">
        <v>164</v>
      </c>
      <c r="P130" s="1"/>
      <c r="Q130" s="1">
        <v>44911</v>
      </c>
      <c r="R130" s="1">
        <v>45167</v>
      </c>
      <c r="S13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0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130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3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1475</v>
      </c>
      <c r="W13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8</v>
      </c>
      <c r="X130">
        <f>Portefeuille_MNT_PPS_Access31[[#This Row],[Délais PC1 et PC3]]+Portefeuille_MNT_PPS_Access31[[#This Row],[Délais PC3 et PC5]]</f>
        <v>1483</v>
      </c>
      <c r="Z130">
        <v>1</v>
      </c>
      <c r="AB130" t="s">
        <v>165</v>
      </c>
      <c r="AC130">
        <v>3.3333333333333335</v>
      </c>
      <c r="AD130" s="2" t="e">
        <f>_xlfn.XLOOKUP(Portefeuille_MNT_PPS_Access31[[#This Row],[Numéro projet]],Portefeuille_MNT_PPS_Access27[Numéro projet],Portefeuille_MNT_PPS_Access27[Critère Etat Infrastructure])</f>
        <v>#N/A</v>
      </c>
      <c r="AE130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30" s="221"/>
      <c r="AG130">
        <v>16</v>
      </c>
      <c r="AI130">
        <v>19</v>
      </c>
      <c r="AJ130">
        <v>1816</v>
      </c>
      <c r="AT130"/>
      <c r="BG130" s="14">
        <f>SUM(Portefeuille_MNT_PPS_Access31[[#This Row],[AC ANT]:[TR 2035]])</f>
        <v>1851</v>
      </c>
      <c r="BH130" s="14"/>
    </row>
    <row r="131" spans="1:60" hidden="1" x14ac:dyDescent="0.3">
      <c r="A131" t="s">
        <v>286</v>
      </c>
      <c r="B131" t="s">
        <v>663</v>
      </c>
      <c r="D131" t="s">
        <v>101</v>
      </c>
      <c r="E131" t="s">
        <v>102</v>
      </c>
      <c r="F131" t="s">
        <v>177</v>
      </c>
      <c r="G131" t="s">
        <v>129</v>
      </c>
      <c r="H131" t="s">
        <v>16</v>
      </c>
      <c r="I131" t="s">
        <v>16</v>
      </c>
      <c r="J131" t="s">
        <v>131</v>
      </c>
      <c r="K131">
        <v>154180922</v>
      </c>
      <c r="L131" t="s">
        <v>179</v>
      </c>
      <c r="M131" t="s">
        <v>180</v>
      </c>
      <c r="N131" t="s">
        <v>148</v>
      </c>
      <c r="O131" t="s">
        <v>164</v>
      </c>
      <c r="P131" s="1"/>
      <c r="Q131" s="1"/>
      <c r="R131" s="1">
        <v>45195</v>
      </c>
      <c r="S13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3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1484</v>
      </c>
      <c r="X131">
        <f>Portefeuille_MNT_PPS_Access31[[#This Row],[Délais PC1 et PC3]]+Portefeuille_MNT_PPS_Access31[[#This Row],[Délais PC3 et PC5]]</f>
        <v>1484</v>
      </c>
      <c r="Y131">
        <v>1</v>
      </c>
      <c r="Z131">
        <v>5</v>
      </c>
      <c r="AB131" t="s">
        <v>165</v>
      </c>
      <c r="AC131">
        <v>2.6</v>
      </c>
      <c r="AD131" s="2">
        <f>_xlfn.XLOOKUP(Portefeuille_MNT_PPS_Access31[[#This Row],[Numéro projet]],Portefeuille_MNT_PPS_Access27[Numéro projet],Portefeuille_MNT_PPS_Access27[Critère Etat Infrastructure])</f>
        <v>0</v>
      </c>
      <c r="AE13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73</v>
      </c>
      <c r="AF131" s="221"/>
      <c r="AG131">
        <v>74.999999999999986</v>
      </c>
      <c r="AH131">
        <v>101.00000000000001</v>
      </c>
      <c r="AI131">
        <v>25</v>
      </c>
      <c r="AJ131">
        <v>1137</v>
      </c>
      <c r="AK131">
        <v>73</v>
      </c>
      <c r="AL131">
        <v>596</v>
      </c>
      <c r="AT131"/>
      <c r="BG131" s="14">
        <f>SUM(Portefeuille_MNT_PPS_Access31[[#This Row],[AC ANT]:[TR 2035]])</f>
        <v>2007</v>
      </c>
      <c r="BH131" s="14"/>
    </row>
    <row r="132" spans="1:60" hidden="1" x14ac:dyDescent="0.3">
      <c r="A132" t="s">
        <v>286</v>
      </c>
      <c r="B132" t="s">
        <v>664</v>
      </c>
      <c r="D132" t="s">
        <v>101</v>
      </c>
      <c r="E132" t="s">
        <v>102</v>
      </c>
      <c r="F132" t="s">
        <v>200</v>
      </c>
      <c r="G132" t="s">
        <v>113</v>
      </c>
      <c r="H132" t="s">
        <v>16</v>
      </c>
      <c r="I132" t="s">
        <v>16</v>
      </c>
      <c r="J132" t="s">
        <v>131</v>
      </c>
      <c r="K132">
        <v>154190163</v>
      </c>
      <c r="L132" t="s">
        <v>337</v>
      </c>
      <c r="M132" t="s">
        <v>180</v>
      </c>
      <c r="N132" t="s">
        <v>148</v>
      </c>
      <c r="O132" t="s">
        <v>164</v>
      </c>
      <c r="P132" s="1"/>
      <c r="Q132" s="1">
        <v>44518</v>
      </c>
      <c r="R132" s="1">
        <v>44657</v>
      </c>
      <c r="S13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3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3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1462</v>
      </c>
      <c r="W13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5</v>
      </c>
      <c r="X132">
        <f>Portefeuille_MNT_PPS_Access31[[#This Row],[Délais PC1 et PC3]]+Portefeuille_MNT_PPS_Access31[[#This Row],[Délais PC3 et PC5]]</f>
        <v>1467</v>
      </c>
      <c r="Y132">
        <v>1</v>
      </c>
      <c r="Z132">
        <v>1</v>
      </c>
      <c r="AB132" t="s">
        <v>165</v>
      </c>
      <c r="AC132">
        <v>2.6666666666666665</v>
      </c>
      <c r="AD132" s="2">
        <f>_xlfn.XLOOKUP(Portefeuille_MNT_PPS_Access31[[#This Row],[Numéro projet]],Portefeuille_MNT_PPS_Access27[Numéro projet],Portefeuille_MNT_PPS_Access27[Critère Etat Infrastructure])</f>
        <v>5</v>
      </c>
      <c r="AE13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78.333333333333329</v>
      </c>
      <c r="AF132" s="221"/>
      <c r="AG132">
        <v>594</v>
      </c>
      <c r="AH132">
        <v>3359</v>
      </c>
      <c r="AI132">
        <v>264</v>
      </c>
      <c r="AJ132">
        <v>2717</v>
      </c>
      <c r="AK132">
        <v>63</v>
      </c>
      <c r="AL132">
        <v>462</v>
      </c>
      <c r="AT132"/>
      <c r="BG132" s="14">
        <f>SUM(Portefeuille_MNT_PPS_Access31[[#This Row],[AC ANT]:[TR 2035]])</f>
        <v>7459</v>
      </c>
      <c r="BH132" s="14"/>
    </row>
    <row r="133" spans="1:60" hidden="1" x14ac:dyDescent="0.3">
      <c r="A133" t="s">
        <v>286</v>
      </c>
      <c r="B133" t="s">
        <v>664</v>
      </c>
      <c r="D133" t="s">
        <v>101</v>
      </c>
      <c r="E133" t="s">
        <v>102</v>
      </c>
      <c r="F133" t="s">
        <v>136</v>
      </c>
      <c r="G133" t="s">
        <v>149</v>
      </c>
      <c r="H133" t="s">
        <v>16</v>
      </c>
      <c r="I133" t="s">
        <v>20</v>
      </c>
      <c r="J133" t="s">
        <v>131</v>
      </c>
      <c r="K133">
        <v>154180773</v>
      </c>
      <c r="L133" t="s">
        <v>213</v>
      </c>
      <c r="M133" t="s">
        <v>214</v>
      </c>
      <c r="N133" t="s">
        <v>184</v>
      </c>
      <c r="O133" t="s">
        <v>155</v>
      </c>
      <c r="P133" s="1">
        <v>46127</v>
      </c>
      <c r="Q133" s="1">
        <v>46798</v>
      </c>
      <c r="R133" s="1">
        <v>47192</v>
      </c>
      <c r="S13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3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33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3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22</v>
      </c>
      <c r="W13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13</v>
      </c>
      <c r="X133">
        <f>Portefeuille_MNT_PPS_Access31[[#This Row],[Délais PC1 et PC3]]+Portefeuille_MNT_PPS_Access31[[#This Row],[Délais PC3 et PC5]]</f>
        <v>35</v>
      </c>
      <c r="Z133">
        <v>1</v>
      </c>
      <c r="AB133" t="s">
        <v>156</v>
      </c>
      <c r="AC133">
        <v>3</v>
      </c>
      <c r="AD133" s="2">
        <f>_xlfn.XLOOKUP(Portefeuille_MNT_PPS_Access31[[#This Row],[Numéro projet]],Portefeuille_MNT_PPS_Access27[Numéro projet],Portefeuille_MNT_PPS_Access27[Critère Etat Infrastructure])</f>
        <v>4</v>
      </c>
      <c r="AE133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133" s="221"/>
      <c r="AG133">
        <v>47</v>
      </c>
      <c r="AI133">
        <v>93</v>
      </c>
      <c r="AJ133"/>
      <c r="AK133">
        <v>107</v>
      </c>
      <c r="AM133">
        <v>125</v>
      </c>
      <c r="AO133">
        <v>125</v>
      </c>
      <c r="AQ133">
        <v>125</v>
      </c>
      <c r="AS133">
        <v>125</v>
      </c>
      <c r="AT133"/>
      <c r="AU133">
        <v>300</v>
      </c>
      <c r="AV133">
        <v>5000</v>
      </c>
      <c r="AW133">
        <v>474</v>
      </c>
      <c r="AX133">
        <v>10000</v>
      </c>
      <c r="BG133" s="14">
        <f>SUM(Portefeuille_MNT_PPS_Access31[[#This Row],[AC ANT]:[TR 2035]])</f>
        <v>16521</v>
      </c>
      <c r="BH133" s="14"/>
    </row>
    <row r="134" spans="1:60" hidden="1" x14ac:dyDescent="0.3">
      <c r="A134" t="s">
        <v>286</v>
      </c>
      <c r="B134" t="s">
        <v>663</v>
      </c>
      <c r="D134" t="s">
        <v>101</v>
      </c>
      <c r="E134" t="s">
        <v>102</v>
      </c>
      <c r="F134" t="s">
        <v>188</v>
      </c>
      <c r="G134" t="s">
        <v>113</v>
      </c>
      <c r="H134" t="s">
        <v>16</v>
      </c>
      <c r="I134" t="s">
        <v>16</v>
      </c>
      <c r="J134" t="s">
        <v>131</v>
      </c>
      <c r="K134">
        <v>154200233</v>
      </c>
      <c r="L134" t="s">
        <v>344</v>
      </c>
      <c r="M134" t="s">
        <v>139</v>
      </c>
      <c r="O134" t="s">
        <v>164</v>
      </c>
      <c r="P134" s="1"/>
      <c r="Q134" s="1"/>
      <c r="R134" s="1">
        <v>44672</v>
      </c>
      <c r="S13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4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3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1467</v>
      </c>
      <c r="X134">
        <f>Portefeuille_MNT_PPS_Access31[[#This Row],[Délais PC1 et PC3]]+Portefeuille_MNT_PPS_Access31[[#This Row],[Délais PC3 et PC5]]</f>
        <v>1467</v>
      </c>
      <c r="Z134">
        <v>1</v>
      </c>
      <c r="AB134" t="s">
        <v>165</v>
      </c>
      <c r="AC134">
        <v>2</v>
      </c>
      <c r="AD134" s="2" t="e">
        <f>_xlfn.XLOOKUP(Portefeuille_MNT_PPS_Access31[[#This Row],[Numéro projet]],Portefeuille_MNT_PPS_Access27[Numéro projet],Portefeuille_MNT_PPS_Access27[Critère Etat Infrastructure])</f>
        <v>#N/A</v>
      </c>
      <c r="AE134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34" s="221"/>
      <c r="AG134">
        <v>84</v>
      </c>
      <c r="AH134">
        <v>819</v>
      </c>
      <c r="AI134">
        <v>12</v>
      </c>
      <c r="AJ134">
        <v>11</v>
      </c>
      <c r="AT134"/>
      <c r="BG134" s="14">
        <f>SUM(Portefeuille_MNT_PPS_Access31[[#This Row],[AC ANT]:[TR 2035]])</f>
        <v>926</v>
      </c>
      <c r="BH134" s="14"/>
    </row>
    <row r="135" spans="1:60" hidden="1" x14ac:dyDescent="0.3">
      <c r="A135" t="s">
        <v>286</v>
      </c>
      <c r="B135" t="s">
        <v>662</v>
      </c>
      <c r="D135" t="s">
        <v>118</v>
      </c>
      <c r="E135" t="s">
        <v>102</v>
      </c>
      <c r="F135" t="s">
        <v>103</v>
      </c>
      <c r="H135" t="s">
        <v>20</v>
      </c>
      <c r="I135" t="s">
        <v>20</v>
      </c>
      <c r="J135" t="s">
        <v>131</v>
      </c>
      <c r="K135">
        <v>154220352</v>
      </c>
      <c r="L135" t="s">
        <v>530</v>
      </c>
      <c r="M135" t="s">
        <v>420</v>
      </c>
      <c r="N135" t="s">
        <v>421</v>
      </c>
      <c r="O135" t="s">
        <v>291</v>
      </c>
      <c r="P135" s="1"/>
      <c r="Q135" s="1"/>
      <c r="R135" s="1"/>
      <c r="S13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3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35">
        <f>Portefeuille_MNT_PPS_Access31[[#This Row],[Délais PC1 et PC3]]+Portefeuille_MNT_PPS_Access31[[#This Row],[Délais PC3 et PC5]]</f>
        <v>0</v>
      </c>
      <c r="Z135">
        <v>1</v>
      </c>
      <c r="AB135" t="s">
        <v>311</v>
      </c>
      <c r="AC135">
        <v>3.6666666666666665</v>
      </c>
      <c r="AD135" s="2">
        <f>_xlfn.XLOOKUP(Portefeuille_MNT_PPS_Access31[[#This Row],[Numéro projet]],Portefeuille_MNT_PPS_Access27[Numéro projet],Portefeuille_MNT_PPS_Access27[Critère Etat Infrastructure])</f>
        <v>4</v>
      </c>
      <c r="AE13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43.333333333333329</v>
      </c>
      <c r="AF135" s="221"/>
      <c r="AJ135"/>
      <c r="AT135"/>
      <c r="AU135">
        <v>100</v>
      </c>
      <c r="AW135">
        <v>200</v>
      </c>
      <c r="AY135">
        <v>450</v>
      </c>
      <c r="AZ135">
        <v>7500</v>
      </c>
      <c r="BG135" s="14">
        <f>SUM(Portefeuille_MNT_PPS_Access31[[#This Row],[AC ANT]:[TR 2035]])</f>
        <v>8250</v>
      </c>
      <c r="BH135" s="14"/>
    </row>
    <row r="136" spans="1:60" hidden="1" x14ac:dyDescent="0.3">
      <c r="A136" t="s">
        <v>286</v>
      </c>
      <c r="B136" t="s">
        <v>662</v>
      </c>
      <c r="D136" t="s">
        <v>118</v>
      </c>
      <c r="E136" t="s">
        <v>102</v>
      </c>
      <c r="F136" t="s">
        <v>389</v>
      </c>
      <c r="H136" t="s">
        <v>20</v>
      </c>
      <c r="I136" t="s">
        <v>20</v>
      </c>
      <c r="J136" t="s">
        <v>105</v>
      </c>
      <c r="K136">
        <v>154220358</v>
      </c>
      <c r="L136" t="s">
        <v>425</v>
      </c>
      <c r="M136" t="s">
        <v>205</v>
      </c>
      <c r="N136" t="s">
        <v>392</v>
      </c>
      <c r="O136" t="s">
        <v>291</v>
      </c>
      <c r="P136" s="1"/>
      <c r="Q136" s="1"/>
      <c r="R136" s="1"/>
      <c r="S13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3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36">
        <f>Portefeuille_MNT_PPS_Access31[[#This Row],[Délais PC1 et PC3]]+Portefeuille_MNT_PPS_Access31[[#This Row],[Délais PC3 et PC5]]</f>
        <v>0</v>
      </c>
      <c r="Z136">
        <v>1</v>
      </c>
      <c r="AB136" t="s">
        <v>311</v>
      </c>
      <c r="AC136">
        <v>3</v>
      </c>
      <c r="AD136" s="2">
        <f>_xlfn.XLOOKUP(Portefeuille_MNT_PPS_Access31[[#This Row],[Numéro projet]],Portefeuille_MNT_PPS_Access27[Numéro projet],Portefeuille_MNT_PPS_Access27[Critère Etat Infrastructure])</f>
        <v>4</v>
      </c>
      <c r="AE13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136" s="221"/>
      <c r="AJ136"/>
      <c r="AT136"/>
      <c r="AW136">
        <v>100</v>
      </c>
      <c r="AY136">
        <v>100</v>
      </c>
      <c r="BA136">
        <v>200</v>
      </c>
      <c r="BB136">
        <v>5000</v>
      </c>
      <c r="BG136" s="14">
        <f>SUM(Portefeuille_MNT_PPS_Access31[[#This Row],[AC ANT]:[TR 2035]])</f>
        <v>5400</v>
      </c>
      <c r="BH136" s="14"/>
    </row>
    <row r="137" spans="1:60" hidden="1" x14ac:dyDescent="0.3">
      <c r="A137" t="s">
        <v>286</v>
      </c>
      <c r="B137" t="s">
        <v>664</v>
      </c>
      <c r="D137" t="s">
        <v>101</v>
      </c>
      <c r="E137" t="s">
        <v>102</v>
      </c>
      <c r="F137" t="s">
        <v>389</v>
      </c>
      <c r="H137" t="s">
        <v>20</v>
      </c>
      <c r="I137" t="s">
        <v>20</v>
      </c>
      <c r="J137" t="s">
        <v>105</v>
      </c>
      <c r="K137">
        <v>154220359</v>
      </c>
      <c r="L137" t="s">
        <v>429</v>
      </c>
      <c r="M137" t="s">
        <v>302</v>
      </c>
      <c r="N137" t="s">
        <v>392</v>
      </c>
      <c r="O137" t="s">
        <v>291</v>
      </c>
      <c r="P137" s="1"/>
      <c r="Q137" s="1"/>
      <c r="R137" s="1"/>
      <c r="S13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3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37">
        <f>Portefeuille_MNT_PPS_Access31[[#This Row],[Délais PC1 et PC3]]+Portefeuille_MNT_PPS_Access31[[#This Row],[Délais PC3 et PC5]]</f>
        <v>0</v>
      </c>
      <c r="Z137">
        <v>1</v>
      </c>
      <c r="AB137" t="s">
        <v>311</v>
      </c>
      <c r="AC137">
        <v>4</v>
      </c>
      <c r="AD137" s="2">
        <f>_xlfn.XLOOKUP(Portefeuille_MNT_PPS_Access31[[#This Row],[Numéro projet]],Portefeuille_MNT_PPS_Access27[Numéro projet],Portefeuille_MNT_PPS_Access27[Critère Etat Infrastructure])</f>
        <v>4</v>
      </c>
      <c r="AE13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137" s="221"/>
      <c r="AJ137"/>
      <c r="AT137"/>
      <c r="AY137">
        <v>100</v>
      </c>
      <c r="BA137">
        <v>200</v>
      </c>
      <c r="BB137">
        <v>5000</v>
      </c>
      <c r="BG137" s="14">
        <f>SUM(Portefeuille_MNT_PPS_Access31[[#This Row],[AC ANT]:[TR 2035]])</f>
        <v>5300</v>
      </c>
      <c r="BH137" s="14"/>
    </row>
    <row r="138" spans="1:60" hidden="1" x14ac:dyDescent="0.3">
      <c r="A138" t="s">
        <v>286</v>
      </c>
      <c r="B138" t="s">
        <v>664</v>
      </c>
      <c r="D138" t="s">
        <v>101</v>
      </c>
      <c r="E138" t="s">
        <v>102</v>
      </c>
      <c r="F138" t="s">
        <v>389</v>
      </c>
      <c r="H138" t="s">
        <v>20</v>
      </c>
      <c r="I138" t="s">
        <v>20</v>
      </c>
      <c r="J138" t="s">
        <v>105</v>
      </c>
      <c r="K138">
        <v>154220360</v>
      </c>
      <c r="L138" t="s">
        <v>433</v>
      </c>
      <c r="M138" t="s">
        <v>143</v>
      </c>
      <c r="N138" t="s">
        <v>370</v>
      </c>
      <c r="O138" t="s">
        <v>291</v>
      </c>
      <c r="P138" s="1"/>
      <c r="Q138" s="1"/>
      <c r="R138" s="1"/>
      <c r="S13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3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38">
        <f>Portefeuille_MNT_PPS_Access31[[#This Row],[Délais PC1 et PC3]]+Portefeuille_MNT_PPS_Access31[[#This Row],[Délais PC3 et PC5]]</f>
        <v>0</v>
      </c>
      <c r="Z138">
        <v>1</v>
      </c>
      <c r="AB138" t="s">
        <v>311</v>
      </c>
      <c r="AC138">
        <v>4.333333333333333</v>
      </c>
      <c r="AD138" s="2">
        <f>_xlfn.XLOOKUP(Portefeuille_MNT_PPS_Access31[[#This Row],[Numéro projet]],Portefeuille_MNT_PPS_Access27[Numéro projet],Portefeuille_MNT_PPS_Access27[Critère Etat Infrastructure])</f>
        <v>4</v>
      </c>
      <c r="AE13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138" s="221"/>
      <c r="AJ138"/>
      <c r="AT138"/>
      <c r="AU138">
        <v>100</v>
      </c>
      <c r="AW138">
        <v>200</v>
      </c>
      <c r="AX138">
        <v>5000</v>
      </c>
      <c r="BG138" s="14">
        <f>SUM(Portefeuille_MNT_PPS_Access31[[#This Row],[AC ANT]:[TR 2035]])</f>
        <v>5300</v>
      </c>
      <c r="BH138" s="14"/>
    </row>
    <row r="139" spans="1:60" hidden="1" x14ac:dyDescent="0.3">
      <c r="A139" t="s">
        <v>286</v>
      </c>
      <c r="B139" t="s">
        <v>662</v>
      </c>
      <c r="D139" t="s">
        <v>118</v>
      </c>
      <c r="E139" t="s">
        <v>102</v>
      </c>
      <c r="F139" t="s">
        <v>136</v>
      </c>
      <c r="G139" t="s">
        <v>129</v>
      </c>
      <c r="H139" t="s">
        <v>16</v>
      </c>
      <c r="I139" t="s">
        <v>16</v>
      </c>
      <c r="J139" t="s">
        <v>131</v>
      </c>
      <c r="K139">
        <v>154200567</v>
      </c>
      <c r="L139" t="s">
        <v>346</v>
      </c>
      <c r="M139" t="s">
        <v>147</v>
      </c>
      <c r="O139" t="s">
        <v>164</v>
      </c>
      <c r="P139" s="1"/>
      <c r="Q139" s="1"/>
      <c r="R139" s="1"/>
      <c r="S13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3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3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3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3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39">
        <f>Portefeuille_MNT_PPS_Access31[[#This Row],[Délais PC1 et PC3]]+Portefeuille_MNT_PPS_Access31[[#This Row],[Délais PC3 et PC5]]</f>
        <v>0</v>
      </c>
      <c r="Z139">
        <v>1</v>
      </c>
      <c r="AB139" t="s">
        <v>165</v>
      </c>
      <c r="AC139">
        <v>2.6666666666666665</v>
      </c>
      <c r="AD139" s="2" t="e">
        <f>_xlfn.XLOOKUP(Portefeuille_MNT_PPS_Access31[[#This Row],[Numéro projet]],Portefeuille_MNT_PPS_Access27[Numéro projet],Portefeuille_MNT_PPS_Access27[Critère Etat Infrastructure])</f>
        <v>#N/A</v>
      </c>
      <c r="AE139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39" s="221"/>
      <c r="AH139">
        <v>151</v>
      </c>
      <c r="AI139">
        <v>1</v>
      </c>
      <c r="AJ139">
        <v>44</v>
      </c>
      <c r="AT139"/>
      <c r="BG139" s="14">
        <f>SUM(Portefeuille_MNT_PPS_Access31[[#This Row],[AC ANT]:[TR 2035]])</f>
        <v>196</v>
      </c>
      <c r="BH139" s="14"/>
    </row>
    <row r="140" spans="1:60" hidden="1" x14ac:dyDescent="0.3">
      <c r="A140" t="s">
        <v>286</v>
      </c>
      <c r="B140" t="s">
        <v>664</v>
      </c>
      <c r="D140" t="s">
        <v>101</v>
      </c>
      <c r="E140" t="s">
        <v>102</v>
      </c>
      <c r="F140" t="s">
        <v>103</v>
      </c>
      <c r="H140" t="s">
        <v>20</v>
      </c>
      <c r="I140" t="s">
        <v>20</v>
      </c>
      <c r="J140" t="s">
        <v>105</v>
      </c>
      <c r="K140">
        <v>154240284</v>
      </c>
      <c r="L140" t="s">
        <v>666</v>
      </c>
      <c r="M140" t="s">
        <v>302</v>
      </c>
      <c r="N140" t="s">
        <v>421</v>
      </c>
      <c r="O140" t="s">
        <v>291</v>
      </c>
      <c r="P140" s="1"/>
      <c r="Q140" s="1"/>
      <c r="R140" s="1"/>
      <c r="S14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4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40">
        <f>Portefeuille_MNT_PPS_Access31[[#This Row],[Délais PC1 et PC3]]+Portefeuille_MNT_PPS_Access31[[#This Row],[Délais PC3 et PC5]]</f>
        <v>0</v>
      </c>
      <c r="Z140">
        <v>1</v>
      </c>
      <c r="AB140" t="s">
        <v>311</v>
      </c>
      <c r="AC140">
        <v>4</v>
      </c>
      <c r="AD140" s="2">
        <f>_xlfn.XLOOKUP(Portefeuille_MNT_PPS_Access31[[#This Row],[Numéro projet]],Portefeuille_MNT_PPS_Access27[Numéro projet],Portefeuille_MNT_PPS_Access27[Critère Etat Infrastructure])</f>
        <v>5</v>
      </c>
      <c r="AE14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50</v>
      </c>
      <c r="AF140" s="221"/>
      <c r="AJ140"/>
      <c r="AT140"/>
      <c r="AU140">
        <v>150</v>
      </c>
      <c r="AW140">
        <v>150</v>
      </c>
      <c r="AY140">
        <v>600</v>
      </c>
      <c r="AZ140">
        <v>12000</v>
      </c>
      <c r="BG140" s="14">
        <f>SUM(Portefeuille_MNT_PPS_Access31[[#This Row],[AC ANT]:[TR 2035]])</f>
        <v>12900</v>
      </c>
      <c r="BH140" s="14"/>
    </row>
    <row r="141" spans="1:60" hidden="1" x14ac:dyDescent="0.3">
      <c r="A141" t="s">
        <v>286</v>
      </c>
      <c r="D141" t="s">
        <v>101</v>
      </c>
      <c r="E141" t="s">
        <v>102</v>
      </c>
      <c r="F141" t="s">
        <v>177</v>
      </c>
      <c r="G141" t="s">
        <v>149</v>
      </c>
      <c r="H141" t="s">
        <v>16</v>
      </c>
      <c r="I141" t="s">
        <v>16</v>
      </c>
      <c r="J141" t="s">
        <v>131</v>
      </c>
      <c r="K141">
        <v>154200670</v>
      </c>
      <c r="L141" t="s">
        <v>351</v>
      </c>
      <c r="M141" t="s">
        <v>152</v>
      </c>
      <c r="O141" t="s">
        <v>164</v>
      </c>
      <c r="P141" s="1"/>
      <c r="Q141" s="1">
        <v>44880</v>
      </c>
      <c r="R141" s="1">
        <v>44914</v>
      </c>
      <c r="S14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1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141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4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1474</v>
      </c>
      <c r="W14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</v>
      </c>
      <c r="X141">
        <f>Portefeuille_MNT_PPS_Access31[[#This Row],[Délais PC1 et PC3]]+Portefeuille_MNT_PPS_Access31[[#This Row],[Délais PC3 et PC5]]</f>
        <v>1475</v>
      </c>
      <c r="Z141">
        <v>1</v>
      </c>
      <c r="AB141" t="s">
        <v>165</v>
      </c>
      <c r="AC141">
        <v>3.3333333333333335</v>
      </c>
      <c r="AD141" s="2" t="e">
        <f>_xlfn.XLOOKUP(Portefeuille_MNT_PPS_Access31[[#This Row],[Numéro projet]],Portefeuille_MNT_PPS_Access27[Numéro projet],Portefeuille_MNT_PPS_Access27[Critère Etat Infrastructure])</f>
        <v>#N/A</v>
      </c>
      <c r="AE141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41" s="221"/>
      <c r="AG141">
        <v>14</v>
      </c>
      <c r="AH141">
        <v>2970</v>
      </c>
      <c r="AJ141">
        <v>52</v>
      </c>
      <c r="AT141"/>
      <c r="BG141" s="14">
        <f>SUM(Portefeuille_MNT_PPS_Access31[[#This Row],[AC ANT]:[TR 2035]])</f>
        <v>3036</v>
      </c>
      <c r="BH141" s="14"/>
    </row>
    <row r="142" spans="1:60" hidden="1" x14ac:dyDescent="0.3">
      <c r="A142" t="s">
        <v>286</v>
      </c>
      <c r="B142" t="s">
        <v>295</v>
      </c>
      <c r="D142" t="s">
        <v>126</v>
      </c>
      <c r="E142" t="s">
        <v>127</v>
      </c>
      <c r="F142" t="s">
        <v>103</v>
      </c>
      <c r="G142" t="s">
        <v>140</v>
      </c>
      <c r="H142" t="s">
        <v>20</v>
      </c>
      <c r="I142" t="s">
        <v>20</v>
      </c>
      <c r="J142" t="s">
        <v>105</v>
      </c>
      <c r="K142">
        <v>154220338</v>
      </c>
      <c r="L142" t="s">
        <v>636</v>
      </c>
      <c r="M142" t="s">
        <v>143</v>
      </c>
      <c r="N142" t="s">
        <v>184</v>
      </c>
      <c r="O142" t="s">
        <v>155</v>
      </c>
      <c r="P142" s="1">
        <v>46266</v>
      </c>
      <c r="Q142" s="1">
        <v>46631</v>
      </c>
      <c r="R142" s="1">
        <v>46997</v>
      </c>
      <c r="S14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4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4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4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12</v>
      </c>
      <c r="W14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42">
        <f>Portefeuille_MNT_PPS_Access31[[#This Row],[Délais PC1 et PC3]]+Portefeuille_MNT_PPS_Access31[[#This Row],[Délais PC3 et PC5]]</f>
        <v>24</v>
      </c>
      <c r="Z142">
        <v>1</v>
      </c>
      <c r="AB142" t="s">
        <v>156</v>
      </c>
      <c r="AC142">
        <v>4.333333333333333</v>
      </c>
      <c r="AD142" s="2">
        <f>_xlfn.XLOOKUP(Portefeuille_MNT_PPS_Access31[[#This Row],[Numéro projet]],Portefeuille_MNT_PPS_Access27[Numéro projet],Portefeuille_MNT_PPS_Access27[Critère Etat Infrastructure])</f>
        <v>3</v>
      </c>
      <c r="AE142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46.666666666666664</v>
      </c>
      <c r="AF142" s="221"/>
      <c r="AJ142"/>
      <c r="AQ142">
        <v>375</v>
      </c>
      <c r="AS142">
        <v>375</v>
      </c>
      <c r="AT142"/>
      <c r="AU142">
        <v>750</v>
      </c>
      <c r="AW142">
        <v>875</v>
      </c>
      <c r="AX142">
        <v>5136</v>
      </c>
      <c r="AY142">
        <v>1250</v>
      </c>
      <c r="AZ142">
        <v>34450</v>
      </c>
      <c r="BA142">
        <v>500</v>
      </c>
      <c r="BB142">
        <v>28275</v>
      </c>
      <c r="BC142">
        <v>1000</v>
      </c>
      <c r="BD142">
        <v>42000</v>
      </c>
      <c r="BG142" s="14">
        <f>SUM(Portefeuille_MNT_PPS_Access31[[#This Row],[AC ANT]:[TR 2035]])</f>
        <v>114986</v>
      </c>
      <c r="BH142" s="14"/>
    </row>
    <row r="143" spans="1:60" hidden="1" x14ac:dyDescent="0.3">
      <c r="A143" t="s">
        <v>286</v>
      </c>
      <c r="B143" t="s">
        <v>662</v>
      </c>
      <c r="D143" t="s">
        <v>118</v>
      </c>
      <c r="E143" t="s">
        <v>102</v>
      </c>
      <c r="F143" t="s">
        <v>136</v>
      </c>
      <c r="G143" t="s">
        <v>340</v>
      </c>
      <c r="H143" t="s">
        <v>16</v>
      </c>
      <c r="I143" t="s">
        <v>16</v>
      </c>
      <c r="J143" t="s">
        <v>105</v>
      </c>
      <c r="K143">
        <v>154210133</v>
      </c>
      <c r="L143" t="s">
        <v>353</v>
      </c>
      <c r="M143" t="s">
        <v>180</v>
      </c>
      <c r="O143" t="s">
        <v>164</v>
      </c>
      <c r="P143" s="1"/>
      <c r="Q143" s="1">
        <v>44965</v>
      </c>
      <c r="R143" s="1">
        <v>45113</v>
      </c>
      <c r="S14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3" s="1" t="e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#NUM!</v>
      </c>
      <c r="U143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4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1477</v>
      </c>
      <c r="W14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5</v>
      </c>
      <c r="X143">
        <f>Portefeuille_MNT_PPS_Access31[[#This Row],[Délais PC1 et PC3]]+Portefeuille_MNT_PPS_Access31[[#This Row],[Délais PC3 et PC5]]</f>
        <v>1482</v>
      </c>
      <c r="Z143">
        <v>1</v>
      </c>
      <c r="AB143" t="s">
        <v>165</v>
      </c>
      <c r="AC143">
        <v>4</v>
      </c>
      <c r="AD143" s="2" t="e">
        <f>_xlfn.XLOOKUP(Portefeuille_MNT_PPS_Access31[[#This Row],[Numéro projet]],Portefeuille_MNT_PPS_Access27[Numéro projet],Portefeuille_MNT_PPS_Access27[Critère Etat Infrastructure])</f>
        <v>#N/A</v>
      </c>
      <c r="AE143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43" s="221"/>
      <c r="AG143">
        <v>87</v>
      </c>
      <c r="AH143">
        <v>304</v>
      </c>
      <c r="AI143">
        <v>35</v>
      </c>
      <c r="AJ143">
        <v>958</v>
      </c>
      <c r="AT143"/>
      <c r="BG143" s="14">
        <f>SUM(Portefeuille_MNT_PPS_Access31[[#This Row],[AC ANT]:[TR 2035]])</f>
        <v>1384</v>
      </c>
      <c r="BH143" s="14"/>
    </row>
    <row r="144" spans="1:60" hidden="1" x14ac:dyDescent="0.3">
      <c r="A144" t="s">
        <v>286</v>
      </c>
      <c r="B144" t="s">
        <v>663</v>
      </c>
      <c r="D144" t="s">
        <v>101</v>
      </c>
      <c r="E144" t="s">
        <v>102</v>
      </c>
      <c r="F144" t="s">
        <v>136</v>
      </c>
      <c r="G144" t="s">
        <v>149</v>
      </c>
      <c r="H144" t="s">
        <v>130</v>
      </c>
      <c r="I144" t="s">
        <v>20</v>
      </c>
      <c r="J144" t="s">
        <v>105</v>
      </c>
      <c r="K144">
        <v>154061995</v>
      </c>
      <c r="L144" t="s">
        <v>367</v>
      </c>
      <c r="M144" t="s">
        <v>316</v>
      </c>
      <c r="N144" t="s">
        <v>184</v>
      </c>
      <c r="O144" t="s">
        <v>155</v>
      </c>
      <c r="P144" s="1">
        <v>46157</v>
      </c>
      <c r="Q144" s="1">
        <v>46645</v>
      </c>
      <c r="R144" s="1">
        <v>47011</v>
      </c>
      <c r="S14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5.Respect OPC</v>
      </c>
      <c r="T14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5.Respect OPC</v>
      </c>
      <c r="U14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5.Respect OPC</v>
      </c>
      <c r="V14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16</v>
      </c>
      <c r="W14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12</v>
      </c>
      <c r="X144">
        <f>Portefeuille_MNT_PPS_Access31[[#This Row],[Délais PC1 et PC3]]+Portefeuille_MNT_PPS_Access31[[#This Row],[Délais PC3 et PC5]]</f>
        <v>28</v>
      </c>
      <c r="Z144">
        <v>1</v>
      </c>
      <c r="AB144" t="s">
        <v>156</v>
      </c>
      <c r="AC144">
        <v>3</v>
      </c>
      <c r="AD144" s="2">
        <f>_xlfn.XLOOKUP(Portefeuille_MNT_PPS_Access31[[#This Row],[Numéro projet]],Portefeuille_MNT_PPS_Access27[Numéro projet],Portefeuille_MNT_PPS_Access27[Critère Etat Infrastructure])</f>
        <v>4</v>
      </c>
      <c r="AE14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45</v>
      </c>
      <c r="AF144" s="221"/>
      <c r="AJ144"/>
      <c r="AO144">
        <v>430</v>
      </c>
      <c r="AQ144">
        <v>600</v>
      </c>
      <c r="AS144">
        <v>670</v>
      </c>
      <c r="AT144"/>
      <c r="AU144">
        <v>600</v>
      </c>
      <c r="AV144">
        <v>5000</v>
      </c>
      <c r="AY144">
        <v>500</v>
      </c>
      <c r="AZ144">
        <v>4700</v>
      </c>
      <c r="BA144">
        <v>600</v>
      </c>
      <c r="BB144">
        <v>5000</v>
      </c>
      <c r="BC144">
        <v>600</v>
      </c>
      <c r="BD144">
        <v>5000</v>
      </c>
      <c r="BG144" s="14">
        <f>SUM(Portefeuille_MNT_PPS_Access31[[#This Row],[AC ANT]:[TR 2035]])</f>
        <v>23700</v>
      </c>
      <c r="BH144" s="14"/>
    </row>
    <row r="145" spans="1:62" hidden="1" x14ac:dyDescent="0.3">
      <c r="A145" t="s">
        <v>286</v>
      </c>
      <c r="B145" t="s">
        <v>295</v>
      </c>
      <c r="D145" t="s">
        <v>126</v>
      </c>
      <c r="E145" t="s">
        <v>127</v>
      </c>
      <c r="F145" t="s">
        <v>136</v>
      </c>
      <c r="G145" t="s">
        <v>104</v>
      </c>
      <c r="H145" t="s">
        <v>16</v>
      </c>
      <c r="I145" t="s">
        <v>16</v>
      </c>
      <c r="J145" t="s">
        <v>105</v>
      </c>
      <c r="K145">
        <v>154061996</v>
      </c>
      <c r="L145" t="s">
        <v>163</v>
      </c>
      <c r="M145" t="s">
        <v>122</v>
      </c>
      <c r="N145" t="s">
        <v>148</v>
      </c>
      <c r="O145" t="s">
        <v>164</v>
      </c>
      <c r="P145" s="1"/>
      <c r="Q145" s="1"/>
      <c r="R145" s="1"/>
      <c r="S14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4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45">
        <f>Portefeuille_MNT_PPS_Access31[[#This Row],[Délais PC1 et PC3]]+Portefeuille_MNT_PPS_Access31[[#This Row],[Délais PC3 et PC5]]</f>
        <v>0</v>
      </c>
      <c r="Y145">
        <v>1</v>
      </c>
      <c r="Z145">
        <v>1</v>
      </c>
      <c r="AB145" t="s">
        <v>165</v>
      </c>
      <c r="AC145">
        <v>4</v>
      </c>
      <c r="AD145" s="2">
        <f>_xlfn.XLOOKUP(Portefeuille_MNT_PPS_Access31[[#This Row],[Numéro projet]],Portefeuille_MNT_PPS_Access27[Numéro projet],Portefeuille_MNT_PPS_Access27[Critère Etat Infrastructure])</f>
        <v>0</v>
      </c>
      <c r="AE14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60.000000000000007</v>
      </c>
      <c r="AF145" s="221"/>
      <c r="AG145">
        <v>5398</v>
      </c>
      <c r="AH145">
        <v>28152</v>
      </c>
      <c r="AI145">
        <v>46</v>
      </c>
      <c r="AJ145">
        <v>891</v>
      </c>
      <c r="AK145">
        <v>109</v>
      </c>
      <c r="AL145">
        <v>155</v>
      </c>
      <c r="AM145">
        <v>45</v>
      </c>
      <c r="AT145"/>
      <c r="BG145" s="14">
        <f>SUM(Portefeuille_MNT_PPS_Access31[[#This Row],[AC ANT]:[TR 2035]])</f>
        <v>34796</v>
      </c>
      <c r="BH145" s="14"/>
    </row>
    <row r="146" spans="1:62" hidden="1" x14ac:dyDescent="0.3">
      <c r="A146" t="s">
        <v>286</v>
      </c>
      <c r="B146" t="s">
        <v>662</v>
      </c>
      <c r="D146" t="s">
        <v>118</v>
      </c>
      <c r="E146" t="s">
        <v>102</v>
      </c>
      <c r="F146" t="s">
        <v>103</v>
      </c>
      <c r="G146" t="s">
        <v>340</v>
      </c>
      <c r="H146" t="s">
        <v>16</v>
      </c>
      <c r="I146" t="s">
        <v>16</v>
      </c>
      <c r="J146" t="s">
        <v>105</v>
      </c>
      <c r="K146">
        <v>154230638</v>
      </c>
      <c r="L146" t="s">
        <v>355</v>
      </c>
      <c r="M146" t="s">
        <v>143</v>
      </c>
      <c r="O146" t="s">
        <v>164</v>
      </c>
      <c r="P146" s="1"/>
      <c r="Q146" s="1"/>
      <c r="R146" s="1"/>
      <c r="S14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4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46">
        <f>Portefeuille_MNT_PPS_Access31[[#This Row],[Délais PC1 et PC3]]+Portefeuille_MNT_PPS_Access31[[#This Row],[Délais PC3 et PC5]]</f>
        <v>0</v>
      </c>
      <c r="Z146">
        <v>1</v>
      </c>
      <c r="AB146" t="s">
        <v>165</v>
      </c>
      <c r="AC146">
        <v>4.333333333333333</v>
      </c>
      <c r="AD146" s="2" t="e">
        <f>_xlfn.XLOOKUP(Portefeuille_MNT_PPS_Access31[[#This Row],[Numéro projet]],Portefeuille_MNT_PPS_Access27[Numéro projet],Portefeuille_MNT_PPS_Access27[Critère Etat Infrastructure])</f>
        <v>#N/A</v>
      </c>
      <c r="AE146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46" s="221"/>
      <c r="AG146">
        <v>173</v>
      </c>
      <c r="AH146">
        <v>7850</v>
      </c>
      <c r="AI146">
        <v>3</v>
      </c>
      <c r="AJ146">
        <v>173</v>
      </c>
      <c r="AT146"/>
      <c r="BG146" s="14">
        <f>SUM(Portefeuille_MNT_PPS_Access31[[#This Row],[AC ANT]:[TR 2035]])</f>
        <v>8199</v>
      </c>
      <c r="BH146" s="14"/>
    </row>
    <row r="147" spans="1:62" hidden="1" x14ac:dyDescent="0.3">
      <c r="A147" t="s">
        <v>286</v>
      </c>
      <c r="B147" t="s">
        <v>295</v>
      </c>
      <c r="D147" t="s">
        <v>126</v>
      </c>
      <c r="E147" t="s">
        <v>127</v>
      </c>
      <c r="F147" t="s">
        <v>103</v>
      </c>
      <c r="G147" t="s">
        <v>113</v>
      </c>
      <c r="H147" t="s">
        <v>20</v>
      </c>
      <c r="I147" t="s">
        <v>20</v>
      </c>
      <c r="J147" t="s">
        <v>105</v>
      </c>
      <c r="K147">
        <v>154230840</v>
      </c>
      <c r="L147" t="s">
        <v>526</v>
      </c>
      <c r="M147" t="s">
        <v>168</v>
      </c>
      <c r="N147" t="s">
        <v>421</v>
      </c>
      <c r="O147" t="s">
        <v>291</v>
      </c>
      <c r="P147" s="1"/>
      <c r="Q147" s="1"/>
      <c r="R147" s="1"/>
      <c r="S14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4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47">
        <f>Portefeuille_MNT_PPS_Access31[[#This Row],[Délais PC1 et PC3]]+Portefeuille_MNT_PPS_Access31[[#This Row],[Délais PC3 et PC5]]</f>
        <v>0</v>
      </c>
      <c r="Z147">
        <v>1</v>
      </c>
      <c r="AB147" t="s">
        <v>311</v>
      </c>
      <c r="AC147">
        <v>3.3333333333333335</v>
      </c>
      <c r="AD147" s="2">
        <f>_xlfn.XLOOKUP(Portefeuille_MNT_PPS_Access31[[#This Row],[Numéro projet]],Portefeuille_MNT_PPS_Access27[Numéro projet],Portefeuille_MNT_PPS_Access27[Critère Etat Infrastructure])</f>
        <v>3</v>
      </c>
      <c r="AE14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47" s="221"/>
      <c r="AJ147"/>
      <c r="AT147"/>
      <c r="AU147">
        <v>200</v>
      </c>
      <c r="AW147">
        <v>200</v>
      </c>
      <c r="AY147">
        <v>500</v>
      </c>
      <c r="AZ147">
        <v>7500</v>
      </c>
      <c r="BA147">
        <v>500</v>
      </c>
      <c r="BB147">
        <v>7500</v>
      </c>
      <c r="BG147" s="14">
        <f>SUM(Portefeuille_MNT_PPS_Access31[[#This Row],[AC ANT]:[TR 2035]])</f>
        <v>16400</v>
      </c>
      <c r="BH147" s="14"/>
    </row>
    <row r="148" spans="1:62" hidden="1" x14ac:dyDescent="0.3">
      <c r="A148" t="s">
        <v>286</v>
      </c>
      <c r="B148" t="s">
        <v>662</v>
      </c>
      <c r="D148" t="s">
        <v>118</v>
      </c>
      <c r="E148" t="s">
        <v>102</v>
      </c>
      <c r="F148" t="s">
        <v>119</v>
      </c>
      <c r="G148" t="s">
        <v>113</v>
      </c>
      <c r="H148" t="s">
        <v>16</v>
      </c>
      <c r="I148" t="s">
        <v>16</v>
      </c>
      <c r="J148" t="s">
        <v>105</v>
      </c>
      <c r="K148">
        <v>154230987</v>
      </c>
      <c r="L148" t="s">
        <v>289</v>
      </c>
      <c r="M148" t="s">
        <v>122</v>
      </c>
      <c r="N148" t="s">
        <v>148</v>
      </c>
      <c r="O148" t="s">
        <v>164</v>
      </c>
      <c r="P148" s="1"/>
      <c r="Q148" s="1"/>
      <c r="R148" s="1">
        <v>45712</v>
      </c>
      <c r="S14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3.À risque</v>
      </c>
      <c r="V14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1501</v>
      </c>
      <c r="X148">
        <f>Portefeuille_MNT_PPS_Access31[[#This Row],[Délais PC1 et PC3]]+Portefeuille_MNT_PPS_Access31[[#This Row],[Délais PC3 et PC5]]</f>
        <v>1501</v>
      </c>
      <c r="Y148">
        <v>1</v>
      </c>
      <c r="Z148">
        <v>5</v>
      </c>
      <c r="AB148" t="s">
        <v>165</v>
      </c>
      <c r="AC148">
        <v>4</v>
      </c>
      <c r="AD148" s="2">
        <f>_xlfn.XLOOKUP(Portefeuille_MNT_PPS_Access31[[#This Row],[Numéro projet]],Portefeuille_MNT_PPS_Access27[Numéro projet],Portefeuille_MNT_PPS_Access27[Critère Etat Infrastructure])</f>
        <v>5</v>
      </c>
      <c r="AE14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105</v>
      </c>
      <c r="AF148" s="221"/>
      <c r="AJ148"/>
      <c r="AK148">
        <v>20</v>
      </c>
      <c r="AL148">
        <v>895</v>
      </c>
      <c r="AT148"/>
      <c r="BG148" s="14">
        <f>SUM(Portefeuille_MNT_PPS_Access31[[#This Row],[AC ANT]:[TR 2035]])</f>
        <v>915</v>
      </c>
      <c r="BH148" s="14"/>
      <c r="BI148" s="57"/>
      <c r="BJ148" s="57"/>
    </row>
    <row r="149" spans="1:62" hidden="1" x14ac:dyDescent="0.3">
      <c r="A149" t="s">
        <v>286</v>
      </c>
      <c r="B149" t="s">
        <v>662</v>
      </c>
      <c r="D149" t="s">
        <v>118</v>
      </c>
      <c r="E149" t="s">
        <v>102</v>
      </c>
      <c r="F149" t="s">
        <v>136</v>
      </c>
      <c r="G149" t="s">
        <v>104</v>
      </c>
      <c r="H149" t="s">
        <v>130</v>
      </c>
      <c r="I149" t="s">
        <v>20</v>
      </c>
      <c r="J149" t="s">
        <v>105</v>
      </c>
      <c r="K149">
        <v>154061990</v>
      </c>
      <c r="L149" t="s">
        <v>365</v>
      </c>
      <c r="M149" t="s">
        <v>205</v>
      </c>
      <c r="N149" t="s">
        <v>370</v>
      </c>
      <c r="O149" t="s">
        <v>291</v>
      </c>
      <c r="P149" s="1"/>
      <c r="Q149" s="1"/>
      <c r="R149" s="1"/>
      <c r="S14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4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4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4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4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49">
        <f>Portefeuille_MNT_PPS_Access31[[#This Row],[Délais PC1 et PC3]]+Portefeuille_MNT_PPS_Access31[[#This Row],[Délais PC3 et PC5]]</f>
        <v>0</v>
      </c>
      <c r="Z149">
        <v>1</v>
      </c>
      <c r="AB149" t="s">
        <v>311</v>
      </c>
      <c r="AC149">
        <v>3</v>
      </c>
      <c r="AD149" s="2">
        <f>_xlfn.XLOOKUP(Portefeuille_MNT_PPS_Access31[[#This Row],[Numéro projet]],Portefeuille_MNT_PPS_Access27[Numéro projet],Portefeuille_MNT_PPS_Access27[Critère Etat Infrastructure])</f>
        <v>4</v>
      </c>
      <c r="AE14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149" s="221"/>
      <c r="AJ149"/>
      <c r="AQ149">
        <v>200</v>
      </c>
      <c r="AS149">
        <v>200</v>
      </c>
      <c r="AT149"/>
      <c r="AU149">
        <v>400</v>
      </c>
      <c r="AW149">
        <v>400</v>
      </c>
      <c r="AX149">
        <v>4500</v>
      </c>
      <c r="AY149">
        <v>400</v>
      </c>
      <c r="AZ149">
        <v>7000</v>
      </c>
      <c r="BA149">
        <v>400</v>
      </c>
      <c r="BB149">
        <v>7000</v>
      </c>
      <c r="BG149" s="14">
        <f>SUM(Portefeuille_MNT_PPS_Access31[[#This Row],[AC ANT]:[TR 2035]])</f>
        <v>20500</v>
      </c>
      <c r="BH149" s="14"/>
    </row>
    <row r="150" spans="1:62" hidden="1" x14ac:dyDescent="0.3">
      <c r="A150" t="s">
        <v>286</v>
      </c>
      <c r="B150" t="s">
        <v>663</v>
      </c>
      <c r="D150" t="s">
        <v>101</v>
      </c>
      <c r="E150" t="s">
        <v>102</v>
      </c>
      <c r="F150" t="s">
        <v>136</v>
      </c>
      <c r="G150" t="s">
        <v>104</v>
      </c>
      <c r="H150" t="s">
        <v>20</v>
      </c>
      <c r="I150" t="s">
        <v>20</v>
      </c>
      <c r="J150" t="s">
        <v>105</v>
      </c>
      <c r="K150">
        <v>154160749</v>
      </c>
      <c r="L150" t="s">
        <v>369</v>
      </c>
      <c r="M150" t="s">
        <v>217</v>
      </c>
      <c r="N150" t="s">
        <v>370</v>
      </c>
      <c r="O150" t="s">
        <v>291</v>
      </c>
      <c r="P150" s="1"/>
      <c r="Q150" s="1"/>
      <c r="R150" s="1"/>
      <c r="S15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0">
        <f>Portefeuille_MNT_PPS_Access31[[#This Row],[Délais PC1 et PC3]]+Portefeuille_MNT_PPS_Access31[[#This Row],[Délais PC3 et PC5]]</f>
        <v>0</v>
      </c>
      <c r="Z150">
        <v>1</v>
      </c>
      <c r="AB150" t="s">
        <v>311</v>
      </c>
      <c r="AC150">
        <v>2.6666666666666665</v>
      </c>
      <c r="AD150" s="2">
        <f>_xlfn.XLOOKUP(Portefeuille_MNT_PPS_Access31[[#This Row],[Numéro projet]],Portefeuille_MNT_PPS_Access27[Numéro projet],Portefeuille_MNT_PPS_Access27[Critère Etat Infrastructure])</f>
        <v>4</v>
      </c>
      <c r="AE15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38.333333333333336</v>
      </c>
      <c r="AF150" s="221"/>
      <c r="AJ150"/>
      <c r="AO150">
        <v>250</v>
      </c>
      <c r="AQ150">
        <v>250</v>
      </c>
      <c r="AS150">
        <v>200</v>
      </c>
      <c r="AT150"/>
      <c r="AU150">
        <v>200</v>
      </c>
      <c r="AW150">
        <v>500</v>
      </c>
      <c r="AX150">
        <v>5700</v>
      </c>
      <c r="AY150">
        <v>500</v>
      </c>
      <c r="AZ150">
        <v>5500</v>
      </c>
      <c r="BA150">
        <v>500</v>
      </c>
      <c r="BB150">
        <v>6700</v>
      </c>
      <c r="BG150" s="14">
        <f>SUM(Portefeuille_MNT_PPS_Access31[[#This Row],[AC ANT]:[TR 2035]])</f>
        <v>20300</v>
      </c>
      <c r="BH150" s="14"/>
    </row>
    <row r="151" spans="1:62" hidden="1" x14ac:dyDescent="0.3">
      <c r="A151" t="s">
        <v>286</v>
      </c>
      <c r="B151" t="s">
        <v>662</v>
      </c>
      <c r="D151" t="s">
        <v>118</v>
      </c>
      <c r="E151" t="s">
        <v>102</v>
      </c>
      <c r="F151" t="s">
        <v>103</v>
      </c>
      <c r="H151" t="s">
        <v>20</v>
      </c>
      <c r="I151" t="s">
        <v>20</v>
      </c>
      <c r="J151" t="s">
        <v>131</v>
      </c>
      <c r="K151">
        <v>154240816</v>
      </c>
      <c r="L151" t="s">
        <v>532</v>
      </c>
      <c r="M151" t="s">
        <v>187</v>
      </c>
      <c r="N151" t="s">
        <v>395</v>
      </c>
      <c r="O151" t="s">
        <v>291</v>
      </c>
      <c r="P151" s="1"/>
      <c r="Q151" s="1"/>
      <c r="R151" s="1"/>
      <c r="S15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1">
        <f>Portefeuille_MNT_PPS_Access31[[#This Row],[Délais PC1 et PC3]]+Portefeuille_MNT_PPS_Access31[[#This Row],[Délais PC3 et PC5]]</f>
        <v>0</v>
      </c>
      <c r="Z151">
        <v>1</v>
      </c>
      <c r="AB151" t="s">
        <v>311</v>
      </c>
      <c r="AC151">
        <v>3</v>
      </c>
      <c r="AD151" s="2">
        <f>_xlfn.XLOOKUP(Portefeuille_MNT_PPS_Access31[[#This Row],[Numéro projet]],Portefeuille_MNT_PPS_Access27[Numéro projet],Portefeuille_MNT_PPS_Access27[Critère Etat Infrastructure])</f>
        <v>4</v>
      </c>
      <c r="AE15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151" s="221"/>
      <c r="AJ151"/>
      <c r="AT151"/>
      <c r="AY151">
        <v>150</v>
      </c>
      <c r="BA151">
        <v>150</v>
      </c>
      <c r="BC151">
        <v>500</v>
      </c>
      <c r="BD151">
        <v>8000</v>
      </c>
      <c r="BG151" s="14">
        <f>SUM(Portefeuille_MNT_PPS_Access31[[#This Row],[AC ANT]:[TR 2035]])</f>
        <v>8800</v>
      </c>
      <c r="BH151" s="14"/>
    </row>
    <row r="152" spans="1:62" hidden="1" x14ac:dyDescent="0.3">
      <c r="A152" t="s">
        <v>11</v>
      </c>
      <c r="D152" t="s">
        <v>118</v>
      </c>
      <c r="E152" t="s">
        <v>102</v>
      </c>
      <c r="F152" t="s">
        <v>103</v>
      </c>
      <c r="G152" t="s">
        <v>252</v>
      </c>
      <c r="H152" t="s">
        <v>20</v>
      </c>
      <c r="I152" t="s">
        <v>16</v>
      </c>
      <c r="J152" t="s">
        <v>131</v>
      </c>
      <c r="K152">
        <v>154220312</v>
      </c>
      <c r="L152" t="s">
        <v>388</v>
      </c>
      <c r="M152" t="s">
        <v>180</v>
      </c>
      <c r="O152" t="s">
        <v>297</v>
      </c>
      <c r="P152" s="1"/>
      <c r="Q152" s="1"/>
      <c r="R152" s="1"/>
      <c r="S15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2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2">
        <f>Portefeuille_MNT_PPS_Access31[[#This Row],[Délais PC1 et PC3]]+Portefeuille_MNT_PPS_Access31[[#This Row],[Délais PC3 et PC5]]</f>
        <v>0</v>
      </c>
      <c r="Z152">
        <v>1</v>
      </c>
      <c r="AB152" t="s">
        <v>349</v>
      </c>
      <c r="AC152">
        <v>2.7333333333333334</v>
      </c>
      <c r="AD152" s="2" t="e">
        <f>_xlfn.XLOOKUP(Portefeuille_MNT_PPS_Access31[[#This Row],[Numéro projet]],Portefeuille_MNT_PPS_Access27[Numéro projet],Portefeuille_MNT_PPS_Access27[Critère Etat Infrastructure])</f>
        <v>#N/A</v>
      </c>
      <c r="AE152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52" s="221"/>
      <c r="AJ152">
        <v>316</v>
      </c>
      <c r="AT152"/>
      <c r="BG152" s="14">
        <f>SUM(Portefeuille_MNT_PPS_Access31[[#This Row],[AC ANT]:[TR 2035]])</f>
        <v>316</v>
      </c>
      <c r="BH152" s="14"/>
      <c r="BI152" s="57"/>
      <c r="BJ152" s="57"/>
    </row>
    <row r="153" spans="1:62" hidden="1" x14ac:dyDescent="0.3">
      <c r="A153" t="s">
        <v>286</v>
      </c>
      <c r="B153" t="s">
        <v>295</v>
      </c>
      <c r="D153" t="s">
        <v>126</v>
      </c>
      <c r="E153" t="s">
        <v>127</v>
      </c>
      <c r="F153" t="s">
        <v>128</v>
      </c>
      <c r="G153" t="s">
        <v>252</v>
      </c>
      <c r="H153" t="s">
        <v>16</v>
      </c>
      <c r="I153" t="s">
        <v>16</v>
      </c>
      <c r="J153" t="s">
        <v>131</v>
      </c>
      <c r="K153">
        <v>154220431</v>
      </c>
      <c r="L153" t="s">
        <v>435</v>
      </c>
      <c r="M153" t="s">
        <v>147</v>
      </c>
      <c r="O153" t="s">
        <v>123</v>
      </c>
      <c r="P153" s="1"/>
      <c r="Q153" s="1"/>
      <c r="R153" s="1">
        <v>45413</v>
      </c>
      <c r="S153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3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3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53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3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1492</v>
      </c>
      <c r="X153">
        <f>Portefeuille_MNT_PPS_Access31[[#This Row],[Délais PC1 et PC3]]+Portefeuille_MNT_PPS_Access31[[#This Row],[Délais PC3 et PC5]]</f>
        <v>1492</v>
      </c>
      <c r="Z153">
        <v>1</v>
      </c>
      <c r="AB153" t="s">
        <v>125</v>
      </c>
      <c r="AC153">
        <v>2.6666666666666665</v>
      </c>
      <c r="AD153" s="2" t="e">
        <f>_xlfn.XLOOKUP(Portefeuille_MNT_PPS_Access31[[#This Row],[Numéro projet]],Portefeuille_MNT_PPS_Access27[Numéro projet],Portefeuille_MNT_PPS_Access27[Critère Etat Infrastructure])</f>
        <v>#N/A</v>
      </c>
      <c r="AE153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53" s="221"/>
      <c r="AI153">
        <v>2</v>
      </c>
      <c r="AJ153">
        <v>64</v>
      </c>
      <c r="AT153"/>
      <c r="BG153" s="14">
        <f>SUM(Portefeuille_MNT_PPS_Access31[[#This Row],[AC ANT]:[TR 2035]])</f>
        <v>66</v>
      </c>
      <c r="BH153" s="14"/>
    </row>
    <row r="154" spans="1:62" hidden="1" x14ac:dyDescent="0.3">
      <c r="A154" t="s">
        <v>286</v>
      </c>
      <c r="B154" t="s">
        <v>664</v>
      </c>
      <c r="D154" t="s">
        <v>101</v>
      </c>
      <c r="E154" t="s">
        <v>102</v>
      </c>
      <c r="F154" t="s">
        <v>103</v>
      </c>
      <c r="G154" t="s">
        <v>129</v>
      </c>
      <c r="H154" t="s">
        <v>20</v>
      </c>
      <c r="I154" t="s">
        <v>20</v>
      </c>
      <c r="J154" t="s">
        <v>131</v>
      </c>
      <c r="K154">
        <v>154250401</v>
      </c>
      <c r="L154" t="s">
        <v>654</v>
      </c>
      <c r="M154" t="s">
        <v>134</v>
      </c>
      <c r="N154" t="s">
        <v>169</v>
      </c>
      <c r="O154" t="s">
        <v>291</v>
      </c>
      <c r="P154" s="1"/>
      <c r="Q154" s="1"/>
      <c r="R154" s="1"/>
      <c r="S154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4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4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4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4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4">
        <f>Portefeuille_MNT_PPS_Access31[[#This Row],[Délais PC1 et PC3]]+Portefeuille_MNT_PPS_Access31[[#This Row],[Délais PC3 et PC5]]</f>
        <v>0</v>
      </c>
      <c r="Z154">
        <v>1</v>
      </c>
      <c r="AB154" t="s">
        <v>311</v>
      </c>
      <c r="AC154">
        <v>1.3333333333333333</v>
      </c>
      <c r="AD154" s="2">
        <f>_xlfn.XLOOKUP(Portefeuille_MNT_PPS_Access31[[#This Row],[Numéro projet]],Portefeuille_MNT_PPS_Access27[Numéro projet],Portefeuille_MNT_PPS_Access27[Critère Etat Infrastructure])</f>
        <v>5</v>
      </c>
      <c r="AE154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54" s="221"/>
      <c r="AJ154"/>
      <c r="AO154">
        <v>125</v>
      </c>
      <c r="AQ154">
        <v>125</v>
      </c>
      <c r="AS154">
        <v>250</v>
      </c>
      <c r="AT154">
        <v>1000</v>
      </c>
      <c r="BG154" s="14">
        <f>SUM(Portefeuille_MNT_PPS_Access31[[#This Row],[AC ANT]:[TR 2035]])</f>
        <v>1500</v>
      </c>
      <c r="BH154" s="14"/>
    </row>
    <row r="155" spans="1:62" hidden="1" x14ac:dyDescent="0.3">
      <c r="A155" t="s">
        <v>286</v>
      </c>
      <c r="B155" t="s">
        <v>663</v>
      </c>
      <c r="D155" t="s">
        <v>101</v>
      </c>
      <c r="E155" t="s">
        <v>102</v>
      </c>
      <c r="F155" t="s">
        <v>136</v>
      </c>
      <c r="H155" t="s">
        <v>20</v>
      </c>
      <c r="I155" t="s">
        <v>20</v>
      </c>
      <c r="J155" t="s">
        <v>105</v>
      </c>
      <c r="K155">
        <v>154240501</v>
      </c>
      <c r="L155" t="s">
        <v>455</v>
      </c>
      <c r="M155" t="s">
        <v>143</v>
      </c>
      <c r="N155" t="s">
        <v>421</v>
      </c>
      <c r="O155" t="s">
        <v>291</v>
      </c>
      <c r="P155" s="1"/>
      <c r="Q155" s="1"/>
      <c r="R155" s="1"/>
      <c r="S155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5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5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5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5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5">
        <f>Portefeuille_MNT_PPS_Access31[[#This Row],[Délais PC1 et PC3]]+Portefeuille_MNT_PPS_Access31[[#This Row],[Délais PC3 et PC5]]</f>
        <v>0</v>
      </c>
      <c r="Z155">
        <v>1</v>
      </c>
      <c r="AB155" t="s">
        <v>311</v>
      </c>
      <c r="AC155">
        <v>4.333333333333333</v>
      </c>
      <c r="AD155" s="2">
        <f>_xlfn.XLOOKUP(Portefeuille_MNT_PPS_Access31[[#This Row],[Numéro projet]],Portefeuille_MNT_PPS_Access27[Numéro projet],Portefeuille_MNT_PPS_Access27[Critère Etat Infrastructure])</f>
        <v>3</v>
      </c>
      <c r="AE155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41.666666666666664</v>
      </c>
      <c r="AF155" s="221"/>
      <c r="AJ155"/>
      <c r="AS155">
        <v>150</v>
      </c>
      <c r="AT155"/>
      <c r="AU155">
        <v>150</v>
      </c>
      <c r="AW155">
        <v>500</v>
      </c>
      <c r="AY155">
        <v>500</v>
      </c>
      <c r="AZ155">
        <v>5000</v>
      </c>
      <c r="BA155">
        <v>500</v>
      </c>
      <c r="BB155">
        <v>5000</v>
      </c>
      <c r="BG155" s="14">
        <f>SUM(Portefeuille_MNT_PPS_Access31[[#This Row],[AC ANT]:[TR 2035]])</f>
        <v>11800</v>
      </c>
      <c r="BH155" s="14"/>
    </row>
    <row r="156" spans="1:62" hidden="1" x14ac:dyDescent="0.3">
      <c r="A156" t="s">
        <v>286</v>
      </c>
      <c r="B156" t="s">
        <v>662</v>
      </c>
      <c r="D156" t="s">
        <v>118</v>
      </c>
      <c r="E156" t="s">
        <v>102</v>
      </c>
      <c r="F156" t="s">
        <v>136</v>
      </c>
      <c r="H156" t="s">
        <v>20</v>
      </c>
      <c r="I156" t="s">
        <v>20</v>
      </c>
      <c r="J156" t="s">
        <v>131</v>
      </c>
      <c r="K156">
        <v>154240509</v>
      </c>
      <c r="L156" t="s">
        <v>471</v>
      </c>
      <c r="M156" t="s">
        <v>191</v>
      </c>
      <c r="N156" t="s">
        <v>421</v>
      </c>
      <c r="O156" t="s">
        <v>291</v>
      </c>
      <c r="P156" s="1"/>
      <c r="Q156" s="1"/>
      <c r="R156" s="1"/>
      <c r="S156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6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6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6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6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6">
        <f>Portefeuille_MNT_PPS_Access31[[#This Row],[Délais PC1 et PC3]]+Portefeuille_MNT_PPS_Access31[[#This Row],[Délais PC3 et PC5]]</f>
        <v>0</v>
      </c>
      <c r="Z156">
        <v>1</v>
      </c>
      <c r="AB156" t="s">
        <v>311</v>
      </c>
      <c r="AC156">
        <v>1.6666666666666667</v>
      </c>
      <c r="AD156" s="2">
        <f>_xlfn.XLOOKUP(Portefeuille_MNT_PPS_Access31[[#This Row],[Numéro projet]],Portefeuille_MNT_PPS_Access27[Numéro projet],Portefeuille_MNT_PPS_Access27[Critère Etat Infrastructure])</f>
        <v>4</v>
      </c>
      <c r="AE156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33.333333333333329</v>
      </c>
      <c r="AF156" s="221"/>
      <c r="AJ156"/>
      <c r="AS156">
        <v>100</v>
      </c>
      <c r="AT156"/>
      <c r="AU156">
        <v>100</v>
      </c>
      <c r="AW156">
        <v>200</v>
      </c>
      <c r="AY156">
        <v>500</v>
      </c>
      <c r="AZ156">
        <v>3000</v>
      </c>
      <c r="BA156">
        <v>500</v>
      </c>
      <c r="BB156">
        <v>3000</v>
      </c>
      <c r="BG156" s="14">
        <f>SUM(Portefeuille_MNT_PPS_Access31[[#This Row],[AC ANT]:[TR 2035]])</f>
        <v>7400</v>
      </c>
      <c r="BH156" s="14"/>
    </row>
    <row r="157" spans="1:62" hidden="1" x14ac:dyDescent="0.3">
      <c r="A157" t="s">
        <v>286</v>
      </c>
      <c r="B157" t="s">
        <v>663</v>
      </c>
      <c r="D157" t="s">
        <v>101</v>
      </c>
      <c r="E157" t="s">
        <v>102</v>
      </c>
      <c r="F157" t="s">
        <v>136</v>
      </c>
      <c r="H157" t="s">
        <v>20</v>
      </c>
      <c r="I157" t="s">
        <v>20</v>
      </c>
      <c r="J157" t="s">
        <v>105</v>
      </c>
      <c r="K157">
        <v>154240503</v>
      </c>
      <c r="L157" t="s">
        <v>459</v>
      </c>
      <c r="M157" t="s">
        <v>239</v>
      </c>
      <c r="N157" t="s">
        <v>392</v>
      </c>
      <c r="O157" t="s">
        <v>291</v>
      </c>
      <c r="P157" s="1"/>
      <c r="Q157" s="1"/>
      <c r="R157" s="1"/>
      <c r="S157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7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7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7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7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7">
        <f>Portefeuille_MNT_PPS_Access31[[#This Row],[Délais PC1 et PC3]]+Portefeuille_MNT_PPS_Access31[[#This Row],[Délais PC3 et PC5]]</f>
        <v>0</v>
      </c>
      <c r="Z157">
        <v>1</v>
      </c>
      <c r="AB157" t="s">
        <v>311</v>
      </c>
      <c r="AC157">
        <v>3.3333333333333335</v>
      </c>
      <c r="AD157" s="2">
        <f>_xlfn.XLOOKUP(Portefeuille_MNT_PPS_Access31[[#This Row],[Numéro projet]],Portefeuille_MNT_PPS_Access27[Numéro projet],Portefeuille_MNT_PPS_Access27[Critère Etat Infrastructure])</f>
        <v>3</v>
      </c>
      <c r="AE157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57" s="221"/>
      <c r="AJ157"/>
      <c r="AT157"/>
      <c r="AW157">
        <v>150</v>
      </c>
      <c r="AY157">
        <v>150</v>
      </c>
      <c r="BA157">
        <v>500</v>
      </c>
      <c r="BB157">
        <v>6500</v>
      </c>
      <c r="BG157" s="14">
        <f>SUM(Portefeuille_MNT_PPS_Access31[[#This Row],[AC ANT]:[TR 2035]])</f>
        <v>7300</v>
      </c>
      <c r="BH157" s="14"/>
    </row>
    <row r="158" spans="1:62" hidden="1" x14ac:dyDescent="0.3">
      <c r="A158" t="s">
        <v>286</v>
      </c>
      <c r="B158" t="s">
        <v>663</v>
      </c>
      <c r="D158" t="s">
        <v>101</v>
      </c>
      <c r="E158" t="s">
        <v>102</v>
      </c>
      <c r="F158" t="s">
        <v>136</v>
      </c>
      <c r="H158" t="s">
        <v>20</v>
      </c>
      <c r="I158" t="s">
        <v>20</v>
      </c>
      <c r="J158" t="s">
        <v>105</v>
      </c>
      <c r="K158">
        <v>154240505</v>
      </c>
      <c r="L158" t="s">
        <v>463</v>
      </c>
      <c r="M158" t="s">
        <v>230</v>
      </c>
      <c r="N158" t="s">
        <v>392</v>
      </c>
      <c r="O158" t="s">
        <v>291</v>
      </c>
      <c r="P158" s="1"/>
      <c r="Q158" s="1"/>
      <c r="R158" s="1"/>
      <c r="S158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8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8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8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8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8">
        <f>Portefeuille_MNT_PPS_Access31[[#This Row],[Délais PC1 et PC3]]+Portefeuille_MNT_PPS_Access31[[#This Row],[Délais PC3 et PC5]]</f>
        <v>0</v>
      </c>
      <c r="Z158">
        <v>1</v>
      </c>
      <c r="AB158" t="s">
        <v>311</v>
      </c>
      <c r="AC158">
        <v>3</v>
      </c>
      <c r="AD158" s="2">
        <f>_xlfn.XLOOKUP(Portefeuille_MNT_PPS_Access31[[#This Row],[Numéro projet]],Portefeuille_MNT_PPS_Access27[Numéro projet],Portefeuille_MNT_PPS_Access27[Critère Etat Infrastructure])</f>
        <v>3</v>
      </c>
      <c r="AE158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35</v>
      </c>
      <c r="AF158" s="221"/>
      <c r="AJ158"/>
      <c r="AT158"/>
      <c r="AW158">
        <v>150</v>
      </c>
      <c r="AY158">
        <v>150</v>
      </c>
      <c r="BA158">
        <v>500</v>
      </c>
      <c r="BB158">
        <v>6800</v>
      </c>
      <c r="BG158" s="14">
        <f>SUM(Portefeuille_MNT_PPS_Access31[[#This Row],[AC ANT]:[TR 2035]])</f>
        <v>7600</v>
      </c>
      <c r="BH158" s="14"/>
    </row>
    <row r="159" spans="1:62" hidden="1" x14ac:dyDescent="0.3">
      <c r="A159" t="s">
        <v>286</v>
      </c>
      <c r="B159" t="s">
        <v>663</v>
      </c>
      <c r="D159" t="s">
        <v>101</v>
      </c>
      <c r="E159" t="s">
        <v>102</v>
      </c>
      <c r="F159" t="s">
        <v>136</v>
      </c>
      <c r="H159" t="s">
        <v>20</v>
      </c>
      <c r="I159" t="s">
        <v>20</v>
      </c>
      <c r="J159" t="s">
        <v>105</v>
      </c>
      <c r="K159">
        <v>154240502</v>
      </c>
      <c r="L159" t="s">
        <v>457</v>
      </c>
      <c r="M159" t="s">
        <v>402</v>
      </c>
      <c r="N159" t="s">
        <v>395</v>
      </c>
      <c r="O159" t="s">
        <v>291</v>
      </c>
      <c r="P159" s="1"/>
      <c r="Q159" s="1"/>
      <c r="R159" s="1"/>
      <c r="S159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59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59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59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59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59">
        <f>Portefeuille_MNT_PPS_Access31[[#This Row],[Délais PC1 et PC3]]+Portefeuille_MNT_PPS_Access31[[#This Row],[Délais PC3 et PC5]]</f>
        <v>0</v>
      </c>
      <c r="Z159">
        <v>1</v>
      </c>
      <c r="AB159" t="s">
        <v>311</v>
      </c>
      <c r="AC159">
        <v>2.6666666666666665</v>
      </c>
      <c r="AD159" s="2">
        <f>_xlfn.XLOOKUP(Portefeuille_MNT_PPS_Access31[[#This Row],[Numéro projet]],Portefeuille_MNT_PPS_Access27[Numéro projet],Portefeuille_MNT_PPS_Access27[Critère Etat Infrastructure])</f>
        <v>3</v>
      </c>
      <c r="AE159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33.333333333333329</v>
      </c>
      <c r="AF159" s="221"/>
      <c r="AJ159"/>
      <c r="AT159"/>
      <c r="AY159">
        <v>150</v>
      </c>
      <c r="BA159">
        <v>150</v>
      </c>
      <c r="BC159">
        <v>500</v>
      </c>
      <c r="BD159">
        <v>6800</v>
      </c>
      <c r="BG159" s="14">
        <f>SUM(Portefeuille_MNT_PPS_Access31[[#This Row],[AC ANT]:[TR 2035]])</f>
        <v>7600</v>
      </c>
      <c r="BH159" s="14"/>
      <c r="BI159" s="57"/>
      <c r="BJ159" s="57"/>
    </row>
    <row r="160" spans="1:62" hidden="1" x14ac:dyDescent="0.3">
      <c r="A160" t="s">
        <v>286</v>
      </c>
      <c r="B160" t="s">
        <v>663</v>
      </c>
      <c r="D160" t="s">
        <v>101</v>
      </c>
      <c r="E160" t="s">
        <v>102</v>
      </c>
      <c r="F160" t="s">
        <v>136</v>
      </c>
      <c r="H160" t="s">
        <v>20</v>
      </c>
      <c r="I160" t="s">
        <v>20</v>
      </c>
      <c r="J160" t="s">
        <v>105</v>
      </c>
      <c r="K160">
        <v>154240504</v>
      </c>
      <c r="L160" t="s">
        <v>461</v>
      </c>
      <c r="M160" t="s">
        <v>108</v>
      </c>
      <c r="N160" t="s">
        <v>395</v>
      </c>
      <c r="O160" t="s">
        <v>291</v>
      </c>
      <c r="P160" s="1"/>
      <c r="Q160" s="1"/>
      <c r="R160" s="1"/>
      <c r="S160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60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60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60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60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60">
        <f>Portefeuille_MNT_PPS_Access31[[#This Row],[Délais PC1 et PC3]]+Portefeuille_MNT_PPS_Access31[[#This Row],[Délais PC3 et PC5]]</f>
        <v>0</v>
      </c>
      <c r="Z160">
        <v>1</v>
      </c>
      <c r="AB160" t="s">
        <v>311</v>
      </c>
      <c r="AC160">
        <v>4</v>
      </c>
      <c r="AD160" s="2">
        <f>_xlfn.XLOOKUP(Portefeuille_MNT_PPS_Access31[[#This Row],[Numéro projet]],Portefeuille_MNT_PPS_Access27[Numéro projet],Portefeuille_MNT_PPS_Access27[Critère Etat Infrastructure])</f>
        <v>3</v>
      </c>
      <c r="AE160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40</v>
      </c>
      <c r="AF160" s="221"/>
      <c r="AJ160"/>
      <c r="AT160"/>
      <c r="AY160">
        <v>150</v>
      </c>
      <c r="BA160">
        <v>150</v>
      </c>
      <c r="BC160">
        <v>500</v>
      </c>
      <c r="BD160">
        <v>7400</v>
      </c>
      <c r="BG160" s="14">
        <f>SUM(Portefeuille_MNT_PPS_Access31[[#This Row],[AC ANT]:[TR 2035]])</f>
        <v>8200</v>
      </c>
      <c r="BH160" s="14"/>
    </row>
    <row r="161" spans="1:63" hidden="1" x14ac:dyDescent="0.3">
      <c r="A161" t="s">
        <v>286</v>
      </c>
      <c r="B161" t="s">
        <v>663</v>
      </c>
      <c r="D161" t="s">
        <v>101</v>
      </c>
      <c r="E161" t="s">
        <v>102</v>
      </c>
      <c r="F161" t="s">
        <v>136</v>
      </c>
      <c r="H161" t="s">
        <v>20</v>
      </c>
      <c r="I161" t="s">
        <v>20</v>
      </c>
      <c r="J161" t="s">
        <v>105</v>
      </c>
      <c r="K161">
        <v>154240506</v>
      </c>
      <c r="L161" t="s">
        <v>465</v>
      </c>
      <c r="M161" t="s">
        <v>116</v>
      </c>
      <c r="N161" t="s">
        <v>395</v>
      </c>
      <c r="O161" t="s">
        <v>291</v>
      </c>
      <c r="P161" s="1"/>
      <c r="Q161" s="1"/>
      <c r="R161" s="1"/>
      <c r="S161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61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61" s="1" t="str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X</v>
      </c>
      <c r="V161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61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0</v>
      </c>
      <c r="X161">
        <f>Portefeuille_MNT_PPS_Access31[[#This Row],[Délais PC1 et PC3]]+Portefeuille_MNT_PPS_Access31[[#This Row],[Délais PC3 et PC5]]</f>
        <v>0</v>
      </c>
      <c r="Z161">
        <v>1</v>
      </c>
      <c r="AB161" t="s">
        <v>311</v>
      </c>
      <c r="AC161">
        <v>3.3333333333333335</v>
      </c>
      <c r="AD161" s="2">
        <f>_xlfn.XLOOKUP(Portefeuille_MNT_PPS_Access31[[#This Row],[Numéro projet]],Portefeuille_MNT_PPS_Access27[Numéro projet],Portefeuille_MNT_PPS_Access27[Critère Etat Infrastructure])</f>
        <v>3</v>
      </c>
      <c r="AE161" s="12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36.666666666666664</v>
      </c>
      <c r="AF161" s="221"/>
      <c r="AJ161"/>
      <c r="AT161"/>
      <c r="AW161">
        <v>150</v>
      </c>
      <c r="AY161">
        <v>150</v>
      </c>
      <c r="BA161">
        <v>150</v>
      </c>
      <c r="BC161">
        <v>500</v>
      </c>
      <c r="BD161">
        <v>6800</v>
      </c>
      <c r="BG161" s="14">
        <f>SUM(Portefeuille_MNT_PPS_Access31[[#This Row],[AC ANT]:[TR 2035]])</f>
        <v>7750</v>
      </c>
      <c r="BH161" s="14"/>
    </row>
    <row r="162" spans="1:63" hidden="1" x14ac:dyDescent="0.3">
      <c r="A162" t="s">
        <v>11</v>
      </c>
      <c r="B162" t="s">
        <v>662</v>
      </c>
      <c r="D162" t="s">
        <v>118</v>
      </c>
      <c r="E162" t="s">
        <v>102</v>
      </c>
      <c r="F162" t="s">
        <v>177</v>
      </c>
      <c r="G162" t="s">
        <v>104</v>
      </c>
      <c r="H162" t="s">
        <v>16</v>
      </c>
      <c r="I162" t="s">
        <v>16</v>
      </c>
      <c r="J162" t="s">
        <v>105</v>
      </c>
      <c r="K162">
        <v>154951716</v>
      </c>
      <c r="L162" t="s">
        <v>199</v>
      </c>
      <c r="M162" t="s">
        <v>108</v>
      </c>
      <c r="O162" t="s">
        <v>297</v>
      </c>
      <c r="P162" s="1"/>
      <c r="Q162" s="1"/>
      <c r="R162" s="1">
        <v>45176</v>
      </c>
      <c r="S162" s="1" t="str">
        <f xml:space="preserve"> IF(Portefeuille_MNT_PPS_Access31[[#This Row],[PC-1]] = "", "X",IF(Portefeuille_MNT_PPS_Access31[[#This Row],[PC-1]] &lt;= DATE(Portefeuille_MNT_PPS_Access31[[#This Row],[Année DÉBUT Travaux prévu]]- 3, 12, 15),"5.Respect OPC",IF(Portefeuille_MNT_PPS_Access31[[#This Row],[PC-1]] &lt;= DATE(Portefeuille_MNT_PPS_Access31[[#This Row],[Année DÉBUT Travaux prévu]]-2, 4, 1),"3.À risque","1.Très à risque")))</f>
        <v>X</v>
      </c>
      <c r="T162" s="1" t="str">
        <f xml:space="preserve"> IF(Portefeuille_MNT_PPS_Access31[[#This Row],[PC-3]] = "", "X",IF(Portefeuille_MNT_PPS_Access31[[#This Row],[PC-3]] &lt;= DATE(Portefeuille_MNT_PPS_Access31[[#This Row],[Année DÉBUT Travaux prévu]]- 2, 12, 15),"5.Respect OPC",IF(Portefeuille_MNT_PPS_Access31[[#This Row],[PC-3]] &lt;= DATE(Portefeuille_MNT_PPS_Access31[[#This Row],[Année DÉBUT Travaux prévu]]-1, 4, 1),"3.À risque","1.Très à risque")))</f>
        <v>X</v>
      </c>
      <c r="U162" s="1" t="e">
        <f xml:space="preserve"> IF(Portefeuille_MNT_PPS_Access31[[#This Row],[PC-5]] = "", "X",IF(Portefeuille_MNT_PPS_Access31[[#This Row],[PC-5]] &lt;= DATE(Portefeuille_MNT_PPS_Access31[[#This Row],[Année DÉBUT Travaux prévu]]- 1, 12, 15),"5.Respect OPC",IF(Portefeuille_MNT_PPS_Access31[[#This Row],[PC-5]] &lt;= DATE(Portefeuille_MNT_PPS_Access31[[#This Row],[Année DÉBUT Travaux prévu]], 4, 1),"3.À risque","1.Très à risque")))</f>
        <v>#NUM!</v>
      </c>
      <c r="V162">
        <f xml:space="preserve"> (YEAR(Portefeuille_MNT_PPS_Access31[[#This Row],[PC-3]]) - YEAR(Portefeuille_MNT_PPS_Access31[[#This Row],[PC-1]])) * 12 + MONTH(Portefeuille_MNT_PPS_Access31[[#This Row],[PC-3]]) - MONTH(Portefeuille_MNT_PPS_Access31[[#This Row],[PC-1]])</f>
        <v>0</v>
      </c>
      <c r="W162">
        <f xml:space="preserve"> (YEAR(Portefeuille_MNT_PPS_Access31[[#This Row],[PC-5]]) - YEAR(Portefeuille_MNT_PPS_Access31[[#This Row],[PC-3]])) * 12 + MONTH(Portefeuille_MNT_PPS_Access31[[#This Row],[PC-5]]) - MONTH(Portefeuille_MNT_PPS_Access31[[#This Row],[PC-3]])</f>
        <v>1484</v>
      </c>
      <c r="X162">
        <f>Portefeuille_MNT_PPS_Access31[[#This Row],[Délais PC1 et PC3]]+Portefeuille_MNT_PPS_Access31[[#This Row],[Délais PC3 et PC5]]</f>
        <v>1484</v>
      </c>
      <c r="Z162">
        <v>1</v>
      </c>
      <c r="AB162" t="s">
        <v>349</v>
      </c>
      <c r="AC162">
        <v>4</v>
      </c>
      <c r="AD162" s="2" t="e">
        <f>_xlfn.XLOOKUP(Portefeuille_MNT_PPS_Access31[[#This Row],[Numéro projet]],Portefeuille_MNT_PPS_Access27[Numéro projet],Portefeuille_MNT_PPS_Access27[Critère Etat Infrastructure])</f>
        <v>#N/A</v>
      </c>
      <c r="AE162" s="12" t="e">
        <f>IF(Portefeuille_MNT_PPS_Access31[[#This Row],[IND_PARA_25-26]]=5,100, SUM(IF(Portefeuille_MNT_PPS_Access31[[#This Row],[INDICE OPC]]="",Portefeuille_MNT_PPS_Access31[[#This Row],[IND_Etat_avancement]]*$AD$8/5,Portefeuille_MNT_PPS_Access31[[#This Row],[INDICE OPC]]*$AD$8/5),Portefeuille_MNT_PPS_Access31[[#This Row],[Critère Etat Infrastructure]]* $AD$10/5,Portefeuille_MNT_PPS_Access31[[#This Row],[IND_SITE_PRIO_2024]]* $AD$9/5,Portefeuille_MNT_PPS_Access31[[#This Row],[IND_PROJT_ANNONCE_25-27]]* $AD$7/5)*100)</f>
        <v>#N/A</v>
      </c>
      <c r="AF162" s="221"/>
      <c r="AG162">
        <v>269</v>
      </c>
      <c r="AI162">
        <v>14</v>
      </c>
      <c r="AJ162">
        <v>5</v>
      </c>
      <c r="AT162"/>
      <c r="BG162" s="14">
        <f>SUM(Portefeuille_MNT_PPS_Access31[[#This Row],[AC ANT]:[TR 2035]])</f>
        <v>288</v>
      </c>
      <c r="BH162" s="14"/>
    </row>
    <row r="163" spans="1:63" x14ac:dyDescent="0.3">
      <c r="K163">
        <f>SUBTOTAL(103,Portefeuille_MNT_PPS_Access31[Numéro projet])</f>
        <v>4</v>
      </c>
      <c r="AF163" s="25"/>
      <c r="AG163" s="14">
        <f>SUBTOTAL(109,Portefeuille_MNT_PPS_Access31[AC ANT])</f>
        <v>0</v>
      </c>
      <c r="AH163" s="14">
        <f>SUBTOTAL(109,Portefeuille_MNT_PPS_Access31[TR ANT])</f>
        <v>0</v>
      </c>
      <c r="AI163" s="14">
        <f>SUBTOTAL(109,Portefeuille_MNT_PPS_Access31[AC 2024])</f>
        <v>0</v>
      </c>
      <c r="AJ163" s="14">
        <f>SUBTOTAL(109,Portefeuille_MNT_PPS_Access31[TR 2024])</f>
        <v>0</v>
      </c>
      <c r="AK163" s="14">
        <f>SUBTOTAL(109,Portefeuille_MNT_PPS_Access31[AC 2025])</f>
        <v>0</v>
      </c>
      <c r="AL163" s="14">
        <f>SUBTOTAL(109,Portefeuille_MNT_PPS_Access31[TR 2025])</f>
        <v>135</v>
      </c>
      <c r="AM163" s="14">
        <f>SUBTOTAL(109,Portefeuille_MNT_PPS_Access31[AC 2026])</f>
        <v>25</v>
      </c>
      <c r="AN163" s="14">
        <f>SUBTOTAL(109,Portefeuille_MNT_PPS_Access31[TR 2026])</f>
        <v>124</v>
      </c>
      <c r="AO163" s="14">
        <f>SUBTOTAL(109,Portefeuille_MNT_PPS_Access31[AC 2027])</f>
        <v>0</v>
      </c>
      <c r="AP163" s="14">
        <f>SUBTOTAL(109,Portefeuille_MNT_PPS_Access31[TR 2027])</f>
        <v>0</v>
      </c>
      <c r="AQ163" s="14">
        <f>SUBTOTAL(109,Portefeuille_MNT_PPS_Access31[AC 2028])</f>
        <v>0</v>
      </c>
      <c r="AR163" s="14">
        <f>SUBTOTAL(109,Portefeuille_MNT_PPS_Access31[TR 2028])</f>
        <v>0</v>
      </c>
      <c r="AS163" s="14">
        <f>SUBTOTAL(109,Portefeuille_MNT_PPS_Access31[AC 2029])</f>
        <v>0</v>
      </c>
      <c r="AT163" s="14">
        <f>SUBTOTAL(109,Portefeuille_MNT_PPS_Access31[TR 2029])</f>
        <v>0</v>
      </c>
      <c r="AU163" s="14">
        <f>SUBTOTAL(109,Portefeuille_MNT_PPS_Access31[AC 2030])</f>
        <v>0</v>
      </c>
      <c r="AV163" s="14">
        <f>SUBTOTAL(109,Portefeuille_MNT_PPS_Access31[TR 2030])</f>
        <v>0</v>
      </c>
      <c r="AW163" s="14">
        <f>SUBTOTAL(109,Portefeuille_MNT_PPS_Access31[AC 2031])</f>
        <v>0</v>
      </c>
      <c r="AX163" s="14">
        <f>SUBTOTAL(109,Portefeuille_MNT_PPS_Access31[TR 2031])</f>
        <v>0</v>
      </c>
      <c r="AY163" s="14">
        <f>SUBTOTAL(109,Portefeuille_MNT_PPS_Access31[AC 2032])</f>
        <v>0</v>
      </c>
      <c r="AZ163" s="14">
        <f>SUBTOTAL(109,Portefeuille_MNT_PPS_Access31[TR 2032])</f>
        <v>0</v>
      </c>
      <c r="BA163" s="14">
        <f>SUBTOTAL(109,Portefeuille_MNT_PPS_Access31[AC 2033])</f>
        <v>0</v>
      </c>
      <c r="BB163" s="14">
        <f>SUBTOTAL(109,Portefeuille_MNT_PPS_Access31[TR 2033])</f>
        <v>0</v>
      </c>
      <c r="BC163" s="14">
        <f>SUBTOTAL(109,Portefeuille_MNT_PPS_Access31[AC 2034])</f>
        <v>0</v>
      </c>
      <c r="BD163" s="14">
        <f>SUBTOTAL(109,Portefeuille_MNT_PPS_Access31[TR 2034])</f>
        <v>0</v>
      </c>
      <c r="BE163" s="14">
        <f>SUBTOTAL(109,Portefeuille_MNT_PPS_Access31[AC 2035])</f>
        <v>0</v>
      </c>
      <c r="BF163" s="14">
        <f>SUBTOTAL(109,Portefeuille_MNT_PPS_Access31[TR 2035])</f>
        <v>0</v>
      </c>
      <c r="BG163" s="14">
        <f>SUBTOTAL(109,Portefeuille_MNT_PPS_Access31[Total Projet])</f>
        <v>284</v>
      </c>
      <c r="BH163" s="14"/>
    </row>
    <row r="164" spans="1:63" x14ac:dyDescent="0.3">
      <c r="BH164" s="14"/>
    </row>
    <row r="165" spans="1:63" x14ac:dyDescent="0.3"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14"/>
    </row>
    <row r="167" spans="1:63" x14ac:dyDescent="0.3">
      <c r="BH167" s="57"/>
    </row>
    <row r="169" spans="1:63" x14ac:dyDescent="0.3">
      <c r="BI169" s="57"/>
      <c r="BJ169" s="57"/>
      <c r="BK169" s="57"/>
    </row>
  </sheetData>
  <mergeCells count="187">
    <mergeCell ref="BE16:BF16"/>
    <mergeCell ref="AS16:AT16"/>
    <mergeCell ref="AU16:AV16"/>
    <mergeCell ref="AW16:AX16"/>
    <mergeCell ref="AY16:AZ16"/>
    <mergeCell ref="BA16:BB16"/>
    <mergeCell ref="BC16:BD16"/>
    <mergeCell ref="AY15:AZ15"/>
    <mergeCell ref="BA15:BB15"/>
    <mergeCell ref="BC15:BD15"/>
    <mergeCell ref="BE15:BF15"/>
    <mergeCell ref="AG16:AH16"/>
    <mergeCell ref="AI16:AJ16"/>
    <mergeCell ref="AK16:AL16"/>
    <mergeCell ref="AM16:AN16"/>
    <mergeCell ref="AO16:AP16"/>
    <mergeCell ref="AQ16:AR16"/>
    <mergeCell ref="BE14:BF14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S14:AT14"/>
    <mergeCell ref="AU14:AV14"/>
    <mergeCell ref="AW14:AX14"/>
    <mergeCell ref="AY14:AZ14"/>
    <mergeCell ref="BA14:BB14"/>
    <mergeCell ref="BC14:BD14"/>
    <mergeCell ref="AG14:AH14"/>
    <mergeCell ref="AI14:AJ14"/>
    <mergeCell ref="AK14:AL14"/>
    <mergeCell ref="AM14:AN14"/>
    <mergeCell ref="AO14:AP14"/>
    <mergeCell ref="AQ14:AR14"/>
    <mergeCell ref="AU13:AV13"/>
    <mergeCell ref="AW13:AX13"/>
    <mergeCell ref="AY13:AZ13"/>
    <mergeCell ref="BA13:BB13"/>
    <mergeCell ref="BC13:BD13"/>
    <mergeCell ref="BE13:BF13"/>
    <mergeCell ref="BC12:BD12"/>
    <mergeCell ref="BE12:BF12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Q12:AR12"/>
    <mergeCell ref="AS12:AT12"/>
    <mergeCell ref="AU12:AV12"/>
    <mergeCell ref="AW12:AX12"/>
    <mergeCell ref="AY12:AZ12"/>
    <mergeCell ref="BA12:BB12"/>
    <mergeCell ref="AW11:AX11"/>
    <mergeCell ref="AY11:AZ11"/>
    <mergeCell ref="BA11:BB11"/>
    <mergeCell ref="BC11:BD11"/>
    <mergeCell ref="BE11:BF11"/>
    <mergeCell ref="AG12:AH12"/>
    <mergeCell ref="AI12:AJ12"/>
    <mergeCell ref="AK12:AL12"/>
    <mergeCell ref="AM12:AN12"/>
    <mergeCell ref="AO12:AP12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Y9:AZ9"/>
    <mergeCell ref="BA9:BB9"/>
    <mergeCell ref="BC9:BD9"/>
    <mergeCell ref="BE9:BF9"/>
    <mergeCell ref="AG10:AH10"/>
    <mergeCell ref="AI10:AJ10"/>
    <mergeCell ref="AK10:AL10"/>
    <mergeCell ref="AM10:AN10"/>
    <mergeCell ref="AO10:AP10"/>
    <mergeCell ref="AQ10:AR10"/>
    <mergeCell ref="BE10:BF10"/>
    <mergeCell ref="AS10:AT10"/>
    <mergeCell ref="AU10:AV10"/>
    <mergeCell ref="AW10:AX10"/>
    <mergeCell ref="AY10:AZ10"/>
    <mergeCell ref="BA10:BB10"/>
    <mergeCell ref="BC10:BD10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7:AZ7"/>
    <mergeCell ref="BA7:BB7"/>
    <mergeCell ref="BC7:BD7"/>
    <mergeCell ref="BE7:BF7"/>
    <mergeCell ref="AG8:AH8"/>
    <mergeCell ref="AI8:AJ8"/>
    <mergeCell ref="AK8:AL8"/>
    <mergeCell ref="AM8:AN8"/>
    <mergeCell ref="AO8:AP8"/>
    <mergeCell ref="AQ8:AR8"/>
    <mergeCell ref="BE8:BF8"/>
    <mergeCell ref="AS8:AT8"/>
    <mergeCell ref="AU8:AV8"/>
    <mergeCell ref="AW8:AX8"/>
    <mergeCell ref="AY8:AZ8"/>
    <mergeCell ref="BA8:BB8"/>
    <mergeCell ref="BC8:BD8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BC5:BD5"/>
    <mergeCell ref="BE5:BF5"/>
    <mergeCell ref="AG6:AH6"/>
    <mergeCell ref="AI6:AJ6"/>
    <mergeCell ref="AK6:AL6"/>
    <mergeCell ref="AM6:AN6"/>
    <mergeCell ref="AO6:AP6"/>
    <mergeCell ref="AQ6:AR6"/>
    <mergeCell ref="BE6:BF6"/>
    <mergeCell ref="AS6:AT6"/>
    <mergeCell ref="AU6:AV6"/>
    <mergeCell ref="AW6:AX6"/>
    <mergeCell ref="AY6:AZ6"/>
    <mergeCell ref="BA6:BB6"/>
    <mergeCell ref="BC6:BD6"/>
    <mergeCell ref="BE4:BF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AY5:AZ5"/>
    <mergeCell ref="BA5:BB5"/>
    <mergeCell ref="AU3:AV3"/>
    <mergeCell ref="AW3:AX3"/>
    <mergeCell ref="AY3:AZ3"/>
    <mergeCell ref="BA3:BB3"/>
    <mergeCell ref="BC3:BD3"/>
    <mergeCell ref="BE3:BF3"/>
    <mergeCell ref="AG2:BI2"/>
    <mergeCell ref="I3:J3"/>
    <mergeCell ref="AE3:AF3"/>
    <mergeCell ref="AG3:AH3"/>
    <mergeCell ref="AI3:AJ3"/>
    <mergeCell ref="AK3:AL3"/>
    <mergeCell ref="AM3:AN3"/>
    <mergeCell ref="AO3:AP3"/>
    <mergeCell ref="AQ3:AR3"/>
    <mergeCell ref="AS3:AT3"/>
  </mergeCells>
  <conditionalFormatting sqref="S19:Y162">
    <cfRule type="containsText" dxfId="87" priority="1" operator="containsText" text="1.Très à risque">
      <formula>NOT(ISERROR(SEARCH("1.Très à risque",S19)))</formula>
    </cfRule>
    <cfRule type="containsText" dxfId="86" priority="2" operator="containsText" text="3.À risque">
      <formula>NOT(ISERROR(SEARCH("3.À risque",S19)))</formula>
    </cfRule>
    <cfRule type="containsText" dxfId="85" priority="3" operator="containsText" text="5.Respect OPC">
      <formula>NOT(ISERROR(SEARCH("5.Respect OPC",S19)))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DBA661E-5C5C-4752-BA95-6801B49841F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AD19:AF162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9E27-D113-4922-8BB6-92C20A9FDDB0}">
  <dimension ref="A1:BV169"/>
  <sheetViews>
    <sheetView zoomScale="80" zoomScaleNormal="80" workbookViewId="0">
      <pane ySplit="18" topLeftCell="A26" activePane="bottomLeft" state="frozen"/>
      <selection activeCell="AA1" sqref="AA1"/>
      <selection pane="bottomLeft" activeCell="H39" sqref="H39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8.6640625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7.33203125" customWidth="1" outlineLevel="1"/>
    <col min="8" max="8" width="12.44140625" customWidth="1" outlineLevel="1"/>
    <col min="9" max="9" width="11.5546875" customWidth="1" outlineLevel="1"/>
    <col min="10" max="10" width="14.33203125" customWidth="1"/>
    <col min="11" max="11" width="19.33203125" bestFit="1" customWidth="1"/>
    <col min="12" max="12" width="118" bestFit="1" customWidth="1" collapsed="1"/>
    <col min="13" max="13" width="21.44140625" customWidth="1"/>
    <col min="14" max="14" width="10" customWidth="1"/>
    <col min="15" max="15" width="23" customWidth="1"/>
    <col min="16" max="16" width="12.5546875" customWidth="1" outlineLevel="1"/>
    <col min="17" max="17" width="17.44140625" customWidth="1" outlineLevel="1"/>
    <col min="18" max="18" width="15" customWidth="1" outlineLevel="1"/>
    <col min="19" max="19" width="15.6640625" customWidth="1"/>
    <col min="20" max="20" width="14" customWidth="1"/>
    <col min="21" max="21" width="13.6640625" customWidth="1"/>
    <col min="22" max="22" width="11.33203125" customWidth="1" outlineLevel="1"/>
    <col min="23" max="23" width="15" customWidth="1" outlineLevel="1"/>
    <col min="24" max="24" width="12.33203125" customWidth="1" outlineLevel="1"/>
    <col min="25" max="26" width="11.44140625" customWidth="1" outlineLevel="1"/>
    <col min="27" max="27" width="11.33203125" customWidth="1" outlineLevel="1"/>
    <col min="28" max="28" width="15.44140625" customWidth="1" outlineLevel="1"/>
    <col min="29" max="29" width="14.6640625" customWidth="1" outlineLevel="1"/>
    <col min="30" max="30" width="13.88671875" customWidth="1" outlineLevel="1"/>
    <col min="31" max="31" width="13.5546875" customWidth="1"/>
    <col min="32" max="32" width="6.33203125" customWidth="1"/>
    <col min="33" max="33" width="9.33203125" hidden="1" customWidth="1" outlineLevel="1"/>
    <col min="34" max="34" width="10.44140625" hidden="1" customWidth="1" outlineLevel="1"/>
    <col min="35" max="35" width="9.88671875" hidden="1" customWidth="1" outlineLevel="1"/>
    <col min="36" max="36" width="9.88671875" style="25" hidden="1" customWidth="1" outlineLevel="1"/>
    <col min="37" max="38" width="9.88671875" hidden="1" customWidth="1" outlineLevel="1"/>
    <col min="39" max="39" width="11.109375" customWidth="1" collapsed="1"/>
    <col min="40" max="40" width="12.33203125" customWidth="1"/>
    <col min="41" max="41" width="11" customWidth="1"/>
    <col min="42" max="45" width="9.88671875" customWidth="1"/>
    <col min="46" max="46" width="9.88671875" style="8" customWidth="1"/>
    <col min="47" max="48" width="9.88671875" customWidth="1"/>
    <col min="49" max="58" width="9.88671875" hidden="1" customWidth="1" outlineLevel="1"/>
    <col min="59" max="59" width="14.44140625" bestFit="1" customWidth="1" collapsed="1"/>
    <col min="60" max="60" width="14.44140625" customWidth="1"/>
    <col min="61" max="61" width="12.6640625" bestFit="1" customWidth="1"/>
    <col min="62" max="64" width="9.88671875" customWidth="1"/>
    <col min="65" max="65" width="13.44140625" customWidth="1"/>
    <col min="66" max="66" width="13.5546875" customWidth="1"/>
    <col min="67" max="67" width="18" customWidth="1"/>
    <col min="68" max="68" width="17" customWidth="1"/>
    <col min="69" max="69" width="16.6640625" bestFit="1" customWidth="1"/>
    <col min="70" max="79" width="11.33203125" customWidth="1"/>
    <col min="80" max="80" width="12.5546875" customWidth="1"/>
    <col min="81" max="81" width="13.44140625" customWidth="1"/>
    <col min="82" max="82" width="13.109375" customWidth="1"/>
    <col min="83" max="83" width="14" customWidth="1"/>
    <col min="84" max="89" width="17.33203125" customWidth="1"/>
    <col min="90" max="90" width="18.109375" customWidth="1"/>
    <col min="91" max="91" width="17.5546875" customWidth="1"/>
  </cols>
  <sheetData>
    <row r="1" spans="1:74" ht="21" x14ac:dyDescent="0.4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7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85"/>
      <c r="BS1" s="85"/>
      <c r="BT1" s="85"/>
      <c r="BU1" s="85"/>
      <c r="BV1" s="85"/>
    </row>
    <row r="2" spans="1:74" x14ac:dyDescent="0.3">
      <c r="Q2" s="2" t="s">
        <v>710</v>
      </c>
      <c r="R2" s="60"/>
      <c r="S2" s="60"/>
      <c r="T2" s="60"/>
      <c r="AB2" s="25"/>
      <c r="AC2" s="25"/>
      <c r="AD2" s="25"/>
      <c r="AE2" s="25"/>
      <c r="AF2" s="25"/>
      <c r="AG2" s="25"/>
      <c r="AI2" s="232"/>
      <c r="AJ2" s="232"/>
      <c r="AK2" s="232"/>
      <c r="AL2" s="232"/>
      <c r="AM2" s="349" t="s">
        <v>701</v>
      </c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</row>
    <row r="3" spans="1:74" ht="26.4" customHeight="1" x14ac:dyDescent="0.3">
      <c r="J3" s="306" t="s">
        <v>2</v>
      </c>
      <c r="K3" s="307"/>
      <c r="M3" s="65"/>
      <c r="N3" s="65"/>
      <c r="O3" s="65"/>
      <c r="P3" s="65"/>
      <c r="Q3" s="235" t="s">
        <v>50</v>
      </c>
      <c r="R3" s="235" t="s">
        <v>51</v>
      </c>
      <c r="S3" s="235" t="s">
        <v>52</v>
      </c>
      <c r="T3" s="235" t="s">
        <v>708</v>
      </c>
      <c r="W3" s="234"/>
      <c r="X3" s="234"/>
      <c r="AC3" s="4" t="s">
        <v>3</v>
      </c>
      <c r="AD3" s="80" t="s">
        <v>4</v>
      </c>
      <c r="AE3" s="342" t="s">
        <v>5</v>
      </c>
      <c r="AF3" s="342"/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263">
        <v>2035</v>
      </c>
      <c r="BF3" s="264"/>
      <c r="BG3" s="26" t="s">
        <v>560</v>
      </c>
      <c r="BH3" s="26" t="s">
        <v>699</v>
      </c>
      <c r="BI3" s="26" t="s">
        <v>595</v>
      </c>
    </row>
    <row r="4" spans="1:74" x14ac:dyDescent="0.3">
      <c r="J4" s="27" t="s">
        <v>9</v>
      </c>
      <c r="K4" s="28" t="s">
        <v>10</v>
      </c>
      <c r="M4" s="65"/>
      <c r="N4" s="65"/>
      <c r="O4" s="65"/>
      <c r="P4" s="236" t="s">
        <v>704</v>
      </c>
      <c r="Q4">
        <f>COUNTIFS(Portefeuille_MNT_PPS_Access_26_2834[État Composante AC],"&lt;&gt;PR",Portefeuille_MNT_PPS_Access_26_2834[Gérant projet],"&lt;&gt;DAA",Portefeuille_MNT_PPS_Access_26_2834[OPC-1],"&lt;&gt;X")</f>
        <v>8</v>
      </c>
      <c r="R4">
        <f>COUNTIFS(Portefeuille_MNT_PPS_Access_26_2834[Année DÉBUT Travaux prévu],"=2027",Portefeuille_MNT_PPS_Access_26_2834[Gérant projet],"&lt;&gt;DAA",Portefeuille_MNT_PPS_Access_26_2834[OPC PC-3],"&lt;&gt;X")</f>
        <v>7</v>
      </c>
      <c r="S4">
        <f>COUNTIFS(Portefeuille_MNT_PPS_Access_26_2834[Année DÉBUT Travaux prévu],"=2026",Portefeuille_MNT_PPS_Access_26_2834[Gérant projet],"&lt;&gt;DAA",Portefeuille_MNT_PPS_Access_26_2834[OPC PC-5],"&lt;&gt;X")</f>
        <v>13</v>
      </c>
      <c r="T4">
        <f>SUM(Q4:S4)</f>
        <v>28</v>
      </c>
      <c r="AC4" s="66"/>
      <c r="AD4" s="138"/>
      <c r="AF4" s="104" t="s">
        <v>11</v>
      </c>
      <c r="AG4" s="260">
        <f>SUMIFS(Portefeuille_MNT_PPS_Access_26_2834[AC ANT],Portefeuille_MNT_PPS_Access_26_2834[DES_COMPL_NATR_COMPB],"=Fonctionnement")+SUMIFS(Portefeuille_MNT_PPS_Access_26_2834[TR ANT],Portefeuille_MNT_PPS_Access_26_2834[DES_COMPL_NATR_COMPB],"=Fonctionnement")</f>
        <v>0</v>
      </c>
      <c r="AH4" s="260"/>
      <c r="AI4" s="260">
        <f>SUMIFS(Portefeuille_MNT_PPS_Access_26_2834[AC 2024],Portefeuille_MNT_PPS_Access_26_2834[DES_COMPL_NATR_COMPB],"=Fonctionnement")+SUMIFS(Portefeuille_MNT_PPS_Access_26_2834[TR 2024],Portefeuille_MNT_PPS_Access_26_2834[DES_COMPL_NATR_COMPB],"=Fonctionnement")</f>
        <v>0</v>
      </c>
      <c r="AJ4" s="260"/>
      <c r="AK4" s="260">
        <f>SUMIFS(Portefeuille_MNT_PPS_Access_26_2834[AC 2025],Portefeuille_MNT_PPS_Access_26_2834[DES_COMPL_NATR_COMPB],"=Fonctionnement")+SUMIFS(Portefeuille_MNT_PPS_Access_26_2834[TR 2025],Portefeuille_MNT_PPS_Access_26_2834[DES_COMPL_NATR_COMPB],"=Fonctionnement")</f>
        <v>0</v>
      </c>
      <c r="AL4" s="260"/>
      <c r="AM4" s="260">
        <f>SUMIFS(Portefeuille_MNT_PPS_Access_26_2834[AC 2026],Portefeuille_MNT_PPS_Access_26_2834[DES_COMPL_NATR_COMPB],"=Fonctionnement")+SUMIFS(Portefeuille_MNT_PPS_Access_26_2834[TR 2026],Portefeuille_MNT_PPS_Access_26_2834[DES_COMPL_NATR_COMPB],"=Fonctionnement")</f>
        <v>300</v>
      </c>
      <c r="AN4" s="260"/>
      <c r="AO4" s="260">
        <f>SUMIFS(Portefeuille_MNT_PPS_Access_26_2834[AC 2027],Portefeuille_MNT_PPS_Access_26_2834[DES_COMPL_NATR_COMPB],"=Fonctionnement")+SUMIFS(Portefeuille_MNT_PPS_Access_26_2834[TR 2027],Portefeuille_MNT_PPS_Access_26_2834[DES_COMPL_NATR_COMPB],"=Fonctionnement")</f>
        <v>300</v>
      </c>
      <c r="AP4" s="260"/>
      <c r="AQ4" s="260">
        <f>SUMIFS(Portefeuille_MNT_PPS_Access_26_2834[AC 2028],Portefeuille_MNT_PPS_Access_26_2834[DES_COMPL_NATR_COMPB],"=Fonctionnement")+SUMIFS(Portefeuille_MNT_PPS_Access_26_2834[TR 2028],Portefeuille_MNT_PPS_Access_26_2834[DES_COMPL_NATR_COMPB],"=Fonctionnement")</f>
        <v>0</v>
      </c>
      <c r="AR4" s="260"/>
      <c r="AS4" s="260">
        <f>SUMIFS(Portefeuille_MNT_PPS_Access_26_2834[AC 2029],Portefeuille_MNT_PPS_Access_26_2834[DES_COMPL_NATR_COMPB],"=Fonctionnement")+SUMIFS(Portefeuille_MNT_PPS_Access_26_2834[TR 2029],Portefeuille_MNT_PPS_Access_26_2834[DES_COMPL_NATR_COMPB],"=Fonctionnement")</f>
        <v>0</v>
      </c>
      <c r="AT4" s="260"/>
      <c r="AU4" s="260">
        <f>SUMIFS(Portefeuille_MNT_PPS_Access_26_2834[AC 2030],Portefeuille_MNT_PPS_Access_26_2834[DES_COMPL_NATR_COMPB],"=Fonctionnement")+SUMIFS(Portefeuille_MNT_PPS_Access_26_2834[TR 2030],Portefeuille_MNT_PPS_Access_26_2834[DES_COMPL_NATR_COMPB],"=Fonctionnement")</f>
        <v>0</v>
      </c>
      <c r="AV4" s="260"/>
      <c r="AW4" s="260">
        <f>SUMIFS(Portefeuille_MNT_PPS_Access_26_2834[AC 2031],Portefeuille_MNT_PPS_Access_26_2834[DES_COMPL_NATR_COMPB],"=Fonctionnement")+SUMIFS(Portefeuille_MNT_PPS_Access_26_2834[TR 2031],Portefeuille_MNT_PPS_Access_26_2834[DES_COMPL_NATR_COMPB],"=Fonctionnement")</f>
        <v>0</v>
      </c>
      <c r="AX4" s="260"/>
      <c r="AY4" s="260">
        <f>SUMIFS(Portefeuille_MNT_PPS_Access_26_2834[AC 2032],Portefeuille_MNT_PPS_Access_26_2834[DES_COMPL_NATR_COMPB],"=Fonctionnement")+SUMIFS(Portefeuille_MNT_PPS_Access_26_2834[TR 2032],Portefeuille_MNT_PPS_Access_26_2834[DES_COMPL_NATR_COMPB],"=Fonctionnement")</f>
        <v>0</v>
      </c>
      <c r="AZ4" s="260"/>
      <c r="BA4" s="260">
        <f>SUMIFS(Portefeuille_MNT_PPS_Access_26_2834[AC 2033],Portefeuille_MNT_PPS_Access_26_2834[DES_COMPL_NATR_COMPB],"=Fonctionnement")+SUMIFS(Portefeuille_MNT_PPS_Access_26_2834[TR 2033],Portefeuille_MNT_PPS_Access_26_2834[DES_COMPL_NATR_COMPB],"=Fonctionnement")</f>
        <v>0</v>
      </c>
      <c r="BB4" s="260"/>
      <c r="BC4" s="260">
        <f>SUMIFS(Portefeuille_MNT_PPS_Access_26_2834[AC 2034],Portefeuille_MNT_PPS_Access_26_2834[DES_COMPL_NATR_COMPB],"=Fonctionnement")+SUMIFS(Portefeuille_MNT_PPS_Access_26_2834[TR 2034],Portefeuille_MNT_PPS_Access_26_2834[DES_COMPL_NATR_COMPB],"=Fonctionnement")</f>
        <v>0</v>
      </c>
      <c r="BD4" s="260"/>
      <c r="BE4" s="260">
        <f>SUMIFS(Portefeuille_MNT_PPS_Access_26_2834[AC 2035],Portefeuille_MNT_PPS_Access_26_2834[DES_COMPL_NATR_COMPB],"=Fonctionnement")+SUMIFS(Portefeuille_MNT_PPS_Access_26_2834[TR 2035],Portefeuille_MNT_PPS_Access_26_2834[DES_COMPL_NATR_COMPB],"=Fonctionnement")</f>
        <v>0</v>
      </c>
      <c r="BF4" s="260"/>
      <c r="BG4" s="16">
        <f>SUM(AM4:AV4)</f>
        <v>600</v>
      </c>
      <c r="BH4" s="16">
        <f>SUM(AW4:BF4)</f>
        <v>0</v>
      </c>
      <c r="BI4" s="16">
        <f>SUM(AM4:BF4)</f>
        <v>600</v>
      </c>
    </row>
    <row r="5" spans="1:74" x14ac:dyDescent="0.3">
      <c r="J5" s="27" t="s">
        <v>12</v>
      </c>
      <c r="K5" s="28" t="s">
        <v>13</v>
      </c>
      <c r="P5" s="236" t="s">
        <v>705</v>
      </c>
      <c r="Q5">
        <f>COUNTIFS(Portefeuille_MNT_PPS_Access_26_2834[État Composante AC],"&lt;&gt;PR",Portefeuille_MNT_PPS_Access_26_2834[Gérant projet],"&lt;&gt;DAA",Portefeuille_MNT_PPS_Access_26_2834[OPC-1],"&lt;&gt;X",Portefeuille_MNT_PPS_Access_26_2834[PC-1],"&lt;=2025-10-15")</f>
        <v>1</v>
      </c>
      <c r="R5">
        <f>COUNTIFS(Portefeuille_MNT_PPS_Access_26_2834[Année DÉBUT Travaux prévu],"=2027",Portefeuille_MNT_PPS_Access_26_2834[Gérant projet],"&lt;&gt;DAA",Portefeuille_MNT_PPS_Access_26_2834[OPC PC-3],"&lt;&gt;X",Portefeuille_MNT_PPS_Access_26_2834[PC-3],"&lt;=2025-10-15")</f>
        <v>2</v>
      </c>
      <c r="S5">
        <f>COUNTIFS(Portefeuille_MNT_PPS_Access_26_2834[Année DÉBUT Travaux prévu],"=2026",Portefeuille_MNT_PPS_Access_26_2834[Gérant projet],"&lt;&gt;DAA",Portefeuille_MNT_PPS_Access_26_2834[OPC PC-5],"&lt;&gt;X",Portefeuille_MNT_PPS_Access_26_2834[PC-5],"&lt;=2025-10-15")</f>
        <v>2</v>
      </c>
      <c r="T5">
        <f>SUM(Q5:S5)</f>
        <v>5</v>
      </c>
      <c r="AC5" s="67"/>
      <c r="AD5" s="139" t="s">
        <v>299</v>
      </c>
      <c r="AF5" s="104" t="s">
        <v>15</v>
      </c>
      <c r="AG5" s="260">
        <f>SUMIFS(Portefeuille_MNT_PPS_Access_26_2834[AC ANT],Portefeuille_MNT_PPS_Access_26_2834[État Composante AC],"=PR")</f>
        <v>8085</v>
      </c>
      <c r="AH5" s="260"/>
      <c r="AI5" s="260">
        <f>SUMIFS(Portefeuille_MNT_PPS_Access_26_2834[AC 2024],Portefeuille_MNT_PPS_Access_26_2834[État Composante AC],"=PR")</f>
        <v>1978</v>
      </c>
      <c r="AJ5" s="260"/>
      <c r="AK5" s="260">
        <f>SUMIFS(Portefeuille_MNT_PPS_Access_26_2834[AC 2025],Portefeuille_MNT_PPS_Access_26_2834[État Composante AC],"=PR")</f>
        <v>7800</v>
      </c>
      <c r="AL5" s="260"/>
      <c r="AM5" s="260">
        <f>SUMIFS(Portefeuille_MNT_PPS_Access_26_2834[AC 2026],Portefeuille_MNT_PPS_Access_26_2834[État Composante AC],"=PR")</f>
        <v>10442</v>
      </c>
      <c r="AN5" s="260"/>
      <c r="AO5" s="260">
        <f>SUMIFS(Portefeuille_MNT_PPS_Access_26_2834[AC 2027],Portefeuille_MNT_PPS_Access_26_2834[État Composante AC],"=PR")</f>
        <v>10003</v>
      </c>
      <c r="AP5" s="260"/>
      <c r="AQ5" s="260">
        <f>SUMIFS(Portefeuille_MNT_PPS_Access_26_2834[AC 2028],Portefeuille_MNT_PPS_Access_26_2834[État Composante AC],"=PR")</f>
        <v>6830</v>
      </c>
      <c r="AR5" s="260"/>
      <c r="AS5" s="260">
        <f>SUMIFS(Portefeuille_MNT_PPS_Access_26_2834[AC 2029],Portefeuille_MNT_PPS_Access_26_2834[État Composante AC],"=PR")</f>
        <v>4123</v>
      </c>
      <c r="AT5" s="260"/>
      <c r="AU5" s="260">
        <f>SUMIFS(Portefeuille_MNT_PPS_Access_26_2834[AC 2030],Portefeuille_MNT_PPS_Access_26_2834[État Composante AC],"=PR")</f>
        <v>1835</v>
      </c>
      <c r="AV5" s="260"/>
      <c r="AW5" s="260">
        <f>SUMIFS(Portefeuille_MNT_PPS_Access_26_2834[AC 2031],Portefeuille_MNT_PPS_Access_26_2834[État Composante AC],"=PR")</f>
        <v>2098</v>
      </c>
      <c r="AX5" s="260"/>
      <c r="AY5" s="260">
        <f>SUMIFS(Portefeuille_MNT_PPS_Access_26_2834[AC 2032],Portefeuille_MNT_PPS_Access_26_2834[État Composante AC],"=PR")</f>
        <v>0</v>
      </c>
      <c r="AZ5" s="260"/>
      <c r="BA5" s="260">
        <f>SUMIFS(Portefeuille_MNT_PPS_Access_26_2834[AC 2033],Portefeuille_MNT_PPS_Access_26_2834[État Composante AC],"=PR")</f>
        <v>0</v>
      </c>
      <c r="BB5" s="260"/>
      <c r="BC5" s="260">
        <f>SUMIFS(Portefeuille_MNT_PPS_Access_26_2834[AC 2034],Portefeuille_MNT_PPS_Access_26_2834[État Composante AC],"=PR")</f>
        <v>0</v>
      </c>
      <c r="BD5" s="260"/>
      <c r="BE5" s="260">
        <f>SUMIFS(Portefeuille_MNT_PPS_Access_26_2834[AC 2035],Portefeuille_MNT_PPS_Access_26_2834[État Composante TR],"=PR")</f>
        <v>0</v>
      </c>
      <c r="BF5" s="260"/>
      <c r="BG5" s="16">
        <f>SUM(AM5:AV5)</f>
        <v>33233</v>
      </c>
      <c r="BH5" s="16">
        <f t="shared" ref="BH5:BH6" si="0">SUM(AW5:BF5)</f>
        <v>2098</v>
      </c>
      <c r="BI5" s="16">
        <f>SUM(AM5:BF5)</f>
        <v>35331</v>
      </c>
    </row>
    <row r="6" spans="1:74" x14ac:dyDescent="0.3">
      <c r="J6" s="29" t="s">
        <v>16</v>
      </c>
      <c r="K6" s="28" t="s">
        <v>17</v>
      </c>
      <c r="P6" s="236" t="s">
        <v>706</v>
      </c>
      <c r="Q6">
        <f>COUNTIFS(Portefeuille_MNT_PPS_Access_26_2834[État Composante AC],"&lt;&gt;PR",Portefeuille_MNT_PPS_Access_26_2834[Gérant projet],"&lt;&gt;DAA",Portefeuille_MNT_PPS_Access_26_2834[OPC-1],"&lt;&gt;X", Portefeuille_MNT_PPS_Access_26_2834[PC-1],"&gt;2025-10-15", Portefeuille_MNT_PPS_Access_26_2834[PC-1],"&lt;=2025-12-15")</f>
        <v>2</v>
      </c>
      <c r="R6">
        <f>COUNTIFS(Portefeuille_MNT_PPS_Access_26_2834[Année DÉBUT Travaux prévu],"=2027",Portefeuille_MNT_PPS_Access_26_2834[Gérant projet],"&lt;&gt;DAA",Portefeuille_MNT_PPS_Access_26_2834[OPC PC-3],"&lt;&gt;X",Portefeuille_MNT_PPS_Access_26_2834[PC-3],"&gt;2025-10-15",Portefeuille_MNT_PPS_Access_26_2834[PC-3],"&lt;=2025-12-15")</f>
        <v>1</v>
      </c>
      <c r="S6">
        <f>COUNTIFS(Portefeuille_MNT_PPS_Access_26_2834[Année DÉBUT Travaux prévu],"=2026",Portefeuille_MNT_PPS_Access_26_2834[Gérant projet],"&lt;&gt;DAA",Portefeuille_MNT_PPS_Access_26_2834[OPC PC-5],"&lt;&gt;X",Portefeuille_MNT_PPS_Access_26_2834[PC-5],"&gt;2025-10-15",Portefeuille_MNT_PPS_Access_26_2834[PC-5],"&lt;=2025-12-15")</f>
        <v>6</v>
      </c>
      <c r="T6">
        <f t="shared" ref="T6:T7" si="1">SUM(Q6:S6)</f>
        <v>9</v>
      </c>
      <c r="AC6" s="35" t="s">
        <v>18</v>
      </c>
      <c r="AD6" s="140">
        <v>1</v>
      </c>
      <c r="AF6" s="83" t="s">
        <v>19</v>
      </c>
      <c r="AG6" s="260">
        <f>SUMIFS(Portefeuille_MNT_PPS_Access_26_2834[TR ANT],Portefeuille_MNT_PPS_Access_26_2834[État Composante TR],"=PR")</f>
        <v>33179</v>
      </c>
      <c r="AH6" s="260"/>
      <c r="AI6" s="260">
        <f>SUMIFS(Portefeuille_MNT_PPS_Access_26_2834[TR 2024],Portefeuille_MNT_PPS_Access_26_2834[État Composante TR],"=PR")</f>
        <v>26509</v>
      </c>
      <c r="AJ6" s="260"/>
      <c r="AK6" s="260">
        <f>SUMIFS(Portefeuille_MNT_PPS_Access_26_2834[TR 2025],Portefeuille_MNT_PPS_Access_26_2834[État Composante TR],"=PR")</f>
        <v>18314</v>
      </c>
      <c r="AL6" s="260"/>
      <c r="AM6" s="260">
        <f>SUMIFS(Portefeuille_MNT_PPS_Access_26_2834[TR 2026],Portefeuille_MNT_PPS_Access_26_2834[État Composante TR],"=PR")</f>
        <v>53578</v>
      </c>
      <c r="AN6" s="260"/>
      <c r="AO6" s="260">
        <f>SUMIFS(Portefeuille_MNT_PPS_Access_26_2834[TR 2027],Portefeuille_MNT_PPS_Access_26_2834[État Composante TR],"=PR")</f>
        <v>7742</v>
      </c>
      <c r="AP6" s="260"/>
      <c r="AQ6" s="260">
        <f>SUMIFS(Portefeuille_MNT_PPS_Access_26_2834[TR 2028],Portefeuille_MNT_PPS_Access_26_2834[État Composante TR],"=PR")</f>
        <v>13095</v>
      </c>
      <c r="AR6" s="260"/>
      <c r="AS6" s="260">
        <f>SUMIFS(Portefeuille_MNT_PPS_Access_26_2834[TR 2029],Portefeuille_MNT_PPS_Access_26_2834[État Composante TR],"=PR")</f>
        <v>5141.0000000000009</v>
      </c>
      <c r="AT6" s="260"/>
      <c r="AU6" s="260">
        <f>SUMIFS(Portefeuille_MNT_PPS_Access_26_2834[TR 2030],Portefeuille_MNT_PPS_Access_26_2834[État Composante TR],"=PR")</f>
        <v>5153.0000000000018</v>
      </c>
      <c r="AV6" s="260"/>
      <c r="AW6" s="260">
        <f>SUMIFS(Portefeuille_MNT_PPS_Access_26_2834[TR 2031],Portefeuille_MNT_PPS_Access_26_2834[État Composante TR],"=PR")</f>
        <v>5046.9999999999991</v>
      </c>
      <c r="AX6" s="260"/>
      <c r="AY6" s="260">
        <f>SUMIFS(Portefeuille_MNT_PPS_Access_26_2834[TR 2032],Portefeuille_MNT_PPS_Access_26_2834[État Composante TR],"=PR")</f>
        <v>0</v>
      </c>
      <c r="AZ6" s="260"/>
      <c r="BA6" s="260">
        <f>SUMIFS(Portefeuille_MNT_PPS_Access_26_2834[TR 2033],Portefeuille_MNT_PPS_Access_26_2834[État Composante TR],"=PR")</f>
        <v>0</v>
      </c>
      <c r="BB6" s="260"/>
      <c r="BC6" s="260">
        <f>SUMIFS(Portefeuille_MNT_PPS_Access_26_2834[TR 2034],Portefeuille_MNT_PPS_Access_26_2834[État Composante TR],"=PR")</f>
        <v>0</v>
      </c>
      <c r="BD6" s="260"/>
      <c r="BE6" s="260">
        <f>SUMIFS(Portefeuille_MNT_PPS_Access_26_2834[TR 2035],Portefeuille_MNT_PPS_Access_26_2834[Région],"=PR")</f>
        <v>0</v>
      </c>
      <c r="BF6" s="260"/>
      <c r="BG6" s="16">
        <f>SUM(AM6:AV6)</f>
        <v>84709</v>
      </c>
      <c r="BH6" s="16">
        <f t="shared" si="0"/>
        <v>5046.9999999999991</v>
      </c>
      <c r="BI6" s="16">
        <f>SUM(AM6:BF6)</f>
        <v>89756</v>
      </c>
    </row>
    <row r="7" spans="1:74" x14ac:dyDescent="0.3">
      <c r="J7" s="30" t="s">
        <v>20</v>
      </c>
      <c r="K7" s="31" t="s">
        <v>21</v>
      </c>
      <c r="P7" s="236" t="s">
        <v>707</v>
      </c>
      <c r="Q7">
        <f>COUNTIFS(Portefeuille_MNT_PPS_Access_26_2834[État Composante AC],"&lt;&gt;PR",Portefeuille_MNT_PPS_Access_26_2834[Gérant projet],"&lt;&gt;DAA",Portefeuille_MNT_PPS_Access_26_2834[OPC-1],"&lt;&gt;X",Portefeuille_MNT_PPS_Access_26_2834[PC-1],"&gt;2025-12-15")</f>
        <v>5</v>
      </c>
      <c r="R7">
        <f>COUNTIFS(Portefeuille_MNT_PPS_Access_26_2834[Année DÉBUT Travaux prévu],"=2027",Portefeuille_MNT_PPS_Access_26_2834[Gérant projet],"&lt;&gt;DAA",Portefeuille_MNT_PPS_Access_26_2834[OPC PC-3],"&lt;&gt;X",Portefeuille_MNT_PPS_Access_26_2834[PC-3],"&gt;2025-12-15")</f>
        <v>4</v>
      </c>
      <c r="S7">
        <f>COUNTIFS(Portefeuille_MNT_PPS_Access_26_2834[Année DÉBUT Travaux prévu],"=2026",Portefeuille_MNT_PPS_Access_26_2834[Gérant projet],"&lt;&gt;DAA",Portefeuille_MNT_PPS_Access_26_2834[OPC PC-5],"&lt;&gt;X",Portefeuille_MNT_PPS_Access_26_2834[PC-5],"&gt;2025-12-15")</f>
        <v>5</v>
      </c>
      <c r="T7">
        <f t="shared" si="1"/>
        <v>14</v>
      </c>
      <c r="AC7" s="35" t="s">
        <v>22</v>
      </c>
      <c r="AD7" s="140">
        <v>0.25</v>
      </c>
      <c r="AF7" s="83" t="s">
        <v>23</v>
      </c>
      <c r="AG7" s="262">
        <f>AG5+AG6</f>
        <v>41264</v>
      </c>
      <c r="AH7" s="262"/>
      <c r="AI7" s="262">
        <f>AI5+AI6</f>
        <v>28487</v>
      </c>
      <c r="AJ7" s="262"/>
      <c r="AK7" s="262">
        <f>AK5+AK6</f>
        <v>26114</v>
      </c>
      <c r="AL7" s="262"/>
      <c r="AM7" s="262">
        <f>AM5+AM6</f>
        <v>64020</v>
      </c>
      <c r="AN7" s="262"/>
      <c r="AO7" s="262">
        <f>AO5+AO6</f>
        <v>17745</v>
      </c>
      <c r="AP7" s="262"/>
      <c r="AQ7" s="262">
        <f>AQ5+AQ6</f>
        <v>19925</v>
      </c>
      <c r="AR7" s="262"/>
      <c r="AS7" s="262">
        <f>AS5+AS6</f>
        <v>9264</v>
      </c>
      <c r="AT7" s="262"/>
      <c r="AU7" s="262">
        <f>AU5+AU6</f>
        <v>6988.0000000000018</v>
      </c>
      <c r="AV7" s="262"/>
      <c r="AW7" s="262">
        <f>AW5+AW6</f>
        <v>7144.9999999999991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0">
        <f>BG6+BG5</f>
        <v>117942</v>
      </c>
      <c r="BH7" s="20">
        <f>BH6+BH5</f>
        <v>7144.9999999999991</v>
      </c>
      <c r="BI7" s="20">
        <f>BI6+BI5</f>
        <v>125087</v>
      </c>
    </row>
    <row r="8" spans="1:74" ht="26.4" x14ac:dyDescent="0.3">
      <c r="J8" s="131"/>
      <c r="K8" s="28" t="s">
        <v>270</v>
      </c>
      <c r="P8" s="236" t="s">
        <v>709</v>
      </c>
      <c r="Q8" s="237">
        <f>(Q6+Q5)/Q4</f>
        <v>0.375</v>
      </c>
      <c r="R8" s="237">
        <f>(R6+R5)/R4</f>
        <v>0.42857142857142855</v>
      </c>
      <c r="S8" s="237">
        <f>(S6+S5)/S4</f>
        <v>0.61538461538461542</v>
      </c>
      <c r="T8" s="237">
        <f>(T6+T5)/T4</f>
        <v>0.5</v>
      </c>
      <c r="AC8" s="35" t="s">
        <v>24</v>
      </c>
      <c r="AD8" s="140">
        <v>0.25</v>
      </c>
      <c r="AF8" s="83" t="s">
        <v>25</v>
      </c>
      <c r="AG8" s="260">
        <f>SUMIFS(Portefeuille_MNT_PPS_Access_26_2834[AC ANT],Portefeuille_MNT_PPS_Access_26_2834[État Composante AC],"&lt;&gt;PR")</f>
        <v>0</v>
      </c>
      <c r="AH8" s="260"/>
      <c r="AI8" s="260">
        <f>SUMIFS(Portefeuille_MNT_PPS_Access_26_2834[AC 2024],Portefeuille_MNT_PPS_Access_26_2834[État Composante AC],"&lt;&gt;PR")</f>
        <v>0</v>
      </c>
      <c r="AJ8" s="260"/>
      <c r="AK8" s="260">
        <f>SUMIFS(Portefeuille_MNT_PPS_Access_26_2834[AC 2025],Portefeuille_MNT_PPS_Access_26_2834[État Composante AC],"&lt;&gt;PR")</f>
        <v>0</v>
      </c>
      <c r="AL8" s="260"/>
      <c r="AM8" s="260">
        <f>SUMIFS(Portefeuille_MNT_PPS_Access_26_2834[AC 2026],Portefeuille_MNT_PPS_Access_26_2834[État Composante AC],"&lt;&gt;PR")</f>
        <v>756</v>
      </c>
      <c r="AN8" s="260"/>
      <c r="AO8" s="260">
        <f>SUMIFS(Portefeuille_MNT_PPS_Access_26_2834[AC 2027],Portefeuille_MNT_PPS_Access_26_2834[État Composante AC],"&lt;&gt;PR")</f>
        <v>1101</v>
      </c>
      <c r="AP8" s="260"/>
      <c r="AQ8" s="260">
        <f>SUMIFS(Portefeuille_MNT_PPS_Access_26_2834[AC 2028],Portefeuille_MNT_PPS_Access_26_2834[État Composante AC],"&lt;&gt;PR")</f>
        <v>2695</v>
      </c>
      <c r="AR8" s="260"/>
      <c r="AS8" s="260">
        <f>SUMIFS(Portefeuille_MNT_PPS_Access_26_2834[AC 2029],Portefeuille_MNT_PPS_Access_26_2834[État Composante AC],"&lt;&gt;PR")</f>
        <v>1000</v>
      </c>
      <c r="AT8" s="260"/>
      <c r="AU8" s="260">
        <f>SUMIFS(Portefeuille_MNT_PPS_Access_26_2834[AC 2030],Portefeuille_MNT_PPS_Access_26_2834[État Composante AC],"&lt;&gt;PR")</f>
        <v>1100</v>
      </c>
      <c r="AV8" s="260"/>
      <c r="AW8" s="260">
        <f>SUMIFS(Portefeuille_MNT_PPS_Access_26_2834[AC 2031],Portefeuille_MNT_PPS_Access_26_2834[État Composante AC],"&lt;&gt;PR")</f>
        <v>1100</v>
      </c>
      <c r="AX8" s="260"/>
      <c r="AY8" s="260">
        <f>SUMIFS(Portefeuille_MNT_PPS_Access_26_2834[AC 2032],Portefeuille_MNT_PPS_Access_26_2834[État Composante AC],"&lt;&gt;PR")</f>
        <v>600</v>
      </c>
      <c r="AZ8" s="260"/>
      <c r="BA8" s="260">
        <f>SUMIFS(Portefeuille_MNT_PPS_Access_26_2834[AC 2033],Portefeuille_MNT_PPS_Access_26_2834[État Composante AC],"&lt;&gt;PR")</f>
        <v>0</v>
      </c>
      <c r="BB8" s="260"/>
      <c r="BC8" s="260">
        <f>SUMIFS(Portefeuille_MNT_PPS_Access_26_2834[AC 2034],Portefeuille_MNT_PPS_Access_26_2834[État Composante AC],"&lt;&gt;PR")</f>
        <v>0</v>
      </c>
      <c r="BD8" s="260"/>
      <c r="BE8" s="260">
        <f>SUMIFS(Portefeuille_MNT_PPS_Access_26_2834[AC 2035],Portefeuille_MNT_PPS_Access_26_2834[État Composante TR],"&lt;&gt;PR")</f>
        <v>0</v>
      </c>
      <c r="BF8" s="260"/>
      <c r="BG8" s="16">
        <f>SUM(AM8:AV8)</f>
        <v>6652</v>
      </c>
      <c r="BH8" s="16">
        <f>SUM(AW8:BF8)</f>
        <v>1700</v>
      </c>
      <c r="BI8" s="16">
        <f>SUM(AM8:BF8)</f>
        <v>8352</v>
      </c>
    </row>
    <row r="9" spans="1:74" x14ac:dyDescent="0.3">
      <c r="J9" s="176"/>
      <c r="K9" s="28" t="s">
        <v>271</v>
      </c>
      <c r="AC9" s="35" t="s">
        <v>26</v>
      </c>
      <c r="AD9" s="140">
        <v>0.25</v>
      </c>
      <c r="AF9" s="83" t="s">
        <v>27</v>
      </c>
      <c r="AG9" s="260">
        <f>SUMIFS(Portefeuille_MNT_PPS_Access_26_2834[TR ANT],Portefeuille_MNT_PPS_Access_26_2834[État Composante TR],"&lt;&gt;PR")</f>
        <v>8</v>
      </c>
      <c r="AH9" s="260"/>
      <c r="AI9" s="260">
        <f>SUMIFS(Portefeuille_MNT_PPS_Access_26_2834[TR 2024],Portefeuille_MNT_PPS_Access_26_2834[État Composante TR],"&lt;&gt;PR")</f>
        <v>0</v>
      </c>
      <c r="AJ9" s="260"/>
      <c r="AK9" s="260">
        <f>SUMIFS(Portefeuille_MNT_PPS_Access_26_2834[TR 2025],Portefeuille_MNT_PPS_Access_26_2834[État Composante TR],"&lt;&gt;PR")</f>
        <v>0</v>
      </c>
      <c r="AL9" s="260"/>
      <c r="AM9" s="260">
        <f>SUMIFS(Portefeuille_MNT_PPS_Access_26_2834[TR 2026],Portefeuille_MNT_PPS_Access_26_2834[État Composante TR],"&lt;&gt;PR")</f>
        <v>6224</v>
      </c>
      <c r="AN9" s="260"/>
      <c r="AO9" s="260">
        <f>SUMIFS(Portefeuille_MNT_PPS_Access_26_2834[TR 2027],Portefeuille_MNT_PPS_Access_26_2834[État Composante TR],"&lt;&gt;PR")</f>
        <v>56654</v>
      </c>
      <c r="AP9" s="260"/>
      <c r="AQ9" s="260">
        <f>SUMIFS(Portefeuille_MNT_PPS_Access_26_2834[TR 2028],Portefeuille_MNT_PPS_Access_26_2834[État Composante TR],"&lt;&gt;PR")</f>
        <v>67580</v>
      </c>
      <c r="AR9" s="260"/>
      <c r="AS9" s="260">
        <f>SUMIFS(Portefeuille_MNT_PPS_Access_26_2834[TR 2029],Portefeuille_MNT_PPS_Access_26_2834[État Composante TR],"&lt;&gt;PR")</f>
        <v>59794</v>
      </c>
      <c r="AT9" s="260"/>
      <c r="AU9" s="260">
        <f>SUMIFS(Portefeuille_MNT_PPS_Access_26_2834[TR 2030],Portefeuille_MNT_PPS_Access_26_2834[État Composante TR],"&lt;&gt;PR")</f>
        <v>42775</v>
      </c>
      <c r="AV9" s="260"/>
      <c r="AW9" s="260">
        <f>SUMIFS(Portefeuille_MNT_PPS_Access_26_2834[TR 2031],Portefeuille_MNT_PPS_Access_26_2834[État Composante TR],"&lt;&gt;PR")</f>
        <v>54181</v>
      </c>
      <c r="AX9" s="260"/>
      <c r="AY9" s="260">
        <f>SUMIFS(Portefeuille_MNT_PPS_Access_26_2834[TR 2032],Portefeuille_MNT_PPS_Access_26_2834[État Composante TR],"&lt;&gt;PR")</f>
        <v>6000</v>
      </c>
      <c r="AZ9" s="260"/>
      <c r="BA9" s="260">
        <f>SUMIFS(Portefeuille_MNT_PPS_Access_26_2834[TR 2033],Portefeuille_MNT_PPS_Access_26_2834[État Composante TR],"&lt;&gt;PR")</f>
        <v>0</v>
      </c>
      <c r="BB9" s="260"/>
      <c r="BC9" s="260">
        <f>SUMIFS(Portefeuille_MNT_PPS_Access_26_2834[TR 2034],Portefeuille_MNT_PPS_Access_26_2834[État Composante TR],"&lt;&gt;PR")</f>
        <v>0</v>
      </c>
      <c r="BD9" s="260"/>
      <c r="BE9" s="260">
        <f>SUMIFS(Portefeuille_MNT_PPS_Access_26_2834[TR 2035],Portefeuille_MNT_PPS_Access_26_2834[Région],"&lt;&gt;PR")</f>
        <v>0</v>
      </c>
      <c r="BF9" s="260"/>
      <c r="BG9" s="16">
        <f>SUM(AM9:AV9)</f>
        <v>233027</v>
      </c>
      <c r="BH9" s="16">
        <f>SUM(AW9:BF9)</f>
        <v>60181</v>
      </c>
      <c r="BI9" s="16">
        <f>SUM(AM9:BF9)</f>
        <v>293208</v>
      </c>
    </row>
    <row r="10" spans="1:74" x14ac:dyDescent="0.3">
      <c r="J10" s="175"/>
      <c r="K10" s="31" t="s">
        <v>521</v>
      </c>
      <c r="AC10" s="35" t="s">
        <v>28</v>
      </c>
      <c r="AD10" s="140">
        <v>0.25</v>
      </c>
      <c r="AF10" s="83" t="s">
        <v>29</v>
      </c>
      <c r="AG10" s="262">
        <f>AG8+AG9</f>
        <v>8</v>
      </c>
      <c r="AH10" s="262"/>
      <c r="AI10" s="262">
        <f>AI8+AI9</f>
        <v>0</v>
      </c>
      <c r="AJ10" s="262"/>
      <c r="AK10" s="262">
        <f>AK8+AK9</f>
        <v>0</v>
      </c>
      <c r="AL10" s="262"/>
      <c r="AM10" s="262">
        <f>AM8+AM9</f>
        <v>6980</v>
      </c>
      <c r="AN10" s="262"/>
      <c r="AO10" s="262">
        <f>AO8+AO9</f>
        <v>57755</v>
      </c>
      <c r="AP10" s="262"/>
      <c r="AQ10" s="262">
        <f>AQ8+AQ9</f>
        <v>70275</v>
      </c>
      <c r="AR10" s="262"/>
      <c r="AS10" s="262">
        <f>AS8+AS9</f>
        <v>60794</v>
      </c>
      <c r="AT10" s="262"/>
      <c r="AU10" s="262">
        <f>AU8+AU9</f>
        <v>43875</v>
      </c>
      <c r="AV10" s="262"/>
      <c r="AW10" s="262">
        <f>AW8+AW9</f>
        <v>55281</v>
      </c>
      <c r="AX10" s="262"/>
      <c r="AY10" s="262">
        <f>AY8+AY9</f>
        <v>6600</v>
      </c>
      <c r="AZ10" s="262"/>
      <c r="BA10" s="262">
        <f>BA8+BA9</f>
        <v>0</v>
      </c>
      <c r="BB10" s="262"/>
      <c r="BC10" s="262">
        <f>BC8+BC9</f>
        <v>0</v>
      </c>
      <c r="BD10" s="262"/>
      <c r="BE10" s="262">
        <f>BE8+BE9</f>
        <v>0</v>
      </c>
      <c r="BF10" s="262"/>
      <c r="BG10" s="20">
        <f>BG9+BG8</f>
        <v>239679</v>
      </c>
      <c r="BH10" s="20">
        <f>BH9+BH8</f>
        <v>61881</v>
      </c>
      <c r="BI10" s="20">
        <f>BI9+BI8</f>
        <v>301560</v>
      </c>
    </row>
    <row r="11" spans="1:74" ht="15.6" x14ac:dyDescent="0.3">
      <c r="AC11" s="24" t="s">
        <v>30</v>
      </c>
      <c r="AD11" s="212">
        <f>SUM(AD7:AD10)</f>
        <v>1</v>
      </c>
      <c r="AE11" s="343" t="s">
        <v>31</v>
      </c>
      <c r="AF11" s="344"/>
      <c r="AG11" s="261">
        <f>AG10+AG7</f>
        <v>41272</v>
      </c>
      <c r="AH11" s="259"/>
      <c r="AI11" s="258">
        <f>AI10+AI7</f>
        <v>28487</v>
      </c>
      <c r="AJ11" s="259"/>
      <c r="AK11" s="258">
        <f>AK10+AK7</f>
        <v>26114</v>
      </c>
      <c r="AL11" s="259"/>
      <c r="AM11" s="258">
        <f>AM10+AM7</f>
        <v>71000</v>
      </c>
      <c r="AN11" s="259"/>
      <c r="AO11" s="258">
        <f>AO10+AO7</f>
        <v>75500</v>
      </c>
      <c r="AP11" s="259"/>
      <c r="AQ11" s="258">
        <f>AQ10+AQ7</f>
        <v>90200</v>
      </c>
      <c r="AR11" s="259"/>
      <c r="AS11" s="258">
        <f>AS10+AS7</f>
        <v>70058</v>
      </c>
      <c r="AT11" s="259"/>
      <c r="AU11" s="258">
        <f>AU10+AU7</f>
        <v>50863</v>
      </c>
      <c r="AV11" s="259"/>
      <c r="AW11" s="258">
        <f>AW10+AW7</f>
        <v>62426</v>
      </c>
      <c r="AX11" s="259"/>
      <c r="AY11" s="258">
        <f>AY10+AY7</f>
        <v>6600</v>
      </c>
      <c r="AZ11" s="259"/>
      <c r="BA11" s="258">
        <f>BA10+BA7</f>
        <v>0</v>
      </c>
      <c r="BB11" s="259"/>
      <c r="BC11" s="258">
        <f>BC10+BC7</f>
        <v>0</v>
      </c>
      <c r="BD11" s="259"/>
      <c r="BE11" s="258">
        <f>BE10+BE7</f>
        <v>0</v>
      </c>
      <c r="BF11" s="259"/>
      <c r="BG11" s="21">
        <f>BG7+BG10</f>
        <v>357621</v>
      </c>
      <c r="BH11" s="21">
        <f>BH7+BH10</f>
        <v>69026</v>
      </c>
      <c r="BI11" s="21">
        <f>BI7+BI10</f>
        <v>426647</v>
      </c>
    </row>
    <row r="12" spans="1:74" x14ac:dyDescent="0.3">
      <c r="AE12" s="209"/>
      <c r="AF12" s="83" t="s">
        <v>700</v>
      </c>
      <c r="AG12" s="260"/>
      <c r="AH12" s="260"/>
      <c r="AI12" s="260"/>
      <c r="AJ12" s="28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33">
        <f>SUM(AM12:AV12)</f>
        <v>0</v>
      </c>
      <c r="BH12" s="233">
        <f>SUM(AW12:BF12)</f>
        <v>0</v>
      </c>
      <c r="BI12" s="233">
        <f>SUM(AM12:BF12)</f>
        <v>0</v>
      </c>
    </row>
    <row r="13" spans="1:74" ht="15.6" x14ac:dyDescent="0.3">
      <c r="Q13" s="1"/>
      <c r="AE13" s="345" t="s">
        <v>592</v>
      </c>
      <c r="AF13" s="346"/>
      <c r="AG13" s="258">
        <f>AG12+AG11</f>
        <v>41272</v>
      </c>
      <c r="AH13" s="259"/>
      <c r="AI13" s="258">
        <f>AI12+AI11</f>
        <v>28487</v>
      </c>
      <c r="AJ13" s="259"/>
      <c r="AK13" s="258">
        <f>AK12+AK11</f>
        <v>26114</v>
      </c>
      <c r="AL13" s="259"/>
      <c r="AM13" s="258">
        <f>AM12+AM11</f>
        <v>71000</v>
      </c>
      <c r="AN13" s="259"/>
      <c r="AO13" s="258">
        <f>AO12+AO11</f>
        <v>75500</v>
      </c>
      <c r="AP13" s="259"/>
      <c r="AQ13" s="258">
        <f>AQ12+AQ11</f>
        <v>90200</v>
      </c>
      <c r="AR13" s="259"/>
      <c r="AS13" s="258">
        <f>AS12+AS11</f>
        <v>70058</v>
      </c>
      <c r="AT13" s="259"/>
      <c r="AU13" s="258">
        <f>AU12+AU11</f>
        <v>50863</v>
      </c>
      <c r="AV13" s="259"/>
      <c r="AW13" s="258">
        <f>AW12+AW11</f>
        <v>62426</v>
      </c>
      <c r="AX13" s="259"/>
      <c r="AY13" s="258">
        <f>AY12+AY11</f>
        <v>6600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58">
        <f>BE12+BE11</f>
        <v>0</v>
      </c>
      <c r="BF13" s="259"/>
      <c r="BG13" s="21">
        <f>BG12+BG11</f>
        <v>357621</v>
      </c>
      <c r="BH13" s="21">
        <f>BH12+BH11</f>
        <v>69026</v>
      </c>
      <c r="BI13" s="21">
        <f>BI12+BI11</f>
        <v>426647</v>
      </c>
    </row>
    <row r="14" spans="1:74" ht="15.6" x14ac:dyDescent="0.3">
      <c r="AE14" s="210"/>
      <c r="AF14" s="144" t="s">
        <v>692</v>
      </c>
      <c r="AG14" s="256"/>
      <c r="AH14" s="257"/>
      <c r="AI14" s="256"/>
      <c r="AJ14" s="257"/>
      <c r="AK14" s="256"/>
      <c r="AL14" s="257"/>
      <c r="AM14" s="256">
        <v>75500</v>
      </c>
      <c r="AN14" s="257"/>
      <c r="AO14" s="256">
        <v>80500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100500</v>
      </c>
      <c r="AX14" s="257"/>
      <c r="AY14" s="256">
        <v>100500</v>
      </c>
      <c r="AZ14" s="257"/>
      <c r="BA14" s="256">
        <v>100500</v>
      </c>
      <c r="BB14" s="257"/>
      <c r="BC14" s="256">
        <v>100500</v>
      </c>
      <c r="BD14" s="257"/>
      <c r="BE14" s="256">
        <v>100500</v>
      </c>
      <c r="BF14" s="257"/>
      <c r="BG14" s="17">
        <f>SUM(AM14:AV14)</f>
        <v>397500</v>
      </c>
      <c r="BH14" s="17">
        <f>SUM(AW14:BF14)</f>
        <v>502500</v>
      </c>
      <c r="BI14" s="17">
        <f>SUM(AM14:BF14)</f>
        <v>900000</v>
      </c>
    </row>
    <row r="15" spans="1:74" ht="15.6" x14ac:dyDescent="0.3">
      <c r="AE15" s="210"/>
      <c r="AF15" s="84" t="s">
        <v>690</v>
      </c>
      <c r="AG15" s="252"/>
      <c r="AH15" s="348"/>
      <c r="AI15" s="252"/>
      <c r="AJ15" s="253"/>
      <c r="AK15" s="252"/>
      <c r="AL15" s="253"/>
      <c r="AM15" s="252">
        <f>AM14-AM13</f>
        <v>4500</v>
      </c>
      <c r="AN15" s="253"/>
      <c r="AO15" s="252">
        <f t="shared" ref="AO15" si="2">AO14-AO13</f>
        <v>5000</v>
      </c>
      <c r="AP15" s="253"/>
      <c r="AQ15" s="252">
        <f t="shared" ref="AQ15" si="3">AQ14-AQ13</f>
        <v>-9700</v>
      </c>
      <c r="AR15" s="253"/>
      <c r="AS15" s="252">
        <f t="shared" ref="AS15" si="4">AS14-AS13</f>
        <v>10442</v>
      </c>
      <c r="AT15" s="253"/>
      <c r="AU15" s="252">
        <f t="shared" ref="AU15" si="5">AU14-AU13</f>
        <v>29637</v>
      </c>
      <c r="AV15" s="253"/>
      <c r="AW15" s="252">
        <f t="shared" ref="AW15" si="6">AW14-AW13</f>
        <v>38074</v>
      </c>
      <c r="AX15" s="253"/>
      <c r="AY15" s="252">
        <f t="shared" ref="AY15" si="7">AY14-AY13</f>
        <v>93900</v>
      </c>
      <c r="AZ15" s="253"/>
      <c r="BA15" s="252">
        <f>BA14-BA13</f>
        <v>100500</v>
      </c>
      <c r="BB15" s="253"/>
      <c r="BC15" s="252">
        <f>BC14-BC13</f>
        <v>100500</v>
      </c>
      <c r="BD15" s="253"/>
      <c r="BE15" s="252">
        <f>BE14-BE13</f>
        <v>100500</v>
      </c>
      <c r="BF15" s="253"/>
      <c r="BG15" s="23">
        <f>BG14-BG13</f>
        <v>39879</v>
      </c>
      <c r="BH15" s="23">
        <f>BH14-BH13</f>
        <v>433474</v>
      </c>
      <c r="BI15" s="23">
        <f>BI14-BI13</f>
        <v>473353</v>
      </c>
    </row>
    <row r="16" spans="1:74" ht="15.6" x14ac:dyDescent="0.3">
      <c r="AE16" s="211"/>
      <c r="AF16" s="145" t="s">
        <v>691</v>
      </c>
      <c r="AG16" s="254"/>
      <c r="AH16" s="255"/>
      <c r="AI16" s="254"/>
      <c r="AJ16" s="255"/>
      <c r="AK16" s="254"/>
      <c r="AL16" s="255"/>
      <c r="AM16" s="254">
        <f>(AM14-AM13)/AM14</f>
        <v>5.9602649006622516E-2</v>
      </c>
      <c r="AN16" s="255"/>
      <c r="AO16" s="254">
        <f t="shared" ref="AO16" si="8">(AO14-AO13)/AO14</f>
        <v>6.2111801242236024E-2</v>
      </c>
      <c r="AP16" s="255"/>
      <c r="AQ16" s="254">
        <f t="shared" ref="AQ16" si="9">(AQ14-AQ13)/AQ14</f>
        <v>-0.12049689440993788</v>
      </c>
      <c r="AR16" s="255"/>
      <c r="AS16" s="254">
        <f t="shared" ref="AS16" si="10">(AS14-AS13)/AS14</f>
        <v>0.12971428571428573</v>
      </c>
      <c r="AT16" s="255"/>
      <c r="AU16" s="254">
        <f t="shared" ref="AU16" si="11">(AU14-AU13)/AU14</f>
        <v>0.36816149068322979</v>
      </c>
      <c r="AV16" s="255"/>
      <c r="AW16" s="254">
        <f t="shared" ref="AW16" si="12">(AW14-AW13)/AW14</f>
        <v>0.37884577114427859</v>
      </c>
      <c r="AX16" s="255"/>
      <c r="AY16" s="254">
        <f t="shared" ref="AY16" si="13">(AY14-AY13)/AY14</f>
        <v>0.93432835820895521</v>
      </c>
      <c r="AZ16" s="255"/>
      <c r="BA16" s="254">
        <f>(BA14-BA13)/BA14</f>
        <v>1</v>
      </c>
      <c r="BB16" s="255"/>
      <c r="BC16" s="254">
        <f>(BC14-BC13)/BC14</f>
        <v>1</v>
      </c>
      <c r="BD16" s="255"/>
      <c r="BE16" s="254">
        <f>(BE14-BE13)/BE14</f>
        <v>1</v>
      </c>
      <c r="BF16" s="255"/>
      <c r="BG16" s="22">
        <f>(BG14-BG13)/BG14</f>
        <v>0.10032452830188679</v>
      </c>
      <c r="BH16" s="22">
        <f>(BH14-BH13)/BH14</f>
        <v>0.86263482587064677</v>
      </c>
      <c r="BI16" s="22">
        <f>(BI14-BI13)/BI14</f>
        <v>0.52594777777777779</v>
      </c>
    </row>
    <row r="17" spans="1:60" ht="13.95" customHeight="1" thickBot="1" x14ac:dyDescent="0.35">
      <c r="AI17" s="8"/>
      <c r="AJ17"/>
      <c r="AT17"/>
    </row>
    <row r="18" spans="1:60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50</v>
      </c>
      <c r="Q18" s="11" t="s">
        <v>51</v>
      </c>
      <c r="R18" s="11" t="s">
        <v>52</v>
      </c>
      <c r="S18" s="11" t="s">
        <v>548</v>
      </c>
      <c r="T18" s="11" t="s">
        <v>538</v>
      </c>
      <c r="U18" s="11" t="s">
        <v>537</v>
      </c>
      <c r="V18" s="11" t="s">
        <v>535</v>
      </c>
      <c r="W18" s="11" t="s">
        <v>534</v>
      </c>
      <c r="X18" s="11" t="s">
        <v>536</v>
      </c>
      <c r="Y18" s="11" t="s">
        <v>657</v>
      </c>
      <c r="Z18" s="11" t="s">
        <v>658</v>
      </c>
      <c r="AA18" s="11" t="s">
        <v>659</v>
      </c>
      <c r="AB18" s="11" t="s">
        <v>69</v>
      </c>
      <c r="AC18" s="11" t="s">
        <v>660</v>
      </c>
      <c r="AD18" s="9" t="s">
        <v>73</v>
      </c>
      <c r="AE18" s="9" t="s">
        <v>74</v>
      </c>
      <c r="AF18" s="10" t="s">
        <v>75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593</v>
      </c>
      <c r="BF18" s="9" t="s">
        <v>594</v>
      </c>
      <c r="BG18" s="9" t="s">
        <v>100</v>
      </c>
      <c r="BH18" s="231"/>
    </row>
    <row r="19" spans="1:60" x14ac:dyDescent="0.3">
      <c r="A19" t="s">
        <v>286</v>
      </c>
      <c r="B19" t="s">
        <v>662</v>
      </c>
      <c r="C19">
        <v>5</v>
      </c>
      <c r="D19" t="s">
        <v>118</v>
      </c>
      <c r="E19" t="s">
        <v>102</v>
      </c>
      <c r="F19" t="s">
        <v>136</v>
      </c>
      <c r="G19" t="s">
        <v>104</v>
      </c>
      <c r="H19" t="s">
        <v>16</v>
      </c>
      <c r="I19" t="s">
        <v>20</v>
      </c>
      <c r="J19" t="s">
        <v>131</v>
      </c>
      <c r="K19">
        <v>154230792</v>
      </c>
      <c r="L19" t="s">
        <v>158</v>
      </c>
      <c r="M19" t="s">
        <v>159</v>
      </c>
      <c r="N19" t="s">
        <v>109</v>
      </c>
      <c r="O19" t="s">
        <v>155</v>
      </c>
      <c r="P19" s="1">
        <v>45991</v>
      </c>
      <c r="Q19" s="1"/>
      <c r="R19" s="1">
        <v>46249</v>
      </c>
      <c r="S1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1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1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1.Très à risque</v>
      </c>
      <c r="V1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-1510</v>
      </c>
      <c r="W1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1519</v>
      </c>
      <c r="X19">
        <f>Portefeuille_MNT_PPS_Access_26_2834[[#This Row],[Délais PC1 et PC3]]+Portefeuille_MNT_PPS_Access_26_2834[[#This Row],[Délais PC3 et PC5]]</f>
        <v>9</v>
      </c>
      <c r="Y19">
        <v>1</v>
      </c>
      <c r="Z19">
        <v>1</v>
      </c>
      <c r="AA19">
        <v>1</v>
      </c>
      <c r="AB19" t="s">
        <v>156</v>
      </c>
      <c r="AC19">
        <v>4.333333333333333</v>
      </c>
      <c r="AD19" s="2">
        <f>_xlfn.XLOOKUP(Portefeuille_MNT_PPS_Access_26_2834[[#This Row],[Numéro projet]],Portefeuille_MNT_PPS_Access27[Numéro projet],Portefeuille_MNT_PPS_Access27[Critère Etat Infrastructure])</f>
        <v>3</v>
      </c>
      <c r="AE1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46.666666666666664</v>
      </c>
      <c r="AF19" s="221"/>
      <c r="AJ19"/>
      <c r="AK19">
        <v>75</v>
      </c>
      <c r="AM19">
        <v>75</v>
      </c>
      <c r="AN19">
        <v>600</v>
      </c>
      <c r="AO19">
        <v>150</v>
      </c>
      <c r="AP19">
        <v>50</v>
      </c>
      <c r="AT19"/>
      <c r="BG19" s="14">
        <f>SUM(Portefeuille_MNT_PPS_Access_26_2834[[#This Row],[AC ANT]:[TR 2035]])</f>
        <v>950</v>
      </c>
      <c r="BH19" s="14"/>
    </row>
    <row r="20" spans="1:60" hidden="1" x14ac:dyDescent="0.3">
      <c r="A20" t="s">
        <v>286</v>
      </c>
      <c r="B20" t="s">
        <v>295</v>
      </c>
      <c r="D20" t="s">
        <v>126</v>
      </c>
      <c r="E20" t="s">
        <v>127</v>
      </c>
      <c r="F20" t="s">
        <v>128</v>
      </c>
      <c r="G20" t="s">
        <v>252</v>
      </c>
      <c r="H20" t="s">
        <v>16</v>
      </c>
      <c r="I20" t="s">
        <v>16</v>
      </c>
      <c r="J20" t="s">
        <v>131</v>
      </c>
      <c r="K20">
        <v>154240500</v>
      </c>
      <c r="L20" t="s">
        <v>260</v>
      </c>
      <c r="M20" t="s">
        <v>159</v>
      </c>
      <c r="N20" t="s">
        <v>109</v>
      </c>
      <c r="O20" t="s">
        <v>291</v>
      </c>
      <c r="P20" s="1"/>
      <c r="Q20" s="1"/>
      <c r="R20" s="1"/>
      <c r="S20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20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0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20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20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20">
        <f>Portefeuille_MNT_PPS_Access_26_2834[[#This Row],[Délais PC1 et PC3]]+Portefeuille_MNT_PPS_Access_26_2834[[#This Row],[Délais PC3 et PC5]]</f>
        <v>0</v>
      </c>
      <c r="Y20">
        <v>1</v>
      </c>
      <c r="Z20">
        <v>5</v>
      </c>
      <c r="AA20">
        <v>3</v>
      </c>
      <c r="AB20" t="s">
        <v>311</v>
      </c>
      <c r="AC20">
        <v>4.333333333333333</v>
      </c>
      <c r="AD20" s="2">
        <f>_xlfn.XLOOKUP(Portefeuille_MNT_PPS_Access_26_2834[[#This Row],[Numéro projet]],Portefeuille_MNT_PPS_Access27[Numéro projet],Portefeuille_MNT_PPS_Access27[Critère Etat Infrastructure])</f>
        <v>4</v>
      </c>
      <c r="AE20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81.666666666666671</v>
      </c>
      <c r="AF20" s="221"/>
      <c r="AJ20"/>
      <c r="AM20">
        <v>15</v>
      </c>
      <c r="AN20">
        <v>85</v>
      </c>
      <c r="AT20"/>
      <c r="BG20" s="14">
        <f>SUM(Portefeuille_MNT_PPS_Access_26_2834[[#This Row],[AC ANT]:[TR 2035]])</f>
        <v>100</v>
      </c>
      <c r="BH20" s="14"/>
    </row>
    <row r="21" spans="1:60" hidden="1" x14ac:dyDescent="0.3">
      <c r="A21" t="s">
        <v>286</v>
      </c>
      <c r="B21" t="s">
        <v>295</v>
      </c>
      <c r="D21" t="s">
        <v>126</v>
      </c>
      <c r="E21" t="s">
        <v>127</v>
      </c>
      <c r="F21" t="s">
        <v>128</v>
      </c>
      <c r="G21" t="s">
        <v>252</v>
      </c>
      <c r="H21" t="s">
        <v>16</v>
      </c>
      <c r="I21" t="s">
        <v>16</v>
      </c>
      <c r="J21" t="s">
        <v>131</v>
      </c>
      <c r="K21">
        <v>154240039</v>
      </c>
      <c r="L21" t="s">
        <v>254</v>
      </c>
      <c r="M21" t="s">
        <v>147</v>
      </c>
      <c r="N21" s="2" t="s">
        <v>109</v>
      </c>
      <c r="O21" t="s">
        <v>291</v>
      </c>
      <c r="P21" s="1"/>
      <c r="Q21" s="1"/>
      <c r="R21" s="1"/>
      <c r="S21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21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1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21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21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21">
        <f>Portefeuille_MNT_PPS_Access_26_2834[[#This Row],[Délais PC1 et PC3]]+Portefeuille_MNT_PPS_Access_26_2834[[#This Row],[Délais PC3 et PC5]]</f>
        <v>0</v>
      </c>
      <c r="Y21">
        <v>1</v>
      </c>
      <c r="Z21">
        <v>1</v>
      </c>
      <c r="AA21">
        <v>3</v>
      </c>
      <c r="AB21" t="s">
        <v>311</v>
      </c>
      <c r="AC21">
        <v>2.6666666666666665</v>
      </c>
      <c r="AD21" s="2">
        <f>_xlfn.XLOOKUP(Portefeuille_MNT_PPS_Access_26_2834[[#This Row],[Numéro projet]],Portefeuille_MNT_PPS_Access27[Numéro projet],Portefeuille_MNT_PPS_Access27[Critère Etat Infrastructure])</f>
        <v>4</v>
      </c>
      <c r="AE21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53.333333333333336</v>
      </c>
      <c r="AF21" s="221"/>
      <c r="AJ21"/>
      <c r="AM21">
        <v>10</v>
      </c>
      <c r="AN21">
        <v>39</v>
      </c>
      <c r="AT21"/>
      <c r="BG21" s="14">
        <f>SUM(Portefeuille_MNT_PPS_Access_26_2834[[#This Row],[AC ANT]:[TR 2035]])</f>
        <v>49</v>
      </c>
      <c r="BH21" s="14"/>
    </row>
    <row r="22" spans="1:60" hidden="1" x14ac:dyDescent="0.3">
      <c r="A22" t="s">
        <v>286</v>
      </c>
      <c r="B22" t="s">
        <v>663</v>
      </c>
      <c r="D22" t="s">
        <v>101</v>
      </c>
      <c r="E22" t="s">
        <v>102</v>
      </c>
      <c r="F22" t="s">
        <v>136</v>
      </c>
      <c r="G22" t="s">
        <v>113</v>
      </c>
      <c r="H22" t="s">
        <v>16</v>
      </c>
      <c r="I22" t="s">
        <v>16</v>
      </c>
      <c r="J22" t="s">
        <v>131</v>
      </c>
      <c r="K22">
        <v>154081840</v>
      </c>
      <c r="L22" t="s">
        <v>138</v>
      </c>
      <c r="M22" t="s">
        <v>139</v>
      </c>
      <c r="N22" t="s">
        <v>109</v>
      </c>
      <c r="O22" t="s">
        <v>123</v>
      </c>
      <c r="P22" s="1">
        <v>45062</v>
      </c>
      <c r="Q22" s="1">
        <v>45754</v>
      </c>
      <c r="R22" s="1">
        <v>45976</v>
      </c>
      <c r="S22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22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1.Très à risque</v>
      </c>
      <c r="U22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22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23</v>
      </c>
      <c r="W22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7</v>
      </c>
      <c r="X22">
        <f>Portefeuille_MNT_PPS_Access_26_2834[[#This Row],[Délais PC1 et PC3]]+Portefeuille_MNT_PPS_Access_26_2834[[#This Row],[Délais PC3 et PC5]]</f>
        <v>30</v>
      </c>
      <c r="Y22">
        <v>1</v>
      </c>
      <c r="Z22">
        <v>5</v>
      </c>
      <c r="AA22">
        <v>5</v>
      </c>
      <c r="AB22" t="s">
        <v>125</v>
      </c>
      <c r="AC22">
        <v>2</v>
      </c>
      <c r="AD22" s="2">
        <f>_xlfn.XLOOKUP(Portefeuille_MNT_PPS_Access_26_2834[[#This Row],[Numéro projet]],Portefeuille_MNT_PPS_Access27[Numéro projet],Portefeuille_MNT_PPS_Access27[Critère Etat Infrastructure])</f>
        <v>4</v>
      </c>
      <c r="AE22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80</v>
      </c>
      <c r="AF22" s="221"/>
      <c r="AG22">
        <v>337</v>
      </c>
      <c r="AH22">
        <v>41</v>
      </c>
      <c r="AI22">
        <v>327</v>
      </c>
      <c r="AJ22"/>
      <c r="AK22">
        <v>363</v>
      </c>
      <c r="AM22">
        <v>907</v>
      </c>
      <c r="AN22">
        <v>5500</v>
      </c>
      <c r="AO22">
        <v>99</v>
      </c>
      <c r="AP22">
        <v>370</v>
      </c>
      <c r="AT22"/>
      <c r="BG22" s="14">
        <f>SUM(Portefeuille_MNT_PPS_Access_26_2834[[#This Row],[AC ANT]:[TR 2035]])</f>
        <v>7944</v>
      </c>
      <c r="BH22" s="14"/>
    </row>
    <row r="23" spans="1:60" hidden="1" x14ac:dyDescent="0.3">
      <c r="A23" t="s">
        <v>286</v>
      </c>
      <c r="C23">
        <v>2</v>
      </c>
      <c r="D23" t="s">
        <v>126</v>
      </c>
      <c r="E23" t="s">
        <v>127</v>
      </c>
      <c r="F23" t="s">
        <v>200</v>
      </c>
      <c r="G23" t="s">
        <v>252</v>
      </c>
      <c r="H23" t="s">
        <v>20</v>
      </c>
      <c r="I23" t="s">
        <v>20</v>
      </c>
      <c r="J23" t="s">
        <v>131</v>
      </c>
      <c r="K23">
        <v>154250379</v>
      </c>
      <c r="L23" t="s">
        <v>652</v>
      </c>
      <c r="M23" t="s">
        <v>139</v>
      </c>
      <c r="N23" t="s">
        <v>109</v>
      </c>
      <c r="O23" t="s">
        <v>291</v>
      </c>
      <c r="P23" s="1"/>
      <c r="Q23" s="1"/>
      <c r="R23" s="1"/>
      <c r="S23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23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3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23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23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23">
        <f>Portefeuille_MNT_PPS_Access_26_2834[[#This Row],[Délais PC1 et PC3]]+Portefeuille_MNT_PPS_Access_26_2834[[#This Row],[Délais PC3 et PC5]]</f>
        <v>0</v>
      </c>
      <c r="Y23">
        <v>1</v>
      </c>
      <c r="Z23">
        <v>1</v>
      </c>
      <c r="AA23">
        <v>3</v>
      </c>
      <c r="AB23" t="s">
        <v>311</v>
      </c>
      <c r="AC23">
        <v>2</v>
      </c>
      <c r="AD23" s="2">
        <f>_xlfn.XLOOKUP(Portefeuille_MNT_PPS_Access_26_2834[[#This Row],[Numéro projet]],Portefeuille_MNT_PPS_Access27[Numéro projet],Portefeuille_MNT_PPS_Access27[Critère Etat Infrastructure])</f>
        <v>2</v>
      </c>
      <c r="AE23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40</v>
      </c>
      <c r="AF23" s="221"/>
      <c r="AJ23"/>
      <c r="AN23">
        <v>15</v>
      </c>
      <c r="AT23"/>
      <c r="BG23" s="14">
        <f>SUM(Portefeuille_MNT_PPS_Access_26_2834[[#This Row],[AC ANT]:[TR 2035]])</f>
        <v>15</v>
      </c>
      <c r="BH23" s="14"/>
    </row>
    <row r="24" spans="1:60" hidden="1" x14ac:dyDescent="0.3">
      <c r="A24" t="s">
        <v>286</v>
      </c>
      <c r="B24" t="s">
        <v>662</v>
      </c>
      <c r="C24">
        <v>7</v>
      </c>
      <c r="D24" t="s">
        <v>118</v>
      </c>
      <c r="E24" t="s">
        <v>102</v>
      </c>
      <c r="F24" t="s">
        <v>136</v>
      </c>
      <c r="G24" t="s">
        <v>113</v>
      </c>
      <c r="H24" t="s">
        <v>20</v>
      </c>
      <c r="I24" t="s">
        <v>20</v>
      </c>
      <c r="J24" t="s">
        <v>131</v>
      </c>
      <c r="K24">
        <v>154250021</v>
      </c>
      <c r="L24" t="s">
        <v>544</v>
      </c>
      <c r="M24" t="s">
        <v>187</v>
      </c>
      <c r="N24" t="s">
        <v>109</v>
      </c>
      <c r="O24" t="s">
        <v>123</v>
      </c>
      <c r="P24" s="1">
        <v>45762</v>
      </c>
      <c r="Q24" s="1"/>
      <c r="R24" s="1">
        <v>46096</v>
      </c>
      <c r="S24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24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4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3.À risque</v>
      </c>
      <c r="V24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-1503</v>
      </c>
      <c r="W24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1514</v>
      </c>
      <c r="X24">
        <f>Portefeuille_MNT_PPS_Access_26_2834[[#This Row],[Délais PC1 et PC3]]+Portefeuille_MNT_PPS_Access_26_2834[[#This Row],[Délais PC3 et PC5]]</f>
        <v>11</v>
      </c>
      <c r="Y24">
        <v>1</v>
      </c>
      <c r="Z24">
        <v>1</v>
      </c>
      <c r="AA24">
        <v>3</v>
      </c>
      <c r="AB24" t="s">
        <v>125</v>
      </c>
      <c r="AC24">
        <v>3</v>
      </c>
      <c r="AD24" s="2">
        <f>_xlfn.XLOOKUP(Portefeuille_MNT_PPS_Access_26_2834[[#This Row],[Numéro projet]],Portefeuille_MNT_PPS_Access27[Numéro projet],Portefeuille_MNT_PPS_Access27[Critère Etat Infrastructure])</f>
        <v>3</v>
      </c>
      <c r="AE24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49.999999999999993</v>
      </c>
      <c r="AF24" s="221"/>
      <c r="AJ24"/>
      <c r="AM24">
        <v>1</v>
      </c>
      <c r="AN24">
        <v>82</v>
      </c>
      <c r="AO24">
        <v>1</v>
      </c>
      <c r="AP24">
        <v>82</v>
      </c>
      <c r="AT24"/>
      <c r="BG24" s="14">
        <f>SUM(Portefeuille_MNT_PPS_Access_26_2834[[#This Row],[AC ANT]:[TR 2035]])</f>
        <v>166</v>
      </c>
      <c r="BH24" s="14"/>
    </row>
    <row r="25" spans="1:60" hidden="1" x14ac:dyDescent="0.3">
      <c r="A25" t="s">
        <v>286</v>
      </c>
      <c r="B25" t="s">
        <v>662</v>
      </c>
      <c r="D25" t="s">
        <v>118</v>
      </c>
      <c r="E25" t="s">
        <v>102</v>
      </c>
      <c r="F25" t="s">
        <v>136</v>
      </c>
      <c r="G25" t="s">
        <v>252</v>
      </c>
      <c r="H25" t="s">
        <v>16</v>
      </c>
      <c r="I25" t="s">
        <v>16</v>
      </c>
      <c r="J25" t="s">
        <v>131</v>
      </c>
      <c r="K25" s="8">
        <v>154240497</v>
      </c>
      <c r="L25" t="s">
        <v>529</v>
      </c>
      <c r="M25" t="s">
        <v>209</v>
      </c>
      <c r="N25" t="s">
        <v>109</v>
      </c>
      <c r="O25" t="s">
        <v>291</v>
      </c>
      <c r="P25" s="1"/>
      <c r="Q25" s="1"/>
      <c r="R25" s="1">
        <v>46006</v>
      </c>
      <c r="S25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25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5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25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25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1511</v>
      </c>
      <c r="X25">
        <f>Portefeuille_MNT_PPS_Access_26_2834[[#This Row],[Délais PC1 et PC3]]+Portefeuille_MNT_PPS_Access_26_2834[[#This Row],[Délais PC3 et PC5]]</f>
        <v>1511</v>
      </c>
      <c r="Y25">
        <v>1</v>
      </c>
      <c r="Z25">
        <v>1</v>
      </c>
      <c r="AA25">
        <v>5</v>
      </c>
      <c r="AB25" t="s">
        <v>311</v>
      </c>
      <c r="AC25">
        <v>3.3333333333333335</v>
      </c>
      <c r="AD25" s="2">
        <f>_xlfn.XLOOKUP(Portefeuille_MNT_PPS_Access_26_2834[[#This Row],[Numéro projet]],Portefeuille_MNT_PPS_Access27[Numéro projet],Portefeuille_MNT_PPS_Access27[Critère Etat Infrastructure])</f>
        <v>4</v>
      </c>
      <c r="AE25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66.666666666666671</v>
      </c>
      <c r="AF25" s="221"/>
      <c r="AJ25"/>
      <c r="AK25">
        <v>60</v>
      </c>
      <c r="AM25">
        <v>20</v>
      </c>
      <c r="AN25">
        <v>540</v>
      </c>
      <c r="AT25"/>
      <c r="BG25" s="14">
        <f>SUM(Portefeuille_MNT_PPS_Access_26_2834[[#This Row],[AC ANT]:[TR 2035]])</f>
        <v>620</v>
      </c>
      <c r="BH25" s="14"/>
    </row>
    <row r="26" spans="1:60" hidden="1" x14ac:dyDescent="0.3">
      <c r="A26" t="s">
        <v>286</v>
      </c>
      <c r="B26" t="s">
        <v>663</v>
      </c>
      <c r="D26" t="s">
        <v>101</v>
      </c>
      <c r="E26" t="s">
        <v>102</v>
      </c>
      <c r="F26" t="s">
        <v>136</v>
      </c>
      <c r="G26" t="s">
        <v>144</v>
      </c>
      <c r="H26" t="s">
        <v>16</v>
      </c>
      <c r="I26" t="s">
        <v>20</v>
      </c>
      <c r="J26" t="s">
        <v>131</v>
      </c>
      <c r="K26">
        <v>154171403</v>
      </c>
      <c r="L26" t="s">
        <v>196</v>
      </c>
      <c r="M26" t="s">
        <v>180</v>
      </c>
      <c r="N26" t="s">
        <v>197</v>
      </c>
      <c r="O26" t="s">
        <v>110</v>
      </c>
      <c r="P26" s="1">
        <v>44889</v>
      </c>
      <c r="Q26" s="1">
        <v>46068</v>
      </c>
      <c r="R26" s="1">
        <v>46583</v>
      </c>
      <c r="S26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26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26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26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39</v>
      </c>
      <c r="W26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17</v>
      </c>
      <c r="X26">
        <f>Portefeuille_MNT_PPS_Access_26_2834[[#This Row],[Délais PC1 et PC3]]+Portefeuille_MNT_PPS_Access_26_2834[[#This Row],[Délais PC3 et PC5]]</f>
        <v>56</v>
      </c>
      <c r="Z26">
        <v>1</v>
      </c>
      <c r="AA26">
        <v>5</v>
      </c>
      <c r="AB26" t="s">
        <v>112</v>
      </c>
      <c r="AC26">
        <v>2.6666666666666665</v>
      </c>
      <c r="AD26" s="2">
        <f>_xlfn.XLOOKUP(Portefeuille_MNT_PPS_Access_26_2834[[#This Row],[Numéro projet]],Portefeuille_MNT_PPS_Access27[Numéro projet],Portefeuille_MNT_PPS_Access27[Critère Etat Infrastructure])</f>
        <v>4</v>
      </c>
      <c r="AE26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63.333333333333343</v>
      </c>
      <c r="AF26" s="221"/>
      <c r="AG26">
        <v>337</v>
      </c>
      <c r="AI26">
        <v>76</v>
      </c>
      <c r="AJ26"/>
      <c r="AK26">
        <v>1535</v>
      </c>
      <c r="AM26">
        <v>1611</v>
      </c>
      <c r="AO26">
        <v>1611</v>
      </c>
      <c r="AQ26">
        <v>1611</v>
      </c>
      <c r="AR26">
        <v>2500</v>
      </c>
      <c r="AS26">
        <v>1200</v>
      </c>
      <c r="AT26">
        <v>11500</v>
      </c>
      <c r="AU26">
        <v>112</v>
      </c>
      <c r="AV26">
        <v>21000</v>
      </c>
      <c r="BG26" s="14">
        <f>SUM(Portefeuille_MNT_PPS_Access_26_2834[[#This Row],[AC ANT]:[TR 2035]])</f>
        <v>43093</v>
      </c>
      <c r="BH26" s="14"/>
    </row>
    <row r="27" spans="1:60" hidden="1" x14ac:dyDescent="0.3">
      <c r="A27" t="s">
        <v>286</v>
      </c>
      <c r="B27" t="s">
        <v>662</v>
      </c>
      <c r="C27">
        <v>6</v>
      </c>
      <c r="D27" t="s">
        <v>118</v>
      </c>
      <c r="E27" t="s">
        <v>102</v>
      </c>
      <c r="F27" t="s">
        <v>136</v>
      </c>
      <c r="G27" t="s">
        <v>104</v>
      </c>
      <c r="H27" t="s">
        <v>16</v>
      </c>
      <c r="I27" t="s">
        <v>20</v>
      </c>
      <c r="J27" t="s">
        <v>105</v>
      </c>
      <c r="K27">
        <v>154240756</v>
      </c>
      <c r="L27" t="s">
        <v>517</v>
      </c>
      <c r="M27" t="s">
        <v>302</v>
      </c>
      <c r="N27" t="s">
        <v>109</v>
      </c>
      <c r="O27" t="s">
        <v>110</v>
      </c>
      <c r="P27" s="1">
        <v>45904</v>
      </c>
      <c r="Q27" s="1"/>
      <c r="R27" s="1">
        <v>46096</v>
      </c>
      <c r="S27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27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7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3.À risque</v>
      </c>
      <c r="V27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-1508</v>
      </c>
      <c r="W27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1514</v>
      </c>
      <c r="X27">
        <f>Portefeuille_MNT_PPS_Access_26_2834[[#This Row],[Délais PC1 et PC3]]+Portefeuille_MNT_PPS_Access_26_2834[[#This Row],[Délais PC3 et PC5]]</f>
        <v>6</v>
      </c>
      <c r="Y27">
        <v>1</v>
      </c>
      <c r="Z27">
        <v>1</v>
      </c>
      <c r="AA27">
        <v>3</v>
      </c>
      <c r="AB27" t="s">
        <v>112</v>
      </c>
      <c r="AC27">
        <v>4</v>
      </c>
      <c r="AD27" s="2">
        <f>_xlfn.XLOOKUP(Portefeuille_MNT_PPS_Access_26_2834[[#This Row],[Numéro projet]],Portefeuille_MNT_PPS_Access27[Numéro projet],Portefeuille_MNT_PPS_Access27[Critère Etat Infrastructure])</f>
        <v>5</v>
      </c>
      <c r="AE27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65.000000000000014</v>
      </c>
      <c r="AF27" s="221"/>
      <c r="AJ27"/>
      <c r="AK27">
        <v>59</v>
      </c>
      <c r="AM27">
        <v>131</v>
      </c>
      <c r="AN27">
        <v>478</v>
      </c>
      <c r="AT27"/>
      <c r="BG27" s="14">
        <f>SUM(Portefeuille_MNT_PPS_Access_26_2834[[#This Row],[AC ANT]:[TR 2035]])</f>
        <v>668</v>
      </c>
      <c r="BH27" s="14"/>
    </row>
    <row r="28" spans="1:60" x14ac:dyDescent="0.3">
      <c r="A28" t="s">
        <v>286</v>
      </c>
      <c r="B28" t="s">
        <v>664</v>
      </c>
      <c r="C28">
        <v>5</v>
      </c>
      <c r="D28" t="s">
        <v>101</v>
      </c>
      <c r="E28" t="s">
        <v>102</v>
      </c>
      <c r="F28" t="s">
        <v>136</v>
      </c>
      <c r="G28" t="s">
        <v>129</v>
      </c>
      <c r="H28" t="s">
        <v>130</v>
      </c>
      <c r="I28" t="s">
        <v>20</v>
      </c>
      <c r="J28" t="s">
        <v>131</v>
      </c>
      <c r="K28">
        <v>154210517</v>
      </c>
      <c r="L28" t="s">
        <v>406</v>
      </c>
      <c r="M28" t="s">
        <v>152</v>
      </c>
      <c r="N28" t="s">
        <v>184</v>
      </c>
      <c r="O28" t="s">
        <v>155</v>
      </c>
      <c r="P28" s="1">
        <v>46054</v>
      </c>
      <c r="Q28" s="1">
        <v>46427</v>
      </c>
      <c r="R28" s="1">
        <v>46813</v>
      </c>
      <c r="S28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28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28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28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12</v>
      </c>
      <c r="W28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13</v>
      </c>
      <c r="X28">
        <f>Portefeuille_MNT_PPS_Access_26_2834[[#This Row],[Délais PC1 et PC3]]+Portefeuille_MNT_PPS_Access_26_2834[[#This Row],[Délais PC3 et PC5]]</f>
        <v>25</v>
      </c>
      <c r="Z28">
        <v>1</v>
      </c>
      <c r="AB28" t="s">
        <v>156</v>
      </c>
      <c r="AC28">
        <v>3.3333333333333335</v>
      </c>
      <c r="AD28" s="2">
        <f>_xlfn.XLOOKUP(Portefeuille_MNT_PPS_Access_26_2834[[#This Row],[Numéro projet]],Portefeuille_MNT_PPS_Access27[Numéro projet],Portefeuille_MNT_PPS_Access27[Critère Etat Infrastructure])</f>
        <v>4</v>
      </c>
      <c r="AE28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46.666666666666664</v>
      </c>
      <c r="AF28" s="221"/>
      <c r="AJ28"/>
      <c r="AM28">
        <v>100</v>
      </c>
      <c r="AO28">
        <v>250</v>
      </c>
      <c r="AQ28">
        <v>350</v>
      </c>
      <c r="AS28">
        <v>200</v>
      </c>
      <c r="AT28"/>
      <c r="AU28">
        <v>600</v>
      </c>
      <c r="AV28">
        <v>5500</v>
      </c>
      <c r="AW28">
        <v>600</v>
      </c>
      <c r="AX28">
        <v>5500</v>
      </c>
      <c r="AY28">
        <v>600</v>
      </c>
      <c r="AZ28">
        <v>6000</v>
      </c>
      <c r="BG28" s="14">
        <f>SUM(Portefeuille_MNT_PPS_Access_26_2834[[#This Row],[AC ANT]:[TR 2035]])</f>
        <v>19700</v>
      </c>
      <c r="BH28" s="14"/>
    </row>
    <row r="29" spans="1:60" hidden="1" x14ac:dyDescent="0.3">
      <c r="A29" t="s">
        <v>286</v>
      </c>
      <c r="B29" t="s">
        <v>662</v>
      </c>
      <c r="C29">
        <v>1</v>
      </c>
      <c r="D29" t="s">
        <v>118</v>
      </c>
      <c r="E29" t="s">
        <v>102</v>
      </c>
      <c r="F29" t="s">
        <v>188</v>
      </c>
      <c r="G29" t="s">
        <v>113</v>
      </c>
      <c r="H29" t="s">
        <v>16</v>
      </c>
      <c r="I29" t="s">
        <v>130</v>
      </c>
      <c r="J29" t="s">
        <v>131</v>
      </c>
      <c r="K29">
        <v>154151031</v>
      </c>
      <c r="L29" t="s">
        <v>190</v>
      </c>
      <c r="M29" t="s">
        <v>191</v>
      </c>
      <c r="N29" t="s">
        <v>109</v>
      </c>
      <c r="O29" t="s">
        <v>123</v>
      </c>
      <c r="P29" s="1">
        <v>45684</v>
      </c>
      <c r="Q29" s="1"/>
      <c r="R29" s="1">
        <v>46006</v>
      </c>
      <c r="S2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2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2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2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-1500</v>
      </c>
      <c r="W2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1511</v>
      </c>
      <c r="X29">
        <f>Portefeuille_MNT_PPS_Access_26_2834[[#This Row],[Délais PC1 et PC3]]+Portefeuille_MNT_PPS_Access_26_2834[[#This Row],[Délais PC3 et PC5]]</f>
        <v>11</v>
      </c>
      <c r="Y29">
        <v>1</v>
      </c>
      <c r="Z29">
        <v>1</v>
      </c>
      <c r="AA29">
        <v>5</v>
      </c>
      <c r="AB29" t="s">
        <v>125</v>
      </c>
      <c r="AC29">
        <v>1.6666666666666667</v>
      </c>
      <c r="AD29" s="2">
        <f>_xlfn.XLOOKUP(Portefeuille_MNT_PPS_Access_26_2834[[#This Row],[Numéro projet]],Portefeuille_MNT_PPS_Access27[Numéro projet],Portefeuille_MNT_PPS_Access27[Critère Etat Infrastructure])</f>
        <v>5</v>
      </c>
      <c r="AE2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63.333333333333343</v>
      </c>
      <c r="AF29" s="221"/>
      <c r="AJ29"/>
      <c r="AK29">
        <v>132</v>
      </c>
      <c r="AM29">
        <v>262</v>
      </c>
      <c r="AN29">
        <v>899</v>
      </c>
      <c r="AT29"/>
      <c r="BG29" s="14">
        <f>SUM(Portefeuille_MNT_PPS_Access_26_2834[[#This Row],[AC ANT]:[TR 2035]])</f>
        <v>1293</v>
      </c>
      <c r="BH29" s="14"/>
    </row>
    <row r="30" spans="1:60" x14ac:dyDescent="0.3">
      <c r="A30" t="s">
        <v>286</v>
      </c>
      <c r="B30" t="s">
        <v>664</v>
      </c>
      <c r="C30">
        <v>3</v>
      </c>
      <c r="D30" t="s">
        <v>101</v>
      </c>
      <c r="E30" t="s">
        <v>102</v>
      </c>
      <c r="F30" t="s">
        <v>103</v>
      </c>
      <c r="G30" t="s">
        <v>129</v>
      </c>
      <c r="H30" t="s">
        <v>20</v>
      </c>
      <c r="I30" t="s">
        <v>20</v>
      </c>
      <c r="J30" t="s">
        <v>105</v>
      </c>
      <c r="K30">
        <v>154190687</v>
      </c>
      <c r="L30" t="s">
        <v>401</v>
      </c>
      <c r="M30" t="s">
        <v>402</v>
      </c>
      <c r="N30" s="2" t="s">
        <v>197</v>
      </c>
      <c r="O30" t="s">
        <v>155</v>
      </c>
      <c r="P30" s="1">
        <v>46047</v>
      </c>
      <c r="Q30" s="1">
        <v>46461</v>
      </c>
      <c r="R30" s="1">
        <v>46794</v>
      </c>
      <c r="S30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30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30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3.À risque</v>
      </c>
      <c r="V30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14</v>
      </c>
      <c r="W30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11</v>
      </c>
      <c r="X30">
        <f>Portefeuille_MNT_PPS_Access_26_2834[[#This Row],[Délais PC1 et PC3]]+Portefeuille_MNT_PPS_Access_26_2834[[#This Row],[Délais PC3 et PC5]]</f>
        <v>25</v>
      </c>
      <c r="Z30">
        <v>1</v>
      </c>
      <c r="AA30">
        <v>3</v>
      </c>
      <c r="AB30" t="s">
        <v>156</v>
      </c>
      <c r="AC30">
        <v>2.6666666666666665</v>
      </c>
      <c r="AD30" s="2">
        <f>_xlfn.XLOOKUP(Portefeuille_MNT_PPS_Access_26_2834[[#This Row],[Numéro projet]],Portefeuille_MNT_PPS_Access27[Numéro projet],Portefeuille_MNT_PPS_Access27[Critère Etat Infrastructure])</f>
        <v>4</v>
      </c>
      <c r="AE30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53.333333333333336</v>
      </c>
      <c r="AF30" s="221"/>
      <c r="AJ30"/>
      <c r="AM30">
        <v>200</v>
      </c>
      <c r="AO30">
        <v>200</v>
      </c>
      <c r="AQ30">
        <v>800</v>
      </c>
      <c r="AR30">
        <v>16000</v>
      </c>
      <c r="AT30"/>
      <c r="BG30" s="14">
        <f>SUM(Portefeuille_MNT_PPS_Access_26_2834[[#This Row],[AC ANT]:[TR 2035]])</f>
        <v>17200</v>
      </c>
      <c r="BH30" s="14"/>
    </row>
    <row r="31" spans="1:60" hidden="1" x14ac:dyDescent="0.3">
      <c r="A31" t="s">
        <v>286</v>
      </c>
      <c r="B31" t="s">
        <v>663</v>
      </c>
      <c r="C31">
        <v>1</v>
      </c>
      <c r="D31" t="s">
        <v>101</v>
      </c>
      <c r="E31" t="s">
        <v>102</v>
      </c>
      <c r="F31" t="s">
        <v>136</v>
      </c>
      <c r="G31" t="s">
        <v>104</v>
      </c>
      <c r="H31" t="s">
        <v>16</v>
      </c>
      <c r="I31" t="s">
        <v>130</v>
      </c>
      <c r="J31" t="s">
        <v>105</v>
      </c>
      <c r="K31">
        <v>154062002</v>
      </c>
      <c r="L31" t="s">
        <v>171</v>
      </c>
      <c r="M31" t="s">
        <v>172</v>
      </c>
      <c r="N31" t="s">
        <v>173</v>
      </c>
      <c r="O31" t="s">
        <v>110</v>
      </c>
      <c r="P31" s="1">
        <v>44833</v>
      </c>
      <c r="Q31" s="1">
        <v>45976</v>
      </c>
      <c r="R31" s="1">
        <v>46310</v>
      </c>
      <c r="S31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1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31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1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38</v>
      </c>
      <c r="W31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11</v>
      </c>
      <c r="X31">
        <f>Portefeuille_MNT_PPS_Access_26_2834[[#This Row],[Délais PC1 et PC3]]+Portefeuille_MNT_PPS_Access_26_2834[[#This Row],[Délais PC3 et PC5]]</f>
        <v>49</v>
      </c>
      <c r="Z31">
        <v>1</v>
      </c>
      <c r="AA31">
        <v>5</v>
      </c>
      <c r="AB31" t="s">
        <v>112</v>
      </c>
      <c r="AC31">
        <v>3.6666666666666665</v>
      </c>
      <c r="AD31" s="2">
        <f>_xlfn.XLOOKUP(Portefeuille_MNT_PPS_Access_26_2834[[#This Row],[Numéro projet]],Portefeuille_MNT_PPS_Access27[Numéro projet],Portefeuille_MNT_PPS_Access27[Critère Etat Infrastructure])</f>
        <v>4</v>
      </c>
      <c r="AE31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68.333333333333329</v>
      </c>
      <c r="AF31" s="221"/>
      <c r="AG31">
        <v>497</v>
      </c>
      <c r="AH31">
        <v>8</v>
      </c>
      <c r="AI31">
        <v>199</v>
      </c>
      <c r="AJ31"/>
      <c r="AK31">
        <v>1213</v>
      </c>
      <c r="AM31">
        <v>1008</v>
      </c>
      <c r="AO31">
        <v>842</v>
      </c>
      <c r="AP31">
        <v>12159</v>
      </c>
      <c r="AQ31">
        <v>982</v>
      </c>
      <c r="AR31">
        <v>3252</v>
      </c>
      <c r="AS31">
        <v>635</v>
      </c>
      <c r="AT31">
        <v>4326</v>
      </c>
      <c r="BG31" s="14">
        <f>SUM(Portefeuille_MNT_PPS_Access_26_2834[[#This Row],[AC ANT]:[TR 2035]])</f>
        <v>25121</v>
      </c>
      <c r="BH31" s="14"/>
    </row>
    <row r="32" spans="1:60" x14ac:dyDescent="0.3">
      <c r="A32" t="s">
        <v>286</v>
      </c>
      <c r="B32" t="s">
        <v>663</v>
      </c>
      <c r="D32" t="s">
        <v>101</v>
      </c>
      <c r="E32" t="s">
        <v>102</v>
      </c>
      <c r="F32" t="s">
        <v>136</v>
      </c>
      <c r="G32" t="s">
        <v>113</v>
      </c>
      <c r="H32" t="s">
        <v>16</v>
      </c>
      <c r="I32" t="s">
        <v>20</v>
      </c>
      <c r="J32" t="s">
        <v>105</v>
      </c>
      <c r="K32">
        <v>154061997</v>
      </c>
      <c r="L32" t="s">
        <v>167</v>
      </c>
      <c r="M32" t="s">
        <v>168</v>
      </c>
      <c r="N32" t="s">
        <v>169</v>
      </c>
      <c r="O32" t="s">
        <v>155</v>
      </c>
      <c r="P32" s="1">
        <v>45976</v>
      </c>
      <c r="Q32" s="1">
        <v>46402</v>
      </c>
      <c r="R32" s="1">
        <v>46980</v>
      </c>
      <c r="S32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2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32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2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14</v>
      </c>
      <c r="W32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19</v>
      </c>
      <c r="X32">
        <f>Portefeuille_MNT_PPS_Access_26_2834[[#This Row],[Délais PC1 et PC3]]+Portefeuille_MNT_PPS_Access_26_2834[[#This Row],[Délais PC3 et PC5]]</f>
        <v>33</v>
      </c>
      <c r="Z32">
        <v>1</v>
      </c>
      <c r="AB32" t="s">
        <v>156</v>
      </c>
      <c r="AC32">
        <v>3.3333333333333335</v>
      </c>
      <c r="AD32" s="2">
        <f>_xlfn.XLOOKUP(Portefeuille_MNT_PPS_Access_26_2834[[#This Row],[Numéro projet]],Portefeuille_MNT_PPS_Access27[Numéro projet],Portefeuille_MNT_PPS_Access27[Critère Etat Infrastructure])</f>
        <v>4</v>
      </c>
      <c r="AE32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46.666666666666664</v>
      </c>
      <c r="AF32" s="221"/>
      <c r="AG32">
        <v>71</v>
      </c>
      <c r="AJ32"/>
      <c r="AK32">
        <v>11</v>
      </c>
      <c r="AM32">
        <v>210</v>
      </c>
      <c r="AO32">
        <v>310</v>
      </c>
      <c r="AQ32">
        <v>310</v>
      </c>
      <c r="AS32">
        <v>395</v>
      </c>
      <c r="AT32">
        <v>2000</v>
      </c>
      <c r="AU32">
        <v>395</v>
      </c>
      <c r="AV32">
        <v>3275</v>
      </c>
      <c r="AW32">
        <v>509</v>
      </c>
      <c r="AX32">
        <v>16319</v>
      </c>
      <c r="BG32" s="14">
        <f>SUM(Portefeuille_MNT_PPS_Access_26_2834[[#This Row],[AC ANT]:[TR 2035]])</f>
        <v>23805</v>
      </c>
      <c r="BH32" s="14"/>
    </row>
    <row r="33" spans="1:60" hidden="1" x14ac:dyDescent="0.3">
      <c r="A33" t="s">
        <v>286</v>
      </c>
      <c r="B33" t="s">
        <v>664</v>
      </c>
      <c r="C33">
        <v>9</v>
      </c>
      <c r="D33" t="s">
        <v>101</v>
      </c>
      <c r="E33" t="s">
        <v>102</v>
      </c>
      <c r="F33" t="s">
        <v>103</v>
      </c>
      <c r="G33" t="s">
        <v>149</v>
      </c>
      <c r="H33" t="s">
        <v>16</v>
      </c>
      <c r="I33" t="s">
        <v>20</v>
      </c>
      <c r="J33" t="s">
        <v>105</v>
      </c>
      <c r="K33">
        <v>154190686</v>
      </c>
      <c r="L33" t="s">
        <v>665</v>
      </c>
      <c r="M33" t="s">
        <v>239</v>
      </c>
      <c r="N33" t="s">
        <v>173</v>
      </c>
      <c r="O33" t="s">
        <v>110</v>
      </c>
      <c r="P33" s="1">
        <v>45915</v>
      </c>
      <c r="Q33" s="1">
        <v>46037</v>
      </c>
      <c r="R33" s="1">
        <v>46310</v>
      </c>
      <c r="S33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33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33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3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4</v>
      </c>
      <c r="W33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9</v>
      </c>
      <c r="X33">
        <f>Portefeuille_MNT_PPS_Access_26_2834[[#This Row],[Délais PC1 et PC3]]+Portefeuille_MNT_PPS_Access_26_2834[[#This Row],[Délais PC3 et PC5]]</f>
        <v>13</v>
      </c>
      <c r="Z33">
        <v>1</v>
      </c>
      <c r="AA33">
        <v>3</v>
      </c>
      <c r="AB33" t="s">
        <v>112</v>
      </c>
      <c r="AC33">
        <v>3.3333333333333335</v>
      </c>
      <c r="AD33" s="2">
        <f>_xlfn.XLOOKUP(Portefeuille_MNT_PPS_Access_26_2834[[#This Row],[Numéro projet]],Portefeuille_MNT_PPS_Access27[Numéro projet],Portefeuille_MNT_PPS_Access27[Critère Etat Infrastructure])</f>
        <v>4</v>
      </c>
      <c r="AE33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56.666666666666664</v>
      </c>
      <c r="AF33" s="221"/>
      <c r="AJ33"/>
      <c r="AK33">
        <v>25</v>
      </c>
      <c r="AM33">
        <v>26</v>
      </c>
      <c r="AO33">
        <v>723</v>
      </c>
      <c r="AP33">
        <v>10494</v>
      </c>
      <c r="AT33"/>
      <c r="BG33" s="14">
        <f>SUM(Portefeuille_MNT_PPS_Access_26_2834[[#This Row],[AC ANT]:[TR 2035]])</f>
        <v>11268</v>
      </c>
      <c r="BH33" s="14"/>
    </row>
    <row r="34" spans="1:60" hidden="1" x14ac:dyDescent="0.3">
      <c r="A34" t="s">
        <v>286</v>
      </c>
      <c r="B34" t="s">
        <v>664</v>
      </c>
      <c r="D34" t="s">
        <v>101</v>
      </c>
      <c r="E34" t="s">
        <v>102</v>
      </c>
      <c r="F34" t="s">
        <v>103</v>
      </c>
      <c r="G34" t="s">
        <v>140</v>
      </c>
      <c r="H34" t="s">
        <v>16</v>
      </c>
      <c r="I34" t="s">
        <v>16</v>
      </c>
      <c r="J34" t="s">
        <v>105</v>
      </c>
      <c r="K34">
        <v>154171517</v>
      </c>
      <c r="L34" t="s">
        <v>175</v>
      </c>
      <c r="M34" t="s">
        <v>143</v>
      </c>
      <c r="N34" s="2" t="s">
        <v>148</v>
      </c>
      <c r="O34" t="s">
        <v>164</v>
      </c>
      <c r="P34" s="1">
        <v>44014</v>
      </c>
      <c r="Q34" s="1">
        <v>44294</v>
      </c>
      <c r="R34" s="1">
        <v>45239</v>
      </c>
      <c r="S34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4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34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4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9</v>
      </c>
      <c r="W34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31</v>
      </c>
      <c r="X34">
        <f>Portefeuille_MNT_PPS_Access_26_2834[[#This Row],[Délais PC1 et PC3]]+Portefeuille_MNT_PPS_Access_26_2834[[#This Row],[Délais PC3 et PC5]]</f>
        <v>40</v>
      </c>
      <c r="Y34">
        <v>5</v>
      </c>
      <c r="Z34">
        <v>5</v>
      </c>
      <c r="AB34" t="s">
        <v>165</v>
      </c>
      <c r="AC34">
        <v>4.333333333333333</v>
      </c>
      <c r="AD34" s="2">
        <f>_xlfn.XLOOKUP(Portefeuille_MNT_PPS_Access_26_2834[[#This Row],[Numéro projet]],Portefeuille_MNT_PPS_Access27[Numéro projet],Portefeuille_MNT_PPS_Access27[Critère Etat Infrastructure])</f>
        <v>4</v>
      </c>
      <c r="AE34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100</v>
      </c>
      <c r="AF34" s="221"/>
      <c r="AG34">
        <v>389</v>
      </c>
      <c r="AH34">
        <v>4986</v>
      </c>
      <c r="AI34">
        <v>450</v>
      </c>
      <c r="AJ34">
        <v>25618</v>
      </c>
      <c r="AK34">
        <v>623</v>
      </c>
      <c r="AL34">
        <v>13622</v>
      </c>
      <c r="AM34">
        <v>55</v>
      </c>
      <c r="AN34">
        <v>1361</v>
      </c>
      <c r="AT34"/>
      <c r="BG34" s="14">
        <f>SUM(Portefeuille_MNT_PPS_Access_26_2834[[#This Row],[AC ANT]:[TR 2035]])</f>
        <v>47104</v>
      </c>
      <c r="BH34" s="14"/>
    </row>
    <row r="35" spans="1:60" x14ac:dyDescent="0.3">
      <c r="A35" t="s">
        <v>286</v>
      </c>
      <c r="B35" t="s">
        <v>663</v>
      </c>
      <c r="C35">
        <v>4</v>
      </c>
      <c r="D35" t="s">
        <v>101</v>
      </c>
      <c r="E35" t="s">
        <v>102</v>
      </c>
      <c r="F35" t="s">
        <v>136</v>
      </c>
      <c r="G35" t="s">
        <v>104</v>
      </c>
      <c r="H35" t="s">
        <v>130</v>
      </c>
      <c r="I35" t="s">
        <v>130</v>
      </c>
      <c r="J35" t="s">
        <v>105</v>
      </c>
      <c r="K35">
        <v>154200684</v>
      </c>
      <c r="L35" t="s">
        <v>514</v>
      </c>
      <c r="M35" t="s">
        <v>108</v>
      </c>
      <c r="N35" t="s">
        <v>197</v>
      </c>
      <c r="O35" t="s">
        <v>155</v>
      </c>
      <c r="P35" s="1">
        <v>46127</v>
      </c>
      <c r="Q35" s="1">
        <v>46492</v>
      </c>
      <c r="R35" s="1">
        <v>46706</v>
      </c>
      <c r="S35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35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1.Très à risque</v>
      </c>
      <c r="U35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5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12</v>
      </c>
      <c r="W35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7</v>
      </c>
      <c r="X35">
        <f>Portefeuille_MNT_PPS_Access_26_2834[[#This Row],[Délais PC1 et PC3]]+Portefeuille_MNT_PPS_Access_26_2834[[#This Row],[Délais PC3 et PC5]]</f>
        <v>19</v>
      </c>
      <c r="Z35">
        <v>1</v>
      </c>
      <c r="AA35">
        <v>1</v>
      </c>
      <c r="AB35" t="s">
        <v>156</v>
      </c>
      <c r="AC35">
        <v>4</v>
      </c>
      <c r="AD35" s="2">
        <f>_xlfn.XLOOKUP(Portefeuille_MNT_PPS_Access_26_2834[[#This Row],[Numéro projet]],Portefeuille_MNT_PPS_Access27[Numéro projet],Portefeuille_MNT_PPS_Access27[Critère Etat Infrastructure])</f>
        <v>5</v>
      </c>
      <c r="AE35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55.000000000000007</v>
      </c>
      <c r="AF35" s="221"/>
      <c r="AJ35"/>
      <c r="AM35">
        <v>150</v>
      </c>
      <c r="AO35">
        <v>150</v>
      </c>
      <c r="AQ35">
        <v>550</v>
      </c>
      <c r="AR35">
        <v>4000</v>
      </c>
      <c r="AT35"/>
      <c r="BG35" s="14">
        <f>SUM(Portefeuille_MNT_PPS_Access_26_2834[[#This Row],[AC ANT]:[TR 2035]])</f>
        <v>4850</v>
      </c>
      <c r="BH35" s="14"/>
    </row>
    <row r="36" spans="1:60" hidden="1" x14ac:dyDescent="0.3">
      <c r="A36" t="s">
        <v>286</v>
      </c>
      <c r="B36" t="s">
        <v>664</v>
      </c>
      <c r="D36" t="s">
        <v>101</v>
      </c>
      <c r="E36" t="s">
        <v>102</v>
      </c>
      <c r="F36" t="s">
        <v>128</v>
      </c>
      <c r="G36" t="s">
        <v>113</v>
      </c>
      <c r="H36" t="s">
        <v>16</v>
      </c>
      <c r="I36" t="s">
        <v>16</v>
      </c>
      <c r="J36" t="s">
        <v>105</v>
      </c>
      <c r="K36">
        <v>154171105</v>
      </c>
      <c r="L36" t="s">
        <v>161</v>
      </c>
      <c r="M36" t="s">
        <v>122</v>
      </c>
      <c r="N36" t="s">
        <v>148</v>
      </c>
      <c r="O36" t="s">
        <v>164</v>
      </c>
      <c r="P36" s="1">
        <v>44956</v>
      </c>
      <c r="Q36" s="1">
        <v>45321</v>
      </c>
      <c r="R36" s="1">
        <v>45687</v>
      </c>
      <c r="S36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36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36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3.À risque</v>
      </c>
      <c r="V36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12</v>
      </c>
      <c r="W36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12</v>
      </c>
      <c r="X36">
        <f>Portefeuille_MNT_PPS_Access_26_2834[[#This Row],[Délais PC1 et PC3]]+Portefeuille_MNT_PPS_Access_26_2834[[#This Row],[Délais PC3 et PC5]]</f>
        <v>24</v>
      </c>
      <c r="Y36">
        <v>1</v>
      </c>
      <c r="Z36">
        <v>5</v>
      </c>
      <c r="AB36" t="s">
        <v>165</v>
      </c>
      <c r="AC36">
        <v>4</v>
      </c>
      <c r="AD36" s="2">
        <f>_xlfn.XLOOKUP(Portefeuille_MNT_PPS_Access_26_2834[[#This Row],[Numéro projet]],Portefeuille_MNT_PPS_Access27[Numéro projet],Portefeuille_MNT_PPS_Access27[Critère Etat Infrastructure])</f>
        <v>0</v>
      </c>
      <c r="AE36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80</v>
      </c>
      <c r="AF36" s="221"/>
      <c r="AG36">
        <v>6</v>
      </c>
      <c r="AI36">
        <v>14</v>
      </c>
      <c r="AJ36"/>
      <c r="AK36">
        <v>291</v>
      </c>
      <c r="AL36">
        <v>4537</v>
      </c>
      <c r="AM36">
        <v>34</v>
      </c>
      <c r="AT36"/>
      <c r="BG36" s="14">
        <f>SUM(Portefeuille_MNT_PPS_Access_26_2834[[#This Row],[AC ANT]:[TR 2035]])</f>
        <v>4882</v>
      </c>
      <c r="BH36" s="14"/>
    </row>
    <row r="37" spans="1:60" hidden="1" x14ac:dyDescent="0.3">
      <c r="A37" t="s">
        <v>286</v>
      </c>
      <c r="B37" t="s">
        <v>664</v>
      </c>
      <c r="D37" t="s">
        <v>101</v>
      </c>
      <c r="E37" t="s">
        <v>102</v>
      </c>
      <c r="F37" t="s">
        <v>103</v>
      </c>
      <c r="G37" t="s">
        <v>104</v>
      </c>
      <c r="H37" t="s">
        <v>16</v>
      </c>
      <c r="I37" t="s">
        <v>16</v>
      </c>
      <c r="J37" t="s">
        <v>105</v>
      </c>
      <c r="K37">
        <v>154190692</v>
      </c>
      <c r="L37" t="s">
        <v>107</v>
      </c>
      <c r="M37" t="s">
        <v>108</v>
      </c>
      <c r="N37" t="s">
        <v>109</v>
      </c>
      <c r="O37" t="s">
        <v>123</v>
      </c>
      <c r="P37" s="1">
        <v>45014</v>
      </c>
      <c r="Q37" s="1">
        <v>45799</v>
      </c>
      <c r="R37" s="1">
        <v>46006</v>
      </c>
      <c r="S37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7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1.Très à risque</v>
      </c>
      <c r="U37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7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26</v>
      </c>
      <c r="W37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7</v>
      </c>
      <c r="X37">
        <f>Portefeuille_MNT_PPS_Access_26_2834[[#This Row],[Délais PC1 et PC3]]+Portefeuille_MNT_PPS_Access_26_2834[[#This Row],[Délais PC3 et PC5]]</f>
        <v>33</v>
      </c>
      <c r="Y37">
        <v>1</v>
      </c>
      <c r="Z37">
        <v>5</v>
      </c>
      <c r="AA37">
        <v>5</v>
      </c>
      <c r="AB37" t="s">
        <v>125</v>
      </c>
      <c r="AC37">
        <v>4</v>
      </c>
      <c r="AD37" s="2">
        <f>_xlfn.XLOOKUP(Portefeuille_MNT_PPS_Access_26_2834[[#This Row],[Numéro projet]],Portefeuille_MNT_PPS_Access27[Numéro projet],Portefeuille_MNT_PPS_Access27[Critère Etat Infrastructure])</f>
        <v>4</v>
      </c>
      <c r="AE37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90</v>
      </c>
      <c r="AF37" s="221"/>
      <c r="AG37">
        <v>69</v>
      </c>
      <c r="AI37">
        <v>213</v>
      </c>
      <c r="AJ37"/>
      <c r="AK37">
        <v>296</v>
      </c>
      <c r="AM37">
        <v>318</v>
      </c>
      <c r="AN37">
        <v>12253</v>
      </c>
      <c r="AO37">
        <v>294</v>
      </c>
      <c r="AP37">
        <v>4254</v>
      </c>
      <c r="AT37"/>
      <c r="BG37" s="14">
        <f>SUM(Portefeuille_MNT_PPS_Access_26_2834[[#This Row],[AC ANT]:[TR 2035]])</f>
        <v>17697</v>
      </c>
      <c r="BH37" s="14"/>
    </row>
    <row r="38" spans="1:60" hidden="1" x14ac:dyDescent="0.3">
      <c r="A38" t="s">
        <v>286</v>
      </c>
      <c r="B38" t="s">
        <v>664</v>
      </c>
      <c r="D38" t="s">
        <v>101</v>
      </c>
      <c r="E38" t="s">
        <v>102</v>
      </c>
      <c r="F38" t="s">
        <v>128</v>
      </c>
      <c r="G38" t="s">
        <v>149</v>
      </c>
      <c r="H38" t="s">
        <v>16</v>
      </c>
      <c r="I38" t="s">
        <v>16</v>
      </c>
      <c r="J38" t="s">
        <v>131</v>
      </c>
      <c r="K38">
        <v>154200665</v>
      </c>
      <c r="L38" t="s">
        <v>151</v>
      </c>
      <c r="M38" t="s">
        <v>152</v>
      </c>
      <c r="N38" t="s">
        <v>109</v>
      </c>
      <c r="O38" t="s">
        <v>123</v>
      </c>
      <c r="P38" s="1">
        <v>45079</v>
      </c>
      <c r="Q38" s="1">
        <v>45685</v>
      </c>
      <c r="R38" s="1">
        <v>46142</v>
      </c>
      <c r="S38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8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38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1.Très à risque</v>
      </c>
      <c r="V38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19</v>
      </c>
      <c r="W38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</v>
      </c>
      <c r="X38">
        <f>Portefeuille_MNT_PPS_Access_26_2834[[#This Row],[Délais PC1 et PC3]]+Portefeuille_MNT_PPS_Access_26_2834[[#This Row],[Délais PC3 et PC5]]</f>
        <v>34</v>
      </c>
      <c r="Y38">
        <v>1</v>
      </c>
      <c r="Z38">
        <v>5</v>
      </c>
      <c r="AA38">
        <v>1</v>
      </c>
      <c r="AB38" t="s">
        <v>125</v>
      </c>
      <c r="AC38">
        <v>3.3333333333333335</v>
      </c>
      <c r="AD38" s="2">
        <f>_xlfn.XLOOKUP(Portefeuille_MNT_PPS_Access_26_2834[[#This Row],[Numéro projet]],Portefeuille_MNT_PPS_Access27[Numéro projet],Portefeuille_MNT_PPS_Access27[Critère Etat Infrastructure])</f>
        <v>4</v>
      </c>
      <c r="AE38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66.666666666666671</v>
      </c>
      <c r="AF38" s="221"/>
      <c r="AG38">
        <v>12</v>
      </c>
      <c r="AI38">
        <v>163</v>
      </c>
      <c r="AJ38"/>
      <c r="AK38">
        <v>120</v>
      </c>
      <c r="AM38">
        <v>172</v>
      </c>
      <c r="AN38">
        <v>6837</v>
      </c>
      <c r="AO38">
        <v>150</v>
      </c>
      <c r="AP38">
        <v>1523</v>
      </c>
      <c r="AT38"/>
      <c r="BG38" s="14">
        <f>SUM(Portefeuille_MNT_PPS_Access_26_2834[[#This Row],[AC ANT]:[TR 2035]])</f>
        <v>8977</v>
      </c>
      <c r="BH38" s="14"/>
    </row>
    <row r="39" spans="1:60" x14ac:dyDescent="0.3">
      <c r="A39" t="s">
        <v>286</v>
      </c>
      <c r="B39" t="s">
        <v>662</v>
      </c>
      <c r="D39" t="s">
        <v>118</v>
      </c>
      <c r="E39" t="s">
        <v>102</v>
      </c>
      <c r="F39" t="s">
        <v>103</v>
      </c>
      <c r="G39" t="s">
        <v>206</v>
      </c>
      <c r="H39" t="s">
        <v>16</v>
      </c>
      <c r="I39" t="s">
        <v>20</v>
      </c>
      <c r="J39" t="s">
        <v>131</v>
      </c>
      <c r="K39">
        <v>154180768</v>
      </c>
      <c r="L39" t="s">
        <v>211</v>
      </c>
      <c r="M39" t="s">
        <v>209</v>
      </c>
      <c r="N39" t="s">
        <v>197</v>
      </c>
      <c r="O39" t="s">
        <v>155</v>
      </c>
      <c r="P39" s="1">
        <v>45976</v>
      </c>
      <c r="Q39" s="1">
        <v>46341</v>
      </c>
      <c r="R39" s="1">
        <v>46706</v>
      </c>
      <c r="S3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3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3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3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12</v>
      </c>
      <c r="W3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12</v>
      </c>
      <c r="X39">
        <f>Portefeuille_MNT_PPS_Access_26_2834[[#This Row],[Délais PC1 et PC3]]+Portefeuille_MNT_PPS_Access_26_2834[[#This Row],[Délais PC3 et PC5]]</f>
        <v>24</v>
      </c>
      <c r="Z39">
        <v>1</v>
      </c>
      <c r="AA39">
        <v>5</v>
      </c>
      <c r="AB39" t="s">
        <v>156</v>
      </c>
      <c r="AC39">
        <v>3.3333333333333335</v>
      </c>
      <c r="AD39" s="2">
        <f>_xlfn.XLOOKUP(Portefeuille_MNT_PPS_Access_26_2834[[#This Row],[Numéro projet]],Portefeuille_MNT_PPS_Access27[Numéro projet],Portefeuille_MNT_PPS_Access27[Critère Etat Infrastructure])</f>
        <v>4</v>
      </c>
      <c r="AE3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66.666666666666671</v>
      </c>
      <c r="AF39" s="221"/>
      <c r="AG39">
        <v>8</v>
      </c>
      <c r="AJ39"/>
      <c r="AK39">
        <v>100</v>
      </c>
      <c r="AM39">
        <v>100</v>
      </c>
      <c r="AO39">
        <v>100</v>
      </c>
      <c r="AQ39">
        <v>250</v>
      </c>
      <c r="AR39">
        <v>7500</v>
      </c>
      <c r="AT39"/>
      <c r="BG39" s="14">
        <f>SUM(Portefeuille_MNT_PPS_Access_26_2834[[#This Row],[AC ANT]:[TR 2035]])</f>
        <v>8058</v>
      </c>
      <c r="BH39" s="14"/>
    </row>
    <row r="40" spans="1:60" hidden="1" x14ac:dyDescent="0.3">
      <c r="A40" t="s">
        <v>11</v>
      </c>
      <c r="C40">
        <v>8</v>
      </c>
      <c r="D40" t="s">
        <v>118</v>
      </c>
      <c r="E40" t="s">
        <v>102</v>
      </c>
      <c r="F40" t="s">
        <v>103</v>
      </c>
      <c r="G40" t="s">
        <v>252</v>
      </c>
      <c r="H40" t="s">
        <v>20</v>
      </c>
      <c r="I40" t="s">
        <v>20</v>
      </c>
      <c r="J40" t="s">
        <v>131</v>
      </c>
      <c r="K40">
        <v>154250176</v>
      </c>
      <c r="L40" t="s">
        <v>598</v>
      </c>
      <c r="M40" t="s">
        <v>180</v>
      </c>
      <c r="N40" t="s">
        <v>109</v>
      </c>
      <c r="O40" t="s">
        <v>291</v>
      </c>
      <c r="P40" s="1"/>
      <c r="Q40" s="1"/>
      <c r="R40" s="1"/>
      <c r="S40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40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40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40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40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40">
        <f>Portefeuille_MNT_PPS_Access_26_2834[[#This Row],[Délais PC1 et PC3]]+Portefeuille_MNT_PPS_Access_26_2834[[#This Row],[Délais PC3 et PC5]]</f>
        <v>0</v>
      </c>
      <c r="Y40">
        <v>1</v>
      </c>
      <c r="Z40">
        <v>1</v>
      </c>
      <c r="AA40">
        <v>3</v>
      </c>
      <c r="AB40" t="s">
        <v>311</v>
      </c>
      <c r="AC40">
        <v>3</v>
      </c>
      <c r="AD40" s="2">
        <f>_xlfn.XLOOKUP(Portefeuille_MNT_PPS_Access_26_2834[[#This Row],[Numéro projet]],Portefeuille_MNT_PPS_Access27[Numéro projet],Portefeuille_MNT_PPS_Access27[Critère Etat Infrastructure])</f>
        <v>3</v>
      </c>
      <c r="AE40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49.999999999999993</v>
      </c>
      <c r="AF40" s="221"/>
      <c r="AJ40"/>
      <c r="AN40">
        <v>300</v>
      </c>
      <c r="AT40"/>
      <c r="BG40" s="14">
        <f>SUM(Portefeuille_MNT_PPS_Access_26_2834[[#This Row],[AC ANT]:[TR 2035]])</f>
        <v>300</v>
      </c>
      <c r="BH40" s="14"/>
    </row>
    <row r="41" spans="1:60" hidden="1" x14ac:dyDescent="0.3">
      <c r="A41" t="s">
        <v>286</v>
      </c>
      <c r="B41" t="s">
        <v>295</v>
      </c>
      <c r="C41">
        <v>1</v>
      </c>
      <c r="D41" t="s">
        <v>126</v>
      </c>
      <c r="E41" t="s">
        <v>127</v>
      </c>
      <c r="F41" t="s">
        <v>136</v>
      </c>
      <c r="G41" t="s">
        <v>144</v>
      </c>
      <c r="H41" t="s">
        <v>16</v>
      </c>
      <c r="I41" t="s">
        <v>20</v>
      </c>
      <c r="J41" t="s">
        <v>131</v>
      </c>
      <c r="K41">
        <v>154190675</v>
      </c>
      <c r="L41" t="s">
        <v>232</v>
      </c>
      <c r="M41" t="s">
        <v>147</v>
      </c>
      <c r="N41" s="2" t="s">
        <v>173</v>
      </c>
      <c r="O41" t="s">
        <v>110</v>
      </c>
      <c r="P41" s="1">
        <v>45099</v>
      </c>
      <c r="Q41" s="1">
        <v>46037</v>
      </c>
      <c r="R41" s="1">
        <v>46283</v>
      </c>
      <c r="S41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1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41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1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31</v>
      </c>
      <c r="W41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8</v>
      </c>
      <c r="X41">
        <f>Portefeuille_MNT_PPS_Access_26_2834[[#This Row],[Délais PC1 et PC3]]+Portefeuille_MNT_PPS_Access_26_2834[[#This Row],[Délais PC3 et PC5]]</f>
        <v>39</v>
      </c>
      <c r="Z41">
        <v>1</v>
      </c>
      <c r="AA41">
        <v>3</v>
      </c>
      <c r="AB41" t="s">
        <v>112</v>
      </c>
      <c r="AC41">
        <v>2.6666666666666665</v>
      </c>
      <c r="AD41" s="2">
        <f>_xlfn.XLOOKUP(Portefeuille_MNT_PPS_Access_26_2834[[#This Row],[Numéro projet]],Portefeuille_MNT_PPS_Access27[Numéro projet],Portefeuille_MNT_PPS_Access27[Critère Etat Infrastructure])</f>
        <v>3</v>
      </c>
      <c r="AE41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48.333333333333336</v>
      </c>
      <c r="AF41" s="221"/>
      <c r="AG41">
        <v>9</v>
      </c>
      <c r="AI41">
        <v>21</v>
      </c>
      <c r="AJ41"/>
      <c r="AK41">
        <v>631</v>
      </c>
      <c r="AM41">
        <v>457</v>
      </c>
      <c r="AO41">
        <v>987</v>
      </c>
      <c r="AP41">
        <v>9725</v>
      </c>
      <c r="AQ41">
        <v>1927</v>
      </c>
      <c r="AR41">
        <v>3427</v>
      </c>
      <c r="AT41"/>
      <c r="BG41" s="14">
        <f>SUM(Portefeuille_MNT_PPS_Access_26_2834[[#This Row],[AC ANT]:[TR 2035]])</f>
        <v>17184</v>
      </c>
      <c r="BH41" s="14"/>
    </row>
    <row r="42" spans="1:60" hidden="1" x14ac:dyDescent="0.3">
      <c r="A42" t="s">
        <v>286</v>
      </c>
      <c r="B42" t="s">
        <v>295</v>
      </c>
      <c r="D42" t="s">
        <v>126</v>
      </c>
      <c r="E42" t="s">
        <v>127</v>
      </c>
      <c r="F42" t="s">
        <v>177</v>
      </c>
      <c r="G42" t="s">
        <v>206</v>
      </c>
      <c r="H42" t="s">
        <v>16</v>
      </c>
      <c r="I42" t="s">
        <v>16</v>
      </c>
      <c r="J42" t="s">
        <v>223</v>
      </c>
      <c r="K42">
        <v>154190529</v>
      </c>
      <c r="L42" t="s">
        <v>520</v>
      </c>
      <c r="M42" t="s">
        <v>180</v>
      </c>
      <c r="N42" s="2">
        <v>2027</v>
      </c>
      <c r="O42" t="s">
        <v>123</v>
      </c>
      <c r="P42" s="1">
        <v>44623</v>
      </c>
      <c r="Q42" s="1">
        <v>45698</v>
      </c>
      <c r="R42" s="1">
        <v>46341</v>
      </c>
      <c r="S42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2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42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2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35</v>
      </c>
      <c r="W42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21</v>
      </c>
      <c r="X42">
        <f>Portefeuille_MNT_PPS_Access_26_2834[[#This Row],[Délais PC1 et PC3]]+Portefeuille_MNT_PPS_Access_26_2834[[#This Row],[Délais PC3 et PC5]]</f>
        <v>56</v>
      </c>
      <c r="Y42">
        <v>1</v>
      </c>
      <c r="Z42">
        <v>1</v>
      </c>
      <c r="AA42">
        <v>1</v>
      </c>
      <c r="AB42" t="s">
        <v>125</v>
      </c>
      <c r="AC42">
        <v>3.35</v>
      </c>
      <c r="AD42" s="2">
        <f>_xlfn.XLOOKUP(Portefeuille_MNT_PPS_Access_26_2834[[#This Row],[Numéro projet]],Portefeuille_MNT_PPS_Access27[Numéro projet],Portefeuille_MNT_PPS_Access27[Critère Etat Infrastructure])</f>
        <v>5</v>
      </c>
      <c r="AE42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51.750000000000007</v>
      </c>
      <c r="AF42" s="221"/>
      <c r="AG42">
        <v>180.00000000000003</v>
      </c>
      <c r="AI42">
        <v>53</v>
      </c>
      <c r="AJ42"/>
      <c r="AK42">
        <v>343.99999999999994</v>
      </c>
      <c r="AM42">
        <v>50</v>
      </c>
      <c r="AN42">
        <v>100</v>
      </c>
      <c r="AO42">
        <v>200</v>
      </c>
      <c r="AP42">
        <v>1594.9999999999998</v>
      </c>
      <c r="AQ42">
        <v>106</v>
      </c>
      <c r="AR42">
        <v>3411</v>
      </c>
      <c r="AS42">
        <v>212</v>
      </c>
      <c r="AT42">
        <v>5141.0000000000009</v>
      </c>
      <c r="AU42">
        <v>27.999999999999993</v>
      </c>
      <c r="AV42">
        <v>5153.0000000000018</v>
      </c>
      <c r="AW42">
        <v>28</v>
      </c>
      <c r="AX42">
        <v>5046.9999999999991</v>
      </c>
      <c r="BG42" s="14">
        <f>SUM(Portefeuille_MNT_PPS_Access_26_2834[[#This Row],[AC ANT]:[TR 2035]])</f>
        <v>21648</v>
      </c>
      <c r="BH42" s="14"/>
    </row>
    <row r="43" spans="1:60" hidden="1" x14ac:dyDescent="0.3">
      <c r="A43" t="s">
        <v>286</v>
      </c>
      <c r="B43" t="s">
        <v>662</v>
      </c>
      <c r="C43">
        <v>3</v>
      </c>
      <c r="D43" t="s">
        <v>118</v>
      </c>
      <c r="E43" t="s">
        <v>102</v>
      </c>
      <c r="F43" t="s">
        <v>177</v>
      </c>
      <c r="G43" t="s">
        <v>113</v>
      </c>
      <c r="H43" t="s">
        <v>16</v>
      </c>
      <c r="I43" t="s">
        <v>20</v>
      </c>
      <c r="J43" t="s">
        <v>131</v>
      </c>
      <c r="K43">
        <v>154200650</v>
      </c>
      <c r="L43" t="s">
        <v>241</v>
      </c>
      <c r="M43" t="s">
        <v>187</v>
      </c>
      <c r="N43" t="s">
        <v>173</v>
      </c>
      <c r="O43" t="s">
        <v>110</v>
      </c>
      <c r="P43" s="1">
        <v>45708</v>
      </c>
      <c r="Q43" s="1">
        <v>45923</v>
      </c>
      <c r="R43" s="1">
        <v>46296</v>
      </c>
      <c r="S43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43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43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3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7</v>
      </c>
      <c r="W43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13</v>
      </c>
      <c r="X43">
        <f>Portefeuille_MNT_PPS_Access_26_2834[[#This Row],[Délais PC1 et PC3]]+Portefeuille_MNT_PPS_Access_26_2834[[#This Row],[Délais PC3 et PC5]]</f>
        <v>20</v>
      </c>
      <c r="Z43">
        <v>1</v>
      </c>
      <c r="AA43">
        <v>5</v>
      </c>
      <c r="AB43" t="s">
        <v>112</v>
      </c>
      <c r="AC43">
        <v>3</v>
      </c>
      <c r="AD43" s="2">
        <f>_xlfn.XLOOKUP(Portefeuille_MNT_PPS_Access_26_2834[[#This Row],[Numéro projet]],Portefeuille_MNT_PPS_Access27[Numéro projet],Portefeuille_MNT_PPS_Access27[Critère Etat Infrastructure])</f>
        <v>5</v>
      </c>
      <c r="AE43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70</v>
      </c>
      <c r="AF43" s="221"/>
      <c r="AJ43"/>
      <c r="AK43">
        <v>217</v>
      </c>
      <c r="AM43">
        <v>72</v>
      </c>
      <c r="AO43">
        <v>295</v>
      </c>
      <c r="AP43">
        <v>5162</v>
      </c>
      <c r="AT43"/>
      <c r="BG43" s="14">
        <f>SUM(Portefeuille_MNT_PPS_Access_26_2834[[#This Row],[AC ANT]:[TR 2035]])</f>
        <v>5746</v>
      </c>
      <c r="BH43" s="14"/>
    </row>
    <row r="44" spans="1:60" hidden="1" x14ac:dyDescent="0.3">
      <c r="A44" t="s">
        <v>286</v>
      </c>
      <c r="B44" t="s">
        <v>664</v>
      </c>
      <c r="D44" t="s">
        <v>101</v>
      </c>
      <c r="E44" t="s">
        <v>102</v>
      </c>
      <c r="F44" t="s">
        <v>103</v>
      </c>
      <c r="G44" t="s">
        <v>129</v>
      </c>
      <c r="H44" t="s">
        <v>16</v>
      </c>
      <c r="I44" t="s">
        <v>16</v>
      </c>
      <c r="J44" t="s">
        <v>131</v>
      </c>
      <c r="K44">
        <v>154151060</v>
      </c>
      <c r="L44" t="s">
        <v>288</v>
      </c>
      <c r="M44" t="s">
        <v>134</v>
      </c>
      <c r="N44" t="s">
        <v>109</v>
      </c>
      <c r="O44" t="s">
        <v>123</v>
      </c>
      <c r="P44" s="1">
        <v>45218</v>
      </c>
      <c r="Q44" s="1">
        <v>45722</v>
      </c>
      <c r="R44" s="1">
        <v>45976</v>
      </c>
      <c r="S44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4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44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4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17</v>
      </c>
      <c r="W44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8</v>
      </c>
      <c r="X44">
        <f>Portefeuille_MNT_PPS_Access_26_2834[[#This Row],[Délais PC1 et PC3]]+Portefeuille_MNT_PPS_Access_26_2834[[#This Row],[Délais PC3 et PC5]]</f>
        <v>25</v>
      </c>
      <c r="Y44">
        <v>1</v>
      </c>
      <c r="Z44">
        <v>5</v>
      </c>
      <c r="AA44">
        <v>5</v>
      </c>
      <c r="AB44" t="s">
        <v>125</v>
      </c>
      <c r="AC44">
        <v>2.3333333333333335</v>
      </c>
      <c r="AD44" s="2">
        <f>_xlfn.XLOOKUP(Portefeuille_MNT_PPS_Access_26_2834[[#This Row],[Numéro projet]],Portefeuille_MNT_PPS_Access27[Numéro projet],Portefeuille_MNT_PPS_Access27[Critère Etat Infrastructure])</f>
        <v>5</v>
      </c>
      <c r="AE44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86.666666666666671</v>
      </c>
      <c r="AF44" s="221"/>
      <c r="AI44">
        <v>12</v>
      </c>
      <c r="AJ44"/>
      <c r="AK44">
        <v>10</v>
      </c>
      <c r="AM44">
        <v>350</v>
      </c>
      <c r="AN44">
        <v>4669</v>
      </c>
      <c r="AT44"/>
      <c r="BG44" s="14">
        <f>SUM(Portefeuille_MNT_PPS_Access_26_2834[[#This Row],[AC ANT]:[TR 2035]])</f>
        <v>5041</v>
      </c>
      <c r="BH44" s="14"/>
    </row>
    <row r="45" spans="1:60" hidden="1" x14ac:dyDescent="0.3">
      <c r="A45" t="s">
        <v>286</v>
      </c>
      <c r="B45" t="s">
        <v>663</v>
      </c>
      <c r="C45">
        <v>10</v>
      </c>
      <c r="D45" t="s">
        <v>101</v>
      </c>
      <c r="E45" t="s">
        <v>102</v>
      </c>
      <c r="F45" t="s">
        <v>103</v>
      </c>
      <c r="G45" t="s">
        <v>140</v>
      </c>
      <c r="H45" t="s">
        <v>16</v>
      </c>
      <c r="I45" t="s">
        <v>20</v>
      </c>
      <c r="J45" t="s">
        <v>131</v>
      </c>
      <c r="K45">
        <v>154210528</v>
      </c>
      <c r="L45" t="s">
        <v>515</v>
      </c>
      <c r="M45" t="s">
        <v>180</v>
      </c>
      <c r="N45" t="s">
        <v>173</v>
      </c>
      <c r="O45" t="s">
        <v>110</v>
      </c>
      <c r="P45" s="1">
        <v>45679</v>
      </c>
      <c r="Q45" s="1">
        <v>46096</v>
      </c>
      <c r="R45" s="1">
        <v>46371</v>
      </c>
      <c r="S45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45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45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5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14</v>
      </c>
      <c r="W45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9</v>
      </c>
      <c r="X45">
        <f>Portefeuille_MNT_PPS_Access_26_2834[[#This Row],[Délais PC1 et PC3]]+Portefeuille_MNT_PPS_Access_26_2834[[#This Row],[Délais PC3 et PC5]]</f>
        <v>23</v>
      </c>
      <c r="Z45">
        <v>1</v>
      </c>
      <c r="AA45">
        <v>3</v>
      </c>
      <c r="AB45" t="s">
        <v>112</v>
      </c>
      <c r="AC45">
        <v>1.8333333333333335</v>
      </c>
      <c r="AD45" s="2">
        <f>_xlfn.XLOOKUP(Portefeuille_MNT_PPS_Access_26_2834[[#This Row],[Numéro projet]],Portefeuille_MNT_PPS_Access27[Numéro projet],Portefeuille_MNT_PPS_Access27[Critère Etat Infrastructure])</f>
        <v>5</v>
      </c>
      <c r="AE45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54.166666666666671</v>
      </c>
      <c r="AF45" s="221"/>
      <c r="AJ45"/>
      <c r="AK45">
        <v>200</v>
      </c>
      <c r="AM45">
        <v>110</v>
      </c>
      <c r="AO45">
        <v>82</v>
      </c>
      <c r="AP45">
        <v>3475</v>
      </c>
      <c r="AQ45">
        <v>81</v>
      </c>
      <c r="AR45">
        <v>427</v>
      </c>
      <c r="AT45"/>
      <c r="BG45" s="14">
        <f>SUM(Portefeuille_MNT_PPS_Access_26_2834[[#This Row],[AC ANT]:[TR 2035]])</f>
        <v>4375</v>
      </c>
      <c r="BH45" s="14"/>
    </row>
    <row r="46" spans="1:60" hidden="1" x14ac:dyDescent="0.3">
      <c r="A46" t="s">
        <v>11</v>
      </c>
      <c r="C46">
        <v>9</v>
      </c>
      <c r="D46" t="s">
        <v>118</v>
      </c>
      <c r="E46" t="s">
        <v>102</v>
      </c>
      <c r="F46" t="s">
        <v>103</v>
      </c>
      <c r="G46" t="s">
        <v>252</v>
      </c>
      <c r="H46" t="s">
        <v>20</v>
      </c>
      <c r="I46" t="s">
        <v>20</v>
      </c>
      <c r="J46" t="s">
        <v>131</v>
      </c>
      <c r="K46">
        <v>154250200</v>
      </c>
      <c r="L46" t="s">
        <v>607</v>
      </c>
      <c r="M46" t="s">
        <v>180</v>
      </c>
      <c r="N46" t="s">
        <v>173</v>
      </c>
      <c r="O46" t="s">
        <v>291</v>
      </c>
      <c r="P46" s="1"/>
      <c r="Q46" s="1"/>
      <c r="R46" s="1"/>
      <c r="S46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46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46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46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46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46">
        <f>Portefeuille_MNT_PPS_Access_26_2834[[#This Row],[Délais PC1 et PC3]]+Portefeuille_MNT_PPS_Access_26_2834[[#This Row],[Délais PC3 et PC5]]</f>
        <v>0</v>
      </c>
      <c r="Z46">
        <v>1</v>
      </c>
      <c r="AA46">
        <v>3</v>
      </c>
      <c r="AB46" t="s">
        <v>311</v>
      </c>
      <c r="AC46">
        <v>3</v>
      </c>
      <c r="AD46" s="2">
        <f>_xlfn.XLOOKUP(Portefeuille_MNT_PPS_Access_26_2834[[#This Row],[Numéro projet]],Portefeuille_MNT_PPS_Access27[Numéro projet],Portefeuille_MNT_PPS_Access27[Critère Etat Infrastructure])</f>
        <v>3</v>
      </c>
      <c r="AE46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49.999999999999993</v>
      </c>
      <c r="AF46" s="221"/>
      <c r="AJ46"/>
      <c r="AP46">
        <v>300</v>
      </c>
      <c r="AT46"/>
      <c r="BG46" s="14">
        <f>SUM(Portefeuille_MNT_PPS_Access_26_2834[[#This Row],[AC ANT]:[TR 2035]])</f>
        <v>300</v>
      </c>
      <c r="BH46" s="14"/>
    </row>
    <row r="47" spans="1:60" x14ac:dyDescent="0.3">
      <c r="A47" t="s">
        <v>286</v>
      </c>
      <c r="B47" t="s">
        <v>295</v>
      </c>
      <c r="D47" t="s">
        <v>126</v>
      </c>
      <c r="E47" t="s">
        <v>127</v>
      </c>
      <c r="F47" t="s">
        <v>103</v>
      </c>
      <c r="G47" t="s">
        <v>104</v>
      </c>
      <c r="H47" t="s">
        <v>16</v>
      </c>
      <c r="I47" t="s">
        <v>130</v>
      </c>
      <c r="J47" t="s">
        <v>131</v>
      </c>
      <c r="K47">
        <v>154190517</v>
      </c>
      <c r="L47" t="s">
        <v>221</v>
      </c>
      <c r="M47" t="s">
        <v>159</v>
      </c>
      <c r="N47" t="s">
        <v>197</v>
      </c>
      <c r="O47" t="s">
        <v>155</v>
      </c>
      <c r="P47" s="1">
        <v>45976</v>
      </c>
      <c r="Q47" s="1">
        <v>46264</v>
      </c>
      <c r="R47" s="1">
        <v>46553</v>
      </c>
      <c r="S47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7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47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7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9</v>
      </c>
      <c r="W47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10</v>
      </c>
      <c r="X47">
        <f>Portefeuille_MNT_PPS_Access_26_2834[[#This Row],[Délais PC1 et PC3]]+Portefeuille_MNT_PPS_Access_26_2834[[#This Row],[Délais PC3 et PC5]]</f>
        <v>19</v>
      </c>
      <c r="Z47">
        <v>1</v>
      </c>
      <c r="AA47">
        <v>5</v>
      </c>
      <c r="AB47" t="s">
        <v>156</v>
      </c>
      <c r="AC47">
        <v>4.333333333333333</v>
      </c>
      <c r="AD47" s="2">
        <f>_xlfn.XLOOKUP(Portefeuille_MNT_PPS_Access_26_2834[[#This Row],[Numéro projet]],Portefeuille_MNT_PPS_Access27[Numéro projet],Portefeuille_MNT_PPS_Access27[Critère Etat Infrastructure])</f>
        <v>3</v>
      </c>
      <c r="AE47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66.666666666666671</v>
      </c>
      <c r="AF47" s="221"/>
      <c r="AJ47"/>
      <c r="AK47">
        <v>44</v>
      </c>
      <c r="AM47">
        <v>130</v>
      </c>
      <c r="AO47">
        <v>94</v>
      </c>
      <c r="AQ47">
        <v>106</v>
      </c>
      <c r="AR47">
        <v>10000</v>
      </c>
      <c r="AS47">
        <v>106</v>
      </c>
      <c r="AT47">
        <v>20662</v>
      </c>
      <c r="BG47" s="14">
        <f>SUM(Portefeuille_MNT_PPS_Access_26_2834[[#This Row],[AC ANT]:[TR 2035]])</f>
        <v>31142</v>
      </c>
      <c r="BH47" s="14"/>
    </row>
    <row r="48" spans="1:60" hidden="1" x14ac:dyDescent="0.3">
      <c r="A48" t="s">
        <v>286</v>
      </c>
      <c r="B48" t="s">
        <v>664</v>
      </c>
      <c r="D48" t="s">
        <v>101</v>
      </c>
      <c r="E48" t="s">
        <v>102</v>
      </c>
      <c r="F48" t="s">
        <v>103</v>
      </c>
      <c r="G48" t="s">
        <v>144</v>
      </c>
      <c r="H48" t="s">
        <v>16</v>
      </c>
      <c r="I48" t="s">
        <v>16</v>
      </c>
      <c r="J48" t="s">
        <v>131</v>
      </c>
      <c r="K48">
        <v>154190674</v>
      </c>
      <c r="L48" t="s">
        <v>146</v>
      </c>
      <c r="M48" t="s">
        <v>147</v>
      </c>
      <c r="N48" t="s">
        <v>197</v>
      </c>
      <c r="O48" t="s">
        <v>110</v>
      </c>
      <c r="P48" s="1">
        <v>44609</v>
      </c>
      <c r="Q48" s="1">
        <v>46310</v>
      </c>
      <c r="R48" s="1">
        <v>46583</v>
      </c>
      <c r="S48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8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48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8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56</v>
      </c>
      <c r="W48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9</v>
      </c>
      <c r="X48">
        <f>Portefeuille_MNT_PPS_Access_26_2834[[#This Row],[Délais PC1 et PC3]]+Portefeuille_MNT_PPS_Access_26_2834[[#This Row],[Délais PC3 et PC5]]</f>
        <v>65</v>
      </c>
      <c r="Z48">
        <v>5</v>
      </c>
      <c r="AA48">
        <v>5</v>
      </c>
      <c r="AB48" t="s">
        <v>112</v>
      </c>
      <c r="AC48">
        <v>2.6666666666666665</v>
      </c>
      <c r="AD48" s="2">
        <f>_xlfn.XLOOKUP(Portefeuille_MNT_PPS_Access_26_2834[[#This Row],[Numéro projet]],Portefeuille_MNT_PPS_Access27[Numéro projet],Portefeuille_MNT_PPS_Access27[Critère Etat Infrastructure])</f>
        <v>3</v>
      </c>
      <c r="AE48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78.333333333333329</v>
      </c>
      <c r="AF48" s="221"/>
      <c r="AG48">
        <v>117</v>
      </c>
      <c r="AI48">
        <v>84</v>
      </c>
      <c r="AJ48"/>
      <c r="AK48">
        <v>195</v>
      </c>
      <c r="AM48">
        <v>125</v>
      </c>
      <c r="AO48">
        <v>102</v>
      </c>
      <c r="AQ48">
        <v>100</v>
      </c>
      <c r="AR48">
        <v>9684</v>
      </c>
      <c r="AT48"/>
      <c r="BG48" s="14">
        <f>SUM(Portefeuille_MNT_PPS_Access_26_2834[[#This Row],[AC ANT]:[TR 2035]])</f>
        <v>10407</v>
      </c>
      <c r="BH48" s="14"/>
    </row>
    <row r="49" spans="1:60" hidden="1" x14ac:dyDescent="0.3">
      <c r="A49" t="s">
        <v>286</v>
      </c>
      <c r="B49" t="s">
        <v>663</v>
      </c>
      <c r="C49">
        <v>7</v>
      </c>
      <c r="D49" t="s">
        <v>101</v>
      </c>
      <c r="E49" t="s">
        <v>102</v>
      </c>
      <c r="F49" t="s">
        <v>136</v>
      </c>
      <c r="G49" t="s">
        <v>140</v>
      </c>
      <c r="H49" t="s">
        <v>16</v>
      </c>
      <c r="I49" t="s">
        <v>20</v>
      </c>
      <c r="J49" t="s">
        <v>131</v>
      </c>
      <c r="K49">
        <v>154101522</v>
      </c>
      <c r="L49" t="s">
        <v>296</v>
      </c>
      <c r="M49" t="s">
        <v>183</v>
      </c>
      <c r="N49" t="s">
        <v>173</v>
      </c>
      <c r="O49" t="s">
        <v>110</v>
      </c>
      <c r="P49" s="1">
        <v>45590</v>
      </c>
      <c r="Q49" s="1"/>
      <c r="R49" s="1">
        <v>46157</v>
      </c>
      <c r="S4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4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4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4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-1497</v>
      </c>
      <c r="W4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1516</v>
      </c>
      <c r="X49">
        <f>Portefeuille_MNT_PPS_Access_26_2834[[#This Row],[Délais PC1 et PC3]]+Portefeuille_MNT_PPS_Access_26_2834[[#This Row],[Délais PC3 et PC5]]</f>
        <v>19</v>
      </c>
      <c r="Z49">
        <v>1</v>
      </c>
      <c r="AA49">
        <v>1</v>
      </c>
      <c r="AB49" t="s">
        <v>112</v>
      </c>
      <c r="AC49">
        <v>2.3333333333333335</v>
      </c>
      <c r="AD49" s="2">
        <f>_xlfn.XLOOKUP(Portefeuille_MNT_PPS_Access_26_2834[[#This Row],[Numéro projet]],Portefeuille_MNT_PPS_Access27[Numéro projet],Portefeuille_MNT_PPS_Access27[Critère Etat Infrastructure])</f>
        <v>3</v>
      </c>
      <c r="AE4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36.666666666666664</v>
      </c>
      <c r="AF49" s="221"/>
      <c r="AJ49"/>
      <c r="AK49">
        <v>99</v>
      </c>
      <c r="AM49">
        <v>656</v>
      </c>
      <c r="AO49">
        <v>654</v>
      </c>
      <c r="AP49">
        <v>1461</v>
      </c>
      <c r="AT49"/>
      <c r="BG49" s="14">
        <f>SUM(Portefeuille_MNT_PPS_Access_26_2834[[#This Row],[AC ANT]:[TR 2035]])</f>
        <v>2870</v>
      </c>
      <c r="BH49" s="14"/>
    </row>
    <row r="50" spans="1:60" hidden="1" x14ac:dyDescent="0.3">
      <c r="A50" t="s">
        <v>286</v>
      </c>
      <c r="B50" t="s">
        <v>664</v>
      </c>
      <c r="D50" t="s">
        <v>101</v>
      </c>
      <c r="E50" t="s">
        <v>102</v>
      </c>
      <c r="F50" t="s">
        <v>128</v>
      </c>
      <c r="G50" t="s">
        <v>129</v>
      </c>
      <c r="H50" t="s">
        <v>16</v>
      </c>
      <c r="I50" t="s">
        <v>20</v>
      </c>
      <c r="J50" t="s">
        <v>131</v>
      </c>
      <c r="K50">
        <v>154240034</v>
      </c>
      <c r="L50" t="s">
        <v>251</v>
      </c>
      <c r="M50" t="s">
        <v>214</v>
      </c>
      <c r="N50" t="s">
        <v>197</v>
      </c>
      <c r="O50" t="s">
        <v>110</v>
      </c>
      <c r="P50" s="1">
        <v>45490</v>
      </c>
      <c r="Q50" s="1"/>
      <c r="R50" s="1">
        <v>46447</v>
      </c>
      <c r="S50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0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50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0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-1494</v>
      </c>
      <c r="W50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1526</v>
      </c>
      <c r="X50">
        <f>Portefeuille_MNT_PPS_Access_26_2834[[#This Row],[Délais PC1 et PC3]]+Portefeuille_MNT_PPS_Access_26_2834[[#This Row],[Délais PC3 et PC5]]</f>
        <v>32</v>
      </c>
      <c r="Z50">
        <v>1</v>
      </c>
      <c r="AA50">
        <v>5</v>
      </c>
      <c r="AB50" t="s">
        <v>112</v>
      </c>
      <c r="AC50">
        <v>3</v>
      </c>
      <c r="AD50" s="2">
        <f>_xlfn.XLOOKUP(Portefeuille_MNT_PPS_Access_26_2834[[#This Row],[Numéro projet]],Portefeuille_MNT_PPS_Access27[Numéro projet],Portefeuille_MNT_PPS_Access27[Critère Etat Infrastructure])</f>
        <v>4</v>
      </c>
      <c r="AE50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65</v>
      </c>
      <c r="AF50" s="221"/>
      <c r="AJ50"/>
      <c r="AK50">
        <v>37</v>
      </c>
      <c r="AM50">
        <v>10</v>
      </c>
      <c r="AO50">
        <v>12</v>
      </c>
      <c r="AQ50">
        <v>30</v>
      </c>
      <c r="AR50">
        <v>194</v>
      </c>
      <c r="AT50"/>
      <c r="BG50" s="14">
        <f>SUM(Portefeuille_MNT_PPS_Access_26_2834[[#This Row],[AC ANT]:[TR 2035]])</f>
        <v>283</v>
      </c>
      <c r="BH50" s="14"/>
    </row>
    <row r="51" spans="1:60" hidden="1" x14ac:dyDescent="0.3">
      <c r="A51" t="s">
        <v>286</v>
      </c>
      <c r="B51" t="s">
        <v>663</v>
      </c>
      <c r="D51" t="s">
        <v>101</v>
      </c>
      <c r="E51" t="s">
        <v>102</v>
      </c>
      <c r="F51" t="s">
        <v>136</v>
      </c>
      <c r="G51" t="s">
        <v>113</v>
      </c>
      <c r="H51" t="s">
        <v>16</v>
      </c>
      <c r="I51" t="s">
        <v>20</v>
      </c>
      <c r="J51" t="s">
        <v>131</v>
      </c>
      <c r="K51">
        <v>154140339</v>
      </c>
      <c r="L51" t="s">
        <v>186</v>
      </c>
      <c r="M51" t="s">
        <v>187</v>
      </c>
      <c r="N51" t="s">
        <v>197</v>
      </c>
      <c r="O51" t="s">
        <v>110</v>
      </c>
      <c r="P51" s="1">
        <v>44823</v>
      </c>
      <c r="Q51" s="1">
        <v>46310</v>
      </c>
      <c r="R51" s="1">
        <v>46521</v>
      </c>
      <c r="S51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1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51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1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49</v>
      </c>
      <c r="W51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7</v>
      </c>
      <c r="X51">
        <f>Portefeuille_MNT_PPS_Access_26_2834[[#This Row],[Délais PC1 et PC3]]+Portefeuille_MNT_PPS_Access_26_2834[[#This Row],[Délais PC3 et PC5]]</f>
        <v>56</v>
      </c>
      <c r="Z51">
        <v>1</v>
      </c>
      <c r="AA51">
        <v>5</v>
      </c>
      <c r="AB51" t="s">
        <v>112</v>
      </c>
      <c r="AC51">
        <v>3</v>
      </c>
      <c r="AD51" s="2">
        <f>_xlfn.XLOOKUP(Portefeuille_MNT_PPS_Access_26_2834[[#This Row],[Numéro projet]],Portefeuille_MNT_PPS_Access27[Numéro projet],Portefeuille_MNT_PPS_Access27[Critère Etat Infrastructure])</f>
        <v>3</v>
      </c>
      <c r="AE51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60.000000000000007</v>
      </c>
      <c r="AF51" s="221"/>
      <c r="AG51">
        <v>282</v>
      </c>
      <c r="AI51">
        <v>175</v>
      </c>
      <c r="AJ51"/>
      <c r="AK51">
        <v>424</v>
      </c>
      <c r="AM51">
        <v>835</v>
      </c>
      <c r="AO51">
        <v>657</v>
      </c>
      <c r="AQ51">
        <v>212</v>
      </c>
      <c r="AR51">
        <v>5369</v>
      </c>
      <c r="AS51">
        <v>289</v>
      </c>
      <c r="AT51">
        <v>10806</v>
      </c>
      <c r="BG51" s="14">
        <f>SUM(Portefeuille_MNT_PPS_Access_26_2834[[#This Row],[AC ANT]:[TR 2035]])</f>
        <v>19049</v>
      </c>
      <c r="BH51" s="14"/>
    </row>
    <row r="52" spans="1:60" x14ac:dyDescent="0.3">
      <c r="A52" t="s">
        <v>286</v>
      </c>
      <c r="B52" t="s">
        <v>662</v>
      </c>
      <c r="D52" t="s">
        <v>118</v>
      </c>
      <c r="E52" t="s">
        <v>102</v>
      </c>
      <c r="F52" t="s">
        <v>119</v>
      </c>
      <c r="G52" t="s">
        <v>206</v>
      </c>
      <c r="H52" t="s">
        <v>16</v>
      </c>
      <c r="I52" t="s">
        <v>130</v>
      </c>
      <c r="J52" t="s">
        <v>131</v>
      </c>
      <c r="K52">
        <v>154180745</v>
      </c>
      <c r="L52" t="s">
        <v>208</v>
      </c>
      <c r="M52" t="s">
        <v>209</v>
      </c>
      <c r="N52" t="s">
        <v>197</v>
      </c>
      <c r="O52" t="s">
        <v>155</v>
      </c>
      <c r="P52" s="1">
        <v>45976</v>
      </c>
      <c r="Q52" s="1">
        <v>46096</v>
      </c>
      <c r="R52" s="1">
        <v>46280</v>
      </c>
      <c r="S52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2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52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2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4</v>
      </c>
      <c r="W52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6</v>
      </c>
      <c r="X52">
        <f>Portefeuille_MNT_PPS_Access_26_2834[[#This Row],[Délais PC1 et PC3]]+Portefeuille_MNT_PPS_Access_26_2834[[#This Row],[Délais PC3 et PC5]]</f>
        <v>10</v>
      </c>
      <c r="Z52">
        <v>1</v>
      </c>
      <c r="AA52">
        <v>5</v>
      </c>
      <c r="AB52" t="s">
        <v>156</v>
      </c>
      <c r="AC52">
        <v>3.3333333333333335</v>
      </c>
      <c r="AD52" s="2">
        <f>_xlfn.XLOOKUP(Portefeuille_MNT_PPS_Access_26_2834[[#This Row],[Numéro projet]],Portefeuille_MNT_PPS_Access27[Numéro projet],Portefeuille_MNT_PPS_Access27[Critère Etat Infrastructure])</f>
        <v>3</v>
      </c>
      <c r="AE52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61.666666666666671</v>
      </c>
      <c r="AF52" s="221"/>
      <c r="AG52">
        <v>196</v>
      </c>
      <c r="AJ52"/>
      <c r="AK52">
        <v>40</v>
      </c>
      <c r="AM52">
        <v>255</v>
      </c>
      <c r="AO52">
        <v>396</v>
      </c>
      <c r="AR52">
        <v>1500</v>
      </c>
      <c r="AT52"/>
      <c r="BG52" s="14">
        <f>SUM(Portefeuille_MNT_PPS_Access_26_2834[[#This Row],[AC ANT]:[TR 2035]])</f>
        <v>2387</v>
      </c>
      <c r="BH52" s="14"/>
    </row>
    <row r="53" spans="1:60" x14ac:dyDescent="0.3">
      <c r="A53" t="s">
        <v>286</v>
      </c>
      <c r="B53" t="s">
        <v>662</v>
      </c>
      <c r="D53" t="s">
        <v>118</v>
      </c>
      <c r="E53" t="s">
        <v>102</v>
      </c>
      <c r="F53" t="s">
        <v>136</v>
      </c>
      <c r="G53" t="s">
        <v>104</v>
      </c>
      <c r="H53" t="s">
        <v>16</v>
      </c>
      <c r="I53" t="s">
        <v>20</v>
      </c>
      <c r="J53" t="s">
        <v>105</v>
      </c>
      <c r="K53">
        <v>154240757</v>
      </c>
      <c r="L53" t="s">
        <v>519</v>
      </c>
      <c r="M53" t="s">
        <v>143</v>
      </c>
      <c r="N53" t="s">
        <v>197</v>
      </c>
      <c r="O53" t="s">
        <v>155</v>
      </c>
      <c r="P53" s="1">
        <v>46127</v>
      </c>
      <c r="Q53" s="1"/>
      <c r="R53" s="1"/>
      <c r="S53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53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53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53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-1515</v>
      </c>
      <c r="W53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53">
        <f>Portefeuille_MNT_PPS_Access_26_2834[[#This Row],[Délais PC1 et PC3]]+Portefeuille_MNT_PPS_Access_26_2834[[#This Row],[Délais PC3 et PC5]]</f>
        <v>-1515</v>
      </c>
      <c r="Z53">
        <v>1</v>
      </c>
      <c r="AA53">
        <v>1</v>
      </c>
      <c r="AB53" t="s">
        <v>156</v>
      </c>
      <c r="AC53">
        <v>4.333333333333333</v>
      </c>
      <c r="AD53" s="2">
        <f>_xlfn.XLOOKUP(Portefeuille_MNT_PPS_Access_26_2834[[#This Row],[Numéro projet]],Portefeuille_MNT_PPS_Access27[Numéro projet],Portefeuille_MNT_PPS_Access27[Critère Etat Infrastructure])</f>
        <v>5</v>
      </c>
      <c r="AE53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56.666666666666664</v>
      </c>
      <c r="AF53" s="221"/>
      <c r="AJ53"/>
      <c r="AM53">
        <v>10</v>
      </c>
      <c r="AO53">
        <v>15</v>
      </c>
      <c r="AQ53">
        <v>25</v>
      </c>
      <c r="AR53">
        <v>250</v>
      </c>
      <c r="AT53"/>
      <c r="BG53" s="14">
        <f>SUM(Portefeuille_MNT_PPS_Access_26_2834[[#This Row],[AC ANT]:[TR 2035]])</f>
        <v>300</v>
      </c>
      <c r="BH53" s="14"/>
    </row>
    <row r="54" spans="1:60" x14ac:dyDescent="0.3">
      <c r="A54" t="s">
        <v>286</v>
      </c>
      <c r="B54" t="s">
        <v>662</v>
      </c>
      <c r="D54" t="s">
        <v>118</v>
      </c>
      <c r="E54" t="s">
        <v>102</v>
      </c>
      <c r="F54" t="s">
        <v>242</v>
      </c>
      <c r="G54" t="s">
        <v>113</v>
      </c>
      <c r="H54" t="s">
        <v>16</v>
      </c>
      <c r="I54" t="s">
        <v>20</v>
      </c>
      <c r="J54" t="s">
        <v>131</v>
      </c>
      <c r="K54">
        <v>154210524</v>
      </c>
      <c r="L54" t="s">
        <v>244</v>
      </c>
      <c r="M54" t="s">
        <v>245</v>
      </c>
      <c r="N54" t="s">
        <v>197</v>
      </c>
      <c r="O54" t="s">
        <v>155</v>
      </c>
      <c r="P54" s="1">
        <v>45976</v>
      </c>
      <c r="Q54" s="1">
        <v>46280</v>
      </c>
      <c r="R54" s="1">
        <v>46433</v>
      </c>
      <c r="S54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4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54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4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10</v>
      </c>
      <c r="W54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5</v>
      </c>
      <c r="X54">
        <f>Portefeuille_MNT_PPS_Access_26_2834[[#This Row],[Délais PC1 et PC3]]+Portefeuille_MNT_PPS_Access_26_2834[[#This Row],[Délais PC3 et PC5]]</f>
        <v>15</v>
      </c>
      <c r="Z54">
        <v>1</v>
      </c>
      <c r="AA54">
        <v>5</v>
      </c>
      <c r="AB54" t="s">
        <v>156</v>
      </c>
      <c r="AC54">
        <v>1.6666666666666667</v>
      </c>
      <c r="AD54" s="2">
        <f>_xlfn.XLOOKUP(Portefeuille_MNT_PPS_Access_26_2834[[#This Row],[Numéro projet]],Portefeuille_MNT_PPS_Access27[Numéro projet],Portefeuille_MNT_PPS_Access27[Critère Etat Infrastructure])</f>
        <v>4</v>
      </c>
      <c r="AE54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58.333333333333336</v>
      </c>
      <c r="AF54" s="221"/>
      <c r="AJ54"/>
      <c r="AK54">
        <v>5</v>
      </c>
      <c r="AM54">
        <v>150</v>
      </c>
      <c r="AO54">
        <v>195</v>
      </c>
      <c r="AR54">
        <v>2000</v>
      </c>
      <c r="AT54"/>
      <c r="BG54" s="14">
        <f>SUM(Portefeuille_MNT_PPS_Access_26_2834[[#This Row],[AC ANT]:[TR 2035]])</f>
        <v>2350</v>
      </c>
      <c r="BH54" s="14"/>
    </row>
    <row r="55" spans="1:60" x14ac:dyDescent="0.3">
      <c r="A55" t="s">
        <v>286</v>
      </c>
      <c r="B55" t="s">
        <v>662</v>
      </c>
      <c r="C55">
        <v>2</v>
      </c>
      <c r="D55" t="s">
        <v>118</v>
      </c>
      <c r="E55" t="s">
        <v>102</v>
      </c>
      <c r="F55" t="s">
        <v>103</v>
      </c>
      <c r="G55" t="s">
        <v>113</v>
      </c>
      <c r="H55" t="s">
        <v>20</v>
      </c>
      <c r="I55" t="s">
        <v>20</v>
      </c>
      <c r="J55" t="s">
        <v>131</v>
      </c>
      <c r="K55">
        <v>154180766</v>
      </c>
      <c r="L55" t="s">
        <v>378</v>
      </c>
      <c r="M55" t="s">
        <v>191</v>
      </c>
      <c r="N55" t="s">
        <v>197</v>
      </c>
      <c r="O55" t="s">
        <v>155</v>
      </c>
      <c r="P55" s="1">
        <v>46068</v>
      </c>
      <c r="Q55" s="1">
        <v>46461</v>
      </c>
      <c r="R55" s="1">
        <v>46888</v>
      </c>
      <c r="S55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55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55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1.Très à risque</v>
      </c>
      <c r="V55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13</v>
      </c>
      <c r="W55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14</v>
      </c>
      <c r="X55">
        <f>Portefeuille_MNT_PPS_Access_26_2834[[#This Row],[Délais PC1 et PC3]]+Portefeuille_MNT_PPS_Access_26_2834[[#This Row],[Délais PC3 et PC5]]</f>
        <v>27</v>
      </c>
      <c r="Z55">
        <v>1</v>
      </c>
      <c r="AA55">
        <v>3</v>
      </c>
      <c r="AB55" t="s">
        <v>156</v>
      </c>
      <c r="AC55">
        <v>1.6666666666666667</v>
      </c>
      <c r="AD55" s="2">
        <f>_xlfn.XLOOKUP(Portefeuille_MNT_PPS_Access_26_2834[[#This Row],[Numéro projet]],Portefeuille_MNT_PPS_Access27[Numéro projet],Portefeuille_MNT_PPS_Access27[Critère Etat Infrastructure])</f>
        <v>4</v>
      </c>
      <c r="AE55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48.333333333333336</v>
      </c>
      <c r="AF55" s="221"/>
      <c r="AJ55"/>
      <c r="AM55">
        <v>100</v>
      </c>
      <c r="AO55">
        <v>200</v>
      </c>
      <c r="AQ55">
        <v>495</v>
      </c>
      <c r="AR55">
        <v>8000</v>
      </c>
      <c r="AT55"/>
      <c r="BG55" s="14">
        <f>SUM(Portefeuille_MNT_PPS_Access_26_2834[[#This Row],[AC ANT]:[TR 2035]])</f>
        <v>8795</v>
      </c>
      <c r="BH55" s="14"/>
    </row>
    <row r="56" spans="1:60" hidden="1" x14ac:dyDescent="0.3">
      <c r="A56" t="s">
        <v>286</v>
      </c>
      <c r="B56" t="s">
        <v>295</v>
      </c>
      <c r="D56" t="s">
        <v>126</v>
      </c>
      <c r="E56" t="s">
        <v>127</v>
      </c>
      <c r="F56" t="s">
        <v>136</v>
      </c>
      <c r="G56" t="s">
        <v>104</v>
      </c>
      <c r="H56" t="s">
        <v>16</v>
      </c>
      <c r="I56" t="s">
        <v>16</v>
      </c>
      <c r="J56" t="s">
        <v>105</v>
      </c>
      <c r="K56">
        <v>154061996</v>
      </c>
      <c r="L56" t="s">
        <v>163</v>
      </c>
      <c r="M56" t="s">
        <v>122</v>
      </c>
      <c r="N56" t="s">
        <v>148</v>
      </c>
      <c r="O56" t="s">
        <v>164</v>
      </c>
      <c r="P56" s="1"/>
      <c r="Q56" s="1"/>
      <c r="R56" s="1"/>
      <c r="S56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X</v>
      </c>
      <c r="T56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56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X</v>
      </c>
      <c r="V56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0</v>
      </c>
      <c r="W56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56">
        <f>Portefeuille_MNT_PPS_Access_26_2834[[#This Row],[Délais PC1 et PC3]]+Portefeuille_MNT_PPS_Access_26_2834[[#This Row],[Délais PC3 et PC5]]</f>
        <v>0</v>
      </c>
      <c r="Y56">
        <v>1</v>
      </c>
      <c r="Z56">
        <v>1</v>
      </c>
      <c r="AB56" t="s">
        <v>165</v>
      </c>
      <c r="AC56">
        <v>4</v>
      </c>
      <c r="AD56" s="2">
        <f>_xlfn.XLOOKUP(Portefeuille_MNT_PPS_Access_26_2834[[#This Row],[Numéro projet]],Portefeuille_MNT_PPS_Access27[Numéro projet],Portefeuille_MNT_PPS_Access27[Critère Etat Infrastructure])</f>
        <v>0</v>
      </c>
      <c r="AE56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60.000000000000007</v>
      </c>
      <c r="AF56" s="221"/>
      <c r="AG56">
        <v>5398</v>
      </c>
      <c r="AH56">
        <v>28152</v>
      </c>
      <c r="AI56">
        <v>46</v>
      </c>
      <c r="AJ56">
        <v>891</v>
      </c>
      <c r="AK56">
        <v>109</v>
      </c>
      <c r="AL56">
        <v>155</v>
      </c>
      <c r="AM56">
        <v>45</v>
      </c>
      <c r="AT56"/>
      <c r="BG56" s="14">
        <f>SUM(Portefeuille_MNT_PPS_Access_26_2834[[#This Row],[AC ANT]:[TR 2035]])</f>
        <v>34796</v>
      </c>
      <c r="BH56" s="14"/>
    </row>
    <row r="57" spans="1:60" hidden="1" x14ac:dyDescent="0.3">
      <c r="A57" t="s">
        <v>286</v>
      </c>
      <c r="B57" t="s">
        <v>664</v>
      </c>
      <c r="D57" t="s">
        <v>101</v>
      </c>
      <c r="E57" t="s">
        <v>102</v>
      </c>
      <c r="F57" t="s">
        <v>128</v>
      </c>
      <c r="G57" t="s">
        <v>140</v>
      </c>
      <c r="H57" t="s">
        <v>16</v>
      </c>
      <c r="I57" t="s">
        <v>16</v>
      </c>
      <c r="J57" t="s">
        <v>105</v>
      </c>
      <c r="K57">
        <v>154160008</v>
      </c>
      <c r="L57" t="s">
        <v>142</v>
      </c>
      <c r="M57" t="s">
        <v>143</v>
      </c>
      <c r="N57" t="s">
        <v>109</v>
      </c>
      <c r="O57" t="s">
        <v>123</v>
      </c>
      <c r="P57" s="1">
        <v>42900</v>
      </c>
      <c r="Q57" s="1">
        <v>45323</v>
      </c>
      <c r="R57" s="1">
        <v>45889</v>
      </c>
      <c r="S57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7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57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7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80</v>
      </c>
      <c r="W57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18</v>
      </c>
      <c r="X57">
        <f>Portefeuille_MNT_PPS_Access_26_2834[[#This Row],[Délais PC1 et PC3]]+Portefeuille_MNT_PPS_Access_26_2834[[#This Row],[Délais PC3 et PC5]]</f>
        <v>98</v>
      </c>
      <c r="Y57">
        <v>1</v>
      </c>
      <c r="Z57">
        <v>5</v>
      </c>
      <c r="AA57">
        <v>5</v>
      </c>
      <c r="AB57" t="s">
        <v>125</v>
      </c>
      <c r="AC57">
        <v>4.333333333333333</v>
      </c>
      <c r="AD57" s="2">
        <f>_xlfn.XLOOKUP(Portefeuille_MNT_PPS_Access_26_2834[[#This Row],[Numéro projet]],Portefeuille_MNT_PPS_Access27[Numéro projet],Portefeuille_MNT_PPS_Access27[Critère Etat Infrastructure])</f>
        <v>5</v>
      </c>
      <c r="AE57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96.666666666666671</v>
      </c>
      <c r="AF57" s="221"/>
      <c r="AG57">
        <v>61</v>
      </c>
      <c r="AJ57"/>
      <c r="AM57">
        <v>400</v>
      </c>
      <c r="AN57">
        <v>5141</v>
      </c>
      <c r="AT57"/>
      <c r="BG57" s="14">
        <f>SUM(Portefeuille_MNT_PPS_Access_26_2834[[#This Row],[AC ANT]:[TR 2035]])</f>
        <v>5602</v>
      </c>
      <c r="BH57" s="14"/>
    </row>
    <row r="58" spans="1:60" hidden="1" x14ac:dyDescent="0.3">
      <c r="A58" t="s">
        <v>286</v>
      </c>
      <c r="B58" t="s">
        <v>664</v>
      </c>
      <c r="D58" t="s">
        <v>101</v>
      </c>
      <c r="E58" t="s">
        <v>102</v>
      </c>
      <c r="F58" t="s">
        <v>103</v>
      </c>
      <c r="G58" t="s">
        <v>113</v>
      </c>
      <c r="H58" t="s">
        <v>16</v>
      </c>
      <c r="I58" t="s">
        <v>16</v>
      </c>
      <c r="J58" t="s">
        <v>105</v>
      </c>
      <c r="K58">
        <v>154180736</v>
      </c>
      <c r="L58" t="s">
        <v>115</v>
      </c>
      <c r="M58" t="s">
        <v>116</v>
      </c>
      <c r="N58" s="2" t="s">
        <v>109</v>
      </c>
      <c r="O58" t="s">
        <v>123</v>
      </c>
      <c r="P58" s="1">
        <v>45105</v>
      </c>
      <c r="Q58" s="1">
        <v>45789</v>
      </c>
      <c r="R58" s="1">
        <v>45932</v>
      </c>
      <c r="S58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8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1.Très à risque</v>
      </c>
      <c r="U58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8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23</v>
      </c>
      <c r="W58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5</v>
      </c>
      <c r="X58">
        <f>Portefeuille_MNT_PPS_Access_26_2834[[#This Row],[Délais PC1 et PC3]]+Portefeuille_MNT_PPS_Access_26_2834[[#This Row],[Délais PC3 et PC5]]</f>
        <v>28</v>
      </c>
      <c r="Y58">
        <v>1</v>
      </c>
      <c r="Z58">
        <v>5</v>
      </c>
      <c r="AA58">
        <v>5</v>
      </c>
      <c r="AB58" t="s">
        <v>125</v>
      </c>
      <c r="AC58">
        <v>3.3333333333333335</v>
      </c>
      <c r="AD58" s="2">
        <f>_xlfn.XLOOKUP(Portefeuille_MNT_PPS_Access_26_2834[[#This Row],[Numéro projet]],Portefeuille_MNT_PPS_Access27[Numéro projet],Portefeuille_MNT_PPS_Access27[Critère Etat Infrastructure])</f>
        <v>4</v>
      </c>
      <c r="AE58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86.666666666666671</v>
      </c>
      <c r="AF58" s="221"/>
      <c r="AG58">
        <v>25</v>
      </c>
      <c r="AI58">
        <v>17</v>
      </c>
      <c r="AJ58"/>
      <c r="AK58">
        <v>178</v>
      </c>
      <c r="AM58">
        <v>820</v>
      </c>
      <c r="AN58">
        <v>16510</v>
      </c>
      <c r="AT58"/>
      <c r="BG58" s="14">
        <f>SUM(Portefeuille_MNT_PPS_Access_26_2834[[#This Row],[AC ANT]:[TR 2035]])</f>
        <v>17550</v>
      </c>
      <c r="BH58" s="14"/>
    </row>
    <row r="59" spans="1:60" x14ac:dyDescent="0.3">
      <c r="A59" t="s">
        <v>286</v>
      </c>
      <c r="B59" t="s">
        <v>662</v>
      </c>
      <c r="D59" t="s">
        <v>118</v>
      </c>
      <c r="E59" t="s">
        <v>102</v>
      </c>
      <c r="F59" t="s">
        <v>242</v>
      </c>
      <c r="G59" t="s">
        <v>129</v>
      </c>
      <c r="H59" t="s">
        <v>16</v>
      </c>
      <c r="I59" t="s">
        <v>20</v>
      </c>
      <c r="J59" t="s">
        <v>131</v>
      </c>
      <c r="K59">
        <v>154180774</v>
      </c>
      <c r="L59" t="s">
        <v>386</v>
      </c>
      <c r="M59" t="s">
        <v>134</v>
      </c>
      <c r="N59" t="s">
        <v>197</v>
      </c>
      <c r="O59" t="s">
        <v>155</v>
      </c>
      <c r="P59" s="1">
        <v>45960</v>
      </c>
      <c r="Q59" s="1">
        <v>46395</v>
      </c>
      <c r="R59" s="1">
        <v>46631</v>
      </c>
      <c r="S5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5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5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5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15</v>
      </c>
      <c r="W5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8</v>
      </c>
      <c r="X59">
        <f>Portefeuille_MNT_PPS_Access_26_2834[[#This Row],[Délais PC1 et PC3]]+Portefeuille_MNT_PPS_Access_26_2834[[#This Row],[Délais PC3 et PC5]]</f>
        <v>23</v>
      </c>
      <c r="Z59">
        <v>1</v>
      </c>
      <c r="AA59">
        <v>5</v>
      </c>
      <c r="AB59" t="s">
        <v>156</v>
      </c>
      <c r="AC59">
        <v>1.3333333333333333</v>
      </c>
      <c r="AD59" s="2">
        <f>_xlfn.XLOOKUP(Portefeuille_MNT_PPS_Access_26_2834[[#This Row],[Numéro projet]],Portefeuille_MNT_PPS_Access27[Numéro projet],Portefeuille_MNT_PPS_Access27[Critère Etat Infrastructure])</f>
        <v>4</v>
      </c>
      <c r="AE5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56.666666666666679</v>
      </c>
      <c r="AF59" s="221"/>
      <c r="AJ59"/>
      <c r="AM59">
        <v>50</v>
      </c>
      <c r="AO59">
        <v>50</v>
      </c>
      <c r="AQ59">
        <v>220</v>
      </c>
      <c r="AR59">
        <v>1161</v>
      </c>
      <c r="AT59"/>
      <c r="BG59" s="14">
        <f>SUM(Portefeuille_MNT_PPS_Access_26_2834[[#This Row],[AC ANT]:[TR 2035]])</f>
        <v>1481</v>
      </c>
      <c r="BH59" s="14"/>
    </row>
    <row r="60" spans="1:60" hidden="1" x14ac:dyDescent="0.3">
      <c r="A60" t="s">
        <v>286</v>
      </c>
      <c r="B60" t="s">
        <v>663</v>
      </c>
      <c r="D60" t="s">
        <v>101</v>
      </c>
      <c r="E60" t="s">
        <v>102</v>
      </c>
      <c r="F60" t="s">
        <v>119</v>
      </c>
      <c r="G60" t="s">
        <v>129</v>
      </c>
      <c r="H60" t="s">
        <v>16</v>
      </c>
      <c r="I60" t="s">
        <v>16</v>
      </c>
      <c r="J60" t="s">
        <v>131</v>
      </c>
      <c r="K60">
        <v>154200653</v>
      </c>
      <c r="L60" t="s">
        <v>154</v>
      </c>
      <c r="M60" t="s">
        <v>134</v>
      </c>
      <c r="N60" t="s">
        <v>109</v>
      </c>
      <c r="O60" t="s">
        <v>123</v>
      </c>
      <c r="P60" s="1">
        <v>45601</v>
      </c>
      <c r="Q60" s="1">
        <v>45731</v>
      </c>
      <c r="R60" s="1">
        <v>45976</v>
      </c>
      <c r="S60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60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60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0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4</v>
      </c>
      <c r="W60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8</v>
      </c>
      <c r="X60">
        <f>Portefeuille_MNT_PPS_Access_26_2834[[#This Row],[Délais PC1 et PC3]]+Portefeuille_MNT_PPS_Access_26_2834[[#This Row],[Délais PC3 et PC5]]</f>
        <v>12</v>
      </c>
      <c r="Y60">
        <v>1</v>
      </c>
      <c r="Z60">
        <v>5</v>
      </c>
      <c r="AA60">
        <v>5</v>
      </c>
      <c r="AB60" t="s">
        <v>125</v>
      </c>
      <c r="AC60">
        <v>2.3333333333333335</v>
      </c>
      <c r="AD60" s="2">
        <f>_xlfn.XLOOKUP(Portefeuille_MNT_PPS_Access_26_2834[[#This Row],[Numéro projet]],Portefeuille_MNT_PPS_Access27[Numéro projet],Portefeuille_MNT_PPS_Access27[Critère Etat Infrastructure])</f>
        <v>3</v>
      </c>
      <c r="AE60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76.666666666666671</v>
      </c>
      <c r="AF60" s="221"/>
      <c r="AJ60"/>
      <c r="AK60">
        <v>20</v>
      </c>
      <c r="AM60">
        <v>55</v>
      </c>
      <c r="AN60">
        <v>543</v>
      </c>
      <c r="AT60"/>
      <c r="BG60" s="14">
        <f>SUM(Portefeuille_MNT_PPS_Access_26_2834[[#This Row],[AC ANT]:[TR 2035]])</f>
        <v>618</v>
      </c>
      <c r="BH60" s="14"/>
    </row>
    <row r="61" spans="1:60" x14ac:dyDescent="0.3">
      <c r="A61" t="s">
        <v>286</v>
      </c>
      <c r="B61" t="s">
        <v>295</v>
      </c>
      <c r="D61" t="s">
        <v>126</v>
      </c>
      <c r="E61" t="s">
        <v>127</v>
      </c>
      <c r="F61" t="s">
        <v>103</v>
      </c>
      <c r="G61" t="s">
        <v>149</v>
      </c>
      <c r="H61" t="s">
        <v>16</v>
      </c>
      <c r="I61" t="s">
        <v>20</v>
      </c>
      <c r="J61" t="s">
        <v>131</v>
      </c>
      <c r="K61">
        <v>154190681</v>
      </c>
      <c r="L61" t="s">
        <v>542</v>
      </c>
      <c r="M61" t="s">
        <v>152</v>
      </c>
      <c r="N61" t="s">
        <v>169</v>
      </c>
      <c r="O61" t="s">
        <v>155</v>
      </c>
      <c r="P61" s="1">
        <v>46127</v>
      </c>
      <c r="Q61" s="1">
        <v>46553</v>
      </c>
      <c r="R61" s="1">
        <v>46980</v>
      </c>
      <c r="S61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1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1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1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14</v>
      </c>
      <c r="W61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14</v>
      </c>
      <c r="X61">
        <f>Portefeuille_MNT_PPS_Access_26_2834[[#This Row],[Délais PC1 et PC3]]+Portefeuille_MNT_PPS_Access_26_2834[[#This Row],[Délais PC3 et PC5]]</f>
        <v>28</v>
      </c>
      <c r="Z61">
        <v>1</v>
      </c>
      <c r="AB61" t="s">
        <v>156</v>
      </c>
      <c r="AC61">
        <v>3.3333333333333335</v>
      </c>
      <c r="AD61" s="2">
        <f>_xlfn.XLOOKUP(Portefeuille_MNT_PPS_Access_26_2834[[#This Row],[Numéro projet]],Portefeuille_MNT_PPS_Access27[Numéro projet],Portefeuille_MNT_PPS_Access27[Critère Etat Infrastructure])</f>
        <v>3</v>
      </c>
      <c r="AE61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41.666666666666671</v>
      </c>
      <c r="AF61" s="221"/>
      <c r="AJ61"/>
      <c r="AM61">
        <v>100</v>
      </c>
      <c r="AO61">
        <v>167</v>
      </c>
      <c r="AQ61">
        <v>100</v>
      </c>
      <c r="AS61">
        <v>588</v>
      </c>
      <c r="AT61">
        <v>7500</v>
      </c>
      <c r="BG61" s="14">
        <f>SUM(Portefeuille_MNT_PPS_Access_26_2834[[#This Row],[AC ANT]:[TR 2035]])</f>
        <v>8455</v>
      </c>
      <c r="BH61" s="14"/>
    </row>
    <row r="62" spans="1:60" x14ac:dyDescent="0.3">
      <c r="A62" t="s">
        <v>286</v>
      </c>
      <c r="B62" t="s">
        <v>663</v>
      </c>
      <c r="D62" t="s">
        <v>101</v>
      </c>
      <c r="E62" t="s">
        <v>102</v>
      </c>
      <c r="F62" t="s">
        <v>136</v>
      </c>
      <c r="G62" t="s">
        <v>149</v>
      </c>
      <c r="H62" t="s">
        <v>16</v>
      </c>
      <c r="I62" t="s">
        <v>20</v>
      </c>
      <c r="J62" t="s">
        <v>105</v>
      </c>
      <c r="K62">
        <v>154180731</v>
      </c>
      <c r="L62" t="s">
        <v>204</v>
      </c>
      <c r="M62" t="s">
        <v>205</v>
      </c>
      <c r="N62" t="s">
        <v>197</v>
      </c>
      <c r="O62" t="s">
        <v>155</v>
      </c>
      <c r="P62" s="1">
        <v>45960</v>
      </c>
      <c r="Q62" s="1">
        <v>46264</v>
      </c>
      <c r="R62" s="1">
        <v>46629</v>
      </c>
      <c r="S62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2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2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2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10</v>
      </c>
      <c r="W62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12</v>
      </c>
      <c r="X62">
        <f>Portefeuille_MNT_PPS_Access_26_2834[[#This Row],[Délais PC1 et PC3]]+Portefeuille_MNT_PPS_Access_26_2834[[#This Row],[Délais PC3 et PC5]]</f>
        <v>22</v>
      </c>
      <c r="Z62">
        <v>1</v>
      </c>
      <c r="AA62">
        <v>5</v>
      </c>
      <c r="AB62" t="s">
        <v>156</v>
      </c>
      <c r="AC62">
        <v>3</v>
      </c>
      <c r="AD62" s="2">
        <f>_xlfn.XLOOKUP(Portefeuille_MNT_PPS_Access_26_2834[[#This Row],[Numéro projet]],Portefeuille_MNT_PPS_Access27[Numéro projet],Portefeuille_MNT_PPS_Access27[Critère Etat Infrastructure])</f>
        <v>5</v>
      </c>
      <c r="AE62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70</v>
      </c>
      <c r="AF62" s="221"/>
      <c r="AJ62"/>
      <c r="AM62">
        <v>85</v>
      </c>
      <c r="AO62">
        <v>85</v>
      </c>
      <c r="AQ62">
        <v>170</v>
      </c>
      <c r="AR62">
        <v>2000</v>
      </c>
      <c r="AT62"/>
      <c r="BG62" s="14">
        <f>SUM(Portefeuille_MNT_PPS_Access_26_2834[[#This Row],[AC ANT]:[TR 2035]])</f>
        <v>2340</v>
      </c>
      <c r="BH62" s="14"/>
    </row>
    <row r="63" spans="1:60" hidden="1" x14ac:dyDescent="0.3">
      <c r="A63" t="s">
        <v>286</v>
      </c>
      <c r="B63" t="s">
        <v>664</v>
      </c>
      <c r="C63">
        <v>8</v>
      </c>
      <c r="D63" t="s">
        <v>101</v>
      </c>
      <c r="E63" t="s">
        <v>102</v>
      </c>
      <c r="F63" t="s">
        <v>103</v>
      </c>
      <c r="G63" t="s">
        <v>149</v>
      </c>
      <c r="H63" t="s">
        <v>16</v>
      </c>
      <c r="I63" t="s">
        <v>20</v>
      </c>
      <c r="J63" t="s">
        <v>105</v>
      </c>
      <c r="K63">
        <v>154190684</v>
      </c>
      <c r="L63" t="s">
        <v>510</v>
      </c>
      <c r="M63" t="s">
        <v>205</v>
      </c>
      <c r="N63" t="s">
        <v>173</v>
      </c>
      <c r="O63" t="s">
        <v>110</v>
      </c>
      <c r="P63" s="1">
        <v>45706</v>
      </c>
      <c r="Q63" s="1">
        <v>46055</v>
      </c>
      <c r="R63" s="1">
        <v>46273</v>
      </c>
      <c r="S63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3.À risque</v>
      </c>
      <c r="T63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3.À risque</v>
      </c>
      <c r="U63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3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12</v>
      </c>
      <c r="W63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7</v>
      </c>
      <c r="X63">
        <f>Portefeuille_MNT_PPS_Access_26_2834[[#This Row],[Délais PC1 et PC3]]+Portefeuille_MNT_PPS_Access_26_2834[[#This Row],[Délais PC3 et PC5]]</f>
        <v>19</v>
      </c>
      <c r="Z63">
        <v>1</v>
      </c>
      <c r="AA63">
        <v>3</v>
      </c>
      <c r="AB63" t="s">
        <v>112</v>
      </c>
      <c r="AC63">
        <v>3</v>
      </c>
      <c r="AD63" s="2">
        <f>_xlfn.XLOOKUP(Portefeuille_MNT_PPS_Access_26_2834[[#This Row],[Numéro projet]],Portefeuille_MNT_PPS_Access27[Numéro projet],Portefeuille_MNT_PPS_Access27[Critère Etat Infrastructure])</f>
        <v>4</v>
      </c>
      <c r="AE63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55.000000000000007</v>
      </c>
      <c r="AF63" s="221"/>
      <c r="AJ63"/>
      <c r="AK63">
        <v>102</v>
      </c>
      <c r="AM63">
        <v>200</v>
      </c>
      <c r="AO63">
        <v>958</v>
      </c>
      <c r="AP63">
        <v>13608</v>
      </c>
      <c r="AT63"/>
      <c r="BG63" s="14">
        <f>SUM(Portefeuille_MNT_PPS_Access_26_2834[[#This Row],[AC ANT]:[TR 2035]])</f>
        <v>14868</v>
      </c>
      <c r="BH63" s="14"/>
    </row>
    <row r="64" spans="1:60" x14ac:dyDescent="0.3">
      <c r="A64" t="s">
        <v>286</v>
      </c>
      <c r="B64" t="s">
        <v>664</v>
      </c>
      <c r="C64">
        <v>6</v>
      </c>
      <c r="D64" t="s">
        <v>101</v>
      </c>
      <c r="E64" t="s">
        <v>102</v>
      </c>
      <c r="F64" t="s">
        <v>200</v>
      </c>
      <c r="G64" t="s">
        <v>113</v>
      </c>
      <c r="H64" t="s">
        <v>20</v>
      </c>
      <c r="I64" t="s">
        <v>20</v>
      </c>
      <c r="J64" t="s">
        <v>131</v>
      </c>
      <c r="K64">
        <v>154230556</v>
      </c>
      <c r="L64" t="s">
        <v>437</v>
      </c>
      <c r="M64" t="s">
        <v>139</v>
      </c>
      <c r="N64" s="2" t="s">
        <v>169</v>
      </c>
      <c r="O64" t="s">
        <v>155</v>
      </c>
      <c r="P64" s="1">
        <v>46127</v>
      </c>
      <c r="Q64" s="1">
        <v>46522</v>
      </c>
      <c r="R64" s="1">
        <v>47041</v>
      </c>
      <c r="S64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4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4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4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13</v>
      </c>
      <c r="W64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17</v>
      </c>
      <c r="X64">
        <f>Portefeuille_MNT_PPS_Access_26_2834[[#This Row],[Délais PC1 et PC3]]+Portefeuille_MNT_PPS_Access_26_2834[[#This Row],[Délais PC3 et PC5]]</f>
        <v>30</v>
      </c>
      <c r="Z64">
        <v>1</v>
      </c>
      <c r="AB64" t="s">
        <v>156</v>
      </c>
      <c r="AC64">
        <v>2</v>
      </c>
      <c r="AD64" s="2">
        <f>_xlfn.XLOOKUP(Portefeuille_MNT_PPS_Access_26_2834[[#This Row],[Numéro projet]],Portefeuille_MNT_PPS_Access27[Numéro projet],Portefeuille_MNT_PPS_Access27[Critère Etat Infrastructure])</f>
        <v>5</v>
      </c>
      <c r="AE64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45</v>
      </c>
      <c r="AF64" s="221"/>
      <c r="AJ64"/>
      <c r="AM64">
        <v>50</v>
      </c>
      <c r="AO64">
        <v>50</v>
      </c>
      <c r="AQ64">
        <v>150</v>
      </c>
      <c r="AS64">
        <v>300</v>
      </c>
      <c r="AT64">
        <v>3000</v>
      </c>
      <c r="BG64" s="14">
        <f>SUM(Portefeuille_MNT_PPS_Access_26_2834[[#This Row],[AC ANT]:[TR 2035]])</f>
        <v>3550</v>
      </c>
      <c r="BH64" s="14"/>
    </row>
    <row r="65" spans="1:60" x14ac:dyDescent="0.3">
      <c r="A65" t="s">
        <v>286</v>
      </c>
      <c r="B65" t="s">
        <v>664</v>
      </c>
      <c r="C65">
        <v>2</v>
      </c>
      <c r="D65" t="s">
        <v>101</v>
      </c>
      <c r="E65" t="s">
        <v>102</v>
      </c>
      <c r="F65" t="s">
        <v>136</v>
      </c>
      <c r="G65" t="s">
        <v>104</v>
      </c>
      <c r="H65" t="s">
        <v>130</v>
      </c>
      <c r="I65" t="s">
        <v>20</v>
      </c>
      <c r="J65" t="s">
        <v>131</v>
      </c>
      <c r="K65">
        <v>154190597</v>
      </c>
      <c r="L65" t="s">
        <v>374</v>
      </c>
      <c r="M65" t="s">
        <v>159</v>
      </c>
      <c r="N65" t="s">
        <v>184</v>
      </c>
      <c r="O65" t="s">
        <v>155</v>
      </c>
      <c r="P65" s="1">
        <v>45960</v>
      </c>
      <c r="Q65" s="1">
        <v>46280</v>
      </c>
      <c r="R65" s="1">
        <v>46645</v>
      </c>
      <c r="S65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5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5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5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11</v>
      </c>
      <c r="W65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12</v>
      </c>
      <c r="X65">
        <f>Portefeuille_MNT_PPS_Access_26_2834[[#This Row],[Délais PC1 et PC3]]+Portefeuille_MNT_PPS_Access_26_2834[[#This Row],[Délais PC3 et PC5]]</f>
        <v>23</v>
      </c>
      <c r="Z65">
        <v>1</v>
      </c>
      <c r="AB65" t="s">
        <v>156</v>
      </c>
      <c r="AC65">
        <v>4.333333333333333</v>
      </c>
      <c r="AD65" s="2">
        <f>_xlfn.XLOOKUP(Portefeuille_MNT_PPS_Access_26_2834[[#This Row],[Numéro projet]],Portefeuille_MNT_PPS_Access27[Numéro projet],Portefeuille_MNT_PPS_Access27[Critère Etat Infrastructure])</f>
        <v>4</v>
      </c>
      <c r="AE65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51.666666666666671</v>
      </c>
      <c r="AF65" s="221"/>
      <c r="AJ65"/>
      <c r="AM65">
        <v>100</v>
      </c>
      <c r="AO65">
        <v>250</v>
      </c>
      <c r="AQ65">
        <v>350</v>
      </c>
      <c r="AS65">
        <v>500</v>
      </c>
      <c r="AT65"/>
      <c r="AU65">
        <v>500</v>
      </c>
      <c r="AV65">
        <v>8000</v>
      </c>
      <c r="AW65">
        <v>500</v>
      </c>
      <c r="AX65">
        <v>8000</v>
      </c>
      <c r="BG65" s="14">
        <f>SUM(Portefeuille_MNT_PPS_Access_26_2834[[#This Row],[AC ANT]:[TR 2035]])</f>
        <v>18200</v>
      </c>
      <c r="BH65" s="14"/>
    </row>
    <row r="66" spans="1:60" x14ac:dyDescent="0.3">
      <c r="A66" t="s">
        <v>286</v>
      </c>
      <c r="B66" t="s">
        <v>664</v>
      </c>
      <c r="D66" t="s">
        <v>101</v>
      </c>
      <c r="E66" t="s">
        <v>102</v>
      </c>
      <c r="F66" t="s">
        <v>136</v>
      </c>
      <c r="G66" t="s">
        <v>149</v>
      </c>
      <c r="H66" t="s">
        <v>16</v>
      </c>
      <c r="I66" t="s">
        <v>20</v>
      </c>
      <c r="J66" t="s">
        <v>131</v>
      </c>
      <c r="K66">
        <v>154180773</v>
      </c>
      <c r="L66" t="s">
        <v>213</v>
      </c>
      <c r="M66" t="s">
        <v>214</v>
      </c>
      <c r="N66" t="s">
        <v>184</v>
      </c>
      <c r="O66" t="s">
        <v>155</v>
      </c>
      <c r="P66" s="1">
        <v>46127</v>
      </c>
      <c r="Q66" s="1">
        <v>46798</v>
      </c>
      <c r="R66" s="1">
        <v>47192</v>
      </c>
      <c r="S66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6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6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6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22</v>
      </c>
      <c r="W66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13</v>
      </c>
      <c r="X66">
        <f>Portefeuille_MNT_PPS_Access_26_2834[[#This Row],[Délais PC1 et PC3]]+Portefeuille_MNT_PPS_Access_26_2834[[#This Row],[Délais PC3 et PC5]]</f>
        <v>35</v>
      </c>
      <c r="Z66">
        <v>1</v>
      </c>
      <c r="AB66" t="s">
        <v>156</v>
      </c>
      <c r="AC66">
        <v>3</v>
      </c>
      <c r="AD66" s="2">
        <f>_xlfn.XLOOKUP(Portefeuille_MNT_PPS_Access_26_2834[[#This Row],[Numéro projet]],Portefeuille_MNT_PPS_Access27[Numéro projet],Portefeuille_MNT_PPS_Access27[Critère Etat Infrastructure])</f>
        <v>4</v>
      </c>
      <c r="AE66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45</v>
      </c>
      <c r="AF66" s="221"/>
      <c r="AG66">
        <v>47</v>
      </c>
      <c r="AI66">
        <v>93</v>
      </c>
      <c r="AJ66"/>
      <c r="AK66">
        <v>107</v>
      </c>
      <c r="AM66">
        <v>125</v>
      </c>
      <c r="AO66">
        <v>125</v>
      </c>
      <c r="AQ66">
        <v>125</v>
      </c>
      <c r="AS66">
        <v>125</v>
      </c>
      <c r="AT66"/>
      <c r="AU66">
        <v>300</v>
      </c>
      <c r="AV66">
        <v>5000</v>
      </c>
      <c r="AW66">
        <v>474</v>
      </c>
      <c r="AX66">
        <v>10000</v>
      </c>
      <c r="BG66" s="14">
        <f>SUM(Portefeuille_MNT_PPS_Access_26_2834[[#This Row],[AC ANT]:[TR 2035]])</f>
        <v>16521</v>
      </c>
      <c r="BH66" s="14"/>
    </row>
    <row r="67" spans="1:60" hidden="1" x14ac:dyDescent="0.3">
      <c r="A67" t="s">
        <v>286</v>
      </c>
      <c r="B67" t="s">
        <v>662</v>
      </c>
      <c r="C67">
        <v>4</v>
      </c>
      <c r="D67" t="s">
        <v>118</v>
      </c>
      <c r="E67" t="s">
        <v>102</v>
      </c>
      <c r="F67" t="s">
        <v>136</v>
      </c>
      <c r="G67" t="s">
        <v>113</v>
      </c>
      <c r="H67" t="s">
        <v>16</v>
      </c>
      <c r="I67" t="s">
        <v>20</v>
      </c>
      <c r="J67" t="s">
        <v>105</v>
      </c>
      <c r="K67">
        <v>154230630</v>
      </c>
      <c r="L67" t="s">
        <v>249</v>
      </c>
      <c r="M67" t="s">
        <v>180</v>
      </c>
      <c r="N67" t="s">
        <v>109</v>
      </c>
      <c r="O67" t="s">
        <v>110</v>
      </c>
      <c r="P67" s="1">
        <v>45476</v>
      </c>
      <c r="Q67" s="1">
        <v>46068</v>
      </c>
      <c r="R67" s="1">
        <v>46068</v>
      </c>
      <c r="S67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67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1.Très à risque</v>
      </c>
      <c r="U67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3.À risque</v>
      </c>
      <c r="V67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19</v>
      </c>
      <c r="W67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0</v>
      </c>
      <c r="X67">
        <f>Portefeuille_MNT_PPS_Access_26_2834[[#This Row],[Délais PC1 et PC3]]+Portefeuille_MNT_PPS_Access_26_2834[[#This Row],[Délais PC3 et PC5]]</f>
        <v>19</v>
      </c>
      <c r="Y67">
        <v>1</v>
      </c>
      <c r="Z67">
        <v>1</v>
      </c>
      <c r="AA67">
        <v>3</v>
      </c>
      <c r="AB67" t="s">
        <v>112</v>
      </c>
      <c r="AC67">
        <v>3.1333333333333333</v>
      </c>
      <c r="AD67" s="2">
        <f>_xlfn.XLOOKUP(Portefeuille_MNT_PPS_Access_26_2834[[#This Row],[Numéro projet]],Portefeuille_MNT_PPS_Access27[Numéro projet],Portefeuille_MNT_PPS_Access27[Critère Etat Infrastructure])</f>
        <v>5</v>
      </c>
      <c r="AE67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60.666666666666671</v>
      </c>
      <c r="AF67" s="221"/>
      <c r="AJ67"/>
      <c r="AK67">
        <v>35</v>
      </c>
      <c r="AM67">
        <v>110</v>
      </c>
      <c r="AN67">
        <v>3307.0000000000005</v>
      </c>
      <c r="AO67">
        <v>175</v>
      </c>
      <c r="AP67">
        <v>138</v>
      </c>
      <c r="AT67"/>
      <c r="BG67" s="14">
        <f>SUM(Portefeuille_MNT_PPS_Access_26_2834[[#This Row],[AC ANT]:[TR 2035]])</f>
        <v>3765.0000000000005</v>
      </c>
      <c r="BH67" s="14"/>
    </row>
    <row r="68" spans="1:60" x14ac:dyDescent="0.3">
      <c r="A68" t="s">
        <v>286</v>
      </c>
      <c r="B68" t="s">
        <v>663</v>
      </c>
      <c r="C68">
        <v>11</v>
      </c>
      <c r="D68" t="s">
        <v>101</v>
      </c>
      <c r="E68" t="s">
        <v>102</v>
      </c>
      <c r="F68" t="s">
        <v>119</v>
      </c>
      <c r="G68" t="s">
        <v>129</v>
      </c>
      <c r="H68" t="s">
        <v>20</v>
      </c>
      <c r="I68" t="s">
        <v>20</v>
      </c>
      <c r="J68" t="s">
        <v>131</v>
      </c>
      <c r="K68">
        <v>154230793</v>
      </c>
      <c r="L68" t="s">
        <v>441</v>
      </c>
      <c r="M68" t="s">
        <v>152</v>
      </c>
      <c r="N68" t="s">
        <v>109</v>
      </c>
      <c r="O68" t="s">
        <v>155</v>
      </c>
      <c r="P68" s="1">
        <v>45992</v>
      </c>
      <c r="Q68" s="1"/>
      <c r="R68" s="1">
        <v>45992</v>
      </c>
      <c r="S68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1.Très à risque</v>
      </c>
      <c r="T68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X</v>
      </c>
      <c r="U68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8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-1511</v>
      </c>
      <c r="W68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1511</v>
      </c>
      <c r="X68">
        <f>Portefeuille_MNT_PPS_Access_26_2834[[#This Row],[Délais PC1 et PC3]]+Portefeuille_MNT_PPS_Access_26_2834[[#This Row],[Délais PC3 et PC5]]</f>
        <v>0</v>
      </c>
      <c r="Y68">
        <v>1</v>
      </c>
      <c r="Z68">
        <v>1</v>
      </c>
      <c r="AA68">
        <v>5</v>
      </c>
      <c r="AB68" t="s">
        <v>156</v>
      </c>
      <c r="AC68">
        <v>3.3333333333333335</v>
      </c>
      <c r="AD68" s="2">
        <f>_xlfn.XLOOKUP(Portefeuille_MNT_PPS_Access_26_2834[[#This Row],[Numéro projet]],Portefeuille_MNT_PPS_Access27[Numéro projet],Portefeuille_MNT_PPS_Access27[Critère Etat Infrastructure])</f>
        <v>3</v>
      </c>
      <c r="AE68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61.666666666666671</v>
      </c>
      <c r="AF68" s="221"/>
      <c r="AJ68"/>
      <c r="AM68">
        <v>55</v>
      </c>
      <c r="AN68">
        <v>543</v>
      </c>
      <c r="AT68"/>
      <c r="BG68" s="14">
        <f>SUM(Portefeuille_MNT_PPS_Access_26_2834[[#This Row],[AC ANT]:[TR 2035]])</f>
        <v>598</v>
      </c>
      <c r="BH68" s="14"/>
    </row>
    <row r="69" spans="1:60" hidden="1" x14ac:dyDescent="0.3">
      <c r="A69" t="s">
        <v>286</v>
      </c>
      <c r="B69" t="s">
        <v>295</v>
      </c>
      <c r="D69" t="s">
        <v>126</v>
      </c>
      <c r="E69" t="s">
        <v>127</v>
      </c>
      <c r="F69" t="s">
        <v>136</v>
      </c>
      <c r="G69" t="s">
        <v>113</v>
      </c>
      <c r="H69" t="s">
        <v>16</v>
      </c>
      <c r="I69" t="s">
        <v>20</v>
      </c>
      <c r="J69" t="s">
        <v>131</v>
      </c>
      <c r="K69">
        <v>154190601</v>
      </c>
      <c r="L69" t="s">
        <v>227</v>
      </c>
      <c r="M69" t="s">
        <v>139</v>
      </c>
      <c r="N69" t="s">
        <v>370</v>
      </c>
      <c r="O69" t="s">
        <v>110</v>
      </c>
      <c r="P69" s="1">
        <v>45330</v>
      </c>
      <c r="Q69" s="1">
        <v>46690</v>
      </c>
      <c r="R69" s="1">
        <v>47376</v>
      </c>
      <c r="S69" s="1" t="str">
        <f xml:space="preserve"> IF(Portefeuille_MNT_PPS_Access_26_2834[[#This Row],[PC-1]] = "", "X",IF(Portefeuille_MNT_PPS_Access_26_2834[[#This Row],[PC-1]] &lt;= DATE(Portefeuille_MNT_PPS_Access_26_2834[[#This Row],[Année DÉBUT Travaux prévu]]- 3, 12, 15),"5.Respect OPC",IF(Portefeuille_MNT_PPS_Access_26_2834[[#This Row],[PC-1]] &lt;= DATE(Portefeuille_MNT_PPS_Access_26_2834[[#This Row],[Année DÉBUT Travaux prévu]]-2, 4, 1),"3.À risque","1.Très à risque")))</f>
        <v>5.Respect OPC</v>
      </c>
      <c r="T69" s="1" t="str">
        <f xml:space="preserve"> IF(Portefeuille_MNT_PPS_Access_26_2834[[#This Row],[PC-3]] = "", "X",IF(Portefeuille_MNT_PPS_Access_26_2834[[#This Row],[PC-3]] &lt;= DATE(Portefeuille_MNT_PPS_Access_26_2834[[#This Row],[Année DÉBUT Travaux prévu]]- 2, 12, 15),"5.Respect OPC",IF(Portefeuille_MNT_PPS_Access_26_2834[[#This Row],[PC-3]] &lt;= DATE(Portefeuille_MNT_PPS_Access_26_2834[[#This Row],[Année DÉBUT Travaux prévu]]-1, 4, 1),"3.À risque","1.Très à risque")))</f>
        <v>5.Respect OPC</v>
      </c>
      <c r="U69" s="1" t="str">
        <f xml:space="preserve"> IF(Portefeuille_MNT_PPS_Access_26_2834[[#This Row],[PC-5]] = "", "X",IF(Portefeuille_MNT_PPS_Access_26_2834[[#This Row],[PC-5]] &lt;= DATE(Portefeuille_MNT_PPS_Access_26_2834[[#This Row],[Année DÉBUT Travaux prévu]]- 1, 12, 15),"5.Respect OPC",IF(Portefeuille_MNT_PPS_Access_26_2834[[#This Row],[PC-5]] &lt;= DATE(Portefeuille_MNT_PPS_Access_26_2834[[#This Row],[Année DÉBUT Travaux prévu]], 4, 1),"3.À risque","1.Très à risque")))</f>
        <v>5.Respect OPC</v>
      </c>
      <c r="V69">
        <f xml:space="preserve"> (YEAR(Portefeuille_MNT_PPS_Access_26_2834[[#This Row],[PC-3]]) - YEAR(Portefeuille_MNT_PPS_Access_26_2834[[#This Row],[PC-1]])) * 12 + MONTH(Portefeuille_MNT_PPS_Access_26_2834[[#This Row],[PC-3]]) - MONTH(Portefeuille_MNT_PPS_Access_26_2834[[#This Row],[PC-1]])</f>
        <v>44</v>
      </c>
      <c r="W69">
        <f xml:space="preserve"> (YEAR(Portefeuille_MNT_PPS_Access_26_2834[[#This Row],[PC-5]]) - YEAR(Portefeuille_MNT_PPS_Access_26_2834[[#This Row],[PC-3]])) * 12 + MONTH(Portefeuille_MNT_PPS_Access_26_2834[[#This Row],[PC-5]]) - MONTH(Portefeuille_MNT_PPS_Access_26_2834[[#This Row],[PC-3]])</f>
        <v>23</v>
      </c>
      <c r="X69">
        <f>Portefeuille_MNT_PPS_Access_26_2834[[#This Row],[Délais PC1 et PC3]]+Portefeuille_MNT_PPS_Access_26_2834[[#This Row],[Délais PC3 et PC5]]</f>
        <v>67</v>
      </c>
      <c r="Z69">
        <v>1</v>
      </c>
      <c r="AB69" t="s">
        <v>112</v>
      </c>
      <c r="AC69">
        <v>2</v>
      </c>
      <c r="AD69" s="2">
        <f>_xlfn.XLOOKUP(Portefeuille_MNT_PPS_Access_26_2834[[#This Row],[Numéro projet]],Portefeuille_MNT_PPS_Access27[Numéro projet],Portefeuille_MNT_PPS_Access27[Critère Etat Infrastructure])</f>
        <v>3</v>
      </c>
      <c r="AE69" s="12">
        <f>IF(Portefeuille_MNT_PPS_Access_26_2834[[#This Row],[IND_PARA_25-26]]=5,100, SUM(IF(Portefeuille_MNT_PPS_Access_26_2834[[#This Row],[INDICE OPC]]="",Portefeuille_MNT_PPS_Access_26_2834[[#This Row],[IND_Etat_avancement]]*$AD$8/5,Portefeuille_MNT_PPS_Access_26_2834[[#This Row],[INDICE OPC]]*$AD$8/5),Portefeuille_MNT_PPS_Access_26_2834[[#This Row],[Critère Etat Infrastructure]]* $AD$10/5,Portefeuille_MNT_PPS_Access_26_2834[[#This Row],[IND_SITE_PRIO_2024]]* $AD$9/5,Portefeuille_MNT_PPS_Access_26_2834[[#This Row],[IND_PROJT_ANNONCE_25-27]]* $AD$7/5)*100)</f>
        <v>45</v>
      </c>
      <c r="AF69" s="221"/>
      <c r="AG69">
        <v>44</v>
      </c>
      <c r="AI69">
        <v>35</v>
      </c>
      <c r="AJ69"/>
      <c r="AK69">
        <v>100</v>
      </c>
      <c r="AM69">
        <v>288</v>
      </c>
      <c r="AO69">
        <v>475</v>
      </c>
      <c r="AQ69">
        <v>475</v>
      </c>
      <c r="AS69">
        <v>573</v>
      </c>
      <c r="AT69"/>
      <c r="AU69">
        <v>1000</v>
      </c>
      <c r="AW69">
        <v>1087</v>
      </c>
      <c r="AX69">
        <v>14362</v>
      </c>
      <c r="BG69" s="14">
        <f>SUM(Portefeuille_MNT_PPS_Access_26_2834[[#This Row],[AC ANT]:[TR 2035]])</f>
        <v>18439</v>
      </c>
      <c r="BH69" s="14"/>
    </row>
    <row r="70" spans="1:60" x14ac:dyDescent="0.3">
      <c r="K70">
        <f>SUBTOTAL(103,Portefeuille_MNT_PPS_Access_26_2834[Numéro projet])</f>
        <v>18</v>
      </c>
      <c r="AF70" s="25"/>
      <c r="AG70" s="14">
        <f>SUBTOTAL(109,Portefeuille_MNT_PPS_Access_26_2834[AC ANT])</f>
        <v>322</v>
      </c>
      <c r="AH70" s="14">
        <f>SUBTOTAL(109,Portefeuille_MNT_PPS_Access_26_2834[TR ANT])</f>
        <v>0</v>
      </c>
      <c r="AI70" s="14">
        <f>SUBTOTAL(109,Portefeuille_MNT_PPS_Access_26_2834[AC 2024])</f>
        <v>93</v>
      </c>
      <c r="AJ70" s="14">
        <f>SUBTOTAL(109,Portefeuille_MNT_PPS_Access_26_2834[TR 2024])</f>
        <v>0</v>
      </c>
      <c r="AK70" s="14">
        <f>SUBTOTAL(109,Portefeuille_MNT_PPS_Access_26_2834[AC 2025])</f>
        <v>382</v>
      </c>
      <c r="AL70" s="14">
        <f>SUBTOTAL(109,Portefeuille_MNT_PPS_Access_26_2834[TR 2025])</f>
        <v>0</v>
      </c>
      <c r="AM70" s="14">
        <f>SUBTOTAL(109,Portefeuille_MNT_PPS_Access_26_2834[AC 2026])</f>
        <v>2045</v>
      </c>
      <c r="AN70" s="14">
        <f>SUBTOTAL(109,Portefeuille_MNT_PPS_Access_26_2834[TR 2026])</f>
        <v>1143</v>
      </c>
      <c r="AO70" s="14">
        <f>SUBTOTAL(109,Portefeuille_MNT_PPS_Access_26_2834[AC 2027])</f>
        <v>2787</v>
      </c>
      <c r="AP70" s="14">
        <f>SUBTOTAL(109,Portefeuille_MNT_PPS_Access_26_2834[TR 2027])</f>
        <v>50</v>
      </c>
      <c r="AQ70" s="14">
        <f>SUBTOTAL(109,Portefeuille_MNT_PPS_Access_26_2834[AC 2028])</f>
        <v>4001</v>
      </c>
      <c r="AR70" s="14">
        <f>SUBTOTAL(109,Portefeuille_MNT_PPS_Access_26_2834[TR 2028])</f>
        <v>52411</v>
      </c>
      <c r="AS70" s="14">
        <f>SUBTOTAL(109,Portefeuille_MNT_PPS_Access_26_2834[AC 2029])</f>
        <v>2214</v>
      </c>
      <c r="AT70" s="14">
        <f>SUBTOTAL(109,Portefeuille_MNT_PPS_Access_26_2834[TR 2029])</f>
        <v>33162</v>
      </c>
      <c r="AU70" s="14">
        <f>SUBTOTAL(109,Portefeuille_MNT_PPS_Access_26_2834[AC 2030])</f>
        <v>1795</v>
      </c>
      <c r="AV70" s="14">
        <f>SUBTOTAL(109,Portefeuille_MNT_PPS_Access_26_2834[TR 2030])</f>
        <v>21775</v>
      </c>
      <c r="AW70" s="14">
        <f>SUBTOTAL(109,Portefeuille_MNT_PPS_Access_26_2834[AC 2031])</f>
        <v>2083</v>
      </c>
      <c r="AX70" s="14">
        <f>SUBTOTAL(109,Portefeuille_MNT_PPS_Access_26_2834[TR 2031])</f>
        <v>39819</v>
      </c>
      <c r="AY70" s="14">
        <f>SUBTOTAL(109,Portefeuille_MNT_PPS_Access_26_2834[AC 2032])</f>
        <v>600</v>
      </c>
      <c r="AZ70" s="14">
        <f>SUBTOTAL(109,Portefeuille_MNT_PPS_Access_26_2834[TR 2032])</f>
        <v>6000</v>
      </c>
      <c r="BA70" s="14">
        <f>SUBTOTAL(109,Portefeuille_MNT_PPS_Access_26_2834[AC 2033])</f>
        <v>0</v>
      </c>
      <c r="BB70" s="14">
        <f>SUBTOTAL(109,Portefeuille_MNT_PPS_Access_26_2834[TR 2033])</f>
        <v>0</v>
      </c>
      <c r="BC70" s="14">
        <f>SUBTOTAL(109,Portefeuille_MNT_PPS_Access_26_2834[AC 2034])</f>
        <v>0</v>
      </c>
      <c r="BD70" s="14">
        <f>SUBTOTAL(109,Portefeuille_MNT_PPS_Access_26_2834[TR 2034])</f>
        <v>0</v>
      </c>
      <c r="BE70" s="14">
        <f>SUBTOTAL(109,Portefeuille_MNT_PPS_Access_26_2834[AC 2035])</f>
        <v>0</v>
      </c>
      <c r="BF70" s="14">
        <f>SUBTOTAL(109,Portefeuille_MNT_PPS_Access_26_2834[TR 2035])</f>
        <v>0</v>
      </c>
      <c r="BG70" s="14">
        <f>SUBTOTAL(109,Portefeuille_MNT_PPS_Access_26_2834[Total Projet])</f>
        <v>170682</v>
      </c>
      <c r="BH70" s="14"/>
    </row>
    <row r="71" spans="1:60" x14ac:dyDescent="0.3">
      <c r="BH71" s="14"/>
    </row>
    <row r="72" spans="1:60" x14ac:dyDescent="0.3"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14"/>
    </row>
    <row r="73" spans="1:60" x14ac:dyDescent="0.3">
      <c r="BH73" s="14"/>
    </row>
    <row r="74" spans="1:60" x14ac:dyDescent="0.3">
      <c r="BH74" s="14"/>
    </row>
    <row r="75" spans="1:60" x14ac:dyDescent="0.3">
      <c r="BH75" s="14"/>
    </row>
    <row r="76" spans="1:60" x14ac:dyDescent="0.3">
      <c r="BH76" s="14"/>
    </row>
    <row r="77" spans="1:60" x14ac:dyDescent="0.3">
      <c r="BH77" s="14"/>
    </row>
    <row r="78" spans="1:60" x14ac:dyDescent="0.3">
      <c r="BH78" s="14"/>
    </row>
    <row r="79" spans="1:60" x14ac:dyDescent="0.3">
      <c r="BH79" s="14"/>
    </row>
    <row r="80" spans="1:60" x14ac:dyDescent="0.3">
      <c r="BH80" s="14"/>
    </row>
    <row r="81" spans="60:60" x14ac:dyDescent="0.3">
      <c r="BH81" s="14"/>
    </row>
    <row r="82" spans="60:60" x14ac:dyDescent="0.3">
      <c r="BH82" s="14"/>
    </row>
    <row r="83" spans="60:60" x14ac:dyDescent="0.3">
      <c r="BH83" s="14"/>
    </row>
    <row r="84" spans="60:60" x14ac:dyDescent="0.3">
      <c r="BH84" s="14"/>
    </row>
    <row r="85" spans="60:60" x14ac:dyDescent="0.3">
      <c r="BH85" s="14"/>
    </row>
    <row r="86" spans="60:60" x14ac:dyDescent="0.3">
      <c r="BH86" s="14"/>
    </row>
    <row r="87" spans="60:60" x14ac:dyDescent="0.3">
      <c r="BH87" s="14"/>
    </row>
    <row r="88" spans="60:60" x14ac:dyDescent="0.3">
      <c r="BH88" s="14"/>
    </row>
    <row r="89" spans="60:60" x14ac:dyDescent="0.3">
      <c r="BH89" s="14"/>
    </row>
    <row r="90" spans="60:60" x14ac:dyDescent="0.3">
      <c r="BH90" s="14"/>
    </row>
    <row r="91" spans="60:60" x14ac:dyDescent="0.3">
      <c r="BH91" s="14"/>
    </row>
    <row r="92" spans="60:60" x14ac:dyDescent="0.3">
      <c r="BH92" s="14"/>
    </row>
    <row r="93" spans="60:60" x14ac:dyDescent="0.3">
      <c r="BH93" s="14"/>
    </row>
    <row r="94" spans="60:60" x14ac:dyDescent="0.3">
      <c r="BH94" s="14"/>
    </row>
    <row r="95" spans="60:60" x14ac:dyDescent="0.3">
      <c r="BH95" s="14"/>
    </row>
    <row r="96" spans="60:60" x14ac:dyDescent="0.3">
      <c r="BH96" s="14"/>
    </row>
    <row r="97" spans="60:60" x14ac:dyDescent="0.3">
      <c r="BH97" s="14"/>
    </row>
    <row r="98" spans="60:60" x14ac:dyDescent="0.3">
      <c r="BH98" s="14"/>
    </row>
    <row r="99" spans="60:60" x14ac:dyDescent="0.3">
      <c r="BH99" s="14"/>
    </row>
    <row r="100" spans="60:60" x14ac:dyDescent="0.3">
      <c r="BH100" s="14"/>
    </row>
    <row r="101" spans="60:60" x14ac:dyDescent="0.3">
      <c r="BH101" s="14"/>
    </row>
    <row r="102" spans="60:60" x14ac:dyDescent="0.3">
      <c r="BH102" s="14"/>
    </row>
    <row r="103" spans="60:60" x14ac:dyDescent="0.3">
      <c r="BH103" s="14"/>
    </row>
    <row r="104" spans="60:60" x14ac:dyDescent="0.3">
      <c r="BH104" s="14"/>
    </row>
    <row r="105" spans="60:60" x14ac:dyDescent="0.3">
      <c r="BH105" s="14"/>
    </row>
    <row r="106" spans="60:60" x14ac:dyDescent="0.3">
      <c r="BH106" s="14"/>
    </row>
    <row r="107" spans="60:60" x14ac:dyDescent="0.3">
      <c r="BH107" s="14"/>
    </row>
    <row r="108" spans="60:60" x14ac:dyDescent="0.3">
      <c r="BH108" s="14"/>
    </row>
    <row r="109" spans="60:60" x14ac:dyDescent="0.3">
      <c r="BH109" s="14"/>
    </row>
    <row r="110" spans="60:60" x14ac:dyDescent="0.3">
      <c r="BH110" s="14"/>
    </row>
    <row r="111" spans="60:60" x14ac:dyDescent="0.3">
      <c r="BH111" s="14"/>
    </row>
    <row r="112" spans="60:60" x14ac:dyDescent="0.3">
      <c r="BH112" s="14"/>
    </row>
    <row r="113" spans="60:60" x14ac:dyDescent="0.3">
      <c r="BH113" s="14"/>
    </row>
    <row r="114" spans="60:60" x14ac:dyDescent="0.3">
      <c r="BH114" s="14"/>
    </row>
    <row r="115" spans="60:60" x14ac:dyDescent="0.3">
      <c r="BH115" s="14"/>
    </row>
    <row r="116" spans="60:60" x14ac:dyDescent="0.3">
      <c r="BH116" s="14"/>
    </row>
    <row r="117" spans="60:60" x14ac:dyDescent="0.3">
      <c r="BH117" s="14"/>
    </row>
    <row r="118" spans="60:60" x14ac:dyDescent="0.3">
      <c r="BH118" s="14"/>
    </row>
    <row r="119" spans="60:60" x14ac:dyDescent="0.3">
      <c r="BH119" s="14"/>
    </row>
    <row r="120" spans="60:60" x14ac:dyDescent="0.3">
      <c r="BH120" s="14"/>
    </row>
    <row r="121" spans="60:60" x14ac:dyDescent="0.3">
      <c r="BH121" s="14"/>
    </row>
    <row r="122" spans="60:60" x14ac:dyDescent="0.3">
      <c r="BH122" s="14"/>
    </row>
    <row r="123" spans="60:60" x14ac:dyDescent="0.3">
      <c r="BH123" s="14"/>
    </row>
    <row r="124" spans="60:60" x14ac:dyDescent="0.3">
      <c r="BH124" s="14"/>
    </row>
    <row r="125" spans="60:60" x14ac:dyDescent="0.3">
      <c r="BH125" s="14"/>
    </row>
    <row r="126" spans="60:60" x14ac:dyDescent="0.3">
      <c r="BH126" s="14"/>
    </row>
    <row r="127" spans="60:60" x14ac:dyDescent="0.3">
      <c r="BH127" s="14"/>
    </row>
    <row r="128" spans="60:60" x14ac:dyDescent="0.3">
      <c r="BH128" s="14"/>
    </row>
    <row r="129" spans="60:60" x14ac:dyDescent="0.3">
      <c r="BH129" s="14"/>
    </row>
    <row r="130" spans="60:60" x14ac:dyDescent="0.3">
      <c r="BH130" s="14"/>
    </row>
    <row r="131" spans="60:60" x14ac:dyDescent="0.3">
      <c r="BH131" s="14"/>
    </row>
    <row r="132" spans="60:60" x14ac:dyDescent="0.3">
      <c r="BH132" s="14"/>
    </row>
    <row r="133" spans="60:60" x14ac:dyDescent="0.3">
      <c r="BH133" s="14"/>
    </row>
    <row r="134" spans="60:60" x14ac:dyDescent="0.3">
      <c r="BH134" s="14"/>
    </row>
    <row r="135" spans="60:60" x14ac:dyDescent="0.3">
      <c r="BH135" s="14"/>
    </row>
    <row r="136" spans="60:60" x14ac:dyDescent="0.3">
      <c r="BH136" s="14"/>
    </row>
    <row r="137" spans="60:60" x14ac:dyDescent="0.3">
      <c r="BH137" s="14"/>
    </row>
    <row r="138" spans="60:60" x14ac:dyDescent="0.3">
      <c r="BH138" s="14"/>
    </row>
    <row r="139" spans="60:60" x14ac:dyDescent="0.3">
      <c r="BH139" s="14"/>
    </row>
    <row r="140" spans="60:60" x14ac:dyDescent="0.3">
      <c r="BH140" s="14"/>
    </row>
    <row r="141" spans="60:60" x14ac:dyDescent="0.3">
      <c r="BH141" s="14"/>
    </row>
    <row r="142" spans="60:60" x14ac:dyDescent="0.3">
      <c r="BH142" s="14"/>
    </row>
    <row r="143" spans="60:60" x14ac:dyDescent="0.3">
      <c r="BH143" s="14"/>
    </row>
    <row r="144" spans="60:60" x14ac:dyDescent="0.3">
      <c r="BH144" s="14"/>
    </row>
    <row r="145" spans="60:62" x14ac:dyDescent="0.3">
      <c r="BH145" s="14"/>
    </row>
    <row r="146" spans="60:62" x14ac:dyDescent="0.3">
      <c r="BH146" s="14"/>
    </row>
    <row r="147" spans="60:62" x14ac:dyDescent="0.3">
      <c r="BH147" s="14"/>
    </row>
    <row r="148" spans="60:62" x14ac:dyDescent="0.3">
      <c r="BH148" s="14"/>
      <c r="BI148" s="57"/>
      <c r="BJ148" s="57"/>
    </row>
    <row r="149" spans="60:62" x14ac:dyDescent="0.3">
      <c r="BH149" s="14"/>
    </row>
    <row r="150" spans="60:62" x14ac:dyDescent="0.3">
      <c r="BH150" s="14"/>
    </row>
    <row r="151" spans="60:62" x14ac:dyDescent="0.3">
      <c r="BH151" s="14"/>
    </row>
    <row r="152" spans="60:62" x14ac:dyDescent="0.3">
      <c r="BH152" s="14"/>
      <c r="BI152" s="57"/>
      <c r="BJ152" s="57"/>
    </row>
    <row r="153" spans="60:62" x14ac:dyDescent="0.3">
      <c r="BH153" s="14"/>
    </row>
    <row r="154" spans="60:62" x14ac:dyDescent="0.3">
      <c r="BH154" s="14"/>
    </row>
    <row r="155" spans="60:62" x14ac:dyDescent="0.3">
      <c r="BH155" s="14"/>
    </row>
    <row r="156" spans="60:62" x14ac:dyDescent="0.3">
      <c r="BH156" s="14"/>
    </row>
    <row r="157" spans="60:62" x14ac:dyDescent="0.3">
      <c r="BH157" s="14"/>
    </row>
    <row r="158" spans="60:62" x14ac:dyDescent="0.3">
      <c r="BH158" s="14"/>
    </row>
    <row r="159" spans="60:62" x14ac:dyDescent="0.3">
      <c r="BH159" s="14"/>
      <c r="BI159" s="57"/>
      <c r="BJ159" s="57"/>
    </row>
    <row r="160" spans="60:62" x14ac:dyDescent="0.3">
      <c r="BH160" s="14"/>
    </row>
    <row r="161" spans="60:63" x14ac:dyDescent="0.3">
      <c r="BH161" s="14"/>
    </row>
    <row r="162" spans="60:63" x14ac:dyDescent="0.3">
      <c r="BH162" s="14"/>
    </row>
    <row r="163" spans="60:63" x14ac:dyDescent="0.3">
      <c r="BH163" s="14"/>
    </row>
    <row r="164" spans="60:63" x14ac:dyDescent="0.3">
      <c r="BH164" s="14"/>
    </row>
    <row r="165" spans="60:63" x14ac:dyDescent="0.3">
      <c r="BH165" s="14"/>
    </row>
    <row r="167" spans="60:63" x14ac:dyDescent="0.3">
      <c r="BH167" s="57"/>
    </row>
    <row r="169" spans="60:63" x14ac:dyDescent="0.3">
      <c r="BI169" s="57"/>
      <c r="BJ169" s="57"/>
      <c r="BK169" s="57"/>
    </row>
  </sheetData>
  <mergeCells count="187">
    <mergeCell ref="AU3:AV3"/>
    <mergeCell ref="AW3:AX3"/>
    <mergeCell ref="AY3:AZ3"/>
    <mergeCell ref="BA3:BB3"/>
    <mergeCell ref="BC3:BD3"/>
    <mergeCell ref="BE3:BF3"/>
    <mergeCell ref="AM2:AX2"/>
    <mergeCell ref="J3:K3"/>
    <mergeCell ref="AE3:AF3"/>
    <mergeCell ref="AG3:AH3"/>
    <mergeCell ref="AI3:AJ3"/>
    <mergeCell ref="AK3:AL3"/>
    <mergeCell ref="AM3:AN3"/>
    <mergeCell ref="AO3:AP3"/>
    <mergeCell ref="AQ3:AR3"/>
    <mergeCell ref="AS3:AT3"/>
    <mergeCell ref="BE4:BF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AY5:AZ5"/>
    <mergeCell ref="BA5:BB5"/>
    <mergeCell ref="AQ7:AR7"/>
    <mergeCell ref="AS7:AT7"/>
    <mergeCell ref="AU7:AV7"/>
    <mergeCell ref="AW7:AX7"/>
    <mergeCell ref="BC5:BD5"/>
    <mergeCell ref="BE5:BF5"/>
    <mergeCell ref="AG6:AH6"/>
    <mergeCell ref="AI6:AJ6"/>
    <mergeCell ref="AK6:AL6"/>
    <mergeCell ref="AM6:AN6"/>
    <mergeCell ref="AO6:AP6"/>
    <mergeCell ref="AQ6:AR6"/>
    <mergeCell ref="BE6:BF6"/>
    <mergeCell ref="AS6:AT6"/>
    <mergeCell ref="AU6:AV6"/>
    <mergeCell ref="AW6:AX6"/>
    <mergeCell ref="AY6:AZ6"/>
    <mergeCell ref="BA6:BB6"/>
    <mergeCell ref="BC6:BD6"/>
    <mergeCell ref="AU9:AV9"/>
    <mergeCell ref="AW9:AX9"/>
    <mergeCell ref="AY7:AZ7"/>
    <mergeCell ref="BA7:BB7"/>
    <mergeCell ref="BC7:BD7"/>
    <mergeCell ref="BE7:BF7"/>
    <mergeCell ref="AG8:AH8"/>
    <mergeCell ref="AI8:AJ8"/>
    <mergeCell ref="AK8:AL8"/>
    <mergeCell ref="AM8:AN8"/>
    <mergeCell ref="AO8:AP8"/>
    <mergeCell ref="AQ8:AR8"/>
    <mergeCell ref="BE8:BF8"/>
    <mergeCell ref="AS8:AT8"/>
    <mergeCell ref="AU8:AV8"/>
    <mergeCell ref="AW8:AX8"/>
    <mergeCell ref="AY8:AZ8"/>
    <mergeCell ref="BA8:BB8"/>
    <mergeCell ref="BC8:BD8"/>
    <mergeCell ref="AG7:AH7"/>
    <mergeCell ref="AI7:AJ7"/>
    <mergeCell ref="AK7:AL7"/>
    <mergeCell ref="AM7:AN7"/>
    <mergeCell ref="AO7:AP7"/>
    <mergeCell ref="AY9:AZ9"/>
    <mergeCell ref="BA9:BB9"/>
    <mergeCell ref="BC9:BD9"/>
    <mergeCell ref="BE9:BF9"/>
    <mergeCell ref="AG10:AH10"/>
    <mergeCell ref="AI10:AJ10"/>
    <mergeCell ref="AK10:AL10"/>
    <mergeCell ref="AM10:AN10"/>
    <mergeCell ref="AO10:AP10"/>
    <mergeCell ref="AQ10:AR10"/>
    <mergeCell ref="BE10:BF10"/>
    <mergeCell ref="AS10:AT10"/>
    <mergeCell ref="AU10:AV10"/>
    <mergeCell ref="AW10:AX10"/>
    <mergeCell ref="AY10:AZ10"/>
    <mergeCell ref="BA10:BB10"/>
    <mergeCell ref="BC10:BD10"/>
    <mergeCell ref="AG9:AH9"/>
    <mergeCell ref="AI9:AJ9"/>
    <mergeCell ref="AK9:AL9"/>
    <mergeCell ref="AM9:AN9"/>
    <mergeCell ref="AO9:AP9"/>
    <mergeCell ref="AQ9:AR9"/>
    <mergeCell ref="AS9:AT9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AG12:AH12"/>
    <mergeCell ref="AI12:AJ12"/>
    <mergeCell ref="AK12:AL12"/>
    <mergeCell ref="AM12:AN12"/>
    <mergeCell ref="AO12:AP12"/>
    <mergeCell ref="BE13:BF13"/>
    <mergeCell ref="BC12:BD12"/>
    <mergeCell ref="BE12:BF12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Q12:AR12"/>
    <mergeCell ref="AS12:AT12"/>
    <mergeCell ref="AU12:AV12"/>
    <mergeCell ref="AW12:AX12"/>
    <mergeCell ref="AY12:AZ12"/>
    <mergeCell ref="BA12:BB12"/>
    <mergeCell ref="AK14:AL14"/>
    <mergeCell ref="AM14:AN14"/>
    <mergeCell ref="AO14:AP14"/>
    <mergeCell ref="AQ14:AR14"/>
    <mergeCell ref="AU13:AV13"/>
    <mergeCell ref="AW13:AX13"/>
    <mergeCell ref="AY13:AZ13"/>
    <mergeCell ref="BA13:BB13"/>
    <mergeCell ref="BC13:BD13"/>
    <mergeCell ref="AG16:AH16"/>
    <mergeCell ref="AI16:AJ16"/>
    <mergeCell ref="AK16:AL16"/>
    <mergeCell ref="AM16:AN16"/>
    <mergeCell ref="AO16:AP16"/>
    <mergeCell ref="AQ16:AR16"/>
    <mergeCell ref="BE14:BF14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S14:AT14"/>
    <mergeCell ref="AU14:AV14"/>
    <mergeCell ref="AW14:AX14"/>
    <mergeCell ref="AY14:AZ14"/>
    <mergeCell ref="BA14:BB14"/>
    <mergeCell ref="BC14:BD14"/>
    <mergeCell ref="AG14:AH14"/>
    <mergeCell ref="AI14:AJ14"/>
    <mergeCell ref="BE16:BF16"/>
    <mergeCell ref="AS16:AT16"/>
    <mergeCell ref="AU16:AV16"/>
    <mergeCell ref="AW16:AX16"/>
    <mergeCell ref="AY16:AZ16"/>
    <mergeCell ref="BA16:BB16"/>
    <mergeCell ref="BC16:BD16"/>
    <mergeCell ref="AY15:AZ15"/>
    <mergeCell ref="BA15:BB15"/>
    <mergeCell ref="BC15:BD15"/>
    <mergeCell ref="BE15:BF15"/>
  </mergeCells>
  <conditionalFormatting sqref="S19:Y69">
    <cfRule type="containsText" dxfId="84" priority="1" operator="containsText" text="1.Très à risque">
      <formula>NOT(ISERROR(SEARCH("1.Très à risque",S19)))</formula>
    </cfRule>
    <cfRule type="containsText" dxfId="83" priority="2" operator="containsText" text="3.À risque">
      <formula>NOT(ISERROR(SEARCH("3.À risque",S19)))</formula>
    </cfRule>
    <cfRule type="containsText" dxfId="82" priority="3" operator="containsText" text="5.Respect OPC">
      <formula>NOT(ISERROR(SEARCH("5.Respect OPC",S19)))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A48ECCE-1BEA-49D6-BB9B-14B7EAF94A8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AD19:AF69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A56F-8ABE-41F1-B030-5A795CFD74D7}">
  <dimension ref="A1:BU169"/>
  <sheetViews>
    <sheetView zoomScale="90" zoomScaleNormal="90" workbookViewId="0">
      <pane ySplit="18" topLeftCell="A34" activePane="bottomLeft" state="frozen"/>
      <selection activeCell="AA1" sqref="AA1"/>
      <selection pane="bottomLeft" activeCell="Q93" sqref="Q93"/>
    </sheetView>
  </sheetViews>
  <sheetFormatPr baseColWidth="10" defaultColWidth="11.44140625" defaultRowHeight="14.4" outlineLevelCol="1" x14ac:dyDescent="0.3"/>
  <cols>
    <col min="1" max="1" width="19" customWidth="1" outlineLevel="1"/>
    <col min="2" max="2" width="17.6640625" customWidth="1" outlineLevel="1"/>
    <col min="3" max="3" width="8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7.33203125" customWidth="1" outlineLevel="1"/>
    <col min="8" max="8" width="12.44140625" customWidth="1" outlineLevel="1"/>
    <col min="9" max="9" width="13" customWidth="1" outlineLevel="1"/>
    <col min="10" max="10" width="14.33203125" customWidth="1"/>
    <col min="11" max="11" width="12.88671875" customWidth="1"/>
    <col min="12" max="12" width="100.6640625" customWidth="1" collapsed="1"/>
    <col min="13" max="13" width="30.6640625" customWidth="1"/>
    <col min="14" max="14" width="10" customWidth="1"/>
    <col min="15" max="15" width="23" customWidth="1"/>
    <col min="16" max="16" width="14.5546875" customWidth="1" outlineLevel="1"/>
    <col min="17" max="17" width="14.33203125" customWidth="1" outlineLevel="1"/>
    <col min="18" max="18" width="15" customWidth="1" outlineLevel="1"/>
    <col min="19" max="19" width="14" customWidth="1"/>
    <col min="20" max="21" width="14.33203125" customWidth="1"/>
    <col min="22" max="23" width="15" customWidth="1" outlineLevel="1"/>
    <col min="24" max="24" width="12.33203125" customWidth="1" outlineLevel="1"/>
    <col min="25" max="26" width="11.44140625" customWidth="1" outlineLevel="1"/>
    <col min="27" max="27" width="11.33203125" customWidth="1" outlineLevel="1"/>
    <col min="28" max="28" width="11.44140625" customWidth="1" outlineLevel="1"/>
    <col min="29" max="29" width="14.6640625" customWidth="1" outlineLevel="1"/>
    <col min="30" max="30" width="13.88671875" customWidth="1" outlineLevel="1"/>
    <col min="31" max="31" width="13.5546875" customWidth="1"/>
    <col min="32" max="32" width="6.33203125" customWidth="1"/>
    <col min="33" max="33" width="9.33203125" hidden="1" customWidth="1" outlineLevel="1"/>
    <col min="34" max="34" width="10.44140625" hidden="1" customWidth="1" outlineLevel="1"/>
    <col min="35" max="35" width="9.88671875" hidden="1" customWidth="1" outlineLevel="1"/>
    <col min="36" max="36" width="9.88671875" style="25" hidden="1" customWidth="1" outlineLevel="1"/>
    <col min="37" max="38" width="9.88671875" hidden="1" customWidth="1" outlineLevel="1"/>
    <col min="39" max="39" width="11.109375" customWidth="1" collapsed="1"/>
    <col min="40" max="40" width="12.33203125" customWidth="1"/>
    <col min="41" max="41" width="11" customWidth="1"/>
    <col min="42" max="45" width="9.88671875" customWidth="1"/>
    <col min="46" max="46" width="9.88671875" style="8" customWidth="1"/>
    <col min="47" max="58" width="9.88671875" customWidth="1"/>
    <col min="59" max="60" width="14.44140625" customWidth="1"/>
    <col min="61" max="61" width="12.6640625" bestFit="1" customWidth="1"/>
    <col min="62" max="64" width="9.88671875" customWidth="1"/>
    <col min="65" max="65" width="13.44140625" customWidth="1"/>
    <col min="66" max="66" width="13.5546875" customWidth="1"/>
    <col min="67" max="67" width="18" customWidth="1"/>
    <col min="68" max="68" width="17" customWidth="1"/>
    <col min="69" max="69" width="16.6640625" bestFit="1" customWidth="1"/>
    <col min="70" max="79" width="11.33203125" customWidth="1"/>
    <col min="80" max="80" width="12.5546875" customWidth="1"/>
    <col min="81" max="81" width="13.44140625" customWidth="1"/>
    <col min="82" max="82" width="13.109375" customWidth="1"/>
    <col min="83" max="83" width="14" customWidth="1"/>
    <col min="84" max="89" width="17.33203125" customWidth="1"/>
    <col min="90" max="90" width="18.109375" customWidth="1"/>
    <col min="91" max="91" width="17.5546875" customWidth="1"/>
  </cols>
  <sheetData>
    <row r="1" spans="1:73" ht="21" x14ac:dyDescent="0.4">
      <c r="A1" s="32"/>
      <c r="B1" s="32"/>
      <c r="C1" s="32"/>
      <c r="D1" s="32"/>
      <c r="E1" s="32"/>
      <c r="F1" s="32"/>
      <c r="G1" s="32"/>
      <c r="H1" s="32"/>
      <c r="I1" s="32" t="s">
        <v>298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7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85"/>
      <c r="BR1" s="85"/>
      <c r="BS1" s="85"/>
      <c r="BT1" s="85"/>
      <c r="BU1" s="85"/>
    </row>
    <row r="2" spans="1:73" x14ac:dyDescent="0.3">
      <c r="AA2" s="25"/>
      <c r="AB2" s="25"/>
      <c r="AC2" s="25"/>
      <c r="AD2" s="25"/>
      <c r="AE2" s="25"/>
      <c r="AF2" s="25"/>
      <c r="AG2" s="349" t="s">
        <v>698</v>
      </c>
      <c r="AH2" s="349"/>
      <c r="AI2" s="349"/>
      <c r="AJ2" s="349"/>
      <c r="AK2" s="349"/>
      <c r="AL2" s="349"/>
      <c r="AM2" s="349"/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  <c r="BI2" s="349"/>
    </row>
    <row r="3" spans="1:73" ht="26.4" customHeight="1" x14ac:dyDescent="0.3">
      <c r="I3" s="306" t="s">
        <v>2</v>
      </c>
      <c r="J3" s="307"/>
      <c r="N3" s="65"/>
      <c r="O3" s="65"/>
      <c r="P3" s="65"/>
      <c r="Q3" s="65"/>
      <c r="R3" s="65"/>
      <c r="S3" s="65"/>
      <c r="T3" s="65"/>
      <c r="U3" s="65"/>
      <c r="V3" s="65"/>
      <c r="AC3" s="4" t="s">
        <v>3</v>
      </c>
      <c r="AD3" s="80" t="s">
        <v>4</v>
      </c>
      <c r="AE3" s="342" t="s">
        <v>5</v>
      </c>
      <c r="AF3" s="342"/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263">
        <v>2035</v>
      </c>
      <c r="BF3" s="264"/>
      <c r="BG3" s="26" t="s">
        <v>560</v>
      </c>
      <c r="BH3" s="26" t="s">
        <v>699</v>
      </c>
      <c r="BI3" s="26" t="s">
        <v>595</v>
      </c>
    </row>
    <row r="4" spans="1:73" x14ac:dyDescent="0.3">
      <c r="I4" s="27" t="s">
        <v>9</v>
      </c>
      <c r="J4" s="28" t="s">
        <v>10</v>
      </c>
      <c r="N4" s="65"/>
      <c r="O4" s="65"/>
      <c r="P4" s="65"/>
      <c r="Q4" s="65"/>
      <c r="R4" s="65"/>
      <c r="S4" s="65"/>
      <c r="T4" s="65"/>
      <c r="U4" s="65"/>
      <c r="V4" s="65"/>
      <c r="AC4" s="66"/>
      <c r="AD4" s="138"/>
      <c r="AF4" s="104" t="s">
        <v>11</v>
      </c>
      <c r="AG4" s="260"/>
      <c r="AH4" s="260"/>
      <c r="AI4" s="260">
        <f>SUMIFS(Portefeuille_MNT_PPS_Access32[AC 2024],Portefeuille_MNT_PPS_Access32[DES_COMPL_NATR_COMPB],"=Fonctionnement")+SUMIFS(Portefeuille_MNT_PPS_Access32[TR 2024],Portefeuille_MNT_PPS_Access32[DES_COMPL_NATR_COMPB],"=Fonctionnement")</f>
        <v>339</v>
      </c>
      <c r="AJ4" s="260"/>
      <c r="AK4" s="260">
        <f>SUMIFS(Portefeuille_MNT_PPS_Access32[AC 2025],Portefeuille_MNT_PPS_Access32[DES_COMPL_NATR_COMPB],"=Fonctionnement")+SUMIFS(Portefeuille_MNT_PPS_Access32[TR 2025],Portefeuille_MNT_PPS_Access32[DES_COMPL_NATR_COMPB],"=Fonctionnement")</f>
        <v>300</v>
      </c>
      <c r="AL4" s="260"/>
      <c r="AM4" s="260">
        <f>SUMIFS(Portefeuille_MNT_PPS_Access32[AC 2026],Portefeuille_MNT_PPS_Access32[DES_COMPL_NATR_COMPB],"=Fonctionnement")+SUMIFS(Portefeuille_MNT_PPS_Access32[TR 2026],Portefeuille_MNT_PPS_Access32[DES_COMPL_NATR_COMPB],"=Fonctionnement")</f>
        <v>300</v>
      </c>
      <c r="AN4" s="260"/>
      <c r="AO4" s="260">
        <f>SUMIFS(Portefeuille_MNT_PPS_Access32[AC 2027],Portefeuille_MNT_PPS_Access32[DES_COMPL_NATR_COMPB],"=Fonctionnement")+SUMIFS(Portefeuille_MNT_PPS_Access32[TR 2027],Portefeuille_MNT_PPS_Access32[DES_COMPL_NATR_COMPB],"=Fonctionnement")</f>
        <v>510</v>
      </c>
      <c r="AP4" s="260"/>
      <c r="AQ4" s="260">
        <f>SUMIFS(Portefeuille_MNT_PPS_Access32[AC 2028],Portefeuille_MNT_PPS_Access32[DES_COMPL_NATR_COMPB],"=Fonctionnement")+SUMIFS(Portefeuille_MNT_PPS_Access32[TR 2028],Portefeuille_MNT_PPS_Access32[DES_COMPL_NATR_COMPB],"=Fonctionnement")</f>
        <v>0</v>
      </c>
      <c r="AR4" s="260"/>
      <c r="AS4" s="260">
        <f>SUMIFS(Portefeuille_MNT_PPS_Access32[AC 2029],Portefeuille_MNT_PPS_Access32[DES_COMPL_NATR_COMPB],"=Fonctionnement")+SUMIFS(Portefeuille_MNT_PPS_Access32[TR 2029],Portefeuille_MNT_PPS_Access32[DES_COMPL_NATR_COMPB],"=Fonctionnement")</f>
        <v>0</v>
      </c>
      <c r="AT4" s="260"/>
      <c r="AU4" s="260">
        <f>SUMIFS(Portefeuille_MNT_PPS_Access32[AC 2030],Portefeuille_MNT_PPS_Access32[DES_COMPL_NATR_COMPB],"=Fonctionnement")+SUMIFS(Portefeuille_MNT_PPS_Access32[TR 2030],Portefeuille_MNT_PPS_Access32[DES_COMPL_NATR_COMPB],"=Fonctionnement")</f>
        <v>0</v>
      </c>
      <c r="AV4" s="260"/>
      <c r="AW4" s="260">
        <f>SUMIFS(Portefeuille_MNT_PPS_Access32[AC 2031],Portefeuille_MNT_PPS_Access32[DES_COMPL_NATR_COMPB],"=Fonctionnement")+SUMIFS(Portefeuille_MNT_PPS_Access32[TR 2031],Portefeuille_MNT_PPS_Access32[DES_COMPL_NATR_COMPB],"=Fonctionnement")</f>
        <v>0</v>
      </c>
      <c r="AX4" s="260"/>
      <c r="AY4" s="260">
        <f>SUMIFS(Portefeuille_MNT_PPS_Access32[AC 2032],Portefeuille_MNT_PPS_Access32[DES_COMPL_NATR_COMPB],"=Fonctionnement")+SUMIFS(Portefeuille_MNT_PPS_Access32[TR 2032],Portefeuille_MNT_PPS_Access32[DES_COMPL_NATR_COMPB],"=Fonctionnement")</f>
        <v>0</v>
      </c>
      <c r="AZ4" s="260"/>
      <c r="BA4" s="260">
        <f>SUMIFS(Portefeuille_MNT_PPS_Access32[AC 2033],Portefeuille_MNT_PPS_Access32[DES_COMPL_NATR_COMPB],"=Fonctionnement")+SUMIFS(Portefeuille_MNT_PPS_Access32[TR 2033],Portefeuille_MNT_PPS_Access32[DES_COMPL_NATR_COMPB],"=Fonctionnement")</f>
        <v>0</v>
      </c>
      <c r="BB4" s="260"/>
      <c r="BC4" s="260">
        <f>SUMIFS(Portefeuille_MNT_PPS_Access32[AC 2034],Portefeuille_MNT_PPS_Access32[DES_COMPL_NATR_COMPB],"=Fonctionnement")+SUMIFS(Portefeuille_MNT_PPS_Access32[TR 2034],Portefeuille_MNT_PPS_Access32[DES_COMPL_NATR_COMPB],"=Fonctionnement")</f>
        <v>0</v>
      </c>
      <c r="BD4" s="260"/>
      <c r="BE4" s="260">
        <f>SUMIFS(Portefeuille_MNT_PPS_Access32[AC 2035],Portefeuille_MNT_PPS_Access32[DES_COMPL_NATR_COMPB],"=Fonctionnement")+SUMIFS(Portefeuille_MNT_PPS_Access32[TR 2035],Portefeuille_MNT_PPS_Access32[DES_COMPL_NATR_COMPB],"=Fonctionnement")</f>
        <v>0</v>
      </c>
      <c r="BF4" s="260"/>
      <c r="BG4" s="16">
        <f>SUM(AM4:AV4)</f>
        <v>810</v>
      </c>
      <c r="BH4" s="16">
        <f>SUM(AW4:BF4)</f>
        <v>0</v>
      </c>
      <c r="BI4" s="16">
        <f>SUM(AM4:BF4)</f>
        <v>810</v>
      </c>
    </row>
    <row r="5" spans="1:73" x14ac:dyDescent="0.3">
      <c r="I5" s="27" t="s">
        <v>12</v>
      </c>
      <c r="J5" s="28" t="s">
        <v>13</v>
      </c>
      <c r="AC5" s="67"/>
      <c r="AD5" s="139" t="s">
        <v>299</v>
      </c>
      <c r="AF5" s="104" t="s">
        <v>15</v>
      </c>
      <c r="AG5" s="260">
        <f>SUMIFS(Portefeuille_MNT_PPS_Access32[AC ANT],Portefeuille_MNT_PPS_Access32[État Composante AC],"=PR")</f>
        <v>23733</v>
      </c>
      <c r="AH5" s="260"/>
      <c r="AI5" s="260">
        <f>SUMIFS(Portefeuille_MNT_PPS_Access32[AC 2024],Portefeuille_MNT_PPS_Access32[État Composante AC],"=PR")</f>
        <v>4500</v>
      </c>
      <c r="AJ5" s="260"/>
      <c r="AK5" s="260">
        <f>SUMIFS(Portefeuille_MNT_PPS_Access32[AC 2025],Portefeuille_MNT_PPS_Access32[État Composante AC],"=PR")</f>
        <v>10560</v>
      </c>
      <c r="AL5" s="260"/>
      <c r="AM5" s="260">
        <f>SUMIFS(Portefeuille_MNT_PPS_Access32[AC 2026],Portefeuille_MNT_PPS_Access32[État Composante AC],"=PR")</f>
        <v>10442</v>
      </c>
      <c r="AN5" s="260"/>
      <c r="AO5" s="260">
        <f>SUMIFS(Portefeuille_MNT_PPS_Access32[AC 2027],Portefeuille_MNT_PPS_Access32[État Composante AC],"=PR")</f>
        <v>10003</v>
      </c>
      <c r="AP5" s="260"/>
      <c r="AQ5" s="260">
        <f>SUMIFS(Portefeuille_MNT_PPS_Access32[AC 2028],Portefeuille_MNT_PPS_Access32[État Composante AC],"=PR")</f>
        <v>6830</v>
      </c>
      <c r="AR5" s="260"/>
      <c r="AS5" s="260">
        <f>SUMIFS(Portefeuille_MNT_PPS_Access32[AC 2029],Portefeuille_MNT_PPS_Access32[État Composante AC],"=PR")</f>
        <v>4123</v>
      </c>
      <c r="AT5" s="260"/>
      <c r="AU5" s="260">
        <f>SUMIFS(Portefeuille_MNT_PPS_Access32[AC 2030],Portefeuille_MNT_PPS_Access32[État Composante AC],"=PR")</f>
        <v>1835</v>
      </c>
      <c r="AV5" s="260"/>
      <c r="AW5" s="260">
        <f>SUMIFS(Portefeuille_MNT_PPS_Access32[AC 2031],Portefeuille_MNT_PPS_Access32[État Composante AC],"=PR")</f>
        <v>2098</v>
      </c>
      <c r="AX5" s="260"/>
      <c r="AY5" s="260">
        <f>SUMIFS(Portefeuille_MNT_PPS_Access32[AC 2032],Portefeuille_MNT_PPS_Access32[État Composante AC],"=PR")</f>
        <v>0</v>
      </c>
      <c r="AZ5" s="260"/>
      <c r="BA5" s="260">
        <f>SUMIFS(Portefeuille_MNT_PPS_Access32[AC 2033],Portefeuille_MNT_PPS_Access32[État Composante AC],"=PR")</f>
        <v>0</v>
      </c>
      <c r="BB5" s="260"/>
      <c r="BC5" s="260">
        <f>SUMIFS(Portefeuille_MNT_PPS_Access32[AC 2034],Portefeuille_MNT_PPS_Access32[État Composante AC],"=PR")</f>
        <v>0</v>
      </c>
      <c r="BD5" s="260"/>
      <c r="BE5" s="260">
        <f>SUMIFS(Portefeuille_MNT_PPS_Access32[AC 2035],Portefeuille_MNT_PPS_Access32[État Composante TR],"=PR")</f>
        <v>0</v>
      </c>
      <c r="BF5" s="260"/>
      <c r="BG5" s="16">
        <f>SUM(AM5:AV5)</f>
        <v>33233</v>
      </c>
      <c r="BH5" s="16">
        <f t="shared" ref="BH5:BH6" si="0">SUM(AW5:BF5)</f>
        <v>2098</v>
      </c>
      <c r="BI5" s="16">
        <f>SUM(AM5:BF5)</f>
        <v>35331</v>
      </c>
    </row>
    <row r="6" spans="1:73" x14ac:dyDescent="0.3">
      <c r="I6" s="29" t="s">
        <v>16</v>
      </c>
      <c r="J6" s="28" t="s">
        <v>17</v>
      </c>
      <c r="AC6" s="35" t="s">
        <v>18</v>
      </c>
      <c r="AD6" s="140">
        <v>1</v>
      </c>
      <c r="AF6" s="83" t="s">
        <v>19</v>
      </c>
      <c r="AG6" s="260">
        <f>SUMIFS(Portefeuille_MNT_PPS_Access32[TR ANT],Portefeuille_MNT_PPS_Access32[État Composante TR],"=PR")</f>
        <v>133660</v>
      </c>
      <c r="AH6" s="260"/>
      <c r="AI6" s="260">
        <f>SUMIFS(Portefeuille_MNT_PPS_Access32[TR 2024],Portefeuille_MNT_PPS_Access32[État Composante TR],"=PR")</f>
        <v>70599</v>
      </c>
      <c r="AJ6" s="260"/>
      <c r="AK6" s="260">
        <f>SUMIFS(Portefeuille_MNT_PPS_Access32[TR 2025],Portefeuille_MNT_PPS_Access32[État Composante TR],"=PR")</f>
        <v>55335</v>
      </c>
      <c r="AL6" s="260"/>
      <c r="AM6" s="260">
        <f>SUMIFS(Portefeuille_MNT_PPS_Access32[TR 2026],Portefeuille_MNT_PPS_Access32[État Composante TR],"=PR")</f>
        <v>53578</v>
      </c>
      <c r="AN6" s="260"/>
      <c r="AO6" s="260">
        <f>SUMIFS(Portefeuille_MNT_PPS_Access32[TR 2027],Portefeuille_MNT_PPS_Access32[État Composante TR],"=PR")</f>
        <v>7742</v>
      </c>
      <c r="AP6" s="260"/>
      <c r="AQ6" s="260">
        <f>SUMIFS(Portefeuille_MNT_PPS_Access32[TR 2028],Portefeuille_MNT_PPS_Access32[État Composante TR],"=PR")</f>
        <v>13095</v>
      </c>
      <c r="AR6" s="260"/>
      <c r="AS6" s="260">
        <f>SUMIFS(Portefeuille_MNT_PPS_Access32[TR 2029],Portefeuille_MNT_PPS_Access32[État Composante TR],"=PR")</f>
        <v>5141.0000000000009</v>
      </c>
      <c r="AT6" s="260"/>
      <c r="AU6" s="260">
        <f>SUMIFS(Portefeuille_MNT_PPS_Access32[TR 2030],Portefeuille_MNT_PPS_Access32[État Composante TR],"=PR")</f>
        <v>5153.0000000000018</v>
      </c>
      <c r="AV6" s="260"/>
      <c r="AW6" s="260">
        <f>SUMIFS(Portefeuille_MNT_PPS_Access32[TR 2031],Portefeuille_MNT_PPS_Access32[État Composante TR],"=PR")</f>
        <v>5046.9999999999991</v>
      </c>
      <c r="AX6" s="260"/>
      <c r="AY6" s="260">
        <f>SUMIFS(Portefeuille_MNT_PPS_Access32[TR 2032],Portefeuille_MNT_PPS_Access32[État Composante TR],"=PR")</f>
        <v>0</v>
      </c>
      <c r="AZ6" s="260"/>
      <c r="BA6" s="260">
        <f>SUMIFS(Portefeuille_MNT_PPS_Access32[TR 2033],Portefeuille_MNT_PPS_Access32[État Composante TR],"=PR")</f>
        <v>0</v>
      </c>
      <c r="BB6" s="260"/>
      <c r="BC6" s="260">
        <f>SUMIFS(Portefeuille_MNT_PPS_Access32[TR 2034],Portefeuille_MNT_PPS_Access32[État Composante TR],"=PR")</f>
        <v>0</v>
      </c>
      <c r="BD6" s="260"/>
      <c r="BE6" s="260">
        <f>SUMIFS(Portefeuille_MNT_PPS_Access32[TR 2035],Portefeuille_MNT_PPS_Access32[Région],"=PR")</f>
        <v>0</v>
      </c>
      <c r="BF6" s="260"/>
      <c r="BG6" s="16">
        <f>SUM(AM6:AV6)</f>
        <v>84709</v>
      </c>
      <c r="BH6" s="16">
        <f t="shared" si="0"/>
        <v>5046.9999999999991</v>
      </c>
      <c r="BI6" s="16">
        <f>SUM(AM6:BF6)</f>
        <v>89756</v>
      </c>
    </row>
    <row r="7" spans="1:73" x14ac:dyDescent="0.3">
      <c r="I7" s="30" t="s">
        <v>20</v>
      </c>
      <c r="J7" s="31" t="s">
        <v>21</v>
      </c>
      <c r="AC7" s="35" t="s">
        <v>22</v>
      </c>
      <c r="AD7" s="140">
        <v>0.25</v>
      </c>
      <c r="AF7" s="83" t="s">
        <v>23</v>
      </c>
      <c r="AG7" s="262">
        <f>AG5+AG6</f>
        <v>157393</v>
      </c>
      <c r="AH7" s="262"/>
      <c r="AI7" s="262">
        <f>AI5+AI6</f>
        <v>75099</v>
      </c>
      <c r="AJ7" s="262"/>
      <c r="AK7" s="262">
        <f>AK5+AK6</f>
        <v>65895</v>
      </c>
      <c r="AL7" s="262"/>
      <c r="AM7" s="262">
        <f>AM5+AM6</f>
        <v>64020</v>
      </c>
      <c r="AN7" s="262"/>
      <c r="AO7" s="262">
        <f>AO5+AO6</f>
        <v>17745</v>
      </c>
      <c r="AP7" s="262"/>
      <c r="AQ7" s="262">
        <f>AQ5+AQ6</f>
        <v>19925</v>
      </c>
      <c r="AR7" s="262"/>
      <c r="AS7" s="262">
        <f>AS5+AS6</f>
        <v>9264</v>
      </c>
      <c r="AT7" s="262"/>
      <c r="AU7" s="262">
        <f>AU5+AU6</f>
        <v>6988.0000000000018</v>
      </c>
      <c r="AV7" s="262"/>
      <c r="AW7" s="262">
        <f>AW5+AW6</f>
        <v>7144.9999999999991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0">
        <f>BG6+BG5</f>
        <v>117942</v>
      </c>
      <c r="BH7" s="20">
        <f>BH6+BH5</f>
        <v>7144.9999999999991</v>
      </c>
      <c r="BI7" s="20">
        <f>BI6+BI5</f>
        <v>125087</v>
      </c>
    </row>
    <row r="8" spans="1:73" x14ac:dyDescent="0.3">
      <c r="I8" s="131"/>
      <c r="J8" s="28" t="s">
        <v>270</v>
      </c>
      <c r="AC8" s="35" t="s">
        <v>24</v>
      </c>
      <c r="AD8" s="140">
        <v>0.25</v>
      </c>
      <c r="AF8" s="83" t="s">
        <v>25</v>
      </c>
      <c r="AG8" s="260">
        <f>SUMIFS(Portefeuille_MNT_PPS_Access32[AC ANT],Portefeuille_MNT_PPS_Access32[État Composante AC],"&lt;&gt;PR")</f>
        <v>0</v>
      </c>
      <c r="AH8" s="260"/>
      <c r="AI8" s="260">
        <f>SUMIFS(Portefeuille_MNT_PPS_Access32[AC 2024],Portefeuille_MNT_PPS_Access32[État Composante AC],"&lt;&gt;PR")</f>
        <v>0</v>
      </c>
      <c r="AJ8" s="260"/>
      <c r="AK8" s="260">
        <f>SUMIFS(Portefeuille_MNT_PPS_Access32[AC 2025],Portefeuille_MNT_PPS_Access32[État Composante AC],"&lt;&gt;PR")</f>
        <v>0</v>
      </c>
      <c r="AL8" s="260"/>
      <c r="AM8" s="260">
        <f>SUMIFS(Portefeuille_MNT_PPS_Access32[AC 2026],Portefeuille_MNT_PPS_Access32[État Composante AC],"&lt;&gt;PR")</f>
        <v>756</v>
      </c>
      <c r="AN8" s="260"/>
      <c r="AO8" s="260">
        <f>SUMIFS(Portefeuille_MNT_PPS_Access32[AC 2027],Portefeuille_MNT_PPS_Access32[État Composante AC],"&lt;&gt;PR")</f>
        <v>3081</v>
      </c>
      <c r="AP8" s="260"/>
      <c r="AQ8" s="260">
        <f>SUMIFS(Portefeuille_MNT_PPS_Access32[AC 2028],Portefeuille_MNT_PPS_Access32[État Composante AC],"&lt;&gt;PR")</f>
        <v>6370</v>
      </c>
      <c r="AR8" s="260"/>
      <c r="AS8" s="260">
        <f>SUMIFS(Portefeuille_MNT_PPS_Access32[AC 2029],Portefeuille_MNT_PPS_Access32[État Composante AC],"&lt;&gt;PR")</f>
        <v>6145</v>
      </c>
      <c r="AT8" s="260"/>
      <c r="AU8" s="260">
        <f>SUMIFS(Portefeuille_MNT_PPS_Access32[AC 2030],Portefeuille_MNT_PPS_Access32[État Composante AC],"&lt;&gt;PR")</f>
        <v>6375</v>
      </c>
      <c r="AV8" s="260"/>
      <c r="AW8" s="260">
        <f>SUMIFS(Portefeuille_MNT_PPS_Access32[AC 2031],Portefeuille_MNT_PPS_Access32[État Composante AC],"&lt;&gt;PR")</f>
        <v>6400</v>
      </c>
      <c r="AX8" s="260"/>
      <c r="AY8" s="260">
        <f>SUMIFS(Portefeuille_MNT_PPS_Access32[AC 2032],Portefeuille_MNT_PPS_Access32[État Composante AC],"&lt;&gt;PR")</f>
        <v>7850</v>
      </c>
      <c r="AZ8" s="260"/>
      <c r="BA8" s="260">
        <f>SUMIFS(Portefeuille_MNT_PPS_Access32[AC 2033],Portefeuille_MNT_PPS_Access32[État Composante AC],"&lt;&gt;PR")</f>
        <v>7225</v>
      </c>
      <c r="BB8" s="260"/>
      <c r="BC8" s="260">
        <f>SUMIFS(Portefeuille_MNT_PPS_Access32[AC 2034],Portefeuille_MNT_PPS_Access32[État Composante AC],"&lt;&gt;PR")</f>
        <v>5125</v>
      </c>
      <c r="BD8" s="260"/>
      <c r="BE8" s="260">
        <f>SUMIFS(Portefeuille_MNT_PPS_Access32[AC 2035],Portefeuille_MNT_PPS_Access32[État Composante TR],"&lt;&gt;PR")</f>
        <v>3350</v>
      </c>
      <c r="BF8" s="260"/>
      <c r="BG8" s="16">
        <f>SUM(AM8:AV8)</f>
        <v>22727</v>
      </c>
      <c r="BH8" s="16">
        <f>SUM(AW8:BF8)</f>
        <v>29950</v>
      </c>
      <c r="BI8" s="16">
        <f>SUM(AM8:BF8)</f>
        <v>52677</v>
      </c>
    </row>
    <row r="9" spans="1:73" x14ac:dyDescent="0.3">
      <c r="I9" s="176"/>
      <c r="J9" s="28" t="s">
        <v>271</v>
      </c>
      <c r="AC9" s="35" t="s">
        <v>26</v>
      </c>
      <c r="AD9" s="140">
        <v>0.25</v>
      </c>
      <c r="AF9" s="83" t="s">
        <v>27</v>
      </c>
      <c r="AG9" s="260">
        <f>SUMIFS(Portefeuille_MNT_PPS_Access32[TR ANT],Portefeuille_MNT_PPS_Access32[État Composante TR],"&lt;&gt;PR")</f>
        <v>19527</v>
      </c>
      <c r="AH9" s="260"/>
      <c r="AI9" s="260">
        <f>SUMIFS(Portefeuille_MNT_PPS_Access32[TR 2024],Portefeuille_MNT_PPS_Access32[État Composante TR],"&lt;&gt;PR")</f>
        <v>0</v>
      </c>
      <c r="AJ9" s="260"/>
      <c r="AK9" s="260">
        <f>SUMIFS(Portefeuille_MNT_PPS_Access32[TR 2025],Portefeuille_MNT_PPS_Access32[État Composante TR],"&lt;&gt;PR")</f>
        <v>0</v>
      </c>
      <c r="AL9" s="260"/>
      <c r="AM9" s="260">
        <f>SUMIFS(Portefeuille_MNT_PPS_Access32[TR 2026],Portefeuille_MNT_PPS_Access32[État Composante TR],"&lt;&gt;PR")</f>
        <v>6224</v>
      </c>
      <c r="AN9" s="260"/>
      <c r="AO9" s="260">
        <f>SUMIFS(Portefeuille_MNT_PPS_Access32[TR 2027],Portefeuille_MNT_PPS_Access32[État Composante TR],"&lt;&gt;PR")</f>
        <v>57114</v>
      </c>
      <c r="AP9" s="260"/>
      <c r="AQ9" s="260">
        <f>SUMIFS(Portefeuille_MNT_PPS_Access32[TR 2028],Portefeuille_MNT_PPS_Access32[État Composante TR],"&lt;&gt;PR")</f>
        <v>73112</v>
      </c>
      <c r="AR9" s="260"/>
      <c r="AS9" s="260">
        <f>SUMIFS(Portefeuille_MNT_PPS_Access32[TR 2029],Portefeuille_MNT_PPS_Access32[État Composante TR],"&lt;&gt;PR")</f>
        <v>84669</v>
      </c>
      <c r="AT9" s="260"/>
      <c r="AU9" s="260">
        <f>SUMIFS(Portefeuille_MNT_PPS_Access32[TR 2030],Portefeuille_MNT_PPS_Access32[État Composante TR],"&lt;&gt;PR")</f>
        <v>87275</v>
      </c>
      <c r="AV9" s="260"/>
      <c r="AW9" s="260">
        <f>SUMIFS(Portefeuille_MNT_PPS_Access32[TR 2031],Portefeuille_MNT_PPS_Access32[État Composante TR],"&lt;&gt;PR")</f>
        <v>92017</v>
      </c>
      <c r="AX9" s="260"/>
      <c r="AY9" s="260">
        <f>SUMIFS(Portefeuille_MNT_PPS_Access32[TR 2032],Portefeuille_MNT_PPS_Access32[État Composante TR],"&lt;&gt;PR")</f>
        <v>92650</v>
      </c>
      <c r="AZ9" s="260"/>
      <c r="BA9" s="260">
        <f>SUMIFS(Portefeuille_MNT_PPS_Access32[TR 2033],Portefeuille_MNT_PPS_Access32[État Composante TR],"&lt;&gt;PR")</f>
        <v>93275</v>
      </c>
      <c r="BB9" s="260"/>
      <c r="BC9" s="260">
        <f>SUMIFS(Portefeuille_MNT_PPS_Access32[TR 2034],Portefeuille_MNT_PPS_Access32[État Composante TR],"&lt;&gt;PR")</f>
        <v>94236</v>
      </c>
      <c r="BD9" s="260"/>
      <c r="BE9" s="260">
        <f>SUMIFS(Portefeuille_MNT_PPS_Access32[TR 2035],Portefeuille_MNT_PPS_Access32[Région],"&lt;&gt;PR")</f>
        <v>102764</v>
      </c>
      <c r="BF9" s="260"/>
      <c r="BG9" s="16">
        <f>SUM(AM9:AV9)</f>
        <v>308394</v>
      </c>
      <c r="BH9" s="16">
        <f>SUM(AW9:BF9)</f>
        <v>474942</v>
      </c>
      <c r="BI9" s="16">
        <f>SUM(AM9:BF9)</f>
        <v>783336</v>
      </c>
    </row>
    <row r="10" spans="1:73" x14ac:dyDescent="0.3">
      <c r="I10" s="175"/>
      <c r="J10" s="31" t="s">
        <v>521</v>
      </c>
      <c r="AC10" s="35" t="s">
        <v>28</v>
      </c>
      <c r="AD10" s="140">
        <v>0.25</v>
      </c>
      <c r="AF10" s="83" t="s">
        <v>29</v>
      </c>
      <c r="AG10" s="262">
        <f>AG8+AG9</f>
        <v>19527</v>
      </c>
      <c r="AH10" s="262"/>
      <c r="AI10" s="262">
        <f>AI8+AI9</f>
        <v>0</v>
      </c>
      <c r="AJ10" s="262"/>
      <c r="AK10" s="262">
        <f>AK8+AK9</f>
        <v>0</v>
      </c>
      <c r="AL10" s="262"/>
      <c r="AM10" s="262">
        <f>AM8+AM9</f>
        <v>6980</v>
      </c>
      <c r="AN10" s="262"/>
      <c r="AO10" s="262">
        <f>AO8+AO9</f>
        <v>60195</v>
      </c>
      <c r="AP10" s="262"/>
      <c r="AQ10" s="262">
        <f>AQ8+AQ9</f>
        <v>79482</v>
      </c>
      <c r="AR10" s="262"/>
      <c r="AS10" s="262">
        <f>AS8+AS9</f>
        <v>90814</v>
      </c>
      <c r="AT10" s="262"/>
      <c r="AU10" s="262">
        <f>AU8+AU9</f>
        <v>93650</v>
      </c>
      <c r="AV10" s="262"/>
      <c r="AW10" s="262">
        <f>AW8+AW9</f>
        <v>98417</v>
      </c>
      <c r="AX10" s="262"/>
      <c r="AY10" s="262">
        <f>AY8+AY9</f>
        <v>100500</v>
      </c>
      <c r="AZ10" s="262"/>
      <c r="BA10" s="262">
        <f>BA8+BA9</f>
        <v>100500</v>
      </c>
      <c r="BB10" s="262"/>
      <c r="BC10" s="262">
        <f>BC8+BC9</f>
        <v>99361</v>
      </c>
      <c r="BD10" s="262"/>
      <c r="BE10" s="262">
        <f>BE8+BE9</f>
        <v>106114</v>
      </c>
      <c r="BF10" s="262"/>
      <c r="BG10" s="20">
        <f>BG9+BG8</f>
        <v>331121</v>
      </c>
      <c r="BH10" s="20">
        <f>BH9+BH8</f>
        <v>504892</v>
      </c>
      <c r="BI10" s="20">
        <f>BI9+BI8</f>
        <v>836013</v>
      </c>
    </row>
    <row r="11" spans="1:73" ht="15.6" x14ac:dyDescent="0.3">
      <c r="AC11" s="24" t="s">
        <v>30</v>
      </c>
      <c r="AD11" s="212">
        <f>SUM(AD7:AD10)</f>
        <v>1</v>
      </c>
      <c r="AE11" s="343" t="s">
        <v>31</v>
      </c>
      <c r="AF11" s="344"/>
      <c r="AG11" s="261">
        <f>AG10+AG7</f>
        <v>176920</v>
      </c>
      <c r="AH11" s="259"/>
      <c r="AI11" s="258">
        <f>AI10+AI7</f>
        <v>75099</v>
      </c>
      <c r="AJ11" s="259"/>
      <c r="AK11" s="258">
        <f>AK10+AK7</f>
        <v>65895</v>
      </c>
      <c r="AL11" s="259"/>
      <c r="AM11" s="258">
        <f>AM10+AM7</f>
        <v>71000</v>
      </c>
      <c r="AN11" s="259"/>
      <c r="AO11" s="258">
        <f>AO10+AO7</f>
        <v>77940</v>
      </c>
      <c r="AP11" s="259"/>
      <c r="AQ11" s="258">
        <f>AQ10+AQ7</f>
        <v>99407</v>
      </c>
      <c r="AR11" s="259"/>
      <c r="AS11" s="258">
        <f>AS10+AS7</f>
        <v>100078</v>
      </c>
      <c r="AT11" s="259"/>
      <c r="AU11" s="258">
        <f>AU10+AU7</f>
        <v>100638</v>
      </c>
      <c r="AV11" s="259"/>
      <c r="AW11" s="258">
        <f t="shared" ref="AW11" si="1">AW10+AW7</f>
        <v>105562</v>
      </c>
      <c r="AX11" s="259"/>
      <c r="AY11" s="258">
        <f t="shared" ref="AY11" si="2">AY10+AY7</f>
        <v>100500</v>
      </c>
      <c r="AZ11" s="259"/>
      <c r="BA11" s="258">
        <f t="shared" ref="BA11" si="3">BA10+BA7</f>
        <v>100500</v>
      </c>
      <c r="BB11" s="259"/>
      <c r="BC11" s="258">
        <f t="shared" ref="BC11" si="4">BC10+BC7</f>
        <v>99361</v>
      </c>
      <c r="BD11" s="259"/>
      <c r="BE11" s="258">
        <f>BE10+BE7</f>
        <v>106114</v>
      </c>
      <c r="BF11" s="259"/>
      <c r="BG11" s="21">
        <f>BG7+BG10</f>
        <v>449063</v>
      </c>
      <c r="BH11" s="21">
        <f>BH7+BH10</f>
        <v>512037</v>
      </c>
      <c r="BI11" s="21">
        <f>BI7+BI10</f>
        <v>961100</v>
      </c>
    </row>
    <row r="12" spans="1:73" ht="15.6" x14ac:dyDescent="0.3">
      <c r="AE12" s="209"/>
      <c r="AF12" s="83" t="s">
        <v>700</v>
      </c>
      <c r="AG12" s="260"/>
      <c r="AH12" s="260"/>
      <c r="AI12" s="260"/>
      <c r="AJ12" s="28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76">
        <f>SUM(AM12:AV12)</f>
        <v>0</v>
      </c>
      <c r="BH12" s="76">
        <f>SUM(AW12:BF12)</f>
        <v>0</v>
      </c>
      <c r="BI12" s="76">
        <f>SUM(AM12:BF12)</f>
        <v>0</v>
      </c>
    </row>
    <row r="13" spans="1:73" ht="15.6" x14ac:dyDescent="0.3">
      <c r="AE13" s="345" t="s">
        <v>592</v>
      </c>
      <c r="AF13" s="346"/>
      <c r="AG13" s="258">
        <f>AG12+AG11</f>
        <v>176920</v>
      </c>
      <c r="AH13" s="259"/>
      <c r="AI13" s="258">
        <v>75021</v>
      </c>
      <c r="AJ13" s="259"/>
      <c r="AK13" s="258">
        <f>AK12+AK11</f>
        <v>65895</v>
      </c>
      <c r="AL13" s="259"/>
      <c r="AM13" s="258">
        <f>AM12+AM11</f>
        <v>71000</v>
      </c>
      <c r="AN13" s="259"/>
      <c r="AO13" s="258">
        <f>AO12+AO11</f>
        <v>77940</v>
      </c>
      <c r="AP13" s="259"/>
      <c r="AQ13" s="258">
        <f>AQ12+AQ11</f>
        <v>99407</v>
      </c>
      <c r="AR13" s="259"/>
      <c r="AS13" s="258">
        <f>AS12+AS11</f>
        <v>100078</v>
      </c>
      <c r="AT13" s="259"/>
      <c r="AU13" s="258">
        <f>AU12+AU11</f>
        <v>100638</v>
      </c>
      <c r="AV13" s="259"/>
      <c r="AW13" s="258">
        <f>AW12+AW11</f>
        <v>105562</v>
      </c>
      <c r="AX13" s="259"/>
      <c r="AY13" s="258">
        <f>AY12+AY11</f>
        <v>100500</v>
      </c>
      <c r="AZ13" s="259"/>
      <c r="BA13" s="258">
        <f>BA12+BA11</f>
        <v>100500</v>
      </c>
      <c r="BB13" s="259"/>
      <c r="BC13" s="258">
        <f>BC12+BC11</f>
        <v>99361</v>
      </c>
      <c r="BD13" s="259"/>
      <c r="BE13" s="258">
        <f>BE12+BE11</f>
        <v>106114</v>
      </c>
      <c r="BF13" s="259"/>
      <c r="BG13" s="21">
        <f>BG12+BG11</f>
        <v>449063</v>
      </c>
      <c r="BH13" s="21">
        <f>BH12+BH11</f>
        <v>512037</v>
      </c>
      <c r="BI13" s="21">
        <f>BI12+BI11</f>
        <v>961100</v>
      </c>
    </row>
    <row r="14" spans="1:73" ht="15.6" x14ac:dyDescent="0.3">
      <c r="AE14" s="210"/>
      <c r="AF14" s="144" t="s">
        <v>692</v>
      </c>
      <c r="AG14" s="256"/>
      <c r="AH14" s="257"/>
      <c r="AI14" s="256">
        <v>64600</v>
      </c>
      <c r="AJ14" s="257"/>
      <c r="AK14" s="256">
        <v>71000</v>
      </c>
      <c r="AL14" s="257"/>
      <c r="AM14" s="256">
        <v>75500</v>
      </c>
      <c r="AN14" s="257"/>
      <c r="AO14" s="256">
        <v>80500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100500</v>
      </c>
      <c r="AX14" s="257"/>
      <c r="AY14" s="256">
        <v>100500</v>
      </c>
      <c r="AZ14" s="257"/>
      <c r="BA14" s="256">
        <v>100500</v>
      </c>
      <c r="BB14" s="257"/>
      <c r="BC14" s="256">
        <v>100500</v>
      </c>
      <c r="BD14" s="257"/>
      <c r="BE14" s="256">
        <v>100500</v>
      </c>
      <c r="BF14" s="257"/>
      <c r="BG14" s="17">
        <f>SUM(AM14:AV14)</f>
        <v>397500</v>
      </c>
      <c r="BH14" s="17">
        <f>SUM(AW14:BF14)</f>
        <v>502500</v>
      </c>
      <c r="BI14" s="17">
        <f>SUM(AM14:BF14)</f>
        <v>900000</v>
      </c>
    </row>
    <row r="15" spans="1:73" ht="15.6" x14ac:dyDescent="0.3">
      <c r="AE15" s="210"/>
      <c r="AF15" s="84" t="s">
        <v>690</v>
      </c>
      <c r="AG15" s="252">
        <f>AG14-AG13</f>
        <v>-176920</v>
      </c>
      <c r="AH15" s="348"/>
      <c r="AI15" s="252">
        <f>AI14-AI13</f>
        <v>-10421</v>
      </c>
      <c r="AJ15" s="253"/>
      <c r="AK15" s="252">
        <f>AK14-AK13</f>
        <v>5105</v>
      </c>
      <c r="AL15" s="253"/>
      <c r="AM15" s="252">
        <f>AM14-AM13</f>
        <v>4500</v>
      </c>
      <c r="AN15" s="253"/>
      <c r="AO15" s="252">
        <f t="shared" ref="AO15" si="5">AO14-AO13</f>
        <v>2560</v>
      </c>
      <c r="AP15" s="253"/>
      <c r="AQ15" s="252">
        <f t="shared" ref="AQ15" si="6">AQ14-AQ13</f>
        <v>-18907</v>
      </c>
      <c r="AR15" s="253"/>
      <c r="AS15" s="252">
        <f t="shared" ref="AS15" si="7">AS14-AS13</f>
        <v>-19578</v>
      </c>
      <c r="AT15" s="253"/>
      <c r="AU15" s="252">
        <f t="shared" ref="AU15" si="8">AU14-AU13</f>
        <v>-20138</v>
      </c>
      <c r="AV15" s="253"/>
      <c r="AW15" s="252">
        <f t="shared" ref="AW15" si="9">AW14-AW13</f>
        <v>-5062</v>
      </c>
      <c r="AX15" s="253"/>
      <c r="AY15" s="252">
        <f t="shared" ref="AY15" si="10">AY14-AY13</f>
        <v>0</v>
      </c>
      <c r="AZ15" s="253"/>
      <c r="BA15" s="252">
        <f>BA14-BA13</f>
        <v>0</v>
      </c>
      <c r="BB15" s="253"/>
      <c r="BC15" s="252">
        <f>BC14-BC13</f>
        <v>1139</v>
      </c>
      <c r="BD15" s="253"/>
      <c r="BE15" s="252">
        <f>BE14-BE13</f>
        <v>-5614</v>
      </c>
      <c r="BF15" s="253"/>
      <c r="BG15" s="23">
        <f>BG14-BG13</f>
        <v>-51563</v>
      </c>
      <c r="BH15" s="23">
        <f>BH14-BH13</f>
        <v>-9537</v>
      </c>
      <c r="BI15" s="23">
        <f>BI14-BI13</f>
        <v>-61100</v>
      </c>
    </row>
    <row r="16" spans="1:73" ht="15.6" x14ac:dyDescent="0.3">
      <c r="AE16" s="211"/>
      <c r="AF16" s="145" t="s">
        <v>691</v>
      </c>
      <c r="AG16" s="254"/>
      <c r="AH16" s="255"/>
      <c r="AI16" s="254">
        <f t="shared" ref="AI16" si="11">AI13/AI14</f>
        <v>1.1613157894736843</v>
      </c>
      <c r="AJ16" s="255"/>
      <c r="AK16" s="254">
        <f>AK13/AK14</f>
        <v>0.92809859154929575</v>
      </c>
      <c r="AL16" s="255"/>
      <c r="AM16" s="254">
        <f>(AM14-AM13)/AM14</f>
        <v>5.9602649006622516E-2</v>
      </c>
      <c r="AN16" s="255"/>
      <c r="AO16" s="254">
        <f t="shared" ref="AO16" si="12">(AO14-AO13)/AO14</f>
        <v>3.1801242236024846E-2</v>
      </c>
      <c r="AP16" s="255"/>
      <c r="AQ16" s="254">
        <f t="shared" ref="AQ16" si="13">(AQ14-AQ13)/AQ14</f>
        <v>-0.2348695652173913</v>
      </c>
      <c r="AR16" s="255"/>
      <c r="AS16" s="254">
        <f t="shared" ref="AS16" si="14">(AS14-AS13)/AS14</f>
        <v>-0.24320496894409938</v>
      </c>
      <c r="AT16" s="255"/>
      <c r="AU16" s="254">
        <f t="shared" ref="AU16" si="15">(AU14-AU13)/AU14</f>
        <v>-0.25016149068322979</v>
      </c>
      <c r="AV16" s="255"/>
      <c r="AW16" s="254">
        <f t="shared" ref="AW16" si="16">(AW14-AW13)/AW14</f>
        <v>-5.0368159203980099E-2</v>
      </c>
      <c r="AX16" s="255"/>
      <c r="AY16" s="254">
        <f t="shared" ref="AY16" si="17">(AY14-AY13)/AY14</f>
        <v>0</v>
      </c>
      <c r="AZ16" s="255"/>
      <c r="BA16" s="254">
        <f>(BA14-BA13)/BA14</f>
        <v>0</v>
      </c>
      <c r="BB16" s="255"/>
      <c r="BC16" s="254">
        <f>(BC14-BC13)/BC14</f>
        <v>1.1333333333333334E-2</v>
      </c>
      <c r="BD16" s="255"/>
      <c r="BE16" s="254">
        <f>(BE14-BE13)/BE14</f>
        <v>-5.5860696517412933E-2</v>
      </c>
      <c r="BF16" s="255"/>
      <c r="BG16" s="22">
        <f>(BG14-BG13)/BG14</f>
        <v>-0.12971823899371068</v>
      </c>
      <c r="BH16" s="22">
        <f>(BH14-BH13)/BH14</f>
        <v>-1.897910447761194E-2</v>
      </c>
      <c r="BI16" s="22">
        <f>(BI14-BI13)/BI14</f>
        <v>-6.7888888888888888E-2</v>
      </c>
    </row>
    <row r="17" spans="1:61" ht="13.95" customHeight="1" thickBot="1" x14ac:dyDescent="0.35">
      <c r="AI17" s="8"/>
      <c r="AJ17"/>
      <c r="AT17"/>
    </row>
    <row r="18" spans="1:61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50</v>
      </c>
      <c r="Q18" s="11" t="s">
        <v>51</v>
      </c>
      <c r="R18" s="11" t="s">
        <v>52</v>
      </c>
      <c r="S18" s="11" t="s">
        <v>548</v>
      </c>
      <c r="T18" s="11" t="s">
        <v>538</v>
      </c>
      <c r="U18" s="11" t="s">
        <v>537</v>
      </c>
      <c r="V18" s="11" t="s">
        <v>535</v>
      </c>
      <c r="W18" s="11" t="s">
        <v>534</v>
      </c>
      <c r="X18" s="11" t="s">
        <v>536</v>
      </c>
      <c r="Y18" s="11" t="s">
        <v>657</v>
      </c>
      <c r="Z18" s="11" t="s">
        <v>658</v>
      </c>
      <c r="AA18" s="11" t="s">
        <v>659</v>
      </c>
      <c r="AB18" s="11" t="s">
        <v>69</v>
      </c>
      <c r="AC18" s="11" t="s">
        <v>660</v>
      </c>
      <c r="AD18" s="9" t="s">
        <v>73</v>
      </c>
      <c r="AE18" s="9" t="s">
        <v>74</v>
      </c>
      <c r="AF18" s="10" t="s">
        <v>75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593</v>
      </c>
      <c r="BF18" s="9" t="s">
        <v>594</v>
      </c>
      <c r="BG18" s="9" t="s">
        <v>100</v>
      </c>
      <c r="BH18" s="9" t="s">
        <v>703</v>
      </c>
      <c r="BI18" s="9" t="s">
        <v>711</v>
      </c>
    </row>
    <row r="19" spans="1:61" x14ac:dyDescent="0.3">
      <c r="A19" t="s">
        <v>286</v>
      </c>
      <c r="B19" t="s">
        <v>664</v>
      </c>
      <c r="D19" t="s">
        <v>101</v>
      </c>
      <c r="E19" t="s">
        <v>102</v>
      </c>
      <c r="F19" t="s">
        <v>103</v>
      </c>
      <c r="G19" t="s">
        <v>206</v>
      </c>
      <c r="H19" t="s">
        <v>16</v>
      </c>
      <c r="I19" t="s">
        <v>16</v>
      </c>
      <c r="J19" t="s">
        <v>105</v>
      </c>
      <c r="K19">
        <v>154160743</v>
      </c>
      <c r="L19" t="s">
        <v>315</v>
      </c>
      <c r="M19" t="s">
        <v>316</v>
      </c>
      <c r="N19" s="2" t="s">
        <v>148</v>
      </c>
      <c r="O19" t="s">
        <v>164</v>
      </c>
      <c r="P19" s="1">
        <v>43882</v>
      </c>
      <c r="Q19" s="1">
        <v>44033</v>
      </c>
      <c r="R19" s="1">
        <v>45225</v>
      </c>
      <c r="S1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5</v>
      </c>
      <c r="W1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39</v>
      </c>
      <c r="X19">
        <f>Portefeuille_MNT_PPS_Access32[[#This Row],[Délais PC1 et PC3]]+Portefeuille_MNT_PPS_Access32[[#This Row],[Délais PC3 et PC5]]</f>
        <v>44</v>
      </c>
      <c r="Y19">
        <v>1</v>
      </c>
      <c r="Z19">
        <v>1</v>
      </c>
      <c r="AB19" t="s">
        <v>165</v>
      </c>
      <c r="AC19">
        <v>3</v>
      </c>
      <c r="AD19" s="2">
        <f>_xlfn.XLOOKUP(Portefeuille_MNT_PPS_Access32[[#This Row],[Numéro projet]],Portefeuille_MNT_PPS_Access27[Numéro projet],Portefeuille_MNT_PPS_Access27[Critère Etat Infrastructure])</f>
        <v>4</v>
      </c>
      <c r="AE1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75.000000000000014</v>
      </c>
      <c r="AF19" s="221"/>
      <c r="AG19">
        <v>257</v>
      </c>
      <c r="AH19">
        <v>2407</v>
      </c>
      <c r="AI19">
        <v>439</v>
      </c>
      <c r="AJ19">
        <v>7751</v>
      </c>
      <c r="AK19">
        <v>79</v>
      </c>
      <c r="AL19">
        <v>385</v>
      </c>
      <c r="AT19"/>
      <c r="BG19" s="14">
        <f>SUM(Portefeuille_MNT_PPS_Access32[[#This Row],[AC ANT]:[TR 2035]])</f>
        <v>11318</v>
      </c>
      <c r="BH19" s="14">
        <f>SUM(Portefeuille_MNT_PPS_Access32[[#This Row],[AC 2026]:[TR 2030]])</f>
        <v>0</v>
      </c>
      <c r="BI19" s="14">
        <f>SUM(Portefeuille_MNT_PPS_Access32[[#This Row],[AC 2026]:[TR 2035]])</f>
        <v>0</v>
      </c>
    </row>
    <row r="20" spans="1:61" x14ac:dyDescent="0.3">
      <c r="A20" t="s">
        <v>286</v>
      </c>
      <c r="B20" t="s">
        <v>663</v>
      </c>
      <c r="D20" t="s">
        <v>101</v>
      </c>
      <c r="E20" t="s">
        <v>102</v>
      </c>
      <c r="F20" t="s">
        <v>136</v>
      </c>
      <c r="G20" t="s">
        <v>149</v>
      </c>
      <c r="H20" t="s">
        <v>130</v>
      </c>
      <c r="I20" t="s">
        <v>20</v>
      </c>
      <c r="J20" t="s">
        <v>105</v>
      </c>
      <c r="K20">
        <v>154061995</v>
      </c>
      <c r="L20" t="s">
        <v>367</v>
      </c>
      <c r="M20" t="s">
        <v>316</v>
      </c>
      <c r="N20" s="2" t="s">
        <v>184</v>
      </c>
      <c r="O20" t="s">
        <v>155</v>
      </c>
      <c r="P20" s="1">
        <v>46157</v>
      </c>
      <c r="Q20" s="1">
        <v>46645</v>
      </c>
      <c r="R20" s="1">
        <v>47011</v>
      </c>
      <c r="S2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2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2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2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16</v>
      </c>
      <c r="W2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20">
        <f>Portefeuille_MNT_PPS_Access32[[#This Row],[Délais PC1 et PC3]]+Portefeuille_MNT_PPS_Access32[[#This Row],[Délais PC3 et PC5]]</f>
        <v>28</v>
      </c>
      <c r="Z20">
        <v>1</v>
      </c>
      <c r="AB20" t="s">
        <v>156</v>
      </c>
      <c r="AC20">
        <v>3</v>
      </c>
      <c r="AD20" s="2">
        <f>_xlfn.XLOOKUP(Portefeuille_MNT_PPS_Access32[[#This Row],[Numéro projet]],Portefeuille_MNT_PPS_Access27[Numéro projet],Portefeuille_MNT_PPS_Access27[Critère Etat Infrastructure])</f>
        <v>4</v>
      </c>
      <c r="AE2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20" s="221"/>
      <c r="AJ20"/>
      <c r="AO20">
        <v>430</v>
      </c>
      <c r="AQ20">
        <v>600</v>
      </c>
      <c r="AS20">
        <v>670</v>
      </c>
      <c r="AT20"/>
      <c r="AU20">
        <v>600</v>
      </c>
      <c r="AV20">
        <v>5000</v>
      </c>
      <c r="AY20">
        <v>500</v>
      </c>
      <c r="AZ20">
        <v>4700</v>
      </c>
      <c r="BA20">
        <v>600</v>
      </c>
      <c r="BB20">
        <v>5000</v>
      </c>
      <c r="BC20">
        <v>600</v>
      </c>
      <c r="BD20">
        <v>5000</v>
      </c>
      <c r="BG20" s="14">
        <f>SUM(Portefeuille_MNT_PPS_Access32[[#This Row],[AC ANT]:[TR 2035]])</f>
        <v>23700</v>
      </c>
      <c r="BH20" s="14">
        <f>SUM(Portefeuille_MNT_PPS_Access32[[#This Row],[AC 2026]:[TR 2030]])</f>
        <v>7300</v>
      </c>
      <c r="BI20" s="14">
        <f>SUM(Portefeuille_MNT_PPS_Access32[[#This Row],[AC 2026]:[TR 2035]])</f>
        <v>23700</v>
      </c>
    </row>
    <row r="21" spans="1:61" x14ac:dyDescent="0.3">
      <c r="A21" t="s">
        <v>286</v>
      </c>
      <c r="B21" t="s">
        <v>664</v>
      </c>
      <c r="D21" t="s">
        <v>101</v>
      </c>
      <c r="E21" t="s">
        <v>102</v>
      </c>
      <c r="F21" t="s">
        <v>103</v>
      </c>
      <c r="G21" t="s">
        <v>104</v>
      </c>
      <c r="H21" t="s">
        <v>16</v>
      </c>
      <c r="I21" t="s">
        <v>16</v>
      </c>
      <c r="J21" t="s">
        <v>105</v>
      </c>
      <c r="K21">
        <v>154101261</v>
      </c>
      <c r="L21" t="s">
        <v>216</v>
      </c>
      <c r="M21" t="s">
        <v>217</v>
      </c>
      <c r="N21" t="s">
        <v>148</v>
      </c>
      <c r="O21" t="s">
        <v>164</v>
      </c>
      <c r="P21" s="1">
        <v>44838</v>
      </c>
      <c r="Q21" s="1">
        <v>45441</v>
      </c>
      <c r="R21" s="1">
        <v>45623</v>
      </c>
      <c r="S2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2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2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2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19</v>
      </c>
      <c r="W2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6</v>
      </c>
      <c r="X21">
        <f>Portefeuille_MNT_PPS_Access32[[#This Row],[Délais PC1 et PC3]]+Portefeuille_MNT_PPS_Access32[[#This Row],[Délais PC3 et PC5]]</f>
        <v>25</v>
      </c>
      <c r="Y21">
        <v>1</v>
      </c>
      <c r="Z21">
        <v>5</v>
      </c>
      <c r="AB21" t="s">
        <v>165</v>
      </c>
      <c r="AC21">
        <v>2.6666666666666665</v>
      </c>
      <c r="AD21" s="2">
        <f>_xlfn.XLOOKUP(Portefeuille_MNT_PPS_Access32[[#This Row],[Numéro projet]],Portefeuille_MNT_PPS_Access27[Numéro projet],Portefeuille_MNT_PPS_Access27[Critère Etat Infrastructure])</f>
        <v>4</v>
      </c>
      <c r="AE2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93.333333333333329</v>
      </c>
      <c r="AF21" s="221"/>
      <c r="AG21">
        <v>218</v>
      </c>
      <c r="AH21">
        <v>3</v>
      </c>
      <c r="AI21">
        <v>96</v>
      </c>
      <c r="AJ21"/>
      <c r="AK21">
        <v>643</v>
      </c>
      <c r="AL21">
        <v>12563</v>
      </c>
      <c r="AT21"/>
      <c r="BG21" s="14">
        <f>SUM(Portefeuille_MNT_PPS_Access32[[#This Row],[AC ANT]:[TR 2035]])</f>
        <v>13523</v>
      </c>
      <c r="BH21" s="14">
        <f>SUM(Portefeuille_MNT_PPS_Access32[[#This Row],[AC 2026]:[TR 2030]])</f>
        <v>0</v>
      </c>
      <c r="BI21" s="14">
        <f>SUM(Portefeuille_MNT_PPS_Access32[[#This Row],[AC 2026]:[TR 2035]])</f>
        <v>0</v>
      </c>
    </row>
    <row r="22" spans="1:61" x14ac:dyDescent="0.3">
      <c r="A22" t="s">
        <v>286</v>
      </c>
      <c r="B22" t="s">
        <v>663</v>
      </c>
      <c r="D22" t="s">
        <v>101</v>
      </c>
      <c r="E22" t="s">
        <v>102</v>
      </c>
      <c r="F22" t="s">
        <v>136</v>
      </c>
      <c r="G22" t="s">
        <v>104</v>
      </c>
      <c r="H22" t="s">
        <v>20</v>
      </c>
      <c r="I22" t="s">
        <v>20</v>
      </c>
      <c r="J22" t="s">
        <v>105</v>
      </c>
      <c r="K22">
        <v>154160749</v>
      </c>
      <c r="L22" t="s">
        <v>369</v>
      </c>
      <c r="M22" t="s">
        <v>217</v>
      </c>
      <c r="N22" t="s">
        <v>370</v>
      </c>
      <c r="O22" t="s">
        <v>291</v>
      </c>
      <c r="P22" s="1"/>
      <c r="Q22" s="1"/>
      <c r="R22" s="1"/>
      <c r="S2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2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2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2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2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22">
        <f>Portefeuille_MNT_PPS_Access32[[#This Row],[Délais PC1 et PC3]]+Portefeuille_MNT_PPS_Access32[[#This Row],[Délais PC3 et PC5]]</f>
        <v>0</v>
      </c>
      <c r="Z22">
        <v>1</v>
      </c>
      <c r="AB22" t="s">
        <v>311</v>
      </c>
      <c r="AC22">
        <v>2.6666666666666665</v>
      </c>
      <c r="AD22" s="2">
        <f>_xlfn.XLOOKUP(Portefeuille_MNT_PPS_Access32[[#This Row],[Numéro projet]],Portefeuille_MNT_PPS_Access27[Numéro projet],Portefeuille_MNT_PPS_Access27[Critère Etat Infrastructure])</f>
        <v>4</v>
      </c>
      <c r="AE2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38.333333333333336</v>
      </c>
      <c r="AF22" s="221"/>
      <c r="AJ22"/>
      <c r="AO22">
        <v>250</v>
      </c>
      <c r="AQ22">
        <v>250</v>
      </c>
      <c r="AS22">
        <v>200</v>
      </c>
      <c r="AT22"/>
      <c r="AU22">
        <v>200</v>
      </c>
      <c r="AW22">
        <v>500</v>
      </c>
      <c r="AX22">
        <v>5700</v>
      </c>
      <c r="AY22">
        <v>500</v>
      </c>
      <c r="AZ22">
        <v>5500</v>
      </c>
      <c r="BA22">
        <v>500</v>
      </c>
      <c r="BB22">
        <v>6700</v>
      </c>
      <c r="BG22" s="14">
        <f>SUM(Portefeuille_MNT_PPS_Access32[[#This Row],[AC ANT]:[TR 2035]])</f>
        <v>20300</v>
      </c>
      <c r="BH22" s="14">
        <f>SUM(Portefeuille_MNT_PPS_Access32[[#This Row],[AC 2026]:[TR 2030]])</f>
        <v>900</v>
      </c>
      <c r="BI22" s="14">
        <f>SUM(Portefeuille_MNT_PPS_Access32[[#This Row],[AC 2026]:[TR 2035]])</f>
        <v>20300</v>
      </c>
    </row>
    <row r="23" spans="1:61" x14ac:dyDescent="0.3">
      <c r="A23" t="s">
        <v>286</v>
      </c>
      <c r="B23" t="s">
        <v>662</v>
      </c>
      <c r="D23" t="s">
        <v>118</v>
      </c>
      <c r="E23" t="s">
        <v>102</v>
      </c>
      <c r="F23" t="s">
        <v>103</v>
      </c>
      <c r="G23" t="s">
        <v>149</v>
      </c>
      <c r="H23" t="s">
        <v>16</v>
      </c>
      <c r="I23" t="s">
        <v>16</v>
      </c>
      <c r="J23" t="s">
        <v>131</v>
      </c>
      <c r="K23">
        <v>154190478</v>
      </c>
      <c r="L23" t="s">
        <v>193</v>
      </c>
      <c r="M23" t="s">
        <v>194</v>
      </c>
      <c r="N23" t="s">
        <v>148</v>
      </c>
      <c r="O23" t="s">
        <v>164</v>
      </c>
      <c r="P23" s="1">
        <v>44547</v>
      </c>
      <c r="Q23" s="1">
        <v>45091</v>
      </c>
      <c r="R23" s="1">
        <v>45375</v>
      </c>
      <c r="S2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2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2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2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18</v>
      </c>
      <c r="W2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23">
        <f>Portefeuille_MNT_PPS_Access32[[#This Row],[Délais PC1 et PC3]]+Portefeuille_MNT_PPS_Access32[[#This Row],[Délais PC3 et PC5]]</f>
        <v>27</v>
      </c>
      <c r="Y23">
        <v>1</v>
      </c>
      <c r="Z23">
        <v>5</v>
      </c>
      <c r="AB23" t="s">
        <v>165</v>
      </c>
      <c r="AC23">
        <v>3.3333333333333335</v>
      </c>
      <c r="AD23" s="2">
        <f>_xlfn.XLOOKUP(Portefeuille_MNT_PPS_Access32[[#This Row],[Numéro projet]],Portefeuille_MNT_PPS_Access27[Numéro projet],Portefeuille_MNT_PPS_Access27[Critère Etat Infrastructure])</f>
        <v>5</v>
      </c>
      <c r="AE2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101.66666666666666</v>
      </c>
      <c r="AF23" s="221"/>
      <c r="AG23">
        <v>7</v>
      </c>
      <c r="AI23">
        <v>45</v>
      </c>
      <c r="AJ23">
        <v>1057</v>
      </c>
      <c r="AK23">
        <v>221</v>
      </c>
      <c r="AL23">
        <v>4691</v>
      </c>
      <c r="BG23" s="14">
        <f>SUM(Portefeuille_MNT_PPS_Access32[[#This Row],[AC ANT]:[TR 2035]])</f>
        <v>6021</v>
      </c>
      <c r="BH23" s="14">
        <f>SUM(Portefeuille_MNT_PPS_Access32[[#This Row],[AC 2026]:[TR 2030]])</f>
        <v>0</v>
      </c>
      <c r="BI23" s="14">
        <f>SUM(Portefeuille_MNT_PPS_Access32[[#This Row],[AC 2026]:[TR 2035]])</f>
        <v>0</v>
      </c>
    </row>
    <row r="24" spans="1:61" x14ac:dyDescent="0.3">
      <c r="A24" t="s">
        <v>286</v>
      </c>
      <c r="B24" t="s">
        <v>663</v>
      </c>
      <c r="D24" t="s">
        <v>101</v>
      </c>
      <c r="E24" t="s">
        <v>102</v>
      </c>
      <c r="F24" t="s">
        <v>136</v>
      </c>
      <c r="G24" t="s">
        <v>149</v>
      </c>
      <c r="H24" t="s">
        <v>20</v>
      </c>
      <c r="I24" t="s">
        <v>20</v>
      </c>
      <c r="J24" t="s">
        <v>131</v>
      </c>
      <c r="K24">
        <v>154220313</v>
      </c>
      <c r="L24" t="s">
        <v>382</v>
      </c>
      <c r="M24" t="s">
        <v>194</v>
      </c>
      <c r="N24" t="s">
        <v>173</v>
      </c>
      <c r="O24" t="s">
        <v>291</v>
      </c>
      <c r="P24" s="1"/>
      <c r="Q24" s="1"/>
      <c r="R24" s="1"/>
      <c r="S2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2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2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2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2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24">
        <f>Portefeuille_MNT_PPS_Access32[[#This Row],[Délais PC1 et PC3]]+Portefeuille_MNT_PPS_Access32[[#This Row],[Délais PC3 et PC5]]</f>
        <v>0</v>
      </c>
      <c r="Z24">
        <v>1</v>
      </c>
      <c r="AA24">
        <v>3</v>
      </c>
      <c r="AB24" t="s">
        <v>311</v>
      </c>
      <c r="AC24">
        <v>3.3333333333333335</v>
      </c>
      <c r="AD24" s="2">
        <f>_xlfn.XLOOKUP(Portefeuille_MNT_PPS_Access32[[#This Row],[Numéro projet]],Portefeuille_MNT_PPS_Access27[Numéro projet],Portefeuille_MNT_PPS_Access27[Critère Etat Infrastructure])</f>
        <v>5</v>
      </c>
      <c r="AE2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61.666666666666671</v>
      </c>
      <c r="AF24" s="221"/>
      <c r="AJ24"/>
      <c r="AO24">
        <v>50</v>
      </c>
      <c r="AP24">
        <v>250</v>
      </c>
      <c r="AT24"/>
      <c r="BG24" s="14">
        <f>SUM(Portefeuille_MNT_PPS_Access32[[#This Row],[AC ANT]:[TR 2035]])</f>
        <v>300</v>
      </c>
      <c r="BH24" s="14">
        <f>SUM(Portefeuille_MNT_PPS_Access32[[#This Row],[AC 2026]:[TR 2030]])</f>
        <v>300</v>
      </c>
      <c r="BI24" s="14">
        <f>SUM(Portefeuille_MNT_PPS_Access32[[#This Row],[AC 2026]:[TR 2035]])</f>
        <v>300</v>
      </c>
    </row>
    <row r="25" spans="1:61" x14ac:dyDescent="0.3">
      <c r="A25" t="s">
        <v>286</v>
      </c>
      <c r="B25" t="s">
        <v>662</v>
      </c>
      <c r="D25" t="s">
        <v>118</v>
      </c>
      <c r="E25" t="s">
        <v>102</v>
      </c>
      <c r="F25" t="s">
        <v>103</v>
      </c>
      <c r="G25" t="s">
        <v>149</v>
      </c>
      <c r="H25" t="s">
        <v>20</v>
      </c>
      <c r="I25" t="s">
        <v>20</v>
      </c>
      <c r="J25" t="s">
        <v>131</v>
      </c>
      <c r="K25">
        <v>154220351</v>
      </c>
      <c r="L25" t="s">
        <v>397</v>
      </c>
      <c r="M25" t="s">
        <v>194</v>
      </c>
      <c r="N25" t="s">
        <v>169</v>
      </c>
      <c r="O25" t="s">
        <v>155</v>
      </c>
      <c r="P25" s="1">
        <v>46371</v>
      </c>
      <c r="Q25" s="1">
        <v>46736</v>
      </c>
      <c r="R25" s="1">
        <v>47102</v>
      </c>
      <c r="S2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2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2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2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2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25">
        <f>Portefeuille_MNT_PPS_Access32[[#This Row],[Délais PC1 et PC3]]+Portefeuille_MNT_PPS_Access32[[#This Row],[Délais PC3 et PC5]]</f>
        <v>24</v>
      </c>
      <c r="Z25">
        <v>1</v>
      </c>
      <c r="AB25" t="s">
        <v>156</v>
      </c>
      <c r="AC25">
        <v>3.3333333333333335</v>
      </c>
      <c r="AD25" s="2">
        <f>_xlfn.XLOOKUP(Portefeuille_MNT_PPS_Access32[[#This Row],[Numéro projet]],Portefeuille_MNT_PPS_Access27[Numéro projet],Portefeuille_MNT_PPS_Access27[Critère Etat Infrastructure])</f>
        <v>4</v>
      </c>
      <c r="AE2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25" s="221"/>
      <c r="AJ25"/>
      <c r="AO25">
        <v>75</v>
      </c>
      <c r="AQ25">
        <v>250</v>
      </c>
      <c r="AS25">
        <v>675</v>
      </c>
      <c r="AT25">
        <v>10500</v>
      </c>
      <c r="BG25" s="14">
        <f>SUM(Portefeuille_MNT_PPS_Access32[[#This Row],[AC ANT]:[TR 2035]])</f>
        <v>11500</v>
      </c>
      <c r="BH25" s="14">
        <f>SUM(Portefeuille_MNT_PPS_Access32[[#This Row],[AC 2026]:[TR 2030]])</f>
        <v>11500</v>
      </c>
      <c r="BI25" s="14">
        <f>SUM(Portefeuille_MNT_PPS_Access32[[#This Row],[AC 2026]:[TR 2035]])</f>
        <v>11500</v>
      </c>
    </row>
    <row r="26" spans="1:61" x14ac:dyDescent="0.3">
      <c r="A26" t="s">
        <v>286</v>
      </c>
      <c r="B26" t="s">
        <v>662</v>
      </c>
      <c r="D26" t="s">
        <v>118</v>
      </c>
      <c r="E26" t="s">
        <v>102</v>
      </c>
      <c r="F26" t="s">
        <v>242</v>
      </c>
      <c r="G26" t="s">
        <v>129</v>
      </c>
      <c r="H26" t="s">
        <v>20</v>
      </c>
      <c r="I26" t="s">
        <v>20</v>
      </c>
      <c r="J26" t="s">
        <v>131</v>
      </c>
      <c r="K26">
        <v>154210545</v>
      </c>
      <c r="L26" t="s">
        <v>410</v>
      </c>
      <c r="M26" t="s">
        <v>411</v>
      </c>
      <c r="N26" t="s">
        <v>169</v>
      </c>
      <c r="O26" t="s">
        <v>155</v>
      </c>
      <c r="P26" s="1">
        <v>46143</v>
      </c>
      <c r="Q26" s="1">
        <v>46508</v>
      </c>
      <c r="R26" s="1">
        <v>46874</v>
      </c>
      <c r="S2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2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2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2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2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26">
        <f>Portefeuille_MNT_PPS_Access32[[#This Row],[Délais PC1 et PC3]]+Portefeuille_MNT_PPS_Access32[[#This Row],[Délais PC3 et PC5]]</f>
        <v>24</v>
      </c>
      <c r="Z26">
        <v>1</v>
      </c>
      <c r="AB26" t="s">
        <v>156</v>
      </c>
      <c r="AC26">
        <v>1.3333333333333333</v>
      </c>
      <c r="AD26" s="2">
        <f>_xlfn.XLOOKUP(Portefeuille_MNT_PPS_Access32[[#This Row],[Numéro projet]],Portefeuille_MNT_PPS_Access27[Numéro projet],Portefeuille_MNT_PPS_Access27[Critère Etat Infrastructure])</f>
        <v>4</v>
      </c>
      <c r="AE2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26" s="221"/>
      <c r="AJ26"/>
      <c r="AO26">
        <v>50</v>
      </c>
      <c r="AQ26">
        <v>50</v>
      </c>
      <c r="AS26">
        <v>200</v>
      </c>
      <c r="AT26">
        <v>1000</v>
      </c>
      <c r="BG26" s="14">
        <f>SUM(Portefeuille_MNT_PPS_Access32[[#This Row],[AC ANT]:[TR 2035]])</f>
        <v>1300</v>
      </c>
      <c r="BH26" s="14">
        <f>SUM(Portefeuille_MNT_PPS_Access32[[#This Row],[AC 2026]:[TR 2030]])</f>
        <v>1300</v>
      </c>
      <c r="BI26" s="14">
        <f>SUM(Portefeuille_MNT_PPS_Access32[[#This Row],[AC 2026]:[TR 2035]])</f>
        <v>1300</v>
      </c>
    </row>
    <row r="27" spans="1:61" x14ac:dyDescent="0.3">
      <c r="A27" t="s">
        <v>286</v>
      </c>
      <c r="B27" t="s">
        <v>662</v>
      </c>
      <c r="C27">
        <v>5</v>
      </c>
      <c r="D27" t="s">
        <v>118</v>
      </c>
      <c r="E27" t="s">
        <v>102</v>
      </c>
      <c r="F27" t="s">
        <v>136</v>
      </c>
      <c r="G27" t="s">
        <v>104</v>
      </c>
      <c r="H27" t="s">
        <v>16</v>
      </c>
      <c r="I27" t="s">
        <v>20</v>
      </c>
      <c r="J27" t="s">
        <v>131</v>
      </c>
      <c r="K27">
        <v>154230792</v>
      </c>
      <c r="L27" t="s">
        <v>158</v>
      </c>
      <c r="M27" t="s">
        <v>159</v>
      </c>
      <c r="N27" t="s">
        <v>109</v>
      </c>
      <c r="O27" t="s">
        <v>155</v>
      </c>
      <c r="P27" s="1">
        <v>45991</v>
      </c>
      <c r="Q27" s="1"/>
      <c r="R27" s="1">
        <v>46249</v>
      </c>
      <c r="S2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2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2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1.Très à risque</v>
      </c>
      <c r="V2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-1510</v>
      </c>
      <c r="W2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1519</v>
      </c>
      <c r="X27">
        <f>Portefeuille_MNT_PPS_Access32[[#This Row],[Délais PC1 et PC3]]+Portefeuille_MNT_PPS_Access32[[#This Row],[Délais PC3 et PC5]]</f>
        <v>9</v>
      </c>
      <c r="Y27">
        <v>1</v>
      </c>
      <c r="Z27">
        <v>1</v>
      </c>
      <c r="AA27">
        <v>1</v>
      </c>
      <c r="AB27" t="s">
        <v>156</v>
      </c>
      <c r="AC27">
        <v>4.333333333333333</v>
      </c>
      <c r="AD27" s="2">
        <f>_xlfn.XLOOKUP(Portefeuille_MNT_PPS_Access32[[#This Row],[Numéro projet]],Portefeuille_MNT_PPS_Access27[Numéro projet],Portefeuille_MNT_PPS_Access27[Critère Etat Infrastructure])</f>
        <v>3</v>
      </c>
      <c r="AE2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27" s="221"/>
      <c r="AJ27"/>
      <c r="AK27">
        <v>75</v>
      </c>
      <c r="AM27">
        <v>75</v>
      </c>
      <c r="AN27">
        <v>600</v>
      </c>
      <c r="AO27">
        <v>150</v>
      </c>
      <c r="AP27">
        <v>50</v>
      </c>
      <c r="AT27"/>
      <c r="BG27" s="14">
        <f>SUM(Portefeuille_MNT_PPS_Access32[[#This Row],[AC ANT]:[TR 2035]])</f>
        <v>950</v>
      </c>
      <c r="BH27" s="14">
        <f>SUM(Portefeuille_MNT_PPS_Access32[[#This Row],[AC 2026]:[TR 2030]])</f>
        <v>875</v>
      </c>
      <c r="BI27" s="14">
        <f>SUM(Portefeuille_MNT_PPS_Access32[[#This Row],[AC 2026]:[TR 2035]])</f>
        <v>875</v>
      </c>
    </row>
    <row r="28" spans="1:61" x14ac:dyDescent="0.3">
      <c r="A28" t="s">
        <v>286</v>
      </c>
      <c r="B28" t="s">
        <v>295</v>
      </c>
      <c r="D28" t="s">
        <v>126</v>
      </c>
      <c r="E28" t="s">
        <v>127</v>
      </c>
      <c r="F28" t="s">
        <v>128</v>
      </c>
      <c r="G28" t="s">
        <v>252</v>
      </c>
      <c r="H28" t="s">
        <v>16</v>
      </c>
      <c r="I28" t="s">
        <v>16</v>
      </c>
      <c r="J28" t="s">
        <v>131</v>
      </c>
      <c r="K28">
        <v>154240500</v>
      </c>
      <c r="L28" t="s">
        <v>260</v>
      </c>
      <c r="M28" t="s">
        <v>159</v>
      </c>
      <c r="N28" t="s">
        <v>109</v>
      </c>
      <c r="O28" t="s">
        <v>291</v>
      </c>
      <c r="P28" s="1"/>
      <c r="Q28" s="1"/>
      <c r="R28" s="1"/>
      <c r="S2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2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2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2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2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28">
        <f>Portefeuille_MNT_PPS_Access32[[#This Row],[Délais PC1 et PC3]]+Portefeuille_MNT_PPS_Access32[[#This Row],[Délais PC3 et PC5]]</f>
        <v>0</v>
      </c>
      <c r="Y28">
        <v>1</v>
      </c>
      <c r="Z28">
        <v>5</v>
      </c>
      <c r="AA28">
        <v>3</v>
      </c>
      <c r="AB28" t="s">
        <v>311</v>
      </c>
      <c r="AC28">
        <v>4.333333333333333</v>
      </c>
      <c r="AD28" s="2">
        <f>_xlfn.XLOOKUP(Portefeuille_MNT_PPS_Access32[[#This Row],[Numéro projet]],Portefeuille_MNT_PPS_Access27[Numéro projet],Portefeuille_MNT_PPS_Access27[Critère Etat Infrastructure])</f>
        <v>4</v>
      </c>
      <c r="AE2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81.666666666666671</v>
      </c>
      <c r="AF28" s="221"/>
      <c r="AJ28"/>
      <c r="AM28">
        <v>15</v>
      </c>
      <c r="AN28">
        <v>85</v>
      </c>
      <c r="AT28"/>
      <c r="BG28" s="14">
        <f>SUM(Portefeuille_MNT_PPS_Access32[[#This Row],[AC ANT]:[TR 2035]])</f>
        <v>100</v>
      </c>
      <c r="BH28" s="14">
        <f>SUM(Portefeuille_MNT_PPS_Access32[[#This Row],[AC 2026]:[TR 2030]])</f>
        <v>100</v>
      </c>
      <c r="BI28" s="14">
        <f>SUM(Portefeuille_MNT_PPS_Access32[[#This Row],[AC 2026]:[TR 2035]])</f>
        <v>100</v>
      </c>
    </row>
    <row r="29" spans="1:61" x14ac:dyDescent="0.3">
      <c r="A29" t="s">
        <v>11</v>
      </c>
      <c r="D29" t="s">
        <v>118</v>
      </c>
      <c r="E29" t="s">
        <v>102</v>
      </c>
      <c r="F29" t="s">
        <v>177</v>
      </c>
      <c r="G29" t="s">
        <v>252</v>
      </c>
      <c r="H29" t="s">
        <v>20</v>
      </c>
      <c r="I29" t="s">
        <v>20</v>
      </c>
      <c r="J29" t="s">
        <v>131</v>
      </c>
      <c r="K29">
        <v>154240494</v>
      </c>
      <c r="L29" t="s">
        <v>449</v>
      </c>
      <c r="M29" t="s">
        <v>159</v>
      </c>
      <c r="N29" t="s">
        <v>173</v>
      </c>
      <c r="O29" t="s">
        <v>291</v>
      </c>
      <c r="P29" s="1"/>
      <c r="Q29" s="1"/>
      <c r="R29" s="1"/>
      <c r="S2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2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2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2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2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29">
        <f>Portefeuille_MNT_PPS_Access32[[#This Row],[Délais PC1 et PC3]]+Portefeuille_MNT_PPS_Access32[[#This Row],[Délais PC3 et PC5]]</f>
        <v>0</v>
      </c>
      <c r="Z29">
        <v>1</v>
      </c>
      <c r="AA29">
        <v>3</v>
      </c>
      <c r="AB29" t="s">
        <v>311</v>
      </c>
      <c r="AC29">
        <v>4.333333333333333</v>
      </c>
      <c r="AD29" s="2">
        <f>_xlfn.XLOOKUP(Portefeuille_MNT_PPS_Access32[[#This Row],[Numéro projet]],Portefeuille_MNT_PPS_Access27[Numéro projet],Portefeuille_MNT_PPS_Access27[Critère Etat Infrastructure])</f>
        <v>4</v>
      </c>
      <c r="AE2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61.666666666666671</v>
      </c>
      <c r="AF29" s="221"/>
      <c r="AJ29"/>
      <c r="AP29">
        <v>100</v>
      </c>
      <c r="AT29"/>
      <c r="BG29" s="14">
        <f>SUM(Portefeuille_MNT_PPS_Access32[[#This Row],[AC ANT]:[TR 2035]])</f>
        <v>100</v>
      </c>
      <c r="BH29" s="14">
        <f>SUM(Portefeuille_MNT_PPS_Access32[[#This Row],[AC 2026]:[TR 2030]])</f>
        <v>100</v>
      </c>
      <c r="BI29" s="14">
        <f>SUM(Portefeuille_MNT_PPS_Access32[[#This Row],[AC 2026]:[TR 2035]])</f>
        <v>100</v>
      </c>
    </row>
    <row r="30" spans="1:61" x14ac:dyDescent="0.3">
      <c r="A30" t="s">
        <v>286</v>
      </c>
      <c r="B30" t="s">
        <v>295</v>
      </c>
      <c r="D30" t="s">
        <v>126</v>
      </c>
      <c r="E30" t="s">
        <v>127</v>
      </c>
      <c r="F30" t="s">
        <v>103</v>
      </c>
      <c r="G30" t="s">
        <v>104</v>
      </c>
      <c r="H30" t="s">
        <v>16</v>
      </c>
      <c r="I30" t="s">
        <v>130</v>
      </c>
      <c r="J30" t="s">
        <v>131</v>
      </c>
      <c r="K30">
        <v>154190517</v>
      </c>
      <c r="L30" t="s">
        <v>221</v>
      </c>
      <c r="M30" t="s">
        <v>159</v>
      </c>
      <c r="N30" t="s">
        <v>197</v>
      </c>
      <c r="O30" t="s">
        <v>155</v>
      </c>
      <c r="P30" s="1">
        <v>45976</v>
      </c>
      <c r="Q30" s="1">
        <v>46264</v>
      </c>
      <c r="R30" s="1">
        <v>46553</v>
      </c>
      <c r="S3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3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3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3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9</v>
      </c>
      <c r="W3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10</v>
      </c>
      <c r="X30">
        <f>Portefeuille_MNT_PPS_Access32[[#This Row],[Délais PC1 et PC3]]+Portefeuille_MNT_PPS_Access32[[#This Row],[Délais PC3 et PC5]]</f>
        <v>19</v>
      </c>
      <c r="Z30">
        <v>1</v>
      </c>
      <c r="AA30">
        <v>5</v>
      </c>
      <c r="AB30" t="s">
        <v>156</v>
      </c>
      <c r="AC30">
        <v>4.333333333333333</v>
      </c>
      <c r="AD30" s="2">
        <f>_xlfn.XLOOKUP(Portefeuille_MNT_PPS_Access32[[#This Row],[Numéro projet]],Portefeuille_MNT_PPS_Access27[Numéro projet],Portefeuille_MNT_PPS_Access27[Critère Etat Infrastructure])</f>
        <v>3</v>
      </c>
      <c r="AE3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66.666666666666671</v>
      </c>
      <c r="AF30" s="221"/>
      <c r="AJ30"/>
      <c r="AK30">
        <v>44</v>
      </c>
      <c r="AM30">
        <v>130</v>
      </c>
      <c r="AO30">
        <v>94</v>
      </c>
      <c r="AQ30">
        <v>106</v>
      </c>
      <c r="AR30">
        <v>10000</v>
      </c>
      <c r="AS30">
        <v>106</v>
      </c>
      <c r="AT30">
        <v>20662</v>
      </c>
      <c r="BG30" s="14">
        <f>SUM(Portefeuille_MNT_PPS_Access32[[#This Row],[AC ANT]:[TR 2035]])</f>
        <v>31142</v>
      </c>
      <c r="BH30" s="14">
        <f>SUM(Portefeuille_MNT_PPS_Access32[[#This Row],[AC 2026]:[TR 2030]])</f>
        <v>31098</v>
      </c>
      <c r="BI30" s="14">
        <f>SUM(Portefeuille_MNT_PPS_Access32[[#This Row],[AC 2026]:[TR 2035]])</f>
        <v>31098</v>
      </c>
    </row>
    <row r="31" spans="1:61" x14ac:dyDescent="0.3">
      <c r="A31" t="s">
        <v>286</v>
      </c>
      <c r="B31" t="s">
        <v>664</v>
      </c>
      <c r="C31">
        <v>2</v>
      </c>
      <c r="D31" t="s">
        <v>101</v>
      </c>
      <c r="E31" t="s">
        <v>102</v>
      </c>
      <c r="F31" t="s">
        <v>136</v>
      </c>
      <c r="G31" t="s">
        <v>104</v>
      </c>
      <c r="H31" t="s">
        <v>130</v>
      </c>
      <c r="I31" t="s">
        <v>20</v>
      </c>
      <c r="J31" t="s">
        <v>131</v>
      </c>
      <c r="K31">
        <v>154190597</v>
      </c>
      <c r="L31" t="s">
        <v>374</v>
      </c>
      <c r="M31" t="s">
        <v>159</v>
      </c>
      <c r="N31" t="s">
        <v>184</v>
      </c>
      <c r="O31" t="s">
        <v>155</v>
      </c>
      <c r="P31" s="1">
        <v>45960</v>
      </c>
      <c r="Q31" s="1">
        <v>46280</v>
      </c>
      <c r="R31" s="1">
        <v>46645</v>
      </c>
      <c r="S3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3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3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3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3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31">
        <f>Portefeuille_MNT_PPS_Access32[[#This Row],[Délais PC1 et PC3]]+Portefeuille_MNT_PPS_Access32[[#This Row],[Délais PC3 et PC5]]</f>
        <v>23</v>
      </c>
      <c r="Z31">
        <v>1</v>
      </c>
      <c r="AB31" t="s">
        <v>156</v>
      </c>
      <c r="AC31">
        <v>4.333333333333333</v>
      </c>
      <c r="AD31" s="2">
        <f>_xlfn.XLOOKUP(Portefeuille_MNT_PPS_Access32[[#This Row],[Numéro projet]],Portefeuille_MNT_PPS_Access27[Numéro projet],Portefeuille_MNT_PPS_Access27[Critère Etat Infrastructure])</f>
        <v>4</v>
      </c>
      <c r="AE3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51.666666666666671</v>
      </c>
      <c r="AF31" s="221"/>
      <c r="AJ31"/>
      <c r="AM31">
        <v>100</v>
      </c>
      <c r="AO31">
        <v>250</v>
      </c>
      <c r="AQ31">
        <v>350</v>
      </c>
      <c r="AS31">
        <v>500</v>
      </c>
      <c r="AT31"/>
      <c r="AU31">
        <v>500</v>
      </c>
      <c r="AV31">
        <v>8000</v>
      </c>
      <c r="AW31">
        <v>500</v>
      </c>
      <c r="AX31">
        <v>8000</v>
      </c>
      <c r="BG31" s="14">
        <f>SUM(Portefeuille_MNT_PPS_Access32[[#This Row],[AC ANT]:[TR 2035]])</f>
        <v>18200</v>
      </c>
      <c r="BH31" s="14">
        <f>SUM(Portefeuille_MNT_PPS_Access32[[#This Row],[AC 2026]:[TR 2030]])</f>
        <v>9700</v>
      </c>
      <c r="BI31" s="14">
        <f>SUM(Portefeuille_MNT_PPS_Access32[[#This Row],[AC 2026]:[TR 2035]])</f>
        <v>18200</v>
      </c>
    </row>
    <row r="32" spans="1:61" x14ac:dyDescent="0.3">
      <c r="A32" t="s">
        <v>286</v>
      </c>
      <c r="B32" t="s">
        <v>295</v>
      </c>
      <c r="D32" t="s">
        <v>126</v>
      </c>
      <c r="E32" t="s">
        <v>127</v>
      </c>
      <c r="F32" t="s">
        <v>128</v>
      </c>
      <c r="G32" t="s">
        <v>252</v>
      </c>
      <c r="H32" t="s">
        <v>16</v>
      </c>
      <c r="I32" t="s">
        <v>16</v>
      </c>
      <c r="J32" t="s">
        <v>131</v>
      </c>
      <c r="K32">
        <v>154240039</v>
      </c>
      <c r="L32" t="s">
        <v>254</v>
      </c>
      <c r="M32" t="s">
        <v>147</v>
      </c>
      <c r="N32" t="s">
        <v>109</v>
      </c>
      <c r="O32" t="s">
        <v>291</v>
      </c>
      <c r="P32" s="1"/>
      <c r="Q32" s="1"/>
      <c r="R32" s="1"/>
      <c r="S3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3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3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3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3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32">
        <f>Portefeuille_MNT_PPS_Access32[[#This Row],[Délais PC1 et PC3]]+Portefeuille_MNT_PPS_Access32[[#This Row],[Délais PC3 et PC5]]</f>
        <v>0</v>
      </c>
      <c r="Y32">
        <v>1</v>
      </c>
      <c r="Z32">
        <v>1</v>
      </c>
      <c r="AA32">
        <v>3</v>
      </c>
      <c r="AB32" t="s">
        <v>311</v>
      </c>
      <c r="AC32">
        <v>2.6666666666666665</v>
      </c>
      <c r="AD32" s="2">
        <f>_xlfn.XLOOKUP(Portefeuille_MNT_PPS_Access32[[#This Row],[Numéro projet]],Portefeuille_MNT_PPS_Access27[Numéro projet],Portefeuille_MNT_PPS_Access27[Critère Etat Infrastructure])</f>
        <v>4</v>
      </c>
      <c r="AE3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53.333333333333336</v>
      </c>
      <c r="AF32" s="221"/>
      <c r="AJ32"/>
      <c r="AM32">
        <v>10</v>
      </c>
      <c r="AN32">
        <v>39</v>
      </c>
      <c r="AT32"/>
      <c r="BG32" s="14">
        <f>SUM(Portefeuille_MNT_PPS_Access32[[#This Row],[AC ANT]:[TR 2035]])</f>
        <v>49</v>
      </c>
      <c r="BH32" s="14">
        <f>SUM(Portefeuille_MNT_PPS_Access32[[#This Row],[AC 2026]:[TR 2030]])</f>
        <v>49</v>
      </c>
      <c r="BI32" s="14">
        <f>SUM(Portefeuille_MNT_PPS_Access32[[#This Row],[AC 2026]:[TR 2035]])</f>
        <v>49</v>
      </c>
    </row>
    <row r="33" spans="1:61" x14ac:dyDescent="0.3">
      <c r="A33" t="s">
        <v>286</v>
      </c>
      <c r="B33" t="s">
        <v>295</v>
      </c>
      <c r="C33">
        <v>1</v>
      </c>
      <c r="D33" t="s">
        <v>126</v>
      </c>
      <c r="E33" t="s">
        <v>127</v>
      </c>
      <c r="F33" t="s">
        <v>136</v>
      </c>
      <c r="G33" t="s">
        <v>144</v>
      </c>
      <c r="H33" t="s">
        <v>16</v>
      </c>
      <c r="I33" t="s">
        <v>20</v>
      </c>
      <c r="J33" t="s">
        <v>131</v>
      </c>
      <c r="K33">
        <v>154190675</v>
      </c>
      <c r="L33" t="s">
        <v>232</v>
      </c>
      <c r="M33" t="s">
        <v>147</v>
      </c>
      <c r="N33" t="s">
        <v>173</v>
      </c>
      <c r="O33" t="s">
        <v>110</v>
      </c>
      <c r="P33" s="1">
        <v>45099</v>
      </c>
      <c r="Q33" s="1">
        <v>46037</v>
      </c>
      <c r="R33" s="1">
        <v>46283</v>
      </c>
      <c r="S3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3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3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3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31</v>
      </c>
      <c r="W3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8</v>
      </c>
      <c r="X33">
        <f>Portefeuille_MNT_PPS_Access32[[#This Row],[Délais PC1 et PC3]]+Portefeuille_MNT_PPS_Access32[[#This Row],[Délais PC3 et PC5]]</f>
        <v>39</v>
      </c>
      <c r="Z33">
        <v>1</v>
      </c>
      <c r="AA33">
        <v>3</v>
      </c>
      <c r="AB33" t="s">
        <v>112</v>
      </c>
      <c r="AC33">
        <v>2.6666666666666665</v>
      </c>
      <c r="AD33" s="2">
        <f>_xlfn.XLOOKUP(Portefeuille_MNT_PPS_Access32[[#This Row],[Numéro projet]],Portefeuille_MNT_PPS_Access27[Numéro projet],Portefeuille_MNT_PPS_Access27[Critère Etat Infrastructure])</f>
        <v>3</v>
      </c>
      <c r="AE3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48.333333333333336</v>
      </c>
      <c r="AF33" s="221"/>
      <c r="AG33">
        <v>9</v>
      </c>
      <c r="AI33">
        <v>21</v>
      </c>
      <c r="AJ33"/>
      <c r="AK33">
        <v>631</v>
      </c>
      <c r="AM33">
        <v>457</v>
      </c>
      <c r="AO33">
        <v>987</v>
      </c>
      <c r="AP33">
        <v>9725</v>
      </c>
      <c r="AQ33">
        <v>1927</v>
      </c>
      <c r="AR33">
        <v>3427</v>
      </c>
      <c r="AT33"/>
      <c r="BG33" s="14">
        <f>SUM(Portefeuille_MNT_PPS_Access32[[#This Row],[AC ANT]:[TR 2035]])</f>
        <v>17184</v>
      </c>
      <c r="BH33" s="14">
        <f>SUM(Portefeuille_MNT_PPS_Access32[[#This Row],[AC 2026]:[TR 2030]])</f>
        <v>16523</v>
      </c>
      <c r="BI33" s="14">
        <f>SUM(Portefeuille_MNT_PPS_Access32[[#This Row],[AC 2026]:[TR 2035]])</f>
        <v>16523</v>
      </c>
    </row>
    <row r="34" spans="1:61" x14ac:dyDescent="0.3">
      <c r="A34" t="s">
        <v>11</v>
      </c>
      <c r="D34" t="s">
        <v>118</v>
      </c>
      <c r="E34" t="s">
        <v>102</v>
      </c>
      <c r="F34" t="s">
        <v>103</v>
      </c>
      <c r="G34" t="s">
        <v>252</v>
      </c>
      <c r="H34" t="s">
        <v>20</v>
      </c>
      <c r="I34" t="s">
        <v>20</v>
      </c>
      <c r="J34" t="s">
        <v>131</v>
      </c>
      <c r="K34">
        <v>154250377</v>
      </c>
      <c r="L34" t="s">
        <v>648</v>
      </c>
      <c r="M34" t="s">
        <v>147</v>
      </c>
      <c r="N34" t="s">
        <v>173</v>
      </c>
      <c r="O34" t="s">
        <v>291</v>
      </c>
      <c r="P34" s="1"/>
      <c r="Q34" s="1"/>
      <c r="R34" s="1"/>
      <c r="S3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3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3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3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3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34">
        <f>Portefeuille_MNT_PPS_Access32[[#This Row],[Délais PC1 et PC3]]+Portefeuille_MNT_PPS_Access32[[#This Row],[Délais PC3 et PC5]]</f>
        <v>0</v>
      </c>
      <c r="Z34">
        <v>1</v>
      </c>
      <c r="AA34">
        <v>3</v>
      </c>
      <c r="AB34" t="s">
        <v>311</v>
      </c>
      <c r="AC34">
        <v>2.6666666666666665</v>
      </c>
      <c r="AD34" s="2">
        <f>_xlfn.XLOOKUP(Portefeuille_MNT_PPS_Access32[[#This Row],[Numéro projet]],Portefeuille_MNT_PPS_Access27[Numéro projet],Portefeuille_MNT_PPS_Access27[Critère Etat Infrastructure])</f>
        <v>4</v>
      </c>
      <c r="AE3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53.333333333333336</v>
      </c>
      <c r="AF34" s="221"/>
      <c r="AJ34"/>
      <c r="AP34">
        <v>10</v>
      </c>
      <c r="AT34"/>
      <c r="BG34" s="14">
        <f>SUM(Portefeuille_MNT_PPS_Access32[[#This Row],[AC ANT]:[TR 2035]])</f>
        <v>10</v>
      </c>
      <c r="BH34" s="14">
        <f>SUM(Portefeuille_MNT_PPS_Access32[[#This Row],[AC 2026]:[TR 2030]])</f>
        <v>10</v>
      </c>
      <c r="BI34" s="14">
        <f>SUM(Portefeuille_MNT_PPS_Access32[[#This Row],[AC 2026]:[TR 2035]])</f>
        <v>10</v>
      </c>
    </row>
    <row r="35" spans="1:61" x14ac:dyDescent="0.3">
      <c r="A35" t="s">
        <v>286</v>
      </c>
      <c r="B35" t="s">
        <v>664</v>
      </c>
      <c r="D35" t="s">
        <v>101</v>
      </c>
      <c r="E35" t="s">
        <v>102</v>
      </c>
      <c r="F35" t="s">
        <v>103</v>
      </c>
      <c r="G35" t="s">
        <v>144</v>
      </c>
      <c r="H35" t="s">
        <v>16</v>
      </c>
      <c r="I35" t="s">
        <v>16</v>
      </c>
      <c r="J35" t="s">
        <v>131</v>
      </c>
      <c r="K35">
        <v>154190674</v>
      </c>
      <c r="L35" t="s">
        <v>146</v>
      </c>
      <c r="M35" t="s">
        <v>147</v>
      </c>
      <c r="N35" t="s">
        <v>197</v>
      </c>
      <c r="O35" t="s">
        <v>110</v>
      </c>
      <c r="P35" s="1">
        <v>44609</v>
      </c>
      <c r="Q35" s="1">
        <v>46310</v>
      </c>
      <c r="R35" s="1">
        <v>46583</v>
      </c>
      <c r="S3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3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3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3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56</v>
      </c>
      <c r="W3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35">
        <f>Portefeuille_MNT_PPS_Access32[[#This Row],[Délais PC1 et PC3]]+Portefeuille_MNT_PPS_Access32[[#This Row],[Délais PC3 et PC5]]</f>
        <v>65</v>
      </c>
      <c r="Z35">
        <v>5</v>
      </c>
      <c r="AA35">
        <v>5</v>
      </c>
      <c r="AB35" t="s">
        <v>112</v>
      </c>
      <c r="AC35">
        <v>2.6666666666666665</v>
      </c>
      <c r="AD35" s="2">
        <f>_xlfn.XLOOKUP(Portefeuille_MNT_PPS_Access32[[#This Row],[Numéro projet]],Portefeuille_MNT_PPS_Access27[Numéro projet],Portefeuille_MNT_PPS_Access27[Critère Etat Infrastructure])</f>
        <v>3</v>
      </c>
      <c r="AE3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78.333333333333329</v>
      </c>
      <c r="AF35" s="221"/>
      <c r="AG35">
        <v>117</v>
      </c>
      <c r="AI35">
        <v>84</v>
      </c>
      <c r="AJ35"/>
      <c r="AK35">
        <v>195</v>
      </c>
      <c r="AM35">
        <v>125</v>
      </c>
      <c r="AO35">
        <v>102</v>
      </c>
      <c r="AQ35">
        <v>100</v>
      </c>
      <c r="AR35">
        <v>9684</v>
      </c>
      <c r="AT35"/>
      <c r="BG35" s="14">
        <f>SUM(Portefeuille_MNT_PPS_Access32[[#This Row],[AC ANT]:[TR 2035]])</f>
        <v>10407</v>
      </c>
      <c r="BH35" s="14">
        <f>SUM(Portefeuille_MNT_PPS_Access32[[#This Row],[AC 2026]:[TR 2030]])</f>
        <v>10011</v>
      </c>
      <c r="BI35" s="14">
        <f>SUM(Portefeuille_MNT_PPS_Access32[[#This Row],[AC 2026]:[TR 2035]])</f>
        <v>10011</v>
      </c>
    </row>
    <row r="36" spans="1:61" x14ac:dyDescent="0.3">
      <c r="A36" t="s">
        <v>286</v>
      </c>
      <c r="B36" t="s">
        <v>662</v>
      </c>
      <c r="D36" t="s">
        <v>118</v>
      </c>
      <c r="E36" t="s">
        <v>102</v>
      </c>
      <c r="F36" t="s">
        <v>177</v>
      </c>
      <c r="H36" t="s">
        <v>20</v>
      </c>
      <c r="I36" t="s">
        <v>20</v>
      </c>
      <c r="J36" t="s">
        <v>131</v>
      </c>
      <c r="K36">
        <v>154230555</v>
      </c>
      <c r="L36" t="s">
        <v>639</v>
      </c>
      <c r="M36" t="s">
        <v>147</v>
      </c>
      <c r="N36" t="s">
        <v>184</v>
      </c>
      <c r="O36" t="s">
        <v>291</v>
      </c>
      <c r="P36" s="1"/>
      <c r="Q36" s="1"/>
      <c r="R36" s="1"/>
      <c r="S3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3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3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3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3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36">
        <f>Portefeuille_MNT_PPS_Access32[[#This Row],[Délais PC1 et PC3]]+Portefeuille_MNT_PPS_Access32[[#This Row],[Délais PC3 et PC5]]</f>
        <v>0</v>
      </c>
      <c r="Z36">
        <v>1</v>
      </c>
      <c r="AB36" t="s">
        <v>311</v>
      </c>
      <c r="AC36">
        <v>2.6666666666666665</v>
      </c>
      <c r="AD36" s="2">
        <f>_xlfn.XLOOKUP(Portefeuille_MNT_PPS_Access32[[#This Row],[Numéro projet]],Portefeuille_MNT_PPS_Access27[Numéro projet],Portefeuille_MNT_PPS_Access27[Critère Etat Infrastructure])</f>
        <v>3</v>
      </c>
      <c r="AE3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33.333333333333329</v>
      </c>
      <c r="AF36" s="221"/>
      <c r="AJ36"/>
      <c r="AQ36">
        <v>50</v>
      </c>
      <c r="AS36">
        <v>50</v>
      </c>
      <c r="AT36"/>
      <c r="AU36">
        <v>100</v>
      </c>
      <c r="AV36">
        <v>1000</v>
      </c>
      <c r="BG36" s="14">
        <f>SUM(Portefeuille_MNT_PPS_Access32[[#This Row],[AC ANT]:[TR 2035]])</f>
        <v>1200</v>
      </c>
      <c r="BH36" s="14">
        <f>SUM(Portefeuille_MNT_PPS_Access32[[#This Row],[AC 2026]:[TR 2030]])</f>
        <v>1200</v>
      </c>
      <c r="BI36" s="14">
        <f>SUM(Portefeuille_MNT_PPS_Access32[[#This Row],[AC 2026]:[TR 2035]])</f>
        <v>1200</v>
      </c>
    </row>
    <row r="37" spans="1:61" x14ac:dyDescent="0.3">
      <c r="A37" t="s">
        <v>286</v>
      </c>
      <c r="B37" t="s">
        <v>662</v>
      </c>
      <c r="D37" t="s">
        <v>118</v>
      </c>
      <c r="E37" t="s">
        <v>102</v>
      </c>
      <c r="F37" t="s">
        <v>242</v>
      </c>
      <c r="G37" t="s">
        <v>113</v>
      </c>
      <c r="H37" t="s">
        <v>16</v>
      </c>
      <c r="I37" t="s">
        <v>20</v>
      </c>
      <c r="J37" t="s">
        <v>131</v>
      </c>
      <c r="K37">
        <v>154210524</v>
      </c>
      <c r="L37" t="s">
        <v>244</v>
      </c>
      <c r="M37" t="s">
        <v>245</v>
      </c>
      <c r="N37" t="s">
        <v>197</v>
      </c>
      <c r="O37" t="s">
        <v>155</v>
      </c>
      <c r="P37" s="1">
        <v>45976</v>
      </c>
      <c r="Q37" s="1">
        <v>46280</v>
      </c>
      <c r="R37" s="1">
        <v>46433</v>
      </c>
      <c r="S3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3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3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3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10</v>
      </c>
      <c r="W3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5</v>
      </c>
      <c r="X37">
        <f>Portefeuille_MNT_PPS_Access32[[#This Row],[Délais PC1 et PC3]]+Portefeuille_MNT_PPS_Access32[[#This Row],[Délais PC3 et PC5]]</f>
        <v>15</v>
      </c>
      <c r="Z37">
        <v>1</v>
      </c>
      <c r="AA37">
        <v>5</v>
      </c>
      <c r="AB37" t="s">
        <v>156</v>
      </c>
      <c r="AC37">
        <v>1.6666666666666667</v>
      </c>
      <c r="AD37" s="2">
        <f>_xlfn.XLOOKUP(Portefeuille_MNT_PPS_Access32[[#This Row],[Numéro projet]],Portefeuille_MNT_PPS_Access27[Numéro projet],Portefeuille_MNT_PPS_Access27[Critère Etat Infrastructure])</f>
        <v>4</v>
      </c>
      <c r="AE3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58.333333333333336</v>
      </c>
      <c r="AF37" s="221"/>
      <c r="AJ37"/>
      <c r="AK37">
        <v>5</v>
      </c>
      <c r="AM37">
        <v>150</v>
      </c>
      <c r="AO37">
        <v>195</v>
      </c>
      <c r="AR37">
        <v>2000</v>
      </c>
      <c r="AT37"/>
      <c r="BG37" s="14">
        <f>SUM(Portefeuille_MNT_PPS_Access32[[#This Row],[AC ANT]:[TR 2035]])</f>
        <v>2350</v>
      </c>
      <c r="BH37" s="14">
        <f>SUM(Portefeuille_MNT_PPS_Access32[[#This Row],[AC 2026]:[TR 2030]])</f>
        <v>2345</v>
      </c>
      <c r="BI37" s="14">
        <f>SUM(Portefeuille_MNT_PPS_Access32[[#This Row],[AC 2026]:[TR 2035]])</f>
        <v>2345</v>
      </c>
    </row>
    <row r="38" spans="1:61" hidden="1" x14ac:dyDescent="0.3">
      <c r="A38" t="s">
        <v>286</v>
      </c>
      <c r="B38" t="s">
        <v>295</v>
      </c>
      <c r="D38" t="s">
        <v>126</v>
      </c>
      <c r="E38" t="s">
        <v>127</v>
      </c>
      <c r="F38" t="s">
        <v>136</v>
      </c>
      <c r="G38" t="s">
        <v>104</v>
      </c>
      <c r="H38" t="s">
        <v>16</v>
      </c>
      <c r="I38" t="s">
        <v>16</v>
      </c>
      <c r="J38" t="s">
        <v>131</v>
      </c>
      <c r="K38">
        <v>154091454</v>
      </c>
      <c r="L38" t="s">
        <v>304</v>
      </c>
      <c r="M38" t="s">
        <v>194</v>
      </c>
      <c r="O38" t="s">
        <v>164</v>
      </c>
      <c r="P38" s="1">
        <v>43270</v>
      </c>
      <c r="Q38" s="1">
        <v>44222</v>
      </c>
      <c r="R38" s="1">
        <v>44356</v>
      </c>
      <c r="S38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38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38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3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31</v>
      </c>
      <c r="W3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5</v>
      </c>
      <c r="X38">
        <f>Portefeuille_MNT_PPS_Access32[[#This Row],[Délais PC1 et PC3]]+Portefeuille_MNT_PPS_Access32[[#This Row],[Délais PC3 et PC5]]</f>
        <v>36</v>
      </c>
      <c r="Z38">
        <v>1</v>
      </c>
      <c r="AB38" t="s">
        <v>165</v>
      </c>
      <c r="AC38">
        <v>3.3333333333333335</v>
      </c>
      <c r="AD38" s="2" t="e">
        <f>_xlfn.XLOOKUP(Portefeuille_MNT_PPS_Access32[[#This Row],[Numéro projet]],Portefeuille_MNT_PPS_Access27[Numéro projet],Portefeuille_MNT_PPS_Access27[Critère Etat Infrastructure])</f>
        <v>#N/A</v>
      </c>
      <c r="AE38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38" s="221"/>
      <c r="AG38">
        <v>569</v>
      </c>
      <c r="AH38">
        <v>2223</v>
      </c>
      <c r="AI38">
        <v>18</v>
      </c>
      <c r="AJ38">
        <v>92</v>
      </c>
      <c r="AT38"/>
      <c r="BG38" s="14">
        <f>SUM(Portefeuille_MNT_PPS_Access32[[#This Row],[AC ANT]:[TR 2035]])</f>
        <v>2902</v>
      </c>
      <c r="BH38" s="14">
        <f>SUM(Portefeuille_MNT_PPS_Access32[[#This Row],[AC 2026]:[TR 2030]])</f>
        <v>0</v>
      </c>
      <c r="BI38" s="14">
        <f>SUM(Portefeuille_MNT_PPS_Access32[[#This Row],[AC 2026]:[TR 2035]])</f>
        <v>0</v>
      </c>
    </row>
    <row r="39" spans="1:61" x14ac:dyDescent="0.3">
      <c r="A39" t="s">
        <v>286</v>
      </c>
      <c r="B39" t="s">
        <v>664</v>
      </c>
      <c r="D39" t="s">
        <v>101</v>
      </c>
      <c r="E39" t="s">
        <v>102</v>
      </c>
      <c r="F39" t="s">
        <v>136</v>
      </c>
      <c r="H39" t="s">
        <v>20</v>
      </c>
      <c r="I39" t="s">
        <v>20</v>
      </c>
      <c r="J39" t="s">
        <v>131</v>
      </c>
      <c r="K39">
        <v>154250515</v>
      </c>
      <c r="L39" t="s">
        <v>702</v>
      </c>
      <c r="M39" t="s">
        <v>245</v>
      </c>
      <c r="N39" t="s">
        <v>169</v>
      </c>
      <c r="P39" s="1"/>
      <c r="Q39" s="1"/>
      <c r="R39" s="1"/>
      <c r="S3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3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3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3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3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39">
        <f>Portefeuille_MNT_PPS_Access32[[#This Row],[Délais PC1 et PC3]]+Portefeuille_MNT_PPS_Access32[[#This Row],[Délais PC3 et PC5]]</f>
        <v>0</v>
      </c>
      <c r="Z39">
        <v>1</v>
      </c>
      <c r="AC39">
        <v>1.6666666666666667</v>
      </c>
      <c r="AD39" s="2" t="e">
        <f>_xlfn.XLOOKUP(Portefeuille_MNT_PPS_Access32[[#This Row],[Numéro projet]],Portefeuille_MNT_PPS_Access27[Numéro projet],Portefeuille_MNT_PPS_Access27[Critère Etat Infrastructure])</f>
        <v>#N/A</v>
      </c>
      <c r="AE39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39" s="221"/>
      <c r="AJ39"/>
      <c r="AQ39">
        <v>50</v>
      </c>
      <c r="AS39">
        <v>100</v>
      </c>
      <c r="AT39">
        <v>875</v>
      </c>
      <c r="BG39" s="14">
        <f>SUM(Portefeuille_MNT_PPS_Access32[[#This Row],[AC ANT]:[TR 2035]])</f>
        <v>1025</v>
      </c>
      <c r="BH39" s="14">
        <f>SUM(Portefeuille_MNT_PPS_Access32[[#This Row],[AC 2026]:[TR 2030]])</f>
        <v>1025</v>
      </c>
      <c r="BI39" s="14">
        <f>SUM(Portefeuille_MNT_PPS_Access32[[#This Row],[AC 2026]:[TR 2035]])</f>
        <v>1025</v>
      </c>
    </row>
    <row r="40" spans="1:61" x14ac:dyDescent="0.3">
      <c r="A40" t="s">
        <v>286</v>
      </c>
      <c r="B40" t="s">
        <v>662</v>
      </c>
      <c r="D40" t="s">
        <v>118</v>
      </c>
      <c r="E40" t="s">
        <v>102</v>
      </c>
      <c r="F40" t="s">
        <v>242</v>
      </c>
      <c r="G40" t="s">
        <v>129</v>
      </c>
      <c r="H40" t="s">
        <v>20</v>
      </c>
      <c r="I40" t="s">
        <v>20</v>
      </c>
      <c r="J40" t="s">
        <v>131</v>
      </c>
      <c r="K40">
        <v>154210548</v>
      </c>
      <c r="L40" t="s">
        <v>416</v>
      </c>
      <c r="M40" t="s">
        <v>417</v>
      </c>
      <c r="N40" t="s">
        <v>169</v>
      </c>
      <c r="O40" t="s">
        <v>155</v>
      </c>
      <c r="P40" s="1">
        <v>46143</v>
      </c>
      <c r="Q40" s="1">
        <v>46508</v>
      </c>
      <c r="R40" s="1">
        <v>46874</v>
      </c>
      <c r="S4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4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4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4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4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40">
        <f>Portefeuille_MNT_PPS_Access32[[#This Row],[Délais PC1 et PC3]]+Portefeuille_MNT_PPS_Access32[[#This Row],[Délais PC3 et PC5]]</f>
        <v>24</v>
      </c>
      <c r="Z40">
        <v>1</v>
      </c>
      <c r="AB40" t="s">
        <v>156</v>
      </c>
      <c r="AC40">
        <v>1.3333333333333333</v>
      </c>
      <c r="AD40" s="2">
        <f>_xlfn.XLOOKUP(Portefeuille_MNT_PPS_Access32[[#This Row],[Numéro projet]],Portefeuille_MNT_PPS_Access27[Numéro projet],Portefeuille_MNT_PPS_Access27[Critère Etat Infrastructure])</f>
        <v>4</v>
      </c>
      <c r="AE4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40" s="221"/>
      <c r="AJ40"/>
      <c r="AO40">
        <v>50</v>
      </c>
      <c r="AQ40">
        <v>50</v>
      </c>
      <c r="AS40">
        <v>200</v>
      </c>
      <c r="AT40">
        <v>1000</v>
      </c>
      <c r="BG40" s="14">
        <f>SUM(Portefeuille_MNT_PPS_Access32[[#This Row],[AC ANT]:[TR 2035]])</f>
        <v>1300</v>
      </c>
      <c r="BH40" s="14">
        <f>SUM(Portefeuille_MNT_PPS_Access32[[#This Row],[AC 2026]:[TR 2030]])</f>
        <v>1300</v>
      </c>
      <c r="BI40" s="14">
        <f>SUM(Portefeuille_MNT_PPS_Access32[[#This Row],[AC 2026]:[TR 2035]])</f>
        <v>1300</v>
      </c>
    </row>
    <row r="41" spans="1:61" x14ac:dyDescent="0.3">
      <c r="A41" t="s">
        <v>286</v>
      </c>
      <c r="B41" t="s">
        <v>295</v>
      </c>
      <c r="D41" t="s">
        <v>126</v>
      </c>
      <c r="E41" t="s">
        <v>127</v>
      </c>
      <c r="F41" t="s">
        <v>136</v>
      </c>
      <c r="G41" t="s">
        <v>104</v>
      </c>
      <c r="H41" t="s">
        <v>16</v>
      </c>
      <c r="I41" t="s">
        <v>16</v>
      </c>
      <c r="J41" t="s">
        <v>105</v>
      </c>
      <c r="K41">
        <v>154061991</v>
      </c>
      <c r="L41" t="s">
        <v>301</v>
      </c>
      <c r="M41" t="s">
        <v>302</v>
      </c>
      <c r="N41" t="s">
        <v>148</v>
      </c>
      <c r="O41" t="s">
        <v>164</v>
      </c>
      <c r="P41" s="1">
        <v>41907</v>
      </c>
      <c r="Q41" s="1">
        <v>41968</v>
      </c>
      <c r="R41" s="1">
        <v>42045</v>
      </c>
      <c r="S4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4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4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4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2</v>
      </c>
      <c r="W4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</v>
      </c>
      <c r="X41">
        <f>Portefeuille_MNT_PPS_Access32[[#This Row],[Délais PC1 et PC3]]+Portefeuille_MNT_PPS_Access32[[#This Row],[Délais PC3 et PC5]]</f>
        <v>5</v>
      </c>
      <c r="Y41">
        <v>1</v>
      </c>
      <c r="Z41">
        <v>1</v>
      </c>
      <c r="AB41" t="s">
        <v>165</v>
      </c>
      <c r="AC41">
        <v>4</v>
      </c>
      <c r="AD41" s="2" t="e">
        <f>_xlfn.XLOOKUP(Portefeuille_MNT_PPS_Access32[[#This Row],[Numéro projet]],Portefeuille_MNT_PPS_Access27[Numéro projet],Portefeuille_MNT_PPS_Access27[Critère Etat Infrastructure])</f>
        <v>#N/A</v>
      </c>
      <c r="AE41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41" s="221"/>
      <c r="AG41">
        <v>2582</v>
      </c>
      <c r="AH41">
        <v>17091</v>
      </c>
      <c r="AI41">
        <v>25</v>
      </c>
      <c r="AJ41">
        <v>98</v>
      </c>
      <c r="AK41">
        <v>11</v>
      </c>
      <c r="AL41">
        <v>577</v>
      </c>
      <c r="AT41"/>
      <c r="BG41" s="14">
        <f>SUM(Portefeuille_MNT_PPS_Access32[[#This Row],[AC ANT]:[TR 2035]])</f>
        <v>20384</v>
      </c>
      <c r="BH41" s="14">
        <f>SUM(Portefeuille_MNT_PPS_Access32[[#This Row],[AC 2026]:[TR 2030]])</f>
        <v>0</v>
      </c>
      <c r="BI41" s="14">
        <f>SUM(Portefeuille_MNT_PPS_Access32[[#This Row],[AC 2026]:[TR 2035]])</f>
        <v>0</v>
      </c>
    </row>
    <row r="42" spans="1:61" hidden="1" x14ac:dyDescent="0.3">
      <c r="A42" t="s">
        <v>286</v>
      </c>
      <c r="B42" t="s">
        <v>664</v>
      </c>
      <c r="D42" t="s">
        <v>101</v>
      </c>
      <c r="E42" t="s">
        <v>102</v>
      </c>
      <c r="F42" t="s">
        <v>103</v>
      </c>
      <c r="G42" t="s">
        <v>104</v>
      </c>
      <c r="H42" t="s">
        <v>16</v>
      </c>
      <c r="I42" t="s">
        <v>16</v>
      </c>
      <c r="J42" t="s">
        <v>105</v>
      </c>
      <c r="K42">
        <v>154101262</v>
      </c>
      <c r="L42" t="s">
        <v>306</v>
      </c>
      <c r="M42" t="s">
        <v>302</v>
      </c>
      <c r="N42" s="2"/>
      <c r="O42" t="s">
        <v>164</v>
      </c>
      <c r="P42" s="1">
        <v>43612</v>
      </c>
      <c r="Q42" s="1">
        <v>44098</v>
      </c>
      <c r="R42" s="1">
        <v>44188</v>
      </c>
      <c r="S42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42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42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4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16</v>
      </c>
      <c r="W4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</v>
      </c>
      <c r="X42">
        <f>Portefeuille_MNT_PPS_Access32[[#This Row],[Délais PC1 et PC3]]+Portefeuille_MNT_PPS_Access32[[#This Row],[Délais PC3 et PC5]]</f>
        <v>19</v>
      </c>
      <c r="Z42">
        <v>1</v>
      </c>
      <c r="AB42" t="s">
        <v>165</v>
      </c>
      <c r="AC42">
        <v>4</v>
      </c>
      <c r="AD42" s="2" t="e">
        <f>_xlfn.XLOOKUP(Portefeuille_MNT_PPS_Access32[[#This Row],[Numéro projet]],Portefeuille_MNT_PPS_Access27[Numéro projet],Portefeuille_MNT_PPS_Access27[Critère Etat Infrastructure])</f>
        <v>#N/A</v>
      </c>
      <c r="AE42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42" s="221"/>
      <c r="AG42">
        <v>640</v>
      </c>
      <c r="AH42">
        <v>6783</v>
      </c>
      <c r="AI42">
        <v>36</v>
      </c>
      <c r="AJ42"/>
      <c r="AT42"/>
      <c r="BG42" s="14">
        <f>SUM(Portefeuille_MNT_PPS_Access32[[#This Row],[AC ANT]:[TR 2035]])</f>
        <v>7459</v>
      </c>
      <c r="BH42" s="14">
        <f>SUM(Portefeuille_MNT_PPS_Access32[[#This Row],[AC 2026]:[TR 2030]])</f>
        <v>0</v>
      </c>
      <c r="BI42" s="14">
        <f>SUM(Portefeuille_MNT_PPS_Access32[[#This Row],[AC 2026]:[TR 2035]])</f>
        <v>0</v>
      </c>
    </row>
    <row r="43" spans="1:61" x14ac:dyDescent="0.3">
      <c r="A43" t="s">
        <v>286</v>
      </c>
      <c r="B43" t="s">
        <v>662</v>
      </c>
      <c r="C43">
        <v>6</v>
      </c>
      <c r="D43" t="s">
        <v>118</v>
      </c>
      <c r="E43" t="s">
        <v>102</v>
      </c>
      <c r="F43" t="s">
        <v>136</v>
      </c>
      <c r="G43" t="s">
        <v>104</v>
      </c>
      <c r="H43" t="s">
        <v>16</v>
      </c>
      <c r="I43" t="s">
        <v>20</v>
      </c>
      <c r="J43" t="s">
        <v>105</v>
      </c>
      <c r="K43">
        <v>154240756</v>
      </c>
      <c r="L43" t="s">
        <v>517</v>
      </c>
      <c r="M43" t="s">
        <v>302</v>
      </c>
      <c r="N43" t="s">
        <v>109</v>
      </c>
      <c r="O43" t="s">
        <v>110</v>
      </c>
      <c r="P43" s="1">
        <v>45904</v>
      </c>
      <c r="Q43" s="1"/>
      <c r="R43" s="1">
        <v>46096</v>
      </c>
      <c r="S4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4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4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4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-1508</v>
      </c>
      <c r="W4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1514</v>
      </c>
      <c r="X43">
        <f>Portefeuille_MNT_PPS_Access32[[#This Row],[Délais PC1 et PC3]]+Portefeuille_MNT_PPS_Access32[[#This Row],[Délais PC3 et PC5]]</f>
        <v>6</v>
      </c>
      <c r="Y43">
        <v>1</v>
      </c>
      <c r="Z43">
        <v>1</v>
      </c>
      <c r="AA43">
        <v>3</v>
      </c>
      <c r="AB43" t="s">
        <v>112</v>
      </c>
      <c r="AC43">
        <v>4</v>
      </c>
      <c r="AD43" s="2">
        <f>_xlfn.XLOOKUP(Portefeuille_MNT_PPS_Access32[[#This Row],[Numéro projet]],Portefeuille_MNT_PPS_Access27[Numéro projet],Portefeuille_MNT_PPS_Access27[Critère Etat Infrastructure])</f>
        <v>5</v>
      </c>
      <c r="AE4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65.000000000000014</v>
      </c>
      <c r="AF43" s="221"/>
      <c r="AJ43"/>
      <c r="AK43">
        <v>59</v>
      </c>
      <c r="AM43">
        <v>131</v>
      </c>
      <c r="AN43">
        <v>478</v>
      </c>
      <c r="AT43"/>
      <c r="BG43" s="14">
        <f>SUM(Portefeuille_MNT_PPS_Access32[[#This Row],[AC ANT]:[TR 2035]])</f>
        <v>668</v>
      </c>
      <c r="BH43" s="14">
        <f>SUM(Portefeuille_MNT_PPS_Access32[[#This Row],[AC 2026]:[TR 2030]])</f>
        <v>609</v>
      </c>
      <c r="BI43" s="14">
        <f>SUM(Portefeuille_MNT_PPS_Access32[[#This Row],[AC 2026]:[TR 2035]])</f>
        <v>609</v>
      </c>
    </row>
    <row r="44" spans="1:61" x14ac:dyDescent="0.3">
      <c r="A44" t="s">
        <v>286</v>
      </c>
      <c r="B44" t="s">
        <v>664</v>
      </c>
      <c r="D44" t="s">
        <v>101</v>
      </c>
      <c r="E44" t="s">
        <v>102</v>
      </c>
      <c r="F44" t="s">
        <v>103</v>
      </c>
      <c r="H44" t="s">
        <v>20</v>
      </c>
      <c r="I44" t="s">
        <v>20</v>
      </c>
      <c r="J44" t="s">
        <v>105</v>
      </c>
      <c r="K44">
        <v>154240284</v>
      </c>
      <c r="L44" t="s">
        <v>666</v>
      </c>
      <c r="M44" t="s">
        <v>302</v>
      </c>
      <c r="N44" t="s">
        <v>421</v>
      </c>
      <c r="O44" t="s">
        <v>291</v>
      </c>
      <c r="P44" s="1"/>
      <c r="Q44" s="1"/>
      <c r="R44" s="1"/>
      <c r="S4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4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4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4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4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44">
        <f>Portefeuille_MNT_PPS_Access32[[#This Row],[Délais PC1 et PC3]]+Portefeuille_MNT_PPS_Access32[[#This Row],[Délais PC3 et PC5]]</f>
        <v>0</v>
      </c>
      <c r="Z44">
        <v>1</v>
      </c>
      <c r="AB44" t="s">
        <v>311</v>
      </c>
      <c r="AC44">
        <v>4</v>
      </c>
      <c r="AD44" s="2">
        <f>_xlfn.XLOOKUP(Portefeuille_MNT_PPS_Access32[[#This Row],[Numéro projet]],Portefeuille_MNT_PPS_Access27[Numéro projet],Portefeuille_MNT_PPS_Access27[Critère Etat Infrastructure])</f>
        <v>5</v>
      </c>
      <c r="AE4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50</v>
      </c>
      <c r="AF44" s="221"/>
      <c r="AJ44"/>
      <c r="AT44"/>
      <c r="AU44">
        <v>150</v>
      </c>
      <c r="AW44">
        <v>150</v>
      </c>
      <c r="AY44">
        <v>600</v>
      </c>
      <c r="AZ44">
        <v>12000</v>
      </c>
      <c r="BG44" s="14">
        <f>SUM(Portefeuille_MNT_PPS_Access32[[#This Row],[AC ANT]:[TR 2035]])</f>
        <v>12900</v>
      </c>
      <c r="BH44" s="14">
        <f>SUM(Portefeuille_MNT_PPS_Access32[[#This Row],[AC 2026]:[TR 2030]])</f>
        <v>150</v>
      </c>
      <c r="BI44" s="14">
        <f>SUM(Portefeuille_MNT_PPS_Access32[[#This Row],[AC 2026]:[TR 2035]])</f>
        <v>12900</v>
      </c>
    </row>
    <row r="45" spans="1:61" x14ac:dyDescent="0.3">
      <c r="A45" t="s">
        <v>286</v>
      </c>
      <c r="B45" t="s">
        <v>664</v>
      </c>
      <c r="D45" t="s">
        <v>101</v>
      </c>
      <c r="E45" t="s">
        <v>102</v>
      </c>
      <c r="F45" t="s">
        <v>389</v>
      </c>
      <c r="H45" t="s">
        <v>20</v>
      </c>
      <c r="I45" t="s">
        <v>20</v>
      </c>
      <c r="J45" t="s">
        <v>105</v>
      </c>
      <c r="K45">
        <v>154220359</v>
      </c>
      <c r="L45" t="s">
        <v>429</v>
      </c>
      <c r="M45" t="s">
        <v>302</v>
      </c>
      <c r="N45" t="s">
        <v>392</v>
      </c>
      <c r="O45" t="s">
        <v>291</v>
      </c>
      <c r="P45" s="1"/>
      <c r="Q45" s="1"/>
      <c r="R45" s="1"/>
      <c r="S4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4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4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4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4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45">
        <f>Portefeuille_MNT_PPS_Access32[[#This Row],[Délais PC1 et PC3]]+Portefeuille_MNT_PPS_Access32[[#This Row],[Délais PC3 et PC5]]</f>
        <v>0</v>
      </c>
      <c r="Z45">
        <v>1</v>
      </c>
      <c r="AB45" t="s">
        <v>311</v>
      </c>
      <c r="AC45">
        <v>4</v>
      </c>
      <c r="AD45" s="2">
        <f>_xlfn.XLOOKUP(Portefeuille_MNT_PPS_Access32[[#This Row],[Numéro projet]],Portefeuille_MNT_PPS_Access27[Numéro projet],Portefeuille_MNT_PPS_Access27[Critère Etat Infrastructure])</f>
        <v>4</v>
      </c>
      <c r="AE4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45" s="221"/>
      <c r="AJ45"/>
      <c r="AT45"/>
      <c r="AY45">
        <v>100</v>
      </c>
      <c r="BA45">
        <v>200</v>
      </c>
      <c r="BB45">
        <v>5000</v>
      </c>
      <c r="BG45" s="14">
        <f>SUM(Portefeuille_MNT_PPS_Access32[[#This Row],[AC ANT]:[TR 2035]])</f>
        <v>5300</v>
      </c>
      <c r="BH45" s="14">
        <f>SUM(Portefeuille_MNT_PPS_Access32[[#This Row],[AC 2026]:[TR 2030]])</f>
        <v>0</v>
      </c>
      <c r="BI45" s="14">
        <f>SUM(Portefeuille_MNT_PPS_Access32[[#This Row],[AC 2026]:[TR 2035]])</f>
        <v>5300</v>
      </c>
    </row>
    <row r="46" spans="1:61" hidden="1" x14ac:dyDescent="0.3">
      <c r="A46" t="s">
        <v>286</v>
      </c>
      <c r="B46" t="s">
        <v>663</v>
      </c>
      <c r="D46" t="s">
        <v>101</v>
      </c>
      <c r="E46" t="s">
        <v>102</v>
      </c>
      <c r="F46" t="s">
        <v>177</v>
      </c>
      <c r="G46" t="s">
        <v>104</v>
      </c>
      <c r="H46" t="s">
        <v>16</v>
      </c>
      <c r="I46" t="s">
        <v>325</v>
      </c>
      <c r="J46" t="s">
        <v>131</v>
      </c>
      <c r="K46">
        <v>154111623</v>
      </c>
      <c r="L46" t="s">
        <v>604</v>
      </c>
      <c r="M46" t="s">
        <v>214</v>
      </c>
      <c r="O46" t="s">
        <v>291</v>
      </c>
      <c r="P46" s="1"/>
      <c r="Q46" s="1"/>
      <c r="R46" s="1"/>
      <c r="S4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4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4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4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4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46">
        <f>Portefeuille_MNT_PPS_Access32[[#This Row],[Délais PC1 et PC3]]+Portefeuille_MNT_PPS_Access32[[#This Row],[Délais PC3 et PC5]]</f>
        <v>0</v>
      </c>
      <c r="Z46">
        <v>1</v>
      </c>
      <c r="AB46" t="s">
        <v>311</v>
      </c>
      <c r="AC46">
        <v>3</v>
      </c>
      <c r="AD46" s="2" t="e">
        <f>_xlfn.XLOOKUP(Portefeuille_MNT_PPS_Access32[[#This Row],[Numéro projet]],Portefeuille_MNT_PPS_Access27[Numéro projet],Portefeuille_MNT_PPS_Access27[Critère Etat Infrastructure])</f>
        <v>#N/A</v>
      </c>
      <c r="AE46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46" s="221"/>
      <c r="AG46">
        <v>96</v>
      </c>
      <c r="AH46">
        <v>399</v>
      </c>
      <c r="AI46">
        <v>5</v>
      </c>
      <c r="AJ46"/>
      <c r="AT46"/>
      <c r="BG46" s="14">
        <f>SUM(Portefeuille_MNT_PPS_Access32[[#This Row],[AC ANT]:[TR 2035]])</f>
        <v>500</v>
      </c>
      <c r="BH46" s="14">
        <f>SUM(Portefeuille_MNT_PPS_Access32[[#This Row],[AC 2026]:[TR 2030]])</f>
        <v>0</v>
      </c>
      <c r="BI46" s="14">
        <f>SUM(Portefeuille_MNT_PPS_Access32[[#This Row],[AC 2026]:[TR 2035]])</f>
        <v>0</v>
      </c>
    </row>
    <row r="47" spans="1:61" x14ac:dyDescent="0.3">
      <c r="A47" t="s">
        <v>286</v>
      </c>
      <c r="B47" t="s">
        <v>664</v>
      </c>
      <c r="D47" t="s">
        <v>101</v>
      </c>
      <c r="E47" t="s">
        <v>102</v>
      </c>
      <c r="F47" t="s">
        <v>128</v>
      </c>
      <c r="G47" t="s">
        <v>129</v>
      </c>
      <c r="H47" t="s">
        <v>16</v>
      </c>
      <c r="I47" t="s">
        <v>20</v>
      </c>
      <c r="J47" t="s">
        <v>131</v>
      </c>
      <c r="K47">
        <v>154240034</v>
      </c>
      <c r="L47" t="s">
        <v>251</v>
      </c>
      <c r="M47" t="s">
        <v>214</v>
      </c>
      <c r="N47" t="s">
        <v>197</v>
      </c>
      <c r="O47" t="s">
        <v>110</v>
      </c>
      <c r="P47" s="1">
        <v>45490</v>
      </c>
      <c r="Q47" s="1"/>
      <c r="R47" s="1">
        <v>46447</v>
      </c>
      <c r="S4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4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4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4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-1494</v>
      </c>
      <c r="W4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1526</v>
      </c>
      <c r="X47">
        <f>Portefeuille_MNT_PPS_Access32[[#This Row],[Délais PC1 et PC3]]+Portefeuille_MNT_PPS_Access32[[#This Row],[Délais PC3 et PC5]]</f>
        <v>32</v>
      </c>
      <c r="Z47">
        <v>1</v>
      </c>
      <c r="AA47">
        <v>5</v>
      </c>
      <c r="AB47" t="s">
        <v>112</v>
      </c>
      <c r="AC47">
        <v>3</v>
      </c>
      <c r="AD47" s="2">
        <f>_xlfn.XLOOKUP(Portefeuille_MNT_PPS_Access32[[#This Row],[Numéro projet]],Portefeuille_MNT_PPS_Access27[Numéro projet],Portefeuille_MNT_PPS_Access27[Critère Etat Infrastructure])</f>
        <v>4</v>
      </c>
      <c r="AE4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65</v>
      </c>
      <c r="AF47" s="221"/>
      <c r="AJ47"/>
      <c r="AK47">
        <v>37</v>
      </c>
      <c r="AM47">
        <v>10</v>
      </c>
      <c r="AO47">
        <v>12</v>
      </c>
      <c r="AQ47">
        <v>30</v>
      </c>
      <c r="AR47">
        <v>194</v>
      </c>
      <c r="AT47"/>
      <c r="BG47" s="14">
        <f>SUM(Portefeuille_MNT_PPS_Access32[[#This Row],[AC ANT]:[TR 2035]])</f>
        <v>283</v>
      </c>
      <c r="BH47" s="14">
        <f>SUM(Portefeuille_MNT_PPS_Access32[[#This Row],[AC 2026]:[TR 2030]])</f>
        <v>246</v>
      </c>
      <c r="BI47" s="14">
        <f>SUM(Portefeuille_MNT_PPS_Access32[[#This Row],[AC 2026]:[TR 2035]])</f>
        <v>246</v>
      </c>
    </row>
    <row r="48" spans="1:61" hidden="1" x14ac:dyDescent="0.3">
      <c r="A48" t="s">
        <v>286</v>
      </c>
      <c r="B48" t="s">
        <v>295</v>
      </c>
      <c r="D48" t="s">
        <v>126</v>
      </c>
      <c r="E48" t="s">
        <v>127</v>
      </c>
      <c r="F48" t="s">
        <v>136</v>
      </c>
      <c r="G48" t="s">
        <v>104</v>
      </c>
      <c r="H48" t="s">
        <v>16</v>
      </c>
      <c r="I48" t="s">
        <v>16</v>
      </c>
      <c r="J48" t="s">
        <v>131</v>
      </c>
      <c r="K48">
        <v>154130267</v>
      </c>
      <c r="L48" t="s">
        <v>308</v>
      </c>
      <c r="M48" t="s">
        <v>159</v>
      </c>
      <c r="O48" t="s">
        <v>164</v>
      </c>
      <c r="P48" s="1"/>
      <c r="Q48" s="1">
        <v>42992</v>
      </c>
      <c r="R48" s="1">
        <v>43783</v>
      </c>
      <c r="S4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48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48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4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1412</v>
      </c>
      <c r="W4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26</v>
      </c>
      <c r="X48">
        <f>Portefeuille_MNT_PPS_Access32[[#This Row],[Délais PC1 et PC3]]+Portefeuille_MNT_PPS_Access32[[#This Row],[Délais PC3 et PC5]]</f>
        <v>1438</v>
      </c>
      <c r="Z48">
        <v>1</v>
      </c>
      <c r="AB48" t="s">
        <v>165</v>
      </c>
      <c r="AC48">
        <v>4.333333333333333</v>
      </c>
      <c r="AD48" s="2" t="e">
        <f>_xlfn.XLOOKUP(Portefeuille_MNT_PPS_Access32[[#This Row],[Numéro projet]],Portefeuille_MNT_PPS_Access27[Numéro projet],Portefeuille_MNT_PPS_Access27[Critère Etat Infrastructure])</f>
        <v>#N/A</v>
      </c>
      <c r="AE48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48" s="221"/>
      <c r="AG48">
        <v>2779</v>
      </c>
      <c r="AH48">
        <v>15336</v>
      </c>
      <c r="AI48">
        <v>16</v>
      </c>
      <c r="AJ48"/>
      <c r="AT48"/>
      <c r="BG48" s="14">
        <f>SUM(Portefeuille_MNT_PPS_Access32[[#This Row],[AC ANT]:[TR 2035]])</f>
        <v>18131</v>
      </c>
      <c r="BH48" s="14">
        <f>SUM(Portefeuille_MNT_PPS_Access32[[#This Row],[AC 2026]:[TR 2030]])</f>
        <v>0</v>
      </c>
      <c r="BI48" s="14">
        <f>SUM(Portefeuille_MNT_PPS_Access32[[#This Row],[AC 2026]:[TR 2035]])</f>
        <v>0</v>
      </c>
    </row>
    <row r="49" spans="1:61" x14ac:dyDescent="0.3">
      <c r="A49" t="s">
        <v>286</v>
      </c>
      <c r="B49" t="s">
        <v>664</v>
      </c>
      <c r="D49" t="s">
        <v>101</v>
      </c>
      <c r="E49" t="s">
        <v>102</v>
      </c>
      <c r="F49" t="s">
        <v>136</v>
      </c>
      <c r="G49" t="s">
        <v>149</v>
      </c>
      <c r="H49" t="s">
        <v>16</v>
      </c>
      <c r="I49" t="s">
        <v>20</v>
      </c>
      <c r="J49" t="s">
        <v>131</v>
      </c>
      <c r="K49">
        <v>154180773</v>
      </c>
      <c r="L49" t="s">
        <v>213</v>
      </c>
      <c r="M49" t="s">
        <v>214</v>
      </c>
      <c r="N49" t="s">
        <v>184</v>
      </c>
      <c r="O49" t="s">
        <v>155</v>
      </c>
      <c r="P49" s="1">
        <v>46127</v>
      </c>
      <c r="Q49" s="1">
        <v>46798</v>
      </c>
      <c r="R49" s="1">
        <v>47192</v>
      </c>
      <c r="S4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4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4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4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22</v>
      </c>
      <c r="W4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13</v>
      </c>
      <c r="X49">
        <f>Portefeuille_MNT_PPS_Access32[[#This Row],[Délais PC1 et PC3]]+Portefeuille_MNT_PPS_Access32[[#This Row],[Délais PC3 et PC5]]</f>
        <v>35</v>
      </c>
      <c r="Z49">
        <v>1</v>
      </c>
      <c r="AB49" t="s">
        <v>156</v>
      </c>
      <c r="AC49">
        <v>3</v>
      </c>
      <c r="AD49" s="2">
        <f>_xlfn.XLOOKUP(Portefeuille_MNT_PPS_Access32[[#This Row],[Numéro projet]],Portefeuille_MNT_PPS_Access27[Numéro projet],Portefeuille_MNT_PPS_Access27[Critère Etat Infrastructure])</f>
        <v>4</v>
      </c>
      <c r="AE4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49" s="221"/>
      <c r="AG49">
        <v>47</v>
      </c>
      <c r="AI49">
        <v>93</v>
      </c>
      <c r="AJ49"/>
      <c r="AK49">
        <v>107</v>
      </c>
      <c r="AM49">
        <v>125</v>
      </c>
      <c r="AO49">
        <v>125</v>
      </c>
      <c r="AQ49">
        <v>125</v>
      </c>
      <c r="AS49">
        <v>125</v>
      </c>
      <c r="AT49"/>
      <c r="AU49">
        <v>300</v>
      </c>
      <c r="AV49">
        <v>5000</v>
      </c>
      <c r="AW49">
        <v>474</v>
      </c>
      <c r="AX49">
        <v>10000</v>
      </c>
      <c r="BG49" s="14">
        <f>SUM(Portefeuille_MNT_PPS_Access32[[#This Row],[AC ANT]:[TR 2035]])</f>
        <v>16521</v>
      </c>
      <c r="BH49" s="14">
        <f>SUM(Portefeuille_MNT_PPS_Access32[[#This Row],[AC 2026]:[TR 2030]])</f>
        <v>5800</v>
      </c>
      <c r="BI49" s="14">
        <f>SUM(Portefeuille_MNT_PPS_Access32[[#This Row],[AC 2026]:[TR 2035]])</f>
        <v>16274</v>
      </c>
    </row>
    <row r="50" spans="1:61" x14ac:dyDescent="0.3">
      <c r="A50" t="s">
        <v>286</v>
      </c>
      <c r="B50" t="s">
        <v>662</v>
      </c>
      <c r="D50" t="s">
        <v>118</v>
      </c>
      <c r="E50" t="s">
        <v>102</v>
      </c>
      <c r="F50" t="s">
        <v>103</v>
      </c>
      <c r="G50" t="s">
        <v>129</v>
      </c>
      <c r="H50" t="s">
        <v>20</v>
      </c>
      <c r="I50" t="s">
        <v>20</v>
      </c>
      <c r="J50" t="s">
        <v>131</v>
      </c>
      <c r="K50">
        <v>154200654</v>
      </c>
      <c r="L50" t="s">
        <v>643</v>
      </c>
      <c r="M50" t="s">
        <v>214</v>
      </c>
      <c r="N50" t="s">
        <v>184</v>
      </c>
      <c r="O50" t="s">
        <v>155</v>
      </c>
      <c r="P50" s="1">
        <v>46218</v>
      </c>
      <c r="Q50" s="1">
        <v>46722</v>
      </c>
      <c r="R50" s="1">
        <v>47011</v>
      </c>
      <c r="S5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5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5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5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17</v>
      </c>
      <c r="W5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50">
        <f>Portefeuille_MNT_PPS_Access32[[#This Row],[Délais PC1 et PC3]]+Portefeuille_MNT_PPS_Access32[[#This Row],[Délais PC3 et PC5]]</f>
        <v>26</v>
      </c>
      <c r="Z50">
        <v>1</v>
      </c>
      <c r="AB50" t="s">
        <v>156</v>
      </c>
      <c r="AC50">
        <v>3</v>
      </c>
      <c r="AD50" s="2">
        <f>_xlfn.XLOOKUP(Portefeuille_MNT_PPS_Access32[[#This Row],[Numéro projet]],Portefeuille_MNT_PPS_Access27[Numéro projet],Portefeuille_MNT_PPS_Access27[Critère Etat Infrastructure])</f>
        <v>4</v>
      </c>
      <c r="AE5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50" s="221"/>
      <c r="AJ50"/>
      <c r="AQ50">
        <v>100</v>
      </c>
      <c r="AS50">
        <v>200</v>
      </c>
      <c r="AT50"/>
      <c r="AU50">
        <v>200</v>
      </c>
      <c r="AV50">
        <v>10500</v>
      </c>
      <c r="BG50" s="14">
        <f>SUM(Portefeuille_MNT_PPS_Access32[[#This Row],[AC ANT]:[TR 2035]])</f>
        <v>11000</v>
      </c>
      <c r="BH50" s="14">
        <f>SUM(Portefeuille_MNT_PPS_Access32[[#This Row],[AC 2026]:[TR 2030]])</f>
        <v>11000</v>
      </c>
      <c r="BI50" s="14">
        <f>SUM(Portefeuille_MNT_PPS_Access32[[#This Row],[AC 2026]:[TR 2035]])</f>
        <v>11000</v>
      </c>
    </row>
    <row r="51" spans="1:61" x14ac:dyDescent="0.3">
      <c r="A51" t="s">
        <v>286</v>
      </c>
      <c r="B51" t="s">
        <v>664</v>
      </c>
      <c r="C51">
        <v>3</v>
      </c>
      <c r="D51" t="s">
        <v>101</v>
      </c>
      <c r="E51" t="s">
        <v>102</v>
      </c>
      <c r="F51" t="s">
        <v>103</v>
      </c>
      <c r="G51" t="s">
        <v>129</v>
      </c>
      <c r="H51" t="s">
        <v>20</v>
      </c>
      <c r="I51" t="s">
        <v>20</v>
      </c>
      <c r="J51" t="s">
        <v>105</v>
      </c>
      <c r="K51">
        <v>154190687</v>
      </c>
      <c r="L51" t="s">
        <v>401</v>
      </c>
      <c r="M51" t="s">
        <v>402</v>
      </c>
      <c r="N51" t="s">
        <v>197</v>
      </c>
      <c r="O51" t="s">
        <v>155</v>
      </c>
      <c r="P51" s="1">
        <v>46047</v>
      </c>
      <c r="Q51" s="1">
        <v>46461</v>
      </c>
      <c r="R51" s="1">
        <v>46794</v>
      </c>
      <c r="S5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5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5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5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5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11</v>
      </c>
      <c r="X51">
        <f>Portefeuille_MNT_PPS_Access32[[#This Row],[Délais PC1 et PC3]]+Portefeuille_MNT_PPS_Access32[[#This Row],[Délais PC3 et PC5]]</f>
        <v>25</v>
      </c>
      <c r="Z51">
        <v>1</v>
      </c>
      <c r="AA51">
        <v>3</v>
      </c>
      <c r="AB51" t="s">
        <v>156</v>
      </c>
      <c r="AC51">
        <v>2.6666666666666665</v>
      </c>
      <c r="AD51" s="2">
        <f>_xlfn.XLOOKUP(Portefeuille_MNT_PPS_Access32[[#This Row],[Numéro projet]],Portefeuille_MNT_PPS_Access27[Numéro projet],Portefeuille_MNT_PPS_Access27[Critère Etat Infrastructure])</f>
        <v>4</v>
      </c>
      <c r="AE5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53.333333333333336</v>
      </c>
      <c r="AF51" s="221"/>
      <c r="AJ51"/>
      <c r="AM51">
        <v>200</v>
      </c>
      <c r="AO51">
        <v>200</v>
      </c>
      <c r="AQ51">
        <v>800</v>
      </c>
      <c r="AR51">
        <v>16000</v>
      </c>
      <c r="AT51"/>
      <c r="BG51" s="14">
        <f>SUM(Portefeuille_MNT_PPS_Access32[[#This Row],[AC ANT]:[TR 2035]])</f>
        <v>17200</v>
      </c>
      <c r="BH51" s="14">
        <f>SUM(Portefeuille_MNT_PPS_Access32[[#This Row],[AC 2026]:[TR 2030]])</f>
        <v>17200</v>
      </c>
      <c r="BI51" s="14">
        <f>SUM(Portefeuille_MNT_PPS_Access32[[#This Row],[AC 2026]:[TR 2035]])</f>
        <v>17200</v>
      </c>
    </row>
    <row r="52" spans="1:61" x14ac:dyDescent="0.3">
      <c r="A52" t="s">
        <v>286</v>
      </c>
      <c r="B52" t="s">
        <v>662</v>
      </c>
      <c r="D52" t="s">
        <v>118</v>
      </c>
      <c r="E52" t="s">
        <v>102</v>
      </c>
      <c r="F52" t="s">
        <v>136</v>
      </c>
      <c r="H52" t="s">
        <v>20</v>
      </c>
      <c r="I52" t="s">
        <v>20</v>
      </c>
      <c r="J52" t="s">
        <v>105</v>
      </c>
      <c r="K52">
        <v>154250514</v>
      </c>
      <c r="L52" t="s">
        <v>694</v>
      </c>
      <c r="M52" t="s">
        <v>402</v>
      </c>
      <c r="N52" t="s">
        <v>197</v>
      </c>
      <c r="P52" s="1"/>
      <c r="Q52" s="1"/>
      <c r="R52" s="1"/>
      <c r="S5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5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5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5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5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52">
        <f>Portefeuille_MNT_PPS_Access32[[#This Row],[Délais PC1 et PC3]]+Portefeuille_MNT_PPS_Access32[[#This Row],[Délais PC3 et PC5]]</f>
        <v>0</v>
      </c>
      <c r="Z52">
        <v>1</v>
      </c>
      <c r="AA52">
        <v>3</v>
      </c>
      <c r="AC52">
        <v>2.6666666666666665</v>
      </c>
      <c r="AD52" s="2">
        <f>_xlfn.XLOOKUP(Portefeuille_MNT_PPS_Access32[[#This Row],[Numéro projet]],Portefeuille_MNT_PPS_Access27[Numéro projet],Portefeuille_MNT_PPS_Access27[Critère Etat Infrastructure])</f>
        <v>5</v>
      </c>
      <c r="AE5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58.333333333333336</v>
      </c>
      <c r="AF52" s="221"/>
      <c r="AJ52"/>
      <c r="AO52">
        <v>75</v>
      </c>
      <c r="AQ52">
        <v>75</v>
      </c>
      <c r="AR52">
        <v>1500</v>
      </c>
      <c r="AT52"/>
      <c r="BG52" s="14">
        <f>SUM(Portefeuille_MNT_PPS_Access32[[#This Row],[AC ANT]:[TR 2035]])</f>
        <v>1650</v>
      </c>
      <c r="BH52" s="14">
        <f>SUM(Portefeuille_MNT_PPS_Access32[[#This Row],[AC 2026]:[TR 2030]])</f>
        <v>1650</v>
      </c>
      <c r="BI52" s="14">
        <f>SUM(Portefeuille_MNT_PPS_Access32[[#This Row],[AC 2026]:[TR 2035]])</f>
        <v>1650</v>
      </c>
    </row>
    <row r="53" spans="1:61" hidden="1" x14ac:dyDescent="0.3">
      <c r="A53" t="s">
        <v>286</v>
      </c>
      <c r="B53" t="s">
        <v>662</v>
      </c>
      <c r="D53" t="s">
        <v>118</v>
      </c>
      <c r="E53" t="s">
        <v>102</v>
      </c>
      <c r="F53" t="s">
        <v>103</v>
      </c>
      <c r="H53" t="s">
        <v>16</v>
      </c>
      <c r="I53" t="s">
        <v>325</v>
      </c>
      <c r="J53" t="s">
        <v>131</v>
      </c>
      <c r="K53">
        <v>154160752</v>
      </c>
      <c r="L53" t="s">
        <v>318</v>
      </c>
      <c r="M53" t="s">
        <v>187</v>
      </c>
      <c r="O53" t="s">
        <v>291</v>
      </c>
      <c r="P53" s="1"/>
      <c r="Q53" s="1"/>
      <c r="R53" s="1"/>
      <c r="S5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5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5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5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5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53">
        <f>Portefeuille_MNT_PPS_Access32[[#This Row],[Délais PC1 et PC3]]+Portefeuille_MNT_PPS_Access32[[#This Row],[Délais PC3 et PC5]]</f>
        <v>0</v>
      </c>
      <c r="Z53">
        <v>1</v>
      </c>
      <c r="AB53" t="s">
        <v>311</v>
      </c>
      <c r="AC53">
        <v>3</v>
      </c>
      <c r="AD53" s="2" t="e">
        <f>_xlfn.XLOOKUP(Portefeuille_MNT_PPS_Access32[[#This Row],[Numéro projet]],Portefeuille_MNT_PPS_Access27[Numéro projet],Portefeuille_MNT_PPS_Access27[Critère Etat Infrastructure])</f>
        <v>#N/A</v>
      </c>
      <c r="AE53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53" s="221"/>
      <c r="AG53">
        <v>676</v>
      </c>
      <c r="AH53">
        <v>7943</v>
      </c>
      <c r="AI53">
        <v>17</v>
      </c>
      <c r="AJ53"/>
      <c r="AT53"/>
      <c r="BG53" s="14">
        <f>SUM(Portefeuille_MNT_PPS_Access32[[#This Row],[AC ANT]:[TR 2035]])</f>
        <v>8636</v>
      </c>
      <c r="BH53" s="14">
        <f>SUM(Portefeuille_MNT_PPS_Access32[[#This Row],[AC 2026]:[TR 2030]])</f>
        <v>0</v>
      </c>
      <c r="BI53" s="14">
        <f>SUM(Portefeuille_MNT_PPS_Access32[[#This Row],[AC 2026]:[TR 2035]])</f>
        <v>0</v>
      </c>
    </row>
    <row r="54" spans="1:61" hidden="1" x14ac:dyDescent="0.3">
      <c r="A54" t="s">
        <v>286</v>
      </c>
      <c r="B54" t="s">
        <v>662</v>
      </c>
      <c r="D54" t="s">
        <v>118</v>
      </c>
      <c r="E54" t="s">
        <v>102</v>
      </c>
      <c r="F54" t="s">
        <v>103</v>
      </c>
      <c r="G54" t="s">
        <v>104</v>
      </c>
      <c r="H54" t="s">
        <v>16</v>
      </c>
      <c r="I54" t="s">
        <v>16</v>
      </c>
      <c r="J54" t="s">
        <v>131</v>
      </c>
      <c r="K54">
        <v>154171269</v>
      </c>
      <c r="L54" t="s">
        <v>320</v>
      </c>
      <c r="M54" t="s">
        <v>159</v>
      </c>
      <c r="O54" t="s">
        <v>164</v>
      </c>
      <c r="P54" s="1">
        <v>44063</v>
      </c>
      <c r="Q54" s="1">
        <v>44488</v>
      </c>
      <c r="R54" s="1">
        <v>44602</v>
      </c>
      <c r="S54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54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54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5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5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4</v>
      </c>
      <c r="X54">
        <f>Portefeuille_MNT_PPS_Access32[[#This Row],[Délais PC1 et PC3]]+Portefeuille_MNT_PPS_Access32[[#This Row],[Délais PC3 et PC5]]</f>
        <v>18</v>
      </c>
      <c r="Z54">
        <v>1</v>
      </c>
      <c r="AB54" t="s">
        <v>165</v>
      </c>
      <c r="AC54">
        <v>4.333333333333333</v>
      </c>
      <c r="AD54" s="2" t="e">
        <f>_xlfn.XLOOKUP(Portefeuille_MNT_PPS_Access32[[#This Row],[Numéro projet]],Portefeuille_MNT_PPS_Access27[Numéro projet],Portefeuille_MNT_PPS_Access27[Critère Etat Infrastructure])</f>
        <v>#N/A</v>
      </c>
      <c r="AE54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54" s="221"/>
      <c r="AG54">
        <v>334</v>
      </c>
      <c r="AH54">
        <v>5521</v>
      </c>
      <c r="AI54">
        <v>24</v>
      </c>
      <c r="AJ54"/>
      <c r="AK54">
        <v>28</v>
      </c>
      <c r="AT54"/>
      <c r="BG54" s="14">
        <f>SUM(Portefeuille_MNT_PPS_Access32[[#This Row],[AC ANT]:[TR 2035]])</f>
        <v>5907</v>
      </c>
      <c r="BH54" s="14">
        <f>SUM(Portefeuille_MNT_PPS_Access32[[#This Row],[AC 2026]:[TR 2030]])</f>
        <v>0</v>
      </c>
      <c r="BI54" s="14">
        <f>SUM(Portefeuille_MNT_PPS_Access32[[#This Row],[AC 2026]:[TR 2035]])</f>
        <v>0</v>
      </c>
    </row>
    <row r="55" spans="1:61" hidden="1" x14ac:dyDescent="0.3">
      <c r="A55" t="s">
        <v>286</v>
      </c>
      <c r="B55" t="s">
        <v>662</v>
      </c>
      <c r="D55" t="s">
        <v>118</v>
      </c>
      <c r="E55" t="s">
        <v>102</v>
      </c>
      <c r="F55" t="s">
        <v>103</v>
      </c>
      <c r="H55" t="s">
        <v>16</v>
      </c>
      <c r="I55" t="s">
        <v>325</v>
      </c>
      <c r="J55" t="s">
        <v>131</v>
      </c>
      <c r="K55">
        <v>154171270</v>
      </c>
      <c r="L55" t="s">
        <v>525</v>
      </c>
      <c r="M55" t="s">
        <v>147</v>
      </c>
      <c r="O55" t="s">
        <v>291</v>
      </c>
      <c r="P55" s="1"/>
      <c r="Q55" s="1"/>
      <c r="R55" s="1"/>
      <c r="S5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5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5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5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5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55">
        <f>Portefeuille_MNT_PPS_Access32[[#This Row],[Délais PC1 et PC3]]+Portefeuille_MNT_PPS_Access32[[#This Row],[Délais PC3 et PC5]]</f>
        <v>0</v>
      </c>
      <c r="Z55">
        <v>1</v>
      </c>
      <c r="AB55" t="s">
        <v>311</v>
      </c>
      <c r="AC55">
        <v>2.6666666666666665</v>
      </c>
      <c r="AD55" s="2" t="e">
        <f>_xlfn.XLOOKUP(Portefeuille_MNT_PPS_Access32[[#This Row],[Numéro projet]],Portefeuille_MNT_PPS_Access27[Numéro projet],Portefeuille_MNT_PPS_Access27[Critère Etat Infrastructure])</f>
        <v>#N/A</v>
      </c>
      <c r="AE55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55" s="221"/>
      <c r="AG55">
        <v>468</v>
      </c>
      <c r="AH55">
        <v>4580</v>
      </c>
      <c r="AJ55"/>
      <c r="AK55">
        <v>3</v>
      </c>
      <c r="AT55"/>
      <c r="BG55" s="14">
        <f>SUM(Portefeuille_MNT_PPS_Access32[[#This Row],[AC ANT]:[TR 2035]])</f>
        <v>5051</v>
      </c>
      <c r="BH55" s="14">
        <f>SUM(Portefeuille_MNT_PPS_Access32[[#This Row],[AC 2026]:[TR 2030]])</f>
        <v>0</v>
      </c>
      <c r="BI55" s="14">
        <f>SUM(Portefeuille_MNT_PPS_Access32[[#This Row],[AC 2026]:[TR 2035]])</f>
        <v>0</v>
      </c>
    </row>
    <row r="56" spans="1:61" hidden="1" x14ac:dyDescent="0.3">
      <c r="A56" t="s">
        <v>286</v>
      </c>
      <c r="B56" t="s">
        <v>295</v>
      </c>
      <c r="D56" t="s">
        <v>126</v>
      </c>
      <c r="E56" t="s">
        <v>127</v>
      </c>
      <c r="F56" t="s">
        <v>128</v>
      </c>
      <c r="G56" t="s">
        <v>129</v>
      </c>
      <c r="H56" t="s">
        <v>16</v>
      </c>
      <c r="I56" t="s">
        <v>16</v>
      </c>
      <c r="J56" t="s">
        <v>131</v>
      </c>
      <c r="K56">
        <v>154171295</v>
      </c>
      <c r="L56" t="s">
        <v>324</v>
      </c>
      <c r="M56" t="s">
        <v>214</v>
      </c>
      <c r="O56" t="s">
        <v>164</v>
      </c>
      <c r="P56" s="1">
        <v>44644</v>
      </c>
      <c r="Q56" s="1">
        <v>44995</v>
      </c>
      <c r="R56" s="1">
        <v>45061</v>
      </c>
      <c r="S56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56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56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5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5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2</v>
      </c>
      <c r="X56">
        <f>Portefeuille_MNT_PPS_Access32[[#This Row],[Délais PC1 et PC3]]+Portefeuille_MNT_PPS_Access32[[#This Row],[Délais PC3 et PC5]]</f>
        <v>14</v>
      </c>
      <c r="Z56">
        <v>1</v>
      </c>
      <c r="AB56" t="s">
        <v>165</v>
      </c>
      <c r="AC56">
        <v>3</v>
      </c>
      <c r="AD56" s="2" t="e">
        <f>_xlfn.XLOOKUP(Portefeuille_MNT_PPS_Access32[[#This Row],[Numéro projet]],Portefeuille_MNT_PPS_Access27[Numéro projet],Portefeuille_MNT_PPS_Access27[Critère Etat Infrastructure])</f>
        <v>#N/A</v>
      </c>
      <c r="AE56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56" s="221"/>
      <c r="AG56">
        <v>80</v>
      </c>
      <c r="AH56">
        <v>347</v>
      </c>
      <c r="AI56">
        <v>46</v>
      </c>
      <c r="AJ56">
        <v>141</v>
      </c>
      <c r="AT56"/>
      <c r="BG56" s="14">
        <f>SUM(Portefeuille_MNT_PPS_Access32[[#This Row],[AC ANT]:[TR 2035]])</f>
        <v>614</v>
      </c>
      <c r="BH56" s="14">
        <f>SUM(Portefeuille_MNT_PPS_Access32[[#This Row],[AC 2026]:[TR 2030]])</f>
        <v>0</v>
      </c>
      <c r="BI56" s="14">
        <f>SUM(Portefeuille_MNT_PPS_Access32[[#This Row],[AC 2026]:[TR 2035]])</f>
        <v>0</v>
      </c>
    </row>
    <row r="57" spans="1:61" x14ac:dyDescent="0.3">
      <c r="A57" t="s">
        <v>286</v>
      </c>
      <c r="B57" t="s">
        <v>663</v>
      </c>
      <c r="D57" t="s">
        <v>101</v>
      </c>
      <c r="E57" t="s">
        <v>102</v>
      </c>
      <c r="F57" t="s">
        <v>136</v>
      </c>
      <c r="H57" t="s">
        <v>20</v>
      </c>
      <c r="I57" t="s">
        <v>20</v>
      </c>
      <c r="J57" t="s">
        <v>105</v>
      </c>
      <c r="K57">
        <v>154240502</v>
      </c>
      <c r="L57" t="s">
        <v>457</v>
      </c>
      <c r="M57" t="s">
        <v>402</v>
      </c>
      <c r="N57" t="s">
        <v>395</v>
      </c>
      <c r="O57" t="s">
        <v>291</v>
      </c>
      <c r="P57" s="1"/>
      <c r="Q57" s="1"/>
      <c r="R57" s="1"/>
      <c r="S5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5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5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5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5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57">
        <f>Portefeuille_MNT_PPS_Access32[[#This Row],[Délais PC1 et PC3]]+Portefeuille_MNT_PPS_Access32[[#This Row],[Délais PC3 et PC5]]</f>
        <v>0</v>
      </c>
      <c r="Z57">
        <v>1</v>
      </c>
      <c r="AB57" t="s">
        <v>311</v>
      </c>
      <c r="AC57">
        <v>2.6666666666666665</v>
      </c>
      <c r="AD57" s="2">
        <f>_xlfn.XLOOKUP(Portefeuille_MNT_PPS_Access32[[#This Row],[Numéro projet]],Portefeuille_MNT_PPS_Access27[Numéro projet],Portefeuille_MNT_PPS_Access27[Critère Etat Infrastructure])</f>
        <v>3</v>
      </c>
      <c r="AE5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33.333333333333329</v>
      </c>
      <c r="AF57" s="221"/>
      <c r="AJ57"/>
      <c r="AT57"/>
      <c r="AY57">
        <v>150</v>
      </c>
      <c r="BA57">
        <v>150</v>
      </c>
      <c r="BC57">
        <v>500</v>
      </c>
      <c r="BD57">
        <v>6800</v>
      </c>
      <c r="BG57" s="14">
        <f>SUM(Portefeuille_MNT_PPS_Access32[[#This Row],[AC ANT]:[TR 2035]])</f>
        <v>7600</v>
      </c>
      <c r="BH57" s="14">
        <f>SUM(Portefeuille_MNT_PPS_Access32[[#This Row],[AC 2026]:[TR 2030]])</f>
        <v>0</v>
      </c>
      <c r="BI57" s="14">
        <f>SUM(Portefeuille_MNT_PPS_Access32[[#This Row],[AC 2026]:[TR 2035]])</f>
        <v>7600</v>
      </c>
    </row>
    <row r="58" spans="1:61" hidden="1" x14ac:dyDescent="0.3">
      <c r="A58" t="s">
        <v>286</v>
      </c>
      <c r="B58" t="s">
        <v>664</v>
      </c>
      <c r="D58" t="s">
        <v>101</v>
      </c>
      <c r="E58" t="s">
        <v>102</v>
      </c>
      <c r="F58" t="s">
        <v>103</v>
      </c>
      <c r="H58" t="s">
        <v>16</v>
      </c>
      <c r="I58" t="s">
        <v>325</v>
      </c>
      <c r="J58" t="s">
        <v>131</v>
      </c>
      <c r="K58">
        <v>154171402</v>
      </c>
      <c r="L58" t="s">
        <v>327</v>
      </c>
      <c r="M58" t="s">
        <v>183</v>
      </c>
      <c r="O58" t="s">
        <v>291</v>
      </c>
      <c r="P58" s="1"/>
      <c r="Q58" s="1"/>
      <c r="R58" s="1"/>
      <c r="S5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5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5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5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5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58">
        <f>Portefeuille_MNT_PPS_Access32[[#This Row],[Délais PC1 et PC3]]+Portefeuille_MNT_PPS_Access32[[#This Row],[Délais PC3 et PC5]]</f>
        <v>0</v>
      </c>
      <c r="Z58">
        <v>1</v>
      </c>
      <c r="AB58" t="s">
        <v>311</v>
      </c>
      <c r="AC58">
        <v>2.3333333333333335</v>
      </c>
      <c r="AD58" s="2" t="e">
        <f>_xlfn.XLOOKUP(Portefeuille_MNT_PPS_Access32[[#This Row],[Numéro projet]],Portefeuille_MNT_PPS_Access27[Numéro projet],Portefeuille_MNT_PPS_Access27[Critère Etat Infrastructure])</f>
        <v>#N/A</v>
      </c>
      <c r="AE58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58" s="221"/>
      <c r="AG58">
        <v>595</v>
      </c>
      <c r="AH58">
        <v>3578</v>
      </c>
      <c r="AJ58"/>
      <c r="AK58">
        <v>1</v>
      </c>
      <c r="AT58"/>
      <c r="BG58" s="14">
        <f>SUM(Portefeuille_MNT_PPS_Access32[[#This Row],[AC ANT]:[TR 2035]])</f>
        <v>4174</v>
      </c>
      <c r="BH58" s="14">
        <f>SUM(Portefeuille_MNT_PPS_Access32[[#This Row],[AC 2026]:[TR 2030]])</f>
        <v>0</v>
      </c>
      <c r="BI58" s="14">
        <f>SUM(Portefeuille_MNT_PPS_Access32[[#This Row],[AC 2026]:[TR 2035]])</f>
        <v>0</v>
      </c>
    </row>
    <row r="59" spans="1:61" x14ac:dyDescent="0.3">
      <c r="A59" t="s">
        <v>286</v>
      </c>
      <c r="B59" t="s">
        <v>663</v>
      </c>
      <c r="C59">
        <v>1</v>
      </c>
      <c r="D59" t="s">
        <v>101</v>
      </c>
      <c r="E59" t="s">
        <v>102</v>
      </c>
      <c r="F59" t="s">
        <v>136</v>
      </c>
      <c r="G59" t="s">
        <v>104</v>
      </c>
      <c r="H59" t="s">
        <v>16</v>
      </c>
      <c r="I59" t="s">
        <v>130</v>
      </c>
      <c r="J59" t="s">
        <v>105</v>
      </c>
      <c r="K59">
        <v>154062002</v>
      </c>
      <c r="L59" t="s">
        <v>171</v>
      </c>
      <c r="M59" t="s">
        <v>172</v>
      </c>
      <c r="N59" t="s">
        <v>173</v>
      </c>
      <c r="O59" t="s">
        <v>110</v>
      </c>
      <c r="P59" s="1">
        <v>44833</v>
      </c>
      <c r="Q59" s="1">
        <v>45976</v>
      </c>
      <c r="R59" s="1">
        <v>46310</v>
      </c>
      <c r="S5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5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5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5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38</v>
      </c>
      <c r="W5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11</v>
      </c>
      <c r="X59">
        <f>Portefeuille_MNT_PPS_Access32[[#This Row],[Délais PC1 et PC3]]+Portefeuille_MNT_PPS_Access32[[#This Row],[Délais PC3 et PC5]]</f>
        <v>49</v>
      </c>
      <c r="Z59">
        <v>1</v>
      </c>
      <c r="AA59">
        <v>5</v>
      </c>
      <c r="AB59" t="s">
        <v>112</v>
      </c>
      <c r="AC59">
        <v>3.6666666666666665</v>
      </c>
      <c r="AD59" s="2">
        <f>_xlfn.XLOOKUP(Portefeuille_MNT_PPS_Access32[[#This Row],[Numéro projet]],Portefeuille_MNT_PPS_Access27[Numéro projet],Portefeuille_MNT_PPS_Access27[Critère Etat Infrastructure])</f>
        <v>4</v>
      </c>
      <c r="AE5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68.333333333333329</v>
      </c>
      <c r="AF59" s="221"/>
      <c r="AG59">
        <v>497</v>
      </c>
      <c r="AH59">
        <v>8</v>
      </c>
      <c r="AI59">
        <v>199</v>
      </c>
      <c r="AJ59"/>
      <c r="AK59">
        <v>1213</v>
      </c>
      <c r="AM59">
        <v>1008</v>
      </c>
      <c r="AO59">
        <v>842</v>
      </c>
      <c r="AP59">
        <v>12159</v>
      </c>
      <c r="AQ59">
        <v>982</v>
      </c>
      <c r="AR59">
        <v>3252</v>
      </c>
      <c r="AS59">
        <v>635</v>
      </c>
      <c r="AT59">
        <v>4326</v>
      </c>
      <c r="BG59" s="14">
        <f>SUM(Portefeuille_MNT_PPS_Access32[[#This Row],[AC ANT]:[TR 2035]])</f>
        <v>25121</v>
      </c>
      <c r="BH59" s="14">
        <f>SUM(Portefeuille_MNT_PPS_Access32[[#This Row],[AC 2026]:[TR 2030]])</f>
        <v>23204</v>
      </c>
      <c r="BI59" s="14">
        <f>SUM(Portefeuille_MNT_PPS_Access32[[#This Row],[AC 2026]:[TR 2035]])</f>
        <v>23204</v>
      </c>
    </row>
    <row r="60" spans="1:61" hidden="1" x14ac:dyDescent="0.3">
      <c r="A60" t="s">
        <v>286</v>
      </c>
      <c r="B60" t="s">
        <v>664</v>
      </c>
      <c r="D60" t="s">
        <v>101</v>
      </c>
      <c r="E60" t="s">
        <v>102</v>
      </c>
      <c r="F60" t="s">
        <v>200</v>
      </c>
      <c r="H60" t="s">
        <v>16</v>
      </c>
      <c r="I60" t="s">
        <v>325</v>
      </c>
      <c r="J60" t="s">
        <v>131</v>
      </c>
      <c r="K60">
        <v>154171405</v>
      </c>
      <c r="L60" t="s">
        <v>329</v>
      </c>
      <c r="M60" t="s">
        <v>152</v>
      </c>
      <c r="O60" t="s">
        <v>291</v>
      </c>
      <c r="P60" s="1"/>
      <c r="Q60" s="1"/>
      <c r="R60" s="1"/>
      <c r="S6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6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6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6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6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60">
        <f>Portefeuille_MNT_PPS_Access32[[#This Row],[Délais PC1 et PC3]]+Portefeuille_MNT_PPS_Access32[[#This Row],[Délais PC3 et PC5]]</f>
        <v>0</v>
      </c>
      <c r="Z60">
        <v>1</v>
      </c>
      <c r="AB60" t="s">
        <v>311</v>
      </c>
      <c r="AC60">
        <v>3.3333333333333335</v>
      </c>
      <c r="AD60" s="2" t="e">
        <f>_xlfn.XLOOKUP(Portefeuille_MNT_PPS_Access32[[#This Row],[Numéro projet]],Portefeuille_MNT_PPS_Access27[Numéro projet],Portefeuille_MNT_PPS_Access27[Critère Etat Infrastructure])</f>
        <v>#N/A</v>
      </c>
      <c r="AE60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60" s="221"/>
      <c r="AG60">
        <v>186</v>
      </c>
      <c r="AH60">
        <v>3019</v>
      </c>
      <c r="AJ60"/>
      <c r="AK60">
        <v>9</v>
      </c>
      <c r="AT60"/>
      <c r="BG60" s="14">
        <f>SUM(Portefeuille_MNT_PPS_Access32[[#This Row],[AC ANT]:[TR 2035]])</f>
        <v>3214</v>
      </c>
      <c r="BH60" s="14">
        <f>SUM(Portefeuille_MNT_PPS_Access32[[#This Row],[AC 2026]:[TR 2030]])</f>
        <v>0</v>
      </c>
      <c r="BI60" s="14">
        <f>SUM(Portefeuille_MNT_PPS_Access32[[#This Row],[AC 2026]:[TR 2035]])</f>
        <v>0</v>
      </c>
    </row>
    <row r="61" spans="1:61" hidden="1" x14ac:dyDescent="0.3">
      <c r="A61" t="s">
        <v>286</v>
      </c>
      <c r="B61" t="s">
        <v>664</v>
      </c>
      <c r="D61" t="s">
        <v>101</v>
      </c>
      <c r="E61" t="s">
        <v>102</v>
      </c>
      <c r="F61" t="s">
        <v>103</v>
      </c>
      <c r="G61" t="s">
        <v>129</v>
      </c>
      <c r="H61" t="s">
        <v>16</v>
      </c>
      <c r="I61" t="s">
        <v>16</v>
      </c>
      <c r="J61" t="s">
        <v>105</v>
      </c>
      <c r="K61">
        <v>154180005</v>
      </c>
      <c r="L61" t="s">
        <v>357</v>
      </c>
      <c r="M61" t="s">
        <v>116</v>
      </c>
      <c r="O61" t="s">
        <v>164</v>
      </c>
      <c r="P61" s="1"/>
      <c r="Q61" s="1">
        <v>44911</v>
      </c>
      <c r="R61" s="1">
        <v>45167</v>
      </c>
      <c r="S6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61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61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6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1475</v>
      </c>
      <c r="W6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8</v>
      </c>
      <c r="X61">
        <f>Portefeuille_MNT_PPS_Access32[[#This Row],[Délais PC1 et PC3]]+Portefeuille_MNT_PPS_Access32[[#This Row],[Délais PC3 et PC5]]</f>
        <v>1483</v>
      </c>
      <c r="Z61">
        <v>1</v>
      </c>
      <c r="AB61" t="s">
        <v>165</v>
      </c>
      <c r="AC61">
        <v>3.3333333333333335</v>
      </c>
      <c r="AD61" s="2" t="e">
        <f>_xlfn.XLOOKUP(Portefeuille_MNT_PPS_Access32[[#This Row],[Numéro projet]],Portefeuille_MNT_PPS_Access27[Numéro projet],Portefeuille_MNT_PPS_Access27[Critère Etat Infrastructure])</f>
        <v>#N/A</v>
      </c>
      <c r="AE61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61" s="221"/>
      <c r="AG61">
        <v>16</v>
      </c>
      <c r="AI61">
        <v>19</v>
      </c>
      <c r="AJ61">
        <v>1816</v>
      </c>
      <c r="AT61"/>
      <c r="BG61" s="14">
        <f>SUM(Portefeuille_MNT_PPS_Access32[[#This Row],[AC ANT]:[TR 2035]])</f>
        <v>1851</v>
      </c>
      <c r="BH61" s="14">
        <f>SUM(Portefeuille_MNT_PPS_Access32[[#This Row],[AC 2026]:[TR 2030]])</f>
        <v>0</v>
      </c>
      <c r="BI61" s="14">
        <f>SUM(Portefeuille_MNT_PPS_Access32[[#This Row],[AC 2026]:[TR 2035]])</f>
        <v>0</v>
      </c>
    </row>
    <row r="62" spans="1:61" hidden="1" x14ac:dyDescent="0.3">
      <c r="A62" t="s">
        <v>286</v>
      </c>
      <c r="B62" t="s">
        <v>663</v>
      </c>
      <c r="D62" t="s">
        <v>101</v>
      </c>
      <c r="E62" t="s">
        <v>102</v>
      </c>
      <c r="F62" t="s">
        <v>136</v>
      </c>
      <c r="G62" t="s">
        <v>140</v>
      </c>
      <c r="H62" t="s">
        <v>16</v>
      </c>
      <c r="I62" t="s">
        <v>16</v>
      </c>
      <c r="J62" t="s">
        <v>131</v>
      </c>
      <c r="K62">
        <v>154180746</v>
      </c>
      <c r="L62" t="s">
        <v>361</v>
      </c>
      <c r="M62" t="s">
        <v>134</v>
      </c>
      <c r="O62" t="s">
        <v>164</v>
      </c>
      <c r="P62" s="1">
        <v>43390</v>
      </c>
      <c r="Q62" s="1"/>
      <c r="R62" s="1">
        <v>44890</v>
      </c>
      <c r="S62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6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62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6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-1425</v>
      </c>
      <c r="W6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1474</v>
      </c>
      <c r="X62">
        <f>Portefeuille_MNT_PPS_Access32[[#This Row],[Délais PC1 et PC3]]+Portefeuille_MNT_PPS_Access32[[#This Row],[Délais PC3 et PC5]]</f>
        <v>49</v>
      </c>
      <c r="Z62">
        <v>1</v>
      </c>
      <c r="AB62" t="s">
        <v>165</v>
      </c>
      <c r="AC62">
        <v>2.3333333333333335</v>
      </c>
      <c r="AD62" s="2" t="e">
        <f>_xlfn.XLOOKUP(Portefeuille_MNT_PPS_Access32[[#This Row],[Numéro projet]],Portefeuille_MNT_PPS_Access27[Numéro projet],Portefeuille_MNT_PPS_Access27[Critère Etat Infrastructure])</f>
        <v>#N/A</v>
      </c>
      <c r="AE62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62" s="221"/>
      <c r="AG62">
        <v>37</v>
      </c>
      <c r="AI62">
        <v>18</v>
      </c>
      <c r="AJ62">
        <v>288</v>
      </c>
      <c r="AT62"/>
      <c r="BG62" s="14">
        <f>SUM(Portefeuille_MNT_PPS_Access32[[#This Row],[AC ANT]:[TR 2035]])</f>
        <v>343</v>
      </c>
      <c r="BH62" s="14">
        <f>SUM(Portefeuille_MNT_PPS_Access32[[#This Row],[AC 2026]:[TR 2030]])</f>
        <v>0</v>
      </c>
      <c r="BI62" s="14">
        <f>SUM(Portefeuille_MNT_PPS_Access32[[#This Row],[AC 2026]:[TR 2035]])</f>
        <v>0</v>
      </c>
    </row>
    <row r="63" spans="1:61" x14ac:dyDescent="0.3">
      <c r="A63" t="s">
        <v>286</v>
      </c>
      <c r="B63" t="s">
        <v>664</v>
      </c>
      <c r="D63" t="s">
        <v>101</v>
      </c>
      <c r="E63" t="s">
        <v>102</v>
      </c>
      <c r="F63" t="s">
        <v>103</v>
      </c>
      <c r="G63" t="s">
        <v>104</v>
      </c>
      <c r="H63" t="s">
        <v>20</v>
      </c>
      <c r="I63" t="s">
        <v>20</v>
      </c>
      <c r="J63" t="s">
        <v>105</v>
      </c>
      <c r="K63" s="8">
        <v>154190685</v>
      </c>
      <c r="L63" t="s">
        <v>541</v>
      </c>
      <c r="M63" t="s">
        <v>172</v>
      </c>
      <c r="N63" t="s">
        <v>184</v>
      </c>
      <c r="O63" t="s">
        <v>291</v>
      </c>
      <c r="P63" s="1"/>
      <c r="Q63" s="1"/>
      <c r="R63" s="1"/>
      <c r="S6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6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6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6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6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63">
        <f>Portefeuille_MNT_PPS_Access32[[#This Row],[Délais PC1 et PC3]]+Portefeuille_MNT_PPS_Access32[[#This Row],[Délais PC3 et PC5]]</f>
        <v>0</v>
      </c>
      <c r="Z63">
        <v>1</v>
      </c>
      <c r="AB63" t="s">
        <v>311</v>
      </c>
      <c r="AC63">
        <v>3.6666666666666665</v>
      </c>
      <c r="AD63" s="2">
        <f>_xlfn.XLOOKUP(Portefeuille_MNT_PPS_Access32[[#This Row],[Numéro projet]],Portefeuille_MNT_PPS_Access27[Numéro projet],Portefeuille_MNT_PPS_Access27[Critère Etat Infrastructure])</f>
        <v>4</v>
      </c>
      <c r="AE6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43.333333333333329</v>
      </c>
      <c r="AF63" s="221"/>
      <c r="AJ63"/>
      <c r="AQ63">
        <v>100</v>
      </c>
      <c r="AS63">
        <v>100</v>
      </c>
      <c r="AT63"/>
      <c r="AU63">
        <v>700</v>
      </c>
      <c r="AV63">
        <v>15000</v>
      </c>
      <c r="BG63" s="14">
        <f>SUM(Portefeuille_MNT_PPS_Access32[[#This Row],[AC ANT]:[TR 2035]])</f>
        <v>15900</v>
      </c>
      <c r="BH63" s="14">
        <f>SUM(Portefeuille_MNT_PPS_Access32[[#This Row],[AC 2026]:[TR 2030]])</f>
        <v>15900</v>
      </c>
      <c r="BI63" s="14">
        <f>SUM(Portefeuille_MNT_PPS_Access32[[#This Row],[AC 2026]:[TR 2035]])</f>
        <v>15900</v>
      </c>
    </row>
    <row r="64" spans="1:61" x14ac:dyDescent="0.3">
      <c r="A64" t="s">
        <v>286</v>
      </c>
      <c r="B64" t="s">
        <v>664</v>
      </c>
      <c r="D64" t="s">
        <v>101</v>
      </c>
      <c r="E64" t="s">
        <v>102</v>
      </c>
      <c r="F64" t="s">
        <v>103</v>
      </c>
      <c r="G64" t="s">
        <v>113</v>
      </c>
      <c r="H64" t="s">
        <v>16</v>
      </c>
      <c r="I64" t="s">
        <v>16</v>
      </c>
      <c r="J64" t="s">
        <v>105</v>
      </c>
      <c r="K64">
        <v>154160152</v>
      </c>
      <c r="L64" t="s">
        <v>313</v>
      </c>
      <c r="M64" t="s">
        <v>168</v>
      </c>
      <c r="N64" t="s">
        <v>148</v>
      </c>
      <c r="O64" t="s">
        <v>164</v>
      </c>
      <c r="P64" s="1">
        <v>44055</v>
      </c>
      <c r="Q64" s="1">
        <v>44315</v>
      </c>
      <c r="R64" s="1">
        <v>44589</v>
      </c>
      <c r="S6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6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6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6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8</v>
      </c>
      <c r="W6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64">
        <f>Portefeuille_MNT_PPS_Access32[[#This Row],[Délais PC1 et PC3]]+Portefeuille_MNT_PPS_Access32[[#This Row],[Délais PC3 et PC5]]</f>
        <v>17</v>
      </c>
      <c r="Y64">
        <v>1</v>
      </c>
      <c r="Z64">
        <v>1</v>
      </c>
      <c r="AB64" t="s">
        <v>165</v>
      </c>
      <c r="AC64">
        <v>3.3333333333333335</v>
      </c>
      <c r="AD64" s="2">
        <f>_xlfn.XLOOKUP(Portefeuille_MNT_PPS_Access32[[#This Row],[Numéro projet]],Portefeuille_MNT_PPS_Access27[Numéro projet],Portefeuille_MNT_PPS_Access27[Critère Etat Infrastructure])</f>
        <v>2</v>
      </c>
      <c r="AE6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66.666666666666671</v>
      </c>
      <c r="AF64" s="221"/>
      <c r="AG64">
        <v>448</v>
      </c>
      <c r="AH64">
        <v>5849</v>
      </c>
      <c r="AI64">
        <v>290</v>
      </c>
      <c r="AJ64">
        <v>3895</v>
      </c>
      <c r="AK64">
        <v>93</v>
      </c>
      <c r="AL64">
        <v>390</v>
      </c>
      <c r="AT64"/>
      <c r="BG64" s="14">
        <f>SUM(Portefeuille_MNT_PPS_Access32[[#This Row],[AC ANT]:[TR 2035]])</f>
        <v>10965</v>
      </c>
      <c r="BH64" s="14">
        <f>SUM(Portefeuille_MNT_PPS_Access32[[#This Row],[AC 2026]:[TR 2030]])</f>
        <v>0</v>
      </c>
      <c r="BI64" s="14">
        <f>SUM(Portefeuille_MNT_PPS_Access32[[#This Row],[AC 2026]:[TR 2035]])</f>
        <v>0</v>
      </c>
    </row>
    <row r="65" spans="1:61" x14ac:dyDescent="0.3">
      <c r="A65" t="s">
        <v>286</v>
      </c>
      <c r="B65" t="s">
        <v>663</v>
      </c>
      <c r="D65" t="s">
        <v>101</v>
      </c>
      <c r="E65" t="s">
        <v>102</v>
      </c>
      <c r="F65" t="s">
        <v>136</v>
      </c>
      <c r="G65" t="s">
        <v>113</v>
      </c>
      <c r="H65" t="s">
        <v>16</v>
      </c>
      <c r="I65" t="s">
        <v>20</v>
      </c>
      <c r="J65" t="s">
        <v>105</v>
      </c>
      <c r="K65">
        <v>154061997</v>
      </c>
      <c r="L65" t="s">
        <v>167</v>
      </c>
      <c r="M65" t="s">
        <v>168</v>
      </c>
      <c r="N65" t="s">
        <v>169</v>
      </c>
      <c r="O65" t="s">
        <v>155</v>
      </c>
      <c r="P65" s="1">
        <v>45976</v>
      </c>
      <c r="Q65" s="1">
        <v>46402</v>
      </c>
      <c r="R65" s="1">
        <v>46980</v>
      </c>
      <c r="S6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6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6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6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6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19</v>
      </c>
      <c r="X65">
        <f>Portefeuille_MNT_PPS_Access32[[#This Row],[Délais PC1 et PC3]]+Portefeuille_MNT_PPS_Access32[[#This Row],[Délais PC3 et PC5]]</f>
        <v>33</v>
      </c>
      <c r="Z65">
        <v>1</v>
      </c>
      <c r="AB65" t="s">
        <v>156</v>
      </c>
      <c r="AC65">
        <v>3.3333333333333335</v>
      </c>
      <c r="AD65" s="2">
        <f>_xlfn.XLOOKUP(Portefeuille_MNT_PPS_Access32[[#This Row],[Numéro projet]],Portefeuille_MNT_PPS_Access27[Numéro projet],Portefeuille_MNT_PPS_Access27[Critère Etat Infrastructure])</f>
        <v>4</v>
      </c>
      <c r="AE6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65" s="221"/>
      <c r="AG65">
        <v>71</v>
      </c>
      <c r="AJ65"/>
      <c r="AK65">
        <v>11</v>
      </c>
      <c r="AM65">
        <v>210</v>
      </c>
      <c r="AO65">
        <v>310</v>
      </c>
      <c r="AQ65">
        <v>310</v>
      </c>
      <c r="AS65">
        <v>395</v>
      </c>
      <c r="AT65">
        <v>2000</v>
      </c>
      <c r="AU65">
        <v>395</v>
      </c>
      <c r="AV65">
        <v>3275</v>
      </c>
      <c r="AW65">
        <v>509</v>
      </c>
      <c r="AX65">
        <v>16319</v>
      </c>
      <c r="BG65" s="14">
        <f>SUM(Portefeuille_MNT_PPS_Access32[[#This Row],[AC ANT]:[TR 2035]])</f>
        <v>23805</v>
      </c>
      <c r="BH65" s="14">
        <f>SUM(Portefeuille_MNT_PPS_Access32[[#This Row],[AC 2026]:[TR 2030]])</f>
        <v>6895</v>
      </c>
      <c r="BI65" s="14">
        <f>SUM(Portefeuille_MNT_PPS_Access32[[#This Row],[AC 2026]:[TR 2035]])</f>
        <v>23723</v>
      </c>
    </row>
    <row r="66" spans="1:61" hidden="1" x14ac:dyDescent="0.3">
      <c r="A66" t="s">
        <v>286</v>
      </c>
      <c r="B66" t="s">
        <v>664</v>
      </c>
      <c r="D66" t="s">
        <v>101</v>
      </c>
      <c r="E66" t="s">
        <v>102</v>
      </c>
      <c r="F66" t="s">
        <v>103</v>
      </c>
      <c r="G66" t="s">
        <v>113</v>
      </c>
      <c r="H66" t="s">
        <v>16</v>
      </c>
      <c r="I66" t="s">
        <v>16</v>
      </c>
      <c r="J66" t="s">
        <v>105</v>
      </c>
      <c r="K66">
        <v>154180843</v>
      </c>
      <c r="L66" t="s">
        <v>363</v>
      </c>
      <c r="M66" t="s">
        <v>122</v>
      </c>
      <c r="O66" t="s">
        <v>164</v>
      </c>
      <c r="P66" s="1">
        <v>44316</v>
      </c>
      <c r="Q66" s="1">
        <v>44636</v>
      </c>
      <c r="R66" s="1">
        <v>45084</v>
      </c>
      <c r="S66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66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66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6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6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</v>
      </c>
      <c r="X66">
        <f>Portefeuille_MNT_PPS_Access32[[#This Row],[Délais PC1 et PC3]]+Portefeuille_MNT_PPS_Access32[[#This Row],[Délais PC3 et PC5]]</f>
        <v>26</v>
      </c>
      <c r="Z66">
        <v>1</v>
      </c>
      <c r="AB66" t="s">
        <v>165</v>
      </c>
      <c r="AC66">
        <v>4</v>
      </c>
      <c r="AD66" s="2" t="e">
        <f>_xlfn.XLOOKUP(Portefeuille_MNT_PPS_Access32[[#This Row],[Numéro projet]],Portefeuille_MNT_PPS_Access27[Numéro projet],Portefeuille_MNT_PPS_Access27[Critère Etat Infrastructure])</f>
        <v>#N/A</v>
      </c>
      <c r="AE66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66" s="221"/>
      <c r="AG66">
        <v>123</v>
      </c>
      <c r="AI66">
        <v>81</v>
      </c>
      <c r="AJ66">
        <v>10747</v>
      </c>
      <c r="AK66">
        <v>178</v>
      </c>
      <c r="AT66"/>
      <c r="BG66" s="14">
        <f>SUM(Portefeuille_MNT_PPS_Access32[[#This Row],[AC ANT]:[TR 2035]])</f>
        <v>11129</v>
      </c>
      <c r="BH66" s="14">
        <f>SUM(Portefeuille_MNT_PPS_Access32[[#This Row],[AC 2026]:[TR 2030]])</f>
        <v>0</v>
      </c>
      <c r="BI66" s="14">
        <f>SUM(Portefeuille_MNT_PPS_Access32[[#This Row],[AC 2026]:[TR 2035]])</f>
        <v>0</v>
      </c>
    </row>
    <row r="67" spans="1:61" x14ac:dyDescent="0.3">
      <c r="A67" t="s">
        <v>286</v>
      </c>
      <c r="B67" t="s">
        <v>295</v>
      </c>
      <c r="D67" t="s">
        <v>126</v>
      </c>
      <c r="E67" t="s">
        <v>127</v>
      </c>
      <c r="F67" t="s">
        <v>103</v>
      </c>
      <c r="G67" t="s">
        <v>113</v>
      </c>
      <c r="H67" t="s">
        <v>20</v>
      </c>
      <c r="I67" t="s">
        <v>20</v>
      </c>
      <c r="J67" t="s">
        <v>105</v>
      </c>
      <c r="K67">
        <v>154230840</v>
      </c>
      <c r="L67" t="s">
        <v>526</v>
      </c>
      <c r="M67" t="s">
        <v>168</v>
      </c>
      <c r="N67" t="s">
        <v>421</v>
      </c>
      <c r="O67" t="s">
        <v>291</v>
      </c>
      <c r="P67" s="1"/>
      <c r="Q67" s="1"/>
      <c r="R67" s="1"/>
      <c r="S6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6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6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6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6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67">
        <f>Portefeuille_MNT_PPS_Access32[[#This Row],[Délais PC1 et PC3]]+Portefeuille_MNT_PPS_Access32[[#This Row],[Délais PC3 et PC5]]</f>
        <v>0</v>
      </c>
      <c r="Z67">
        <v>1</v>
      </c>
      <c r="AB67" t="s">
        <v>311</v>
      </c>
      <c r="AC67">
        <v>3.3333333333333335</v>
      </c>
      <c r="AD67" s="2">
        <f>_xlfn.XLOOKUP(Portefeuille_MNT_PPS_Access32[[#This Row],[Numéro projet]],Portefeuille_MNT_PPS_Access27[Numéro projet],Portefeuille_MNT_PPS_Access27[Critère Etat Infrastructure])</f>
        <v>3</v>
      </c>
      <c r="AE6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67" s="221"/>
      <c r="AJ67"/>
      <c r="AT67"/>
      <c r="AU67">
        <v>200</v>
      </c>
      <c r="AW67">
        <v>200</v>
      </c>
      <c r="AY67">
        <v>500</v>
      </c>
      <c r="AZ67">
        <v>7500</v>
      </c>
      <c r="BA67">
        <v>500</v>
      </c>
      <c r="BB67">
        <v>7500</v>
      </c>
      <c r="BG67" s="14">
        <f>SUM(Portefeuille_MNT_PPS_Access32[[#This Row],[AC ANT]:[TR 2035]])</f>
        <v>16400</v>
      </c>
      <c r="BH67" s="14">
        <f>SUM(Portefeuille_MNT_PPS_Access32[[#This Row],[AC 2026]:[TR 2030]])</f>
        <v>200</v>
      </c>
      <c r="BI67" s="14">
        <f>SUM(Portefeuille_MNT_PPS_Access32[[#This Row],[AC 2026]:[TR 2035]])</f>
        <v>16400</v>
      </c>
    </row>
    <row r="68" spans="1:61" x14ac:dyDescent="0.3">
      <c r="A68" t="s">
        <v>286</v>
      </c>
      <c r="B68" t="s">
        <v>664</v>
      </c>
      <c r="D68" t="s">
        <v>101</v>
      </c>
      <c r="E68" t="s">
        <v>102</v>
      </c>
      <c r="F68" t="s">
        <v>103</v>
      </c>
      <c r="H68" t="s">
        <v>20</v>
      </c>
      <c r="I68" t="s">
        <v>20</v>
      </c>
      <c r="J68" t="s">
        <v>105</v>
      </c>
      <c r="K68">
        <v>154240285</v>
      </c>
      <c r="L68" t="s">
        <v>447</v>
      </c>
      <c r="M68" t="s">
        <v>168</v>
      </c>
      <c r="N68" t="s">
        <v>533</v>
      </c>
      <c r="O68" t="s">
        <v>291</v>
      </c>
      <c r="P68" s="1"/>
      <c r="Q68" s="1"/>
      <c r="R68" s="1"/>
      <c r="S6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6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6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6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6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68">
        <f>Portefeuille_MNT_PPS_Access32[[#This Row],[Délais PC1 et PC3]]+Portefeuille_MNT_PPS_Access32[[#This Row],[Délais PC3 et PC5]]</f>
        <v>0</v>
      </c>
      <c r="Z68">
        <v>1</v>
      </c>
      <c r="AB68" t="s">
        <v>311</v>
      </c>
      <c r="AC68">
        <v>3.3333333333333335</v>
      </c>
      <c r="AD68" s="2">
        <f>_xlfn.XLOOKUP(Portefeuille_MNT_PPS_Access32[[#This Row],[Numéro projet]],Portefeuille_MNT_PPS_Access27[Numéro projet],Portefeuille_MNT_PPS_Access27[Critère Etat Infrastructure])</f>
        <v>4</v>
      </c>
      <c r="AE6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41.666666666666671</v>
      </c>
      <c r="AF68" s="221"/>
      <c r="AJ68"/>
      <c r="AT68"/>
      <c r="BA68">
        <v>150</v>
      </c>
      <c r="BC68">
        <v>150</v>
      </c>
      <c r="BE68">
        <v>600</v>
      </c>
      <c r="BF68">
        <v>12000</v>
      </c>
      <c r="BG68" s="14">
        <f>SUM(Portefeuille_MNT_PPS_Access32[[#This Row],[AC ANT]:[TR 2035]])</f>
        <v>12900</v>
      </c>
      <c r="BH68" s="14">
        <f>SUM(Portefeuille_MNT_PPS_Access32[[#This Row],[AC 2026]:[TR 2030]])</f>
        <v>0</v>
      </c>
      <c r="BI68" s="14">
        <f>SUM(Portefeuille_MNT_PPS_Access32[[#This Row],[AC 2026]:[TR 2035]])</f>
        <v>12900</v>
      </c>
    </row>
    <row r="69" spans="1:61" hidden="1" x14ac:dyDescent="0.3">
      <c r="A69" t="s">
        <v>286</v>
      </c>
      <c r="B69" t="s">
        <v>664</v>
      </c>
      <c r="D69" t="s">
        <v>101</v>
      </c>
      <c r="E69" t="s">
        <v>102</v>
      </c>
      <c r="F69" t="s">
        <v>200</v>
      </c>
      <c r="G69" t="s">
        <v>104</v>
      </c>
      <c r="H69" t="s">
        <v>16</v>
      </c>
      <c r="I69" t="s">
        <v>16</v>
      </c>
      <c r="J69" t="s">
        <v>105</v>
      </c>
      <c r="K69">
        <v>154190251</v>
      </c>
      <c r="L69" t="s">
        <v>339</v>
      </c>
      <c r="M69" t="s">
        <v>180</v>
      </c>
      <c r="O69" t="s">
        <v>164</v>
      </c>
      <c r="P69" s="1">
        <v>43360</v>
      </c>
      <c r="Q69" s="1">
        <v>43671</v>
      </c>
      <c r="R69" s="1">
        <v>44217</v>
      </c>
      <c r="S69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69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69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6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10</v>
      </c>
      <c r="W6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18</v>
      </c>
      <c r="X69">
        <f>Portefeuille_MNT_PPS_Access32[[#This Row],[Délais PC1 et PC3]]+Portefeuille_MNT_PPS_Access32[[#This Row],[Délais PC3 et PC5]]</f>
        <v>28</v>
      </c>
      <c r="Z69">
        <v>1</v>
      </c>
      <c r="AB69" t="s">
        <v>165</v>
      </c>
      <c r="AC69">
        <v>2.833333333333333</v>
      </c>
      <c r="AD69" s="2" t="e">
        <f>_xlfn.XLOOKUP(Portefeuille_MNT_PPS_Access32[[#This Row],[Numéro projet]],Portefeuille_MNT_PPS_Access27[Numéro projet],Portefeuille_MNT_PPS_Access27[Critère Etat Infrastructure])</f>
        <v>#N/A</v>
      </c>
      <c r="AE69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69" s="221"/>
      <c r="AG69">
        <v>128</v>
      </c>
      <c r="AH69">
        <v>2061</v>
      </c>
      <c r="AI69">
        <v>142</v>
      </c>
      <c r="AJ69"/>
      <c r="AK69">
        <v>65</v>
      </c>
      <c r="AT69"/>
      <c r="BG69" s="14">
        <f>SUM(Portefeuille_MNT_PPS_Access32[[#This Row],[AC ANT]:[TR 2035]])</f>
        <v>2396</v>
      </c>
      <c r="BH69" s="14">
        <f>SUM(Portefeuille_MNT_PPS_Access32[[#This Row],[AC 2026]:[TR 2030]])</f>
        <v>0</v>
      </c>
      <c r="BI69" s="14">
        <f>SUM(Portefeuille_MNT_PPS_Access32[[#This Row],[AC 2026]:[TR 2035]])</f>
        <v>0</v>
      </c>
    </row>
    <row r="70" spans="1:61" hidden="1" x14ac:dyDescent="0.3">
      <c r="A70" t="s">
        <v>286</v>
      </c>
      <c r="B70" t="s">
        <v>662</v>
      </c>
      <c r="D70" t="s">
        <v>118</v>
      </c>
      <c r="E70" t="s">
        <v>102</v>
      </c>
      <c r="F70" t="s">
        <v>103</v>
      </c>
      <c r="G70" t="s">
        <v>340</v>
      </c>
      <c r="H70" t="s">
        <v>16</v>
      </c>
      <c r="I70" t="s">
        <v>16</v>
      </c>
      <c r="J70" t="s">
        <v>131</v>
      </c>
      <c r="K70">
        <v>154190477</v>
      </c>
      <c r="L70" t="s">
        <v>342</v>
      </c>
      <c r="M70" t="s">
        <v>147</v>
      </c>
      <c r="O70" t="s">
        <v>164</v>
      </c>
      <c r="P70" s="1">
        <v>44245</v>
      </c>
      <c r="Q70" s="1">
        <v>44469</v>
      </c>
      <c r="R70" s="1">
        <v>44538</v>
      </c>
      <c r="S70" s="1" t="e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#NUM!</v>
      </c>
      <c r="T70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70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7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7</v>
      </c>
      <c r="W7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</v>
      </c>
      <c r="X70">
        <f>Portefeuille_MNT_PPS_Access32[[#This Row],[Délais PC1 et PC3]]+Portefeuille_MNT_PPS_Access32[[#This Row],[Délais PC3 et PC5]]</f>
        <v>10</v>
      </c>
      <c r="Z70">
        <v>1</v>
      </c>
      <c r="AB70" t="s">
        <v>165</v>
      </c>
      <c r="AC70">
        <v>2.6666666666666665</v>
      </c>
      <c r="AD70" s="2" t="e">
        <f>_xlfn.XLOOKUP(Portefeuille_MNT_PPS_Access32[[#This Row],[Numéro projet]],Portefeuille_MNT_PPS_Access27[Numéro projet],Portefeuille_MNT_PPS_Access27[Critère Etat Infrastructure])</f>
        <v>#N/A</v>
      </c>
      <c r="AE70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70" s="221"/>
      <c r="AG70">
        <v>603</v>
      </c>
      <c r="AH70">
        <v>10120</v>
      </c>
      <c r="AI70">
        <v>13</v>
      </c>
      <c r="AJ70">
        <v>169</v>
      </c>
      <c r="AK70">
        <v>60</v>
      </c>
      <c r="AT70"/>
      <c r="BG70" s="14">
        <f>SUM(Portefeuille_MNT_PPS_Access32[[#This Row],[AC ANT]:[TR 2035]])</f>
        <v>10965</v>
      </c>
      <c r="BH70" s="14">
        <f>SUM(Portefeuille_MNT_PPS_Access32[[#This Row],[AC 2026]:[TR 2030]])</f>
        <v>0</v>
      </c>
      <c r="BI70" s="14">
        <f>SUM(Portefeuille_MNT_PPS_Access32[[#This Row],[AC 2026]:[TR 2035]])</f>
        <v>0</v>
      </c>
    </row>
    <row r="71" spans="1:61" x14ac:dyDescent="0.3">
      <c r="A71" t="s">
        <v>286</v>
      </c>
      <c r="B71" t="s">
        <v>664</v>
      </c>
      <c r="C71">
        <v>9</v>
      </c>
      <c r="D71" t="s">
        <v>101</v>
      </c>
      <c r="E71" t="s">
        <v>102</v>
      </c>
      <c r="F71" t="s">
        <v>103</v>
      </c>
      <c r="G71" t="s">
        <v>149</v>
      </c>
      <c r="H71" t="s">
        <v>16</v>
      </c>
      <c r="I71" t="s">
        <v>20</v>
      </c>
      <c r="J71" t="s">
        <v>105</v>
      </c>
      <c r="K71">
        <v>154190686</v>
      </c>
      <c r="L71" t="s">
        <v>665</v>
      </c>
      <c r="M71" t="s">
        <v>239</v>
      </c>
      <c r="N71" t="s">
        <v>173</v>
      </c>
      <c r="O71" t="s">
        <v>110</v>
      </c>
      <c r="P71" s="1">
        <v>45915</v>
      </c>
      <c r="Q71" s="1">
        <v>46037</v>
      </c>
      <c r="R71" s="1">
        <v>46310</v>
      </c>
      <c r="S7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7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7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7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4</v>
      </c>
      <c r="W7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71">
        <f>Portefeuille_MNT_PPS_Access32[[#This Row],[Délais PC1 et PC3]]+Portefeuille_MNT_PPS_Access32[[#This Row],[Délais PC3 et PC5]]</f>
        <v>13</v>
      </c>
      <c r="Z71">
        <v>1</v>
      </c>
      <c r="AA71">
        <v>3</v>
      </c>
      <c r="AB71" t="s">
        <v>112</v>
      </c>
      <c r="AC71">
        <v>3.3333333333333335</v>
      </c>
      <c r="AD71" s="2">
        <f>_xlfn.XLOOKUP(Portefeuille_MNT_PPS_Access32[[#This Row],[Numéro projet]],Portefeuille_MNT_PPS_Access27[Numéro projet],Portefeuille_MNT_PPS_Access27[Critère Etat Infrastructure])</f>
        <v>4</v>
      </c>
      <c r="AE7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56.666666666666664</v>
      </c>
      <c r="AF71" s="221"/>
      <c r="AJ71"/>
      <c r="AK71">
        <v>25</v>
      </c>
      <c r="AM71">
        <v>26</v>
      </c>
      <c r="AO71">
        <v>723</v>
      </c>
      <c r="AP71">
        <v>10494</v>
      </c>
      <c r="AT71"/>
      <c r="BG71" s="14">
        <f>SUM(Portefeuille_MNT_PPS_Access32[[#This Row],[AC ANT]:[TR 2035]])</f>
        <v>11268</v>
      </c>
      <c r="BH71" s="14">
        <f>SUM(Portefeuille_MNT_PPS_Access32[[#This Row],[AC 2026]:[TR 2030]])</f>
        <v>11243</v>
      </c>
      <c r="BI71" s="14">
        <f>SUM(Portefeuille_MNT_PPS_Access32[[#This Row],[AC 2026]:[TR 2035]])</f>
        <v>11243</v>
      </c>
    </row>
    <row r="72" spans="1:61" x14ac:dyDescent="0.3">
      <c r="A72" t="s">
        <v>286</v>
      </c>
      <c r="B72" t="s">
        <v>662</v>
      </c>
      <c r="D72" t="s">
        <v>118</v>
      </c>
      <c r="E72" t="s">
        <v>102</v>
      </c>
      <c r="F72" t="s">
        <v>136</v>
      </c>
      <c r="H72" t="s">
        <v>20</v>
      </c>
      <c r="I72" t="s">
        <v>20</v>
      </c>
      <c r="J72" t="s">
        <v>105</v>
      </c>
      <c r="K72">
        <v>154250512</v>
      </c>
      <c r="L72" t="s">
        <v>693</v>
      </c>
      <c r="M72" t="s">
        <v>239</v>
      </c>
      <c r="N72" t="s">
        <v>197</v>
      </c>
      <c r="P72" s="1"/>
      <c r="Q72" s="1"/>
      <c r="R72" s="1"/>
      <c r="S7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2">
        <f>Portefeuille_MNT_PPS_Access32[[#This Row],[Délais PC1 et PC3]]+Portefeuille_MNT_PPS_Access32[[#This Row],[Délais PC3 et PC5]]</f>
        <v>0</v>
      </c>
      <c r="Z72">
        <v>1</v>
      </c>
      <c r="AA72">
        <v>3</v>
      </c>
      <c r="AC72">
        <v>3.3333333333333335</v>
      </c>
      <c r="AD72" s="2">
        <f>_xlfn.XLOOKUP(Portefeuille_MNT_PPS_Access32[[#This Row],[Numéro projet]],Portefeuille_MNT_PPS_Access27[Numéro projet],Portefeuille_MNT_PPS_Access27[Critère Etat Infrastructure])</f>
        <v>5</v>
      </c>
      <c r="AE7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61.666666666666671</v>
      </c>
      <c r="AF72" s="221"/>
      <c r="AJ72"/>
      <c r="AO72">
        <v>75</v>
      </c>
      <c r="AQ72">
        <v>75</v>
      </c>
      <c r="AR72">
        <v>1500</v>
      </c>
      <c r="AT72"/>
      <c r="BG72" s="14">
        <f>SUM(Portefeuille_MNT_PPS_Access32[[#This Row],[AC ANT]:[TR 2035]])</f>
        <v>1650</v>
      </c>
      <c r="BH72" s="14">
        <f>SUM(Portefeuille_MNT_PPS_Access32[[#This Row],[AC 2026]:[TR 2030]])</f>
        <v>1650</v>
      </c>
      <c r="BI72" s="14">
        <f>SUM(Portefeuille_MNT_PPS_Access32[[#This Row],[AC 2026]:[TR 2035]])</f>
        <v>1650</v>
      </c>
    </row>
    <row r="73" spans="1:61" x14ac:dyDescent="0.3">
      <c r="A73" t="s">
        <v>286</v>
      </c>
      <c r="B73" t="s">
        <v>663</v>
      </c>
      <c r="D73" t="s">
        <v>101</v>
      </c>
      <c r="E73" t="s">
        <v>102</v>
      </c>
      <c r="F73" t="s">
        <v>136</v>
      </c>
      <c r="H73" t="s">
        <v>20</v>
      </c>
      <c r="I73" t="s">
        <v>20</v>
      </c>
      <c r="J73" t="s">
        <v>105</v>
      </c>
      <c r="K73">
        <v>154240503</v>
      </c>
      <c r="L73" t="s">
        <v>459</v>
      </c>
      <c r="M73" t="s">
        <v>239</v>
      </c>
      <c r="N73" t="s">
        <v>392</v>
      </c>
      <c r="O73" t="s">
        <v>291</v>
      </c>
      <c r="P73" s="1"/>
      <c r="Q73" s="1"/>
      <c r="R73" s="1"/>
      <c r="S7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3">
        <f>Portefeuille_MNT_PPS_Access32[[#This Row],[Délais PC1 et PC3]]+Portefeuille_MNT_PPS_Access32[[#This Row],[Délais PC3 et PC5]]</f>
        <v>0</v>
      </c>
      <c r="Z73">
        <v>1</v>
      </c>
      <c r="AB73" t="s">
        <v>311</v>
      </c>
      <c r="AC73">
        <v>3.3333333333333335</v>
      </c>
      <c r="AD73" s="2">
        <f>_xlfn.XLOOKUP(Portefeuille_MNT_PPS_Access32[[#This Row],[Numéro projet]],Portefeuille_MNT_PPS_Access27[Numéro projet],Portefeuille_MNT_PPS_Access27[Critère Etat Infrastructure])</f>
        <v>3</v>
      </c>
      <c r="AE7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73" s="221"/>
      <c r="AJ73"/>
      <c r="AT73"/>
      <c r="AW73">
        <v>150</v>
      </c>
      <c r="AY73">
        <v>150</v>
      </c>
      <c r="BA73">
        <v>500</v>
      </c>
      <c r="BB73">
        <v>6500</v>
      </c>
      <c r="BG73" s="14">
        <f>SUM(Portefeuille_MNT_PPS_Access32[[#This Row],[AC ANT]:[TR 2035]])</f>
        <v>7300</v>
      </c>
      <c r="BH73" s="14">
        <f>SUM(Portefeuille_MNT_PPS_Access32[[#This Row],[AC 2026]:[TR 2030]])</f>
        <v>0</v>
      </c>
      <c r="BI73" s="14">
        <f>SUM(Portefeuille_MNT_PPS_Access32[[#This Row],[AC 2026]:[TR 2035]])</f>
        <v>7300</v>
      </c>
    </row>
    <row r="74" spans="1:61" x14ac:dyDescent="0.3">
      <c r="A74" t="s">
        <v>286</v>
      </c>
      <c r="B74" t="s">
        <v>664</v>
      </c>
      <c r="D74" t="s">
        <v>101</v>
      </c>
      <c r="E74" t="s">
        <v>102</v>
      </c>
      <c r="F74" t="s">
        <v>389</v>
      </c>
      <c r="H74" t="s">
        <v>20</v>
      </c>
      <c r="I74" t="s">
        <v>20</v>
      </c>
      <c r="J74" t="s">
        <v>105</v>
      </c>
      <c r="K74">
        <v>154250181</v>
      </c>
      <c r="L74" t="s">
        <v>602</v>
      </c>
      <c r="M74" t="s">
        <v>239</v>
      </c>
      <c r="N74" t="s">
        <v>533</v>
      </c>
      <c r="O74" t="s">
        <v>291</v>
      </c>
      <c r="P74" s="1"/>
      <c r="Q74" s="1"/>
      <c r="R74" s="1"/>
      <c r="S7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4">
        <f>Portefeuille_MNT_PPS_Access32[[#This Row],[Délais PC1 et PC3]]+Portefeuille_MNT_PPS_Access32[[#This Row],[Délais PC3 et PC5]]</f>
        <v>0</v>
      </c>
      <c r="Z74">
        <v>1</v>
      </c>
      <c r="AB74" t="s">
        <v>311</v>
      </c>
      <c r="AC74">
        <v>3.3333333333333335</v>
      </c>
      <c r="AD74" s="2">
        <f>_xlfn.XLOOKUP(Portefeuille_MNT_PPS_Access32[[#This Row],[Numéro projet]],Portefeuille_MNT_PPS_Access27[Numéro projet],Portefeuille_MNT_PPS_Access27[Critère Etat Infrastructure])</f>
        <v>4</v>
      </c>
      <c r="AE7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41.666666666666671</v>
      </c>
      <c r="AF74" s="221"/>
      <c r="AJ74"/>
      <c r="AT74"/>
      <c r="BA74">
        <v>100</v>
      </c>
      <c r="BC74">
        <v>100</v>
      </c>
      <c r="BE74">
        <v>500</v>
      </c>
      <c r="BF74">
        <v>5000</v>
      </c>
      <c r="BG74" s="14">
        <f>SUM(Portefeuille_MNT_PPS_Access32[[#This Row],[AC ANT]:[TR 2035]])</f>
        <v>5700</v>
      </c>
      <c r="BH74" s="14">
        <f>SUM(Portefeuille_MNT_PPS_Access32[[#This Row],[AC 2026]:[TR 2030]])</f>
        <v>0</v>
      </c>
      <c r="BI74" s="14">
        <f>SUM(Portefeuille_MNT_PPS_Access32[[#This Row],[AC 2026]:[TR 2035]])</f>
        <v>5700</v>
      </c>
    </row>
    <row r="75" spans="1:61" x14ac:dyDescent="0.3">
      <c r="A75" t="s">
        <v>11</v>
      </c>
      <c r="D75" t="s">
        <v>118</v>
      </c>
      <c r="E75" t="s">
        <v>102</v>
      </c>
      <c r="F75" t="s">
        <v>242</v>
      </c>
      <c r="G75" t="s">
        <v>252</v>
      </c>
      <c r="H75" t="s">
        <v>20</v>
      </c>
      <c r="I75" t="s">
        <v>20</v>
      </c>
      <c r="J75" t="s">
        <v>131</v>
      </c>
      <c r="K75">
        <v>154250378</v>
      </c>
      <c r="L75" t="s">
        <v>650</v>
      </c>
      <c r="M75" t="s">
        <v>414</v>
      </c>
      <c r="N75" t="s">
        <v>173</v>
      </c>
      <c r="O75" t="s">
        <v>291</v>
      </c>
      <c r="P75" s="1"/>
      <c r="Q75" s="1"/>
      <c r="R75" s="1"/>
      <c r="S7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5">
        <f>Portefeuille_MNT_PPS_Access32[[#This Row],[Délais PC1 et PC3]]+Portefeuille_MNT_PPS_Access32[[#This Row],[Délais PC3 et PC5]]</f>
        <v>0</v>
      </c>
      <c r="Z75">
        <v>1</v>
      </c>
      <c r="AA75">
        <v>3</v>
      </c>
      <c r="AB75" t="s">
        <v>311</v>
      </c>
      <c r="AC75">
        <v>1</v>
      </c>
      <c r="AD75" s="2">
        <f>_xlfn.XLOOKUP(Portefeuille_MNT_PPS_Access32[[#This Row],[Numéro projet]],Portefeuille_MNT_PPS_Access27[Numéro projet],Portefeuille_MNT_PPS_Access27[Critère Etat Infrastructure])</f>
        <v>3</v>
      </c>
      <c r="AE7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75" s="221"/>
      <c r="AJ75"/>
      <c r="AP75">
        <v>100</v>
      </c>
      <c r="AT75"/>
      <c r="BG75" s="14">
        <f>SUM(Portefeuille_MNT_PPS_Access32[[#This Row],[AC ANT]:[TR 2035]])</f>
        <v>100</v>
      </c>
      <c r="BH75" s="14">
        <f>SUM(Portefeuille_MNT_PPS_Access32[[#This Row],[AC 2026]:[TR 2030]])</f>
        <v>100</v>
      </c>
      <c r="BI75" s="14">
        <f>SUM(Portefeuille_MNT_PPS_Access32[[#This Row],[AC 2026]:[TR 2035]])</f>
        <v>100</v>
      </c>
    </row>
    <row r="76" spans="1:61" x14ac:dyDescent="0.3">
      <c r="A76" t="s">
        <v>286</v>
      </c>
      <c r="B76" t="s">
        <v>662</v>
      </c>
      <c r="D76" t="s">
        <v>118</v>
      </c>
      <c r="E76" t="s">
        <v>102</v>
      </c>
      <c r="F76" t="s">
        <v>242</v>
      </c>
      <c r="G76" t="s">
        <v>129</v>
      </c>
      <c r="H76" t="s">
        <v>20</v>
      </c>
      <c r="I76" t="s">
        <v>20</v>
      </c>
      <c r="J76" t="s">
        <v>131</v>
      </c>
      <c r="K76">
        <v>154210546</v>
      </c>
      <c r="L76" t="s">
        <v>644</v>
      </c>
      <c r="M76" t="s">
        <v>414</v>
      </c>
      <c r="N76" t="s">
        <v>184</v>
      </c>
      <c r="O76" t="s">
        <v>291</v>
      </c>
      <c r="P76" s="1"/>
      <c r="Q76" s="1"/>
      <c r="R76" s="1"/>
      <c r="S7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6">
        <f>Portefeuille_MNT_PPS_Access32[[#This Row],[Délais PC1 et PC3]]+Portefeuille_MNT_PPS_Access32[[#This Row],[Délais PC3 et PC5]]</f>
        <v>0</v>
      </c>
      <c r="Z76">
        <v>1</v>
      </c>
      <c r="AB76" t="s">
        <v>311</v>
      </c>
      <c r="AC76">
        <v>1</v>
      </c>
      <c r="AD76" s="2">
        <f>_xlfn.XLOOKUP(Portefeuille_MNT_PPS_Access32[[#This Row],[Numéro projet]],Portefeuille_MNT_PPS_Access27[Numéro projet],Portefeuille_MNT_PPS_Access27[Critère Etat Infrastructure])</f>
        <v>4</v>
      </c>
      <c r="AE7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30</v>
      </c>
      <c r="AF76" s="221"/>
      <c r="AJ76"/>
      <c r="AQ76">
        <v>150</v>
      </c>
      <c r="AS76">
        <v>150</v>
      </c>
      <c r="AT76"/>
      <c r="AU76">
        <v>250</v>
      </c>
      <c r="AV76">
        <v>2000</v>
      </c>
      <c r="BG76" s="14">
        <f>SUM(Portefeuille_MNT_PPS_Access32[[#This Row],[AC ANT]:[TR 2035]])</f>
        <v>2550</v>
      </c>
      <c r="BH76" s="14">
        <f>SUM(Portefeuille_MNT_PPS_Access32[[#This Row],[AC 2026]:[TR 2030]])</f>
        <v>2550</v>
      </c>
      <c r="BI76" s="14">
        <f>SUM(Portefeuille_MNT_PPS_Access32[[#This Row],[AC 2026]:[TR 2035]])</f>
        <v>2550</v>
      </c>
    </row>
    <row r="77" spans="1:61" x14ac:dyDescent="0.3">
      <c r="A77" t="s">
        <v>286</v>
      </c>
      <c r="B77" t="s">
        <v>664</v>
      </c>
      <c r="D77" t="s">
        <v>101</v>
      </c>
      <c r="E77" t="s">
        <v>102</v>
      </c>
      <c r="F77" t="s">
        <v>103</v>
      </c>
      <c r="H77" t="s">
        <v>16</v>
      </c>
      <c r="I77" t="s">
        <v>16</v>
      </c>
      <c r="J77" t="s">
        <v>105</v>
      </c>
      <c r="K77">
        <v>154150340</v>
      </c>
      <c r="L77" t="s">
        <v>310</v>
      </c>
      <c r="M77" t="s">
        <v>108</v>
      </c>
      <c r="N77" t="s">
        <v>148</v>
      </c>
      <c r="O77" t="s">
        <v>291</v>
      </c>
      <c r="P77" s="1"/>
      <c r="Q77" s="1"/>
      <c r="R77" s="1"/>
      <c r="S7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7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7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7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77">
        <f>Portefeuille_MNT_PPS_Access32[[#This Row],[Délais PC1 et PC3]]+Portefeuille_MNT_PPS_Access32[[#This Row],[Délais PC3 et PC5]]</f>
        <v>0</v>
      </c>
      <c r="Y77">
        <v>1</v>
      </c>
      <c r="Z77">
        <v>1</v>
      </c>
      <c r="AB77" t="s">
        <v>311</v>
      </c>
      <c r="AC77">
        <v>4</v>
      </c>
      <c r="AD77" s="2">
        <f>_xlfn.XLOOKUP(Portefeuille_MNT_PPS_Access32[[#This Row],[Numéro projet]],Portefeuille_MNT_PPS_Access27[Numéro projet],Portefeuille_MNT_PPS_Access27[Critère Etat Infrastructure])</f>
        <v>0</v>
      </c>
      <c r="AE7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25</v>
      </c>
      <c r="AF77" s="221"/>
      <c r="AG77">
        <v>467</v>
      </c>
      <c r="AH77">
        <v>5053</v>
      </c>
      <c r="AJ77"/>
      <c r="AK77">
        <v>27</v>
      </c>
      <c r="AL77">
        <v>135</v>
      </c>
      <c r="AT77"/>
      <c r="BG77" s="14">
        <f>SUM(Portefeuille_MNT_PPS_Access32[[#This Row],[AC ANT]:[TR 2035]])</f>
        <v>5682</v>
      </c>
      <c r="BH77" s="14">
        <f>SUM(Portefeuille_MNT_PPS_Access32[[#This Row],[AC 2026]:[TR 2030]])</f>
        <v>0</v>
      </c>
      <c r="BI77" s="14">
        <f>SUM(Portefeuille_MNT_PPS_Access32[[#This Row],[AC 2026]:[TR 2035]])</f>
        <v>0</v>
      </c>
    </row>
    <row r="78" spans="1:61" x14ac:dyDescent="0.3">
      <c r="A78" t="s">
        <v>286</v>
      </c>
      <c r="B78" t="s">
        <v>295</v>
      </c>
      <c r="D78" t="s">
        <v>126</v>
      </c>
      <c r="E78" t="s">
        <v>127</v>
      </c>
      <c r="F78" t="s">
        <v>136</v>
      </c>
      <c r="G78" t="s">
        <v>113</v>
      </c>
      <c r="H78" t="s">
        <v>16</v>
      </c>
      <c r="I78" t="s">
        <v>16</v>
      </c>
      <c r="J78" t="s">
        <v>105</v>
      </c>
      <c r="K78">
        <v>154951715</v>
      </c>
      <c r="L78" t="s">
        <v>359</v>
      </c>
      <c r="M78" t="s">
        <v>108</v>
      </c>
      <c r="N78" t="s">
        <v>148</v>
      </c>
      <c r="O78" t="s">
        <v>164</v>
      </c>
      <c r="P78" s="1"/>
      <c r="Q78" s="1">
        <v>42383</v>
      </c>
      <c r="R78" s="1">
        <v>43404</v>
      </c>
      <c r="S7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7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7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7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1392</v>
      </c>
      <c r="W7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33</v>
      </c>
      <c r="X78">
        <f>Portefeuille_MNT_PPS_Access32[[#This Row],[Délais PC1 et PC3]]+Portefeuille_MNT_PPS_Access32[[#This Row],[Délais PC3 et PC5]]</f>
        <v>1425</v>
      </c>
      <c r="Y78">
        <v>1</v>
      </c>
      <c r="Z78">
        <v>1</v>
      </c>
      <c r="AB78" t="s">
        <v>165</v>
      </c>
      <c r="AC78">
        <v>4</v>
      </c>
      <c r="AD78" s="2" t="e">
        <f>_xlfn.XLOOKUP(Portefeuille_MNT_PPS_Access32[[#This Row],[Numéro projet]],Portefeuille_MNT_PPS_Access27[Numéro projet],Portefeuille_MNT_PPS_Access27[Critère Etat Infrastructure])</f>
        <v>#N/A</v>
      </c>
      <c r="AE78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78" s="221"/>
      <c r="AG78">
        <v>2099</v>
      </c>
      <c r="AH78">
        <v>8991</v>
      </c>
      <c r="AI78">
        <v>93</v>
      </c>
      <c r="AJ78"/>
      <c r="AK78">
        <v>15</v>
      </c>
      <c r="AL78">
        <v>407</v>
      </c>
      <c r="AT78"/>
      <c r="BG78" s="14">
        <f>SUM(Portefeuille_MNT_PPS_Access32[[#This Row],[AC ANT]:[TR 2035]])</f>
        <v>11605</v>
      </c>
      <c r="BH78" s="14">
        <f>SUM(Portefeuille_MNT_PPS_Access32[[#This Row],[AC 2026]:[TR 2030]])</f>
        <v>0</v>
      </c>
      <c r="BI78" s="14">
        <f>SUM(Portefeuille_MNT_PPS_Access32[[#This Row],[AC 2026]:[TR 2035]])</f>
        <v>0</v>
      </c>
    </row>
    <row r="79" spans="1:61" x14ac:dyDescent="0.3">
      <c r="A79" t="s">
        <v>286</v>
      </c>
      <c r="B79" t="s">
        <v>664</v>
      </c>
      <c r="D79" t="s">
        <v>101</v>
      </c>
      <c r="E79" t="s">
        <v>102</v>
      </c>
      <c r="F79" t="s">
        <v>103</v>
      </c>
      <c r="G79" t="s">
        <v>104</v>
      </c>
      <c r="H79" t="s">
        <v>16</v>
      </c>
      <c r="I79" t="s">
        <v>16</v>
      </c>
      <c r="J79" t="s">
        <v>105</v>
      </c>
      <c r="K79">
        <v>154190692</v>
      </c>
      <c r="L79" t="s">
        <v>107</v>
      </c>
      <c r="M79" t="s">
        <v>108</v>
      </c>
      <c r="N79" t="s">
        <v>109</v>
      </c>
      <c r="O79" t="s">
        <v>123</v>
      </c>
      <c r="P79" s="1">
        <v>45014</v>
      </c>
      <c r="Q79" s="1">
        <v>45799</v>
      </c>
      <c r="R79" s="1">
        <v>46006</v>
      </c>
      <c r="S7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7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7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7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26</v>
      </c>
      <c r="W7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7</v>
      </c>
      <c r="X79">
        <f>Portefeuille_MNT_PPS_Access32[[#This Row],[Délais PC1 et PC3]]+Portefeuille_MNT_PPS_Access32[[#This Row],[Délais PC3 et PC5]]</f>
        <v>33</v>
      </c>
      <c r="Y79">
        <v>1</v>
      </c>
      <c r="Z79">
        <v>5</v>
      </c>
      <c r="AA79">
        <v>5</v>
      </c>
      <c r="AB79" t="s">
        <v>125</v>
      </c>
      <c r="AC79">
        <v>4</v>
      </c>
      <c r="AD79" s="2">
        <f>_xlfn.XLOOKUP(Portefeuille_MNT_PPS_Access32[[#This Row],[Numéro projet]],Portefeuille_MNT_PPS_Access27[Numéro projet],Portefeuille_MNT_PPS_Access27[Critère Etat Infrastructure])</f>
        <v>4</v>
      </c>
      <c r="AE7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90</v>
      </c>
      <c r="AF79" s="221"/>
      <c r="AG79">
        <v>69</v>
      </c>
      <c r="AI79">
        <v>213</v>
      </c>
      <c r="AJ79"/>
      <c r="AK79">
        <v>296</v>
      </c>
      <c r="AM79">
        <v>318</v>
      </c>
      <c r="AN79">
        <v>12253</v>
      </c>
      <c r="AO79">
        <v>294</v>
      </c>
      <c r="AP79">
        <v>4254</v>
      </c>
      <c r="AT79"/>
      <c r="BG79" s="14">
        <f>SUM(Portefeuille_MNT_PPS_Access32[[#This Row],[AC ANT]:[TR 2035]])</f>
        <v>17697</v>
      </c>
      <c r="BH79" s="14">
        <f>SUM(Portefeuille_MNT_PPS_Access32[[#This Row],[AC 2026]:[TR 2030]])</f>
        <v>17119</v>
      </c>
      <c r="BI79" s="14">
        <f>SUM(Portefeuille_MNT_PPS_Access32[[#This Row],[AC 2026]:[TR 2035]])</f>
        <v>17119</v>
      </c>
    </row>
    <row r="80" spans="1:61" x14ac:dyDescent="0.3">
      <c r="A80" t="s">
        <v>286</v>
      </c>
      <c r="B80" t="s">
        <v>663</v>
      </c>
      <c r="C80">
        <v>4</v>
      </c>
      <c r="D80" t="s">
        <v>101</v>
      </c>
      <c r="E80" t="s">
        <v>102</v>
      </c>
      <c r="F80" t="s">
        <v>136</v>
      </c>
      <c r="G80" t="s">
        <v>104</v>
      </c>
      <c r="H80" t="s">
        <v>130</v>
      </c>
      <c r="I80" t="s">
        <v>130</v>
      </c>
      <c r="J80" t="s">
        <v>105</v>
      </c>
      <c r="K80">
        <v>154200684</v>
      </c>
      <c r="L80" t="s">
        <v>514</v>
      </c>
      <c r="M80" t="s">
        <v>108</v>
      </c>
      <c r="N80" t="s">
        <v>197</v>
      </c>
      <c r="O80" t="s">
        <v>155</v>
      </c>
      <c r="P80" s="1">
        <v>46127</v>
      </c>
      <c r="Q80" s="1">
        <v>46492</v>
      </c>
      <c r="R80" s="1">
        <v>46706</v>
      </c>
      <c r="S8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8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8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8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8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7</v>
      </c>
      <c r="X80">
        <f>Portefeuille_MNT_PPS_Access32[[#This Row],[Délais PC1 et PC3]]+Portefeuille_MNT_PPS_Access32[[#This Row],[Délais PC3 et PC5]]</f>
        <v>19</v>
      </c>
      <c r="Z80">
        <v>1</v>
      </c>
      <c r="AA80">
        <v>1</v>
      </c>
      <c r="AB80" t="s">
        <v>156</v>
      </c>
      <c r="AC80">
        <v>4</v>
      </c>
      <c r="AD80" s="2">
        <f>_xlfn.XLOOKUP(Portefeuille_MNT_PPS_Access32[[#This Row],[Numéro projet]],Portefeuille_MNT_PPS_Access27[Numéro projet],Portefeuille_MNT_PPS_Access27[Critère Etat Infrastructure])</f>
        <v>5</v>
      </c>
      <c r="AE8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55.000000000000007</v>
      </c>
      <c r="AF80" s="221"/>
      <c r="AJ80"/>
      <c r="AM80">
        <v>150</v>
      </c>
      <c r="AO80">
        <v>150</v>
      </c>
      <c r="AQ80">
        <v>550</v>
      </c>
      <c r="AR80">
        <v>4000</v>
      </c>
      <c r="AT80"/>
      <c r="BG80" s="14">
        <f>SUM(Portefeuille_MNT_PPS_Access32[[#This Row],[AC ANT]:[TR 2035]])</f>
        <v>4850</v>
      </c>
      <c r="BH80" s="14">
        <f>SUM(Portefeuille_MNT_PPS_Access32[[#This Row],[AC 2026]:[TR 2030]])</f>
        <v>4850</v>
      </c>
      <c r="BI80" s="14">
        <f>SUM(Portefeuille_MNT_PPS_Access32[[#This Row],[AC 2026]:[TR 2035]])</f>
        <v>4850</v>
      </c>
    </row>
    <row r="81" spans="1:61" x14ac:dyDescent="0.3">
      <c r="A81" t="s">
        <v>286</v>
      </c>
      <c r="B81" t="s">
        <v>663</v>
      </c>
      <c r="D81" t="s">
        <v>101</v>
      </c>
      <c r="E81" t="s">
        <v>102</v>
      </c>
      <c r="F81" t="s">
        <v>136</v>
      </c>
      <c r="H81" t="s">
        <v>20</v>
      </c>
      <c r="I81" t="s">
        <v>20</v>
      </c>
      <c r="J81" t="s">
        <v>105</v>
      </c>
      <c r="K81">
        <v>154240504</v>
      </c>
      <c r="L81" t="s">
        <v>461</v>
      </c>
      <c r="M81" t="s">
        <v>108</v>
      </c>
      <c r="N81" t="s">
        <v>395</v>
      </c>
      <c r="O81" t="s">
        <v>291</v>
      </c>
      <c r="P81" s="1"/>
      <c r="Q81" s="1"/>
      <c r="R81" s="1"/>
      <c r="S8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8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8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8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81">
        <f>Portefeuille_MNT_PPS_Access32[[#This Row],[Délais PC1 et PC3]]+Portefeuille_MNT_PPS_Access32[[#This Row],[Délais PC3 et PC5]]</f>
        <v>0</v>
      </c>
      <c r="Z81">
        <v>1</v>
      </c>
      <c r="AB81" t="s">
        <v>311</v>
      </c>
      <c r="AC81">
        <v>4</v>
      </c>
      <c r="AD81" s="2">
        <f>_xlfn.XLOOKUP(Portefeuille_MNT_PPS_Access32[[#This Row],[Numéro projet]],Portefeuille_MNT_PPS_Access27[Numéro projet],Portefeuille_MNT_PPS_Access27[Critère Etat Infrastructure])</f>
        <v>3</v>
      </c>
      <c r="AE8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81" s="221"/>
      <c r="AJ81"/>
      <c r="AT81"/>
      <c r="AY81">
        <v>150</v>
      </c>
      <c r="BA81">
        <v>150</v>
      </c>
      <c r="BC81">
        <v>500</v>
      </c>
      <c r="BD81">
        <v>7400</v>
      </c>
      <c r="BG81" s="14">
        <f>SUM(Portefeuille_MNT_PPS_Access32[[#This Row],[AC ANT]:[TR 2035]])</f>
        <v>8200</v>
      </c>
      <c r="BH81" s="14">
        <f>SUM(Portefeuille_MNT_PPS_Access32[[#This Row],[AC 2026]:[TR 2030]])</f>
        <v>0</v>
      </c>
      <c r="BI81" s="14">
        <f>SUM(Portefeuille_MNT_PPS_Access32[[#This Row],[AC 2026]:[TR 2035]])</f>
        <v>8200</v>
      </c>
    </row>
    <row r="82" spans="1:61" x14ac:dyDescent="0.3">
      <c r="A82" t="s">
        <v>286</v>
      </c>
      <c r="B82" t="s">
        <v>295</v>
      </c>
      <c r="D82" t="s">
        <v>126</v>
      </c>
      <c r="E82" t="s">
        <v>127</v>
      </c>
      <c r="F82" t="s">
        <v>103</v>
      </c>
      <c r="H82" t="s">
        <v>20</v>
      </c>
      <c r="I82" t="s">
        <v>20</v>
      </c>
      <c r="J82" t="s">
        <v>105</v>
      </c>
      <c r="K82">
        <v>154240511</v>
      </c>
      <c r="L82" t="s">
        <v>637</v>
      </c>
      <c r="M82" t="s">
        <v>108</v>
      </c>
      <c r="N82" t="s">
        <v>395</v>
      </c>
      <c r="O82" t="s">
        <v>291</v>
      </c>
      <c r="P82" s="1"/>
      <c r="Q82" s="1"/>
      <c r="R82" s="1"/>
      <c r="S8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8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8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8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82">
        <f>Portefeuille_MNT_PPS_Access32[[#This Row],[Délais PC1 et PC3]]+Portefeuille_MNT_PPS_Access32[[#This Row],[Délais PC3 et PC5]]</f>
        <v>0</v>
      </c>
      <c r="Z82">
        <v>1</v>
      </c>
      <c r="AB82" t="s">
        <v>311</v>
      </c>
      <c r="AC82">
        <v>4</v>
      </c>
      <c r="AD82" s="2">
        <f>_xlfn.XLOOKUP(Portefeuille_MNT_PPS_Access32[[#This Row],[Numéro projet]],Portefeuille_MNT_PPS_Access27[Numéro projet],Portefeuille_MNT_PPS_Access27[Critère Etat Infrastructure])</f>
        <v>3</v>
      </c>
      <c r="AE8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82" s="221"/>
      <c r="AJ82"/>
      <c r="AT82"/>
      <c r="AW82">
        <v>375</v>
      </c>
      <c r="AY82">
        <v>750</v>
      </c>
      <c r="BA82">
        <v>1125</v>
      </c>
      <c r="BC82">
        <v>875</v>
      </c>
      <c r="BD82">
        <v>18236</v>
      </c>
      <c r="BE82">
        <v>1250</v>
      </c>
      <c r="BF82">
        <v>63764</v>
      </c>
      <c r="BG82" s="14">
        <f>SUM(Portefeuille_MNT_PPS_Access32[[#This Row],[AC ANT]:[TR 2035]])</f>
        <v>86375</v>
      </c>
      <c r="BH82" s="14">
        <f>SUM(Portefeuille_MNT_PPS_Access32[[#This Row],[AC 2026]:[TR 2030]])</f>
        <v>0</v>
      </c>
      <c r="BI82" s="14">
        <f>SUM(Portefeuille_MNT_PPS_Access32[[#This Row],[AC 2026]:[TR 2035]])</f>
        <v>86375</v>
      </c>
    </row>
    <row r="83" spans="1:61" x14ac:dyDescent="0.3">
      <c r="A83" t="s">
        <v>286</v>
      </c>
      <c r="B83" t="s">
        <v>662</v>
      </c>
      <c r="D83" t="s">
        <v>118</v>
      </c>
      <c r="E83" t="s">
        <v>102</v>
      </c>
      <c r="F83" t="s">
        <v>136</v>
      </c>
      <c r="G83" t="s">
        <v>129</v>
      </c>
      <c r="H83" t="s">
        <v>16</v>
      </c>
      <c r="I83" t="s">
        <v>16</v>
      </c>
      <c r="J83" t="s">
        <v>131</v>
      </c>
      <c r="K83">
        <v>154101520</v>
      </c>
      <c r="L83" t="s">
        <v>219</v>
      </c>
      <c r="M83" t="s">
        <v>152</v>
      </c>
      <c r="N83" t="s">
        <v>148</v>
      </c>
      <c r="O83" t="s">
        <v>164</v>
      </c>
      <c r="P83" s="1">
        <v>45370</v>
      </c>
      <c r="Q83" s="1"/>
      <c r="R83" s="1">
        <v>45706</v>
      </c>
      <c r="S8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8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8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-1490</v>
      </c>
      <c r="W8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1501</v>
      </c>
      <c r="X83">
        <f>Portefeuille_MNT_PPS_Access32[[#This Row],[Délais PC1 et PC3]]+Portefeuille_MNT_PPS_Access32[[#This Row],[Délais PC3 et PC5]]</f>
        <v>11</v>
      </c>
      <c r="Y83">
        <v>1</v>
      </c>
      <c r="Z83">
        <v>5</v>
      </c>
      <c r="AB83" t="s">
        <v>165</v>
      </c>
      <c r="AC83">
        <v>3.3333333333333335</v>
      </c>
      <c r="AD83" s="2">
        <f>_xlfn.XLOOKUP(Portefeuille_MNT_PPS_Access32[[#This Row],[Numéro projet]],Portefeuille_MNT_PPS_Access27[Numéro projet],Portefeuille_MNT_PPS_Access27[Critère Etat Infrastructure])</f>
        <v>5</v>
      </c>
      <c r="AE8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101.66666666666666</v>
      </c>
      <c r="AF83" s="221"/>
      <c r="AG83">
        <v>6</v>
      </c>
      <c r="AI83">
        <v>45</v>
      </c>
      <c r="AJ83"/>
      <c r="AK83">
        <v>38</v>
      </c>
      <c r="AL83">
        <v>605</v>
      </c>
      <c r="AT83"/>
      <c r="BG83" s="14">
        <f>SUM(Portefeuille_MNT_PPS_Access32[[#This Row],[AC ANT]:[TR 2035]])</f>
        <v>694</v>
      </c>
      <c r="BH83" s="14">
        <f>SUM(Portefeuille_MNT_PPS_Access32[[#This Row],[AC 2026]:[TR 2030]])</f>
        <v>0</v>
      </c>
      <c r="BI83" s="14">
        <f>SUM(Portefeuille_MNT_PPS_Access32[[#This Row],[AC 2026]:[TR 2035]])</f>
        <v>0</v>
      </c>
    </row>
    <row r="84" spans="1:61" x14ac:dyDescent="0.3">
      <c r="A84" t="s">
        <v>286</v>
      </c>
      <c r="B84" t="s">
        <v>664</v>
      </c>
      <c r="D84" t="s">
        <v>101</v>
      </c>
      <c r="E84" t="s">
        <v>102</v>
      </c>
      <c r="F84" t="s">
        <v>128</v>
      </c>
      <c r="G84" t="s">
        <v>149</v>
      </c>
      <c r="H84" t="s">
        <v>16</v>
      </c>
      <c r="I84" t="s">
        <v>16</v>
      </c>
      <c r="J84" t="s">
        <v>131</v>
      </c>
      <c r="K84">
        <v>154200665</v>
      </c>
      <c r="L84" t="s">
        <v>151</v>
      </c>
      <c r="M84" t="s">
        <v>152</v>
      </c>
      <c r="N84" t="s">
        <v>109</v>
      </c>
      <c r="O84" t="s">
        <v>123</v>
      </c>
      <c r="P84" s="1">
        <v>45079</v>
      </c>
      <c r="Q84" s="1">
        <v>45685</v>
      </c>
      <c r="R84" s="1">
        <v>46142</v>
      </c>
      <c r="S8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8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8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1.Très à risque</v>
      </c>
      <c r="V8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19</v>
      </c>
      <c r="W8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</v>
      </c>
      <c r="X84">
        <f>Portefeuille_MNT_PPS_Access32[[#This Row],[Délais PC1 et PC3]]+Portefeuille_MNT_PPS_Access32[[#This Row],[Délais PC3 et PC5]]</f>
        <v>34</v>
      </c>
      <c r="Y84">
        <v>1</v>
      </c>
      <c r="Z84">
        <v>5</v>
      </c>
      <c r="AA84">
        <v>1</v>
      </c>
      <c r="AB84" t="s">
        <v>125</v>
      </c>
      <c r="AC84">
        <v>3.3333333333333335</v>
      </c>
      <c r="AD84" s="2">
        <f>_xlfn.XLOOKUP(Portefeuille_MNT_PPS_Access32[[#This Row],[Numéro projet]],Portefeuille_MNT_PPS_Access27[Numéro projet],Portefeuille_MNT_PPS_Access27[Critère Etat Infrastructure])</f>
        <v>4</v>
      </c>
      <c r="AE8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66.666666666666671</v>
      </c>
      <c r="AF84" s="221"/>
      <c r="AG84">
        <v>12</v>
      </c>
      <c r="AI84">
        <v>163</v>
      </c>
      <c r="AJ84"/>
      <c r="AK84">
        <v>120</v>
      </c>
      <c r="AM84">
        <v>172</v>
      </c>
      <c r="AN84">
        <v>6837</v>
      </c>
      <c r="AO84">
        <v>150</v>
      </c>
      <c r="AP84">
        <v>1523</v>
      </c>
      <c r="AT84"/>
      <c r="BG84" s="14">
        <f>SUM(Portefeuille_MNT_PPS_Access32[[#This Row],[AC ANT]:[TR 2035]])</f>
        <v>8977</v>
      </c>
      <c r="BH84" s="14">
        <f>SUM(Portefeuille_MNT_PPS_Access32[[#This Row],[AC 2026]:[TR 2030]])</f>
        <v>8682</v>
      </c>
      <c r="BI84" s="14">
        <f>SUM(Portefeuille_MNT_PPS_Access32[[#This Row],[AC 2026]:[TR 2035]])</f>
        <v>8682</v>
      </c>
    </row>
    <row r="85" spans="1:61" hidden="1" x14ac:dyDescent="0.3">
      <c r="A85" t="s">
        <v>286</v>
      </c>
      <c r="B85" t="s">
        <v>663</v>
      </c>
      <c r="D85" t="s">
        <v>101</v>
      </c>
      <c r="E85" t="s">
        <v>102</v>
      </c>
      <c r="F85" t="s">
        <v>188</v>
      </c>
      <c r="G85" t="s">
        <v>113</v>
      </c>
      <c r="H85" t="s">
        <v>16</v>
      </c>
      <c r="I85" t="s">
        <v>16</v>
      </c>
      <c r="J85" t="s">
        <v>131</v>
      </c>
      <c r="K85">
        <v>154200233</v>
      </c>
      <c r="L85" t="s">
        <v>344</v>
      </c>
      <c r="M85" t="s">
        <v>139</v>
      </c>
      <c r="O85" t="s">
        <v>164</v>
      </c>
      <c r="P85" s="1"/>
      <c r="Q85" s="1"/>
      <c r="R85" s="1">
        <v>44672</v>
      </c>
      <c r="S8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8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5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8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8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1467</v>
      </c>
      <c r="X85">
        <f>Portefeuille_MNT_PPS_Access32[[#This Row],[Délais PC1 et PC3]]+Portefeuille_MNT_PPS_Access32[[#This Row],[Délais PC3 et PC5]]</f>
        <v>1467</v>
      </c>
      <c r="Z85">
        <v>1</v>
      </c>
      <c r="AB85" t="s">
        <v>165</v>
      </c>
      <c r="AC85">
        <v>2</v>
      </c>
      <c r="AD85" s="2" t="e">
        <f>_xlfn.XLOOKUP(Portefeuille_MNT_PPS_Access32[[#This Row],[Numéro projet]],Portefeuille_MNT_PPS_Access27[Numéro projet],Portefeuille_MNT_PPS_Access27[Critère Etat Infrastructure])</f>
        <v>#N/A</v>
      </c>
      <c r="AE85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85" s="221"/>
      <c r="AG85">
        <v>84</v>
      </c>
      <c r="AH85">
        <v>819</v>
      </c>
      <c r="AI85">
        <v>12</v>
      </c>
      <c r="AJ85">
        <v>11</v>
      </c>
      <c r="AT85"/>
      <c r="BG85" s="14">
        <f>SUM(Portefeuille_MNT_PPS_Access32[[#This Row],[AC ANT]:[TR 2035]])</f>
        <v>926</v>
      </c>
      <c r="BH85" s="14">
        <f>SUM(Portefeuille_MNT_PPS_Access32[[#This Row],[AC 2026]:[TR 2030]])</f>
        <v>0</v>
      </c>
      <c r="BI85" s="14">
        <f>SUM(Portefeuille_MNT_PPS_Access32[[#This Row],[AC 2026]:[TR 2035]])</f>
        <v>0</v>
      </c>
    </row>
    <row r="86" spans="1:61" hidden="1" x14ac:dyDescent="0.3">
      <c r="A86" t="s">
        <v>286</v>
      </c>
      <c r="B86" t="s">
        <v>662</v>
      </c>
      <c r="D86" t="s">
        <v>118</v>
      </c>
      <c r="E86" t="s">
        <v>102</v>
      </c>
      <c r="F86" t="s">
        <v>136</v>
      </c>
      <c r="G86" t="s">
        <v>129</v>
      </c>
      <c r="H86" t="s">
        <v>16</v>
      </c>
      <c r="I86" t="s">
        <v>16</v>
      </c>
      <c r="J86" t="s">
        <v>131</v>
      </c>
      <c r="K86">
        <v>154200567</v>
      </c>
      <c r="L86" t="s">
        <v>346</v>
      </c>
      <c r="M86" t="s">
        <v>147</v>
      </c>
      <c r="O86" t="s">
        <v>164</v>
      </c>
      <c r="P86" s="1"/>
      <c r="Q86" s="1"/>
      <c r="R86" s="1"/>
      <c r="S8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8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8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8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86">
        <f>Portefeuille_MNT_PPS_Access32[[#This Row],[Délais PC1 et PC3]]+Portefeuille_MNT_PPS_Access32[[#This Row],[Délais PC3 et PC5]]</f>
        <v>0</v>
      </c>
      <c r="Z86">
        <v>1</v>
      </c>
      <c r="AB86" t="s">
        <v>165</v>
      </c>
      <c r="AC86">
        <v>2.6666666666666665</v>
      </c>
      <c r="AD86" s="2" t="e">
        <f>_xlfn.XLOOKUP(Portefeuille_MNT_PPS_Access32[[#This Row],[Numéro projet]],Portefeuille_MNT_PPS_Access27[Numéro projet],Portefeuille_MNT_PPS_Access27[Critère Etat Infrastructure])</f>
        <v>#N/A</v>
      </c>
      <c r="AE86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86" s="221"/>
      <c r="AH86">
        <v>151</v>
      </c>
      <c r="AI86">
        <v>1</v>
      </c>
      <c r="AJ86">
        <v>44</v>
      </c>
      <c r="AT86"/>
      <c r="BG86" s="14">
        <f>SUM(Portefeuille_MNT_PPS_Access32[[#This Row],[AC ANT]:[TR 2035]])</f>
        <v>196</v>
      </c>
      <c r="BH86" s="14">
        <f>SUM(Portefeuille_MNT_PPS_Access32[[#This Row],[AC 2026]:[TR 2030]])</f>
        <v>0</v>
      </c>
      <c r="BI86" s="14">
        <f>SUM(Portefeuille_MNT_PPS_Access32[[#This Row],[AC 2026]:[TR 2035]])</f>
        <v>0</v>
      </c>
    </row>
    <row r="87" spans="1:61" hidden="1" x14ac:dyDescent="0.3">
      <c r="A87" t="s">
        <v>11</v>
      </c>
      <c r="D87" t="s">
        <v>118</v>
      </c>
      <c r="E87" t="s">
        <v>102</v>
      </c>
      <c r="F87" t="s">
        <v>136</v>
      </c>
      <c r="G87" t="s">
        <v>129</v>
      </c>
      <c r="H87" t="s">
        <v>325</v>
      </c>
      <c r="I87" t="s">
        <v>16</v>
      </c>
      <c r="J87" t="s">
        <v>131</v>
      </c>
      <c r="K87">
        <v>154200568</v>
      </c>
      <c r="L87" t="s">
        <v>348</v>
      </c>
      <c r="M87" t="s">
        <v>214</v>
      </c>
      <c r="O87" t="s">
        <v>297</v>
      </c>
      <c r="P87" s="1"/>
      <c r="Q87" s="1"/>
      <c r="R87" s="1">
        <v>45037</v>
      </c>
      <c r="S8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8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7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8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8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1479</v>
      </c>
      <c r="X87">
        <f>Portefeuille_MNT_PPS_Access32[[#This Row],[Délais PC1 et PC3]]+Portefeuille_MNT_PPS_Access32[[#This Row],[Délais PC3 et PC5]]</f>
        <v>1479</v>
      </c>
      <c r="Z87">
        <v>1</v>
      </c>
      <c r="AB87" t="s">
        <v>349</v>
      </c>
      <c r="AC87">
        <v>3</v>
      </c>
      <c r="AD87" s="2" t="e">
        <f>_xlfn.XLOOKUP(Portefeuille_MNT_PPS_Access32[[#This Row],[Numéro projet]],Portefeuille_MNT_PPS_Access27[Numéro projet],Portefeuille_MNT_PPS_Access27[Critère Etat Infrastructure])</f>
        <v>#N/A</v>
      </c>
      <c r="AE87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87" s="221"/>
      <c r="AH87">
        <v>36</v>
      </c>
      <c r="AJ87">
        <v>4</v>
      </c>
      <c r="AT87"/>
      <c r="BG87" s="14">
        <f>SUM(Portefeuille_MNT_PPS_Access32[[#This Row],[AC ANT]:[TR 2035]])</f>
        <v>40</v>
      </c>
      <c r="BH87" s="14">
        <f>SUM(Portefeuille_MNT_PPS_Access32[[#This Row],[AC 2026]:[TR 2030]])</f>
        <v>0</v>
      </c>
      <c r="BI87" s="14">
        <f>SUM(Portefeuille_MNT_PPS_Access32[[#This Row],[AC 2026]:[TR 2035]])</f>
        <v>0</v>
      </c>
    </row>
    <row r="88" spans="1:61" x14ac:dyDescent="0.3">
      <c r="A88" t="s">
        <v>286</v>
      </c>
      <c r="B88" t="s">
        <v>663</v>
      </c>
      <c r="C88">
        <v>11</v>
      </c>
      <c r="D88" t="s">
        <v>101</v>
      </c>
      <c r="E88" t="s">
        <v>102</v>
      </c>
      <c r="F88" t="s">
        <v>119</v>
      </c>
      <c r="G88" t="s">
        <v>129</v>
      </c>
      <c r="H88" t="s">
        <v>20</v>
      </c>
      <c r="I88" t="s">
        <v>20</v>
      </c>
      <c r="J88" t="s">
        <v>131</v>
      </c>
      <c r="K88">
        <v>154230793</v>
      </c>
      <c r="L88" t="s">
        <v>441</v>
      </c>
      <c r="M88" t="s">
        <v>152</v>
      </c>
      <c r="N88" t="s">
        <v>109</v>
      </c>
      <c r="O88" t="s">
        <v>155</v>
      </c>
      <c r="P88" s="1">
        <v>45992</v>
      </c>
      <c r="Q88" s="1"/>
      <c r="R88" s="1">
        <v>45992</v>
      </c>
      <c r="S8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8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8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8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-1511</v>
      </c>
      <c r="W8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1511</v>
      </c>
      <c r="X88">
        <f>Portefeuille_MNT_PPS_Access32[[#This Row],[Délais PC1 et PC3]]+Portefeuille_MNT_PPS_Access32[[#This Row],[Délais PC3 et PC5]]</f>
        <v>0</v>
      </c>
      <c r="Y88">
        <v>1</v>
      </c>
      <c r="Z88">
        <v>1</v>
      </c>
      <c r="AA88">
        <v>5</v>
      </c>
      <c r="AB88" t="s">
        <v>156</v>
      </c>
      <c r="AC88">
        <v>3.3333333333333335</v>
      </c>
      <c r="AD88" s="2">
        <f>_xlfn.XLOOKUP(Portefeuille_MNT_PPS_Access32[[#This Row],[Numéro projet]],Portefeuille_MNT_PPS_Access27[Numéro projet],Portefeuille_MNT_PPS_Access27[Critère Etat Infrastructure])</f>
        <v>3</v>
      </c>
      <c r="AE8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61.666666666666671</v>
      </c>
      <c r="AF88" s="221"/>
      <c r="AJ88"/>
      <c r="AM88">
        <v>55</v>
      </c>
      <c r="AN88">
        <v>543</v>
      </c>
      <c r="AT88"/>
      <c r="BG88" s="14">
        <f>SUM(Portefeuille_MNT_PPS_Access32[[#This Row],[AC ANT]:[TR 2035]])</f>
        <v>598</v>
      </c>
      <c r="BH88" s="14">
        <f>SUM(Portefeuille_MNT_PPS_Access32[[#This Row],[AC 2026]:[TR 2030]])</f>
        <v>598</v>
      </c>
      <c r="BI88" s="14">
        <f>SUM(Portefeuille_MNT_PPS_Access32[[#This Row],[AC 2026]:[TR 2035]])</f>
        <v>598</v>
      </c>
    </row>
    <row r="89" spans="1:61" x14ac:dyDescent="0.3">
      <c r="A89" t="s">
        <v>286</v>
      </c>
      <c r="B89" t="s">
        <v>295</v>
      </c>
      <c r="D89" t="s">
        <v>126</v>
      </c>
      <c r="E89" t="s">
        <v>127</v>
      </c>
      <c r="F89" t="s">
        <v>103</v>
      </c>
      <c r="G89" t="s">
        <v>149</v>
      </c>
      <c r="H89" t="s">
        <v>16</v>
      </c>
      <c r="I89" t="s">
        <v>20</v>
      </c>
      <c r="J89" t="s">
        <v>131</v>
      </c>
      <c r="K89">
        <v>154190681</v>
      </c>
      <c r="L89" t="s">
        <v>542</v>
      </c>
      <c r="M89" t="s">
        <v>152</v>
      </c>
      <c r="N89" t="s">
        <v>169</v>
      </c>
      <c r="O89" t="s">
        <v>155</v>
      </c>
      <c r="P89" s="1">
        <v>46127</v>
      </c>
      <c r="Q89" s="1">
        <v>46553</v>
      </c>
      <c r="R89" s="1">
        <v>46980</v>
      </c>
      <c r="S8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8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8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8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8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</v>
      </c>
      <c r="X89">
        <f>Portefeuille_MNT_PPS_Access32[[#This Row],[Délais PC1 et PC3]]+Portefeuille_MNT_PPS_Access32[[#This Row],[Délais PC3 et PC5]]</f>
        <v>28</v>
      </c>
      <c r="Z89">
        <v>1</v>
      </c>
      <c r="AB89" t="s">
        <v>156</v>
      </c>
      <c r="AC89">
        <v>3.3333333333333335</v>
      </c>
      <c r="AD89" s="2">
        <f>_xlfn.XLOOKUP(Portefeuille_MNT_PPS_Access32[[#This Row],[Numéro projet]],Portefeuille_MNT_PPS_Access27[Numéro projet],Portefeuille_MNT_PPS_Access27[Critère Etat Infrastructure])</f>
        <v>3</v>
      </c>
      <c r="AE8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41.666666666666671</v>
      </c>
      <c r="AF89" s="221"/>
      <c r="AJ89"/>
      <c r="AM89">
        <v>100</v>
      </c>
      <c r="AO89">
        <v>167</v>
      </c>
      <c r="AQ89">
        <v>100</v>
      </c>
      <c r="AS89">
        <v>588</v>
      </c>
      <c r="AT89">
        <v>7500</v>
      </c>
      <c r="BG89" s="14">
        <f>SUM(Portefeuille_MNT_PPS_Access32[[#This Row],[AC ANT]:[TR 2035]])</f>
        <v>8455</v>
      </c>
      <c r="BH89" s="14">
        <f>SUM(Portefeuille_MNT_PPS_Access32[[#This Row],[AC 2026]:[TR 2030]])</f>
        <v>8455</v>
      </c>
      <c r="BI89" s="14">
        <f>SUM(Portefeuille_MNT_PPS_Access32[[#This Row],[AC 2026]:[TR 2035]])</f>
        <v>8455</v>
      </c>
    </row>
    <row r="90" spans="1:61" x14ac:dyDescent="0.3">
      <c r="A90" t="s">
        <v>286</v>
      </c>
      <c r="B90" t="s">
        <v>664</v>
      </c>
      <c r="C90">
        <v>5</v>
      </c>
      <c r="D90" t="s">
        <v>101</v>
      </c>
      <c r="E90" t="s">
        <v>102</v>
      </c>
      <c r="F90" t="s">
        <v>136</v>
      </c>
      <c r="G90" t="s">
        <v>129</v>
      </c>
      <c r="H90" t="s">
        <v>130</v>
      </c>
      <c r="I90" t="s">
        <v>20</v>
      </c>
      <c r="J90" t="s">
        <v>131</v>
      </c>
      <c r="K90">
        <v>154210517</v>
      </c>
      <c r="L90" t="s">
        <v>406</v>
      </c>
      <c r="M90" t="s">
        <v>152</v>
      </c>
      <c r="N90" t="s">
        <v>184</v>
      </c>
      <c r="O90" t="s">
        <v>155</v>
      </c>
      <c r="P90" s="1">
        <v>46054</v>
      </c>
      <c r="Q90" s="1">
        <v>46427</v>
      </c>
      <c r="R90" s="1">
        <v>46813</v>
      </c>
      <c r="S9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9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9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9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9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13</v>
      </c>
      <c r="X90">
        <f>Portefeuille_MNT_PPS_Access32[[#This Row],[Délais PC1 et PC3]]+Portefeuille_MNT_PPS_Access32[[#This Row],[Délais PC3 et PC5]]</f>
        <v>25</v>
      </c>
      <c r="Z90">
        <v>1</v>
      </c>
      <c r="AB90" t="s">
        <v>156</v>
      </c>
      <c r="AC90">
        <v>3.3333333333333335</v>
      </c>
      <c r="AD90" s="2">
        <f>_xlfn.XLOOKUP(Portefeuille_MNT_PPS_Access32[[#This Row],[Numéro projet]],Portefeuille_MNT_PPS_Access27[Numéro projet],Portefeuille_MNT_PPS_Access27[Critère Etat Infrastructure])</f>
        <v>4</v>
      </c>
      <c r="AE9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90" s="221"/>
      <c r="AJ90"/>
      <c r="AM90">
        <v>100</v>
      </c>
      <c r="AO90">
        <v>250</v>
      </c>
      <c r="AQ90">
        <v>350</v>
      </c>
      <c r="AS90">
        <v>200</v>
      </c>
      <c r="AT90"/>
      <c r="AU90">
        <v>600</v>
      </c>
      <c r="AV90">
        <v>5500</v>
      </c>
      <c r="AW90">
        <v>600</v>
      </c>
      <c r="AX90">
        <v>5500</v>
      </c>
      <c r="AY90">
        <v>600</v>
      </c>
      <c r="AZ90">
        <v>6000</v>
      </c>
      <c r="BG90" s="14">
        <f>SUM(Portefeuille_MNT_PPS_Access32[[#This Row],[AC ANT]:[TR 2035]])</f>
        <v>19700</v>
      </c>
      <c r="BH90" s="14">
        <f>SUM(Portefeuille_MNT_PPS_Access32[[#This Row],[AC 2026]:[TR 2030]])</f>
        <v>7000</v>
      </c>
      <c r="BI90" s="14">
        <f>SUM(Portefeuille_MNT_PPS_Access32[[#This Row],[AC 2026]:[TR 2035]])</f>
        <v>19700</v>
      </c>
    </row>
    <row r="91" spans="1:61" x14ac:dyDescent="0.3">
      <c r="A91" t="s">
        <v>286</v>
      </c>
      <c r="B91" t="s">
        <v>662</v>
      </c>
      <c r="D91" t="s">
        <v>118</v>
      </c>
      <c r="E91" t="s">
        <v>102</v>
      </c>
      <c r="F91" t="s">
        <v>103</v>
      </c>
      <c r="H91" t="s">
        <v>20</v>
      </c>
      <c r="I91" t="s">
        <v>20</v>
      </c>
      <c r="J91" t="s">
        <v>131</v>
      </c>
      <c r="K91">
        <v>154171401</v>
      </c>
      <c r="L91" t="s">
        <v>372</v>
      </c>
      <c r="M91" t="s">
        <v>152</v>
      </c>
      <c r="N91" t="s">
        <v>370</v>
      </c>
      <c r="O91" t="s">
        <v>291</v>
      </c>
      <c r="P91" s="1"/>
      <c r="Q91" s="1"/>
      <c r="R91" s="1"/>
      <c r="S9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9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9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91">
        <f>Portefeuille_MNT_PPS_Access32[[#This Row],[Délais PC1 et PC3]]+Portefeuille_MNT_PPS_Access32[[#This Row],[Délais PC3 et PC5]]</f>
        <v>0</v>
      </c>
      <c r="Z91">
        <v>1</v>
      </c>
      <c r="AB91" t="s">
        <v>311</v>
      </c>
      <c r="AC91">
        <v>3.3333333333333335</v>
      </c>
      <c r="AD91" s="2">
        <f>_xlfn.XLOOKUP(Portefeuille_MNT_PPS_Access32[[#This Row],[Numéro projet]],Portefeuille_MNT_PPS_Access27[Numéro projet],Portefeuille_MNT_PPS_Access27[Critère Etat Infrastructure])</f>
        <v>4</v>
      </c>
      <c r="AE9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41.666666666666671</v>
      </c>
      <c r="AF91" s="221"/>
      <c r="AJ91"/>
      <c r="AS91">
        <v>100</v>
      </c>
      <c r="AT91"/>
      <c r="AU91">
        <v>200</v>
      </c>
      <c r="AW91">
        <v>450</v>
      </c>
      <c r="AX91">
        <v>7500</v>
      </c>
      <c r="BG91" s="14">
        <f>SUM(Portefeuille_MNT_PPS_Access32[[#This Row],[AC ANT]:[TR 2035]])</f>
        <v>8250</v>
      </c>
      <c r="BH91" s="14">
        <f>SUM(Portefeuille_MNT_PPS_Access32[[#This Row],[AC 2026]:[TR 2030]])</f>
        <v>300</v>
      </c>
      <c r="BI91" s="14">
        <f>SUM(Portefeuille_MNT_PPS_Access32[[#This Row],[AC 2026]:[TR 2035]])</f>
        <v>8250</v>
      </c>
    </row>
    <row r="92" spans="1:61" hidden="1" x14ac:dyDescent="0.3">
      <c r="A92" t="s">
        <v>286</v>
      </c>
      <c r="D92" t="s">
        <v>101</v>
      </c>
      <c r="E92" t="s">
        <v>102</v>
      </c>
      <c r="F92" t="s">
        <v>177</v>
      </c>
      <c r="G92" t="s">
        <v>149</v>
      </c>
      <c r="H92" t="s">
        <v>16</v>
      </c>
      <c r="I92" t="s">
        <v>16</v>
      </c>
      <c r="J92" t="s">
        <v>131</v>
      </c>
      <c r="K92">
        <v>154200670</v>
      </c>
      <c r="L92" t="s">
        <v>351</v>
      </c>
      <c r="M92" t="s">
        <v>152</v>
      </c>
      <c r="O92" t="s">
        <v>164</v>
      </c>
      <c r="P92" s="1"/>
      <c r="Q92" s="1">
        <v>44880</v>
      </c>
      <c r="R92" s="1">
        <v>44914</v>
      </c>
      <c r="S9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2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92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9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1474</v>
      </c>
      <c r="W9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</v>
      </c>
      <c r="X92">
        <f>Portefeuille_MNT_PPS_Access32[[#This Row],[Délais PC1 et PC3]]+Portefeuille_MNT_PPS_Access32[[#This Row],[Délais PC3 et PC5]]</f>
        <v>1475</v>
      </c>
      <c r="Z92">
        <v>1</v>
      </c>
      <c r="AB92" t="s">
        <v>165</v>
      </c>
      <c r="AC92">
        <v>3.3333333333333335</v>
      </c>
      <c r="AD92" s="2" t="e">
        <f>_xlfn.XLOOKUP(Portefeuille_MNT_PPS_Access32[[#This Row],[Numéro projet]],Portefeuille_MNT_PPS_Access27[Numéro projet],Portefeuille_MNT_PPS_Access27[Critère Etat Infrastructure])</f>
        <v>#N/A</v>
      </c>
      <c r="AE92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92" s="221"/>
      <c r="AG92">
        <v>14</v>
      </c>
      <c r="AH92">
        <v>2970</v>
      </c>
      <c r="AJ92">
        <v>52</v>
      </c>
      <c r="AT92"/>
      <c r="BG92" s="14">
        <f>SUM(Portefeuille_MNT_PPS_Access32[[#This Row],[AC ANT]:[TR 2035]])</f>
        <v>3036</v>
      </c>
      <c r="BH92" s="14">
        <f>SUM(Portefeuille_MNT_PPS_Access32[[#This Row],[AC 2026]:[TR 2030]])</f>
        <v>0</v>
      </c>
      <c r="BI92" s="14">
        <f>SUM(Portefeuille_MNT_PPS_Access32[[#This Row],[AC 2026]:[TR 2035]])</f>
        <v>0</v>
      </c>
    </row>
    <row r="93" spans="1:61" x14ac:dyDescent="0.3">
      <c r="A93" t="s">
        <v>286</v>
      </c>
      <c r="B93" t="s">
        <v>663</v>
      </c>
      <c r="C93">
        <v>7</v>
      </c>
      <c r="D93" t="s">
        <v>101</v>
      </c>
      <c r="E93" t="s">
        <v>102</v>
      </c>
      <c r="F93" t="s">
        <v>136</v>
      </c>
      <c r="G93" t="s">
        <v>140</v>
      </c>
      <c r="H93" t="s">
        <v>16</v>
      </c>
      <c r="I93" t="s">
        <v>20</v>
      </c>
      <c r="J93" t="s">
        <v>131</v>
      </c>
      <c r="K93">
        <v>154101522</v>
      </c>
      <c r="L93" t="s">
        <v>296</v>
      </c>
      <c r="M93" t="s">
        <v>183</v>
      </c>
      <c r="N93" t="s">
        <v>173</v>
      </c>
      <c r="O93" t="s">
        <v>110</v>
      </c>
      <c r="P93" s="1">
        <v>45590</v>
      </c>
      <c r="Q93" s="1"/>
      <c r="R93" s="1">
        <v>46157</v>
      </c>
      <c r="S9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9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9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-1497</v>
      </c>
      <c r="W9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1516</v>
      </c>
      <c r="X93">
        <f>Portefeuille_MNT_PPS_Access32[[#This Row],[Délais PC1 et PC3]]+Portefeuille_MNT_PPS_Access32[[#This Row],[Délais PC3 et PC5]]</f>
        <v>19</v>
      </c>
      <c r="Z93">
        <v>1</v>
      </c>
      <c r="AA93">
        <v>1</v>
      </c>
      <c r="AB93" t="s">
        <v>112</v>
      </c>
      <c r="AC93">
        <v>2.3333333333333335</v>
      </c>
      <c r="AD93" s="2">
        <f>_xlfn.XLOOKUP(Portefeuille_MNT_PPS_Access32[[#This Row],[Numéro projet]],Portefeuille_MNT_PPS_Access27[Numéro projet],Portefeuille_MNT_PPS_Access27[Critère Etat Infrastructure])</f>
        <v>3</v>
      </c>
      <c r="AE9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93" s="221"/>
      <c r="AJ93"/>
      <c r="AK93">
        <v>99</v>
      </c>
      <c r="AM93">
        <v>656</v>
      </c>
      <c r="AO93">
        <v>654</v>
      </c>
      <c r="AP93">
        <v>1461</v>
      </c>
      <c r="AT93"/>
      <c r="BG93" s="14">
        <f>SUM(Portefeuille_MNT_PPS_Access32[[#This Row],[AC ANT]:[TR 2035]])</f>
        <v>2870</v>
      </c>
      <c r="BH93" s="14">
        <f>SUM(Portefeuille_MNT_PPS_Access32[[#This Row],[AC 2026]:[TR 2030]])</f>
        <v>2771</v>
      </c>
      <c r="BI93" s="14">
        <f>SUM(Portefeuille_MNT_PPS_Access32[[#This Row],[AC 2026]:[TR 2035]])</f>
        <v>2771</v>
      </c>
    </row>
    <row r="94" spans="1:61" hidden="1" x14ac:dyDescent="0.3">
      <c r="A94" t="s">
        <v>286</v>
      </c>
      <c r="B94" t="s">
        <v>662</v>
      </c>
      <c r="D94" t="s">
        <v>118</v>
      </c>
      <c r="E94" t="s">
        <v>102</v>
      </c>
      <c r="F94" t="s">
        <v>136</v>
      </c>
      <c r="G94" t="s">
        <v>340</v>
      </c>
      <c r="H94" t="s">
        <v>16</v>
      </c>
      <c r="I94" t="s">
        <v>16</v>
      </c>
      <c r="J94" t="s">
        <v>105</v>
      </c>
      <c r="K94">
        <v>154210133</v>
      </c>
      <c r="L94" t="s">
        <v>353</v>
      </c>
      <c r="M94" t="s">
        <v>180</v>
      </c>
      <c r="O94" t="s">
        <v>164</v>
      </c>
      <c r="P94" s="1"/>
      <c r="Q94" s="1">
        <v>44965</v>
      </c>
      <c r="R94" s="1">
        <v>45113</v>
      </c>
      <c r="S9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4" s="1" t="e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#NUM!</v>
      </c>
      <c r="U94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9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1477</v>
      </c>
      <c r="W9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5</v>
      </c>
      <c r="X94">
        <f>Portefeuille_MNT_PPS_Access32[[#This Row],[Délais PC1 et PC3]]+Portefeuille_MNT_PPS_Access32[[#This Row],[Délais PC3 et PC5]]</f>
        <v>1482</v>
      </c>
      <c r="Z94">
        <v>1</v>
      </c>
      <c r="AB94" t="s">
        <v>165</v>
      </c>
      <c r="AC94">
        <v>4</v>
      </c>
      <c r="AD94" s="2" t="e">
        <f>_xlfn.XLOOKUP(Portefeuille_MNT_PPS_Access32[[#This Row],[Numéro projet]],Portefeuille_MNT_PPS_Access27[Numéro projet],Portefeuille_MNT_PPS_Access27[Critère Etat Infrastructure])</f>
        <v>#N/A</v>
      </c>
      <c r="AE94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94" s="221"/>
      <c r="AG94">
        <v>87</v>
      </c>
      <c r="AH94">
        <v>304</v>
      </c>
      <c r="AI94">
        <v>35</v>
      </c>
      <c r="AJ94">
        <v>958</v>
      </c>
      <c r="AT94"/>
      <c r="BG94" s="14">
        <f>SUM(Portefeuille_MNT_PPS_Access32[[#This Row],[AC ANT]:[TR 2035]])</f>
        <v>1384</v>
      </c>
      <c r="BH94" s="14">
        <f>SUM(Portefeuille_MNT_PPS_Access32[[#This Row],[AC 2026]:[TR 2030]])</f>
        <v>0</v>
      </c>
      <c r="BI94" s="14">
        <f>SUM(Portefeuille_MNT_PPS_Access32[[#This Row],[AC 2026]:[TR 2035]])</f>
        <v>0</v>
      </c>
    </row>
    <row r="95" spans="1:61" x14ac:dyDescent="0.3">
      <c r="A95" t="s">
        <v>286</v>
      </c>
      <c r="B95" t="s">
        <v>664</v>
      </c>
      <c r="D95" t="s">
        <v>101</v>
      </c>
      <c r="E95" t="s">
        <v>102</v>
      </c>
      <c r="F95" t="s">
        <v>103</v>
      </c>
      <c r="H95" t="s">
        <v>20</v>
      </c>
      <c r="I95" t="s">
        <v>20</v>
      </c>
      <c r="J95" t="s">
        <v>131</v>
      </c>
      <c r="K95">
        <v>154180771</v>
      </c>
      <c r="L95" t="s">
        <v>384</v>
      </c>
      <c r="M95" t="s">
        <v>183</v>
      </c>
      <c r="N95" t="s">
        <v>533</v>
      </c>
      <c r="O95" t="s">
        <v>291</v>
      </c>
      <c r="P95" s="1"/>
      <c r="Q95" s="1"/>
      <c r="R95" s="1"/>
      <c r="S9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9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9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95">
        <f>Portefeuille_MNT_PPS_Access32[[#This Row],[Délais PC1 et PC3]]+Portefeuille_MNT_PPS_Access32[[#This Row],[Délais PC3 et PC5]]</f>
        <v>0</v>
      </c>
      <c r="Z95">
        <v>1</v>
      </c>
      <c r="AB95" t="s">
        <v>311</v>
      </c>
      <c r="AC95">
        <v>2.3333333333333335</v>
      </c>
      <c r="AD95" s="2">
        <f>_xlfn.XLOOKUP(Portefeuille_MNT_PPS_Access32[[#This Row],[Numéro projet]],Portefeuille_MNT_PPS_Access27[Numéro projet],Portefeuille_MNT_PPS_Access27[Critère Etat Infrastructure])</f>
        <v>4</v>
      </c>
      <c r="AE9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95" s="221"/>
      <c r="AJ95"/>
      <c r="AT95"/>
      <c r="BC95">
        <v>150</v>
      </c>
      <c r="BE95">
        <v>250</v>
      </c>
      <c r="BF95">
        <v>5000</v>
      </c>
      <c r="BG95" s="14">
        <f>SUM(Portefeuille_MNT_PPS_Access32[[#This Row],[AC ANT]:[TR 2035]])</f>
        <v>5400</v>
      </c>
      <c r="BH95" s="14">
        <f>SUM(Portefeuille_MNT_PPS_Access32[[#This Row],[AC 2026]:[TR 2030]])</f>
        <v>0</v>
      </c>
      <c r="BI95" s="14">
        <f>SUM(Portefeuille_MNT_PPS_Access32[[#This Row],[AC 2026]:[TR 2035]])</f>
        <v>5400</v>
      </c>
    </row>
    <row r="96" spans="1:61" x14ac:dyDescent="0.3">
      <c r="A96" t="s">
        <v>286</v>
      </c>
      <c r="D96" t="s">
        <v>118</v>
      </c>
      <c r="E96" t="s">
        <v>102</v>
      </c>
      <c r="F96" t="s">
        <v>136</v>
      </c>
      <c r="G96" t="s">
        <v>252</v>
      </c>
      <c r="H96" t="s">
        <v>20</v>
      </c>
      <c r="I96" t="s">
        <v>16</v>
      </c>
      <c r="J96" t="s">
        <v>131</v>
      </c>
      <c r="K96">
        <v>154250180</v>
      </c>
      <c r="L96" t="s">
        <v>638</v>
      </c>
      <c r="M96" t="s">
        <v>139</v>
      </c>
      <c r="N96" t="s">
        <v>148</v>
      </c>
      <c r="O96" t="s">
        <v>291</v>
      </c>
      <c r="P96" s="1"/>
      <c r="Q96" s="1"/>
      <c r="R96" s="1"/>
      <c r="S9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9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9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96">
        <f>Portefeuille_MNT_PPS_Access32[[#This Row],[Délais PC1 et PC3]]+Portefeuille_MNT_PPS_Access32[[#This Row],[Délais PC3 et PC5]]</f>
        <v>0</v>
      </c>
      <c r="Y96">
        <v>1</v>
      </c>
      <c r="Z96">
        <v>1</v>
      </c>
      <c r="AB96" t="s">
        <v>311</v>
      </c>
      <c r="AC96">
        <v>2</v>
      </c>
      <c r="AD96" s="2">
        <f>_xlfn.XLOOKUP(Portefeuille_MNT_PPS_Access32[[#This Row],[Numéro projet]],Portefeuille_MNT_PPS_Access27[Numéro projet],Portefeuille_MNT_PPS_Access27[Critère Etat Infrastructure])</f>
        <v>5</v>
      </c>
      <c r="AE9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96" s="221"/>
      <c r="AJ96"/>
      <c r="AL96">
        <v>35</v>
      </c>
      <c r="AT96"/>
      <c r="BG96" s="14">
        <f>SUM(Portefeuille_MNT_PPS_Access32[[#This Row],[AC ANT]:[TR 2035]])</f>
        <v>35</v>
      </c>
      <c r="BH96" s="14">
        <f>SUM(Portefeuille_MNT_PPS_Access32[[#This Row],[AC 2026]:[TR 2030]])</f>
        <v>0</v>
      </c>
      <c r="BI96" s="14">
        <f>SUM(Portefeuille_MNT_PPS_Access32[[#This Row],[AC 2026]:[TR 2035]])</f>
        <v>0</v>
      </c>
    </row>
    <row r="97" spans="1:61" x14ac:dyDescent="0.3">
      <c r="A97" t="s">
        <v>286</v>
      </c>
      <c r="D97" t="s">
        <v>126</v>
      </c>
      <c r="E97" t="s">
        <v>127</v>
      </c>
      <c r="F97" t="s">
        <v>136</v>
      </c>
      <c r="G97" t="s">
        <v>252</v>
      </c>
      <c r="H97" t="s">
        <v>20</v>
      </c>
      <c r="I97" t="s">
        <v>16</v>
      </c>
      <c r="J97" t="s">
        <v>131</v>
      </c>
      <c r="K97">
        <v>154250374</v>
      </c>
      <c r="L97" t="s">
        <v>646</v>
      </c>
      <c r="M97" t="s">
        <v>139</v>
      </c>
      <c r="N97" t="s">
        <v>148</v>
      </c>
      <c r="O97" t="s">
        <v>291</v>
      </c>
      <c r="P97" s="1"/>
      <c r="Q97" s="1"/>
      <c r="R97" s="1"/>
      <c r="S9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9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9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97">
        <f>Portefeuille_MNT_PPS_Access32[[#This Row],[Délais PC1 et PC3]]+Portefeuille_MNT_PPS_Access32[[#This Row],[Délais PC3 et PC5]]</f>
        <v>0</v>
      </c>
      <c r="Y97">
        <v>1</v>
      </c>
      <c r="Z97">
        <v>1</v>
      </c>
      <c r="AB97" t="s">
        <v>311</v>
      </c>
      <c r="AC97">
        <v>2</v>
      </c>
      <c r="AD97" s="2">
        <f>_xlfn.XLOOKUP(Portefeuille_MNT_PPS_Access32[[#This Row],[Numéro projet]],Portefeuille_MNT_PPS_Access27[Numéro projet],Portefeuille_MNT_PPS_Access27[Critère Etat Infrastructure])</f>
        <v>4</v>
      </c>
      <c r="AE9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35</v>
      </c>
      <c r="AF97" s="221"/>
      <c r="AJ97"/>
      <c r="AL97">
        <v>100</v>
      </c>
      <c r="AT97"/>
      <c r="BG97" s="14">
        <f>SUM(Portefeuille_MNT_PPS_Access32[[#This Row],[AC ANT]:[TR 2035]])</f>
        <v>100</v>
      </c>
      <c r="BH97" s="14">
        <f>SUM(Portefeuille_MNT_PPS_Access32[[#This Row],[AC 2026]:[TR 2030]])</f>
        <v>0</v>
      </c>
      <c r="BI97" s="14">
        <f>SUM(Portefeuille_MNT_PPS_Access32[[#This Row],[AC 2026]:[TR 2035]])</f>
        <v>0</v>
      </c>
    </row>
    <row r="98" spans="1:61" x14ac:dyDescent="0.3">
      <c r="A98" t="s">
        <v>286</v>
      </c>
      <c r="B98" t="s">
        <v>663</v>
      </c>
      <c r="D98" t="s">
        <v>101</v>
      </c>
      <c r="E98" t="s">
        <v>102</v>
      </c>
      <c r="F98" t="s">
        <v>136</v>
      </c>
      <c r="G98" t="s">
        <v>113</v>
      </c>
      <c r="H98" t="s">
        <v>16</v>
      </c>
      <c r="I98" t="s">
        <v>16</v>
      </c>
      <c r="J98" t="s">
        <v>131</v>
      </c>
      <c r="K98">
        <v>154081840</v>
      </c>
      <c r="L98" t="s">
        <v>138</v>
      </c>
      <c r="M98" t="s">
        <v>139</v>
      </c>
      <c r="N98" t="s">
        <v>109</v>
      </c>
      <c r="O98" t="s">
        <v>123</v>
      </c>
      <c r="P98" s="1">
        <v>45062</v>
      </c>
      <c r="Q98" s="1">
        <v>45754</v>
      </c>
      <c r="R98" s="1">
        <v>45976</v>
      </c>
      <c r="S9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9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9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9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23</v>
      </c>
      <c r="W9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7</v>
      </c>
      <c r="X98">
        <f>Portefeuille_MNT_PPS_Access32[[#This Row],[Délais PC1 et PC3]]+Portefeuille_MNT_PPS_Access32[[#This Row],[Délais PC3 et PC5]]</f>
        <v>30</v>
      </c>
      <c r="Y98">
        <v>1</v>
      </c>
      <c r="Z98">
        <v>5</v>
      </c>
      <c r="AA98">
        <v>5</v>
      </c>
      <c r="AB98" t="s">
        <v>125</v>
      </c>
      <c r="AC98">
        <v>2</v>
      </c>
      <c r="AD98" s="2">
        <f>_xlfn.XLOOKUP(Portefeuille_MNT_PPS_Access32[[#This Row],[Numéro projet]],Portefeuille_MNT_PPS_Access27[Numéro projet],Portefeuille_MNT_PPS_Access27[Critère Etat Infrastructure])</f>
        <v>4</v>
      </c>
      <c r="AE9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80</v>
      </c>
      <c r="AF98" s="221"/>
      <c r="AG98">
        <v>337</v>
      </c>
      <c r="AH98">
        <v>41</v>
      </c>
      <c r="AI98">
        <v>327</v>
      </c>
      <c r="AJ98"/>
      <c r="AK98">
        <v>363</v>
      </c>
      <c r="AM98">
        <v>907</v>
      </c>
      <c r="AN98">
        <v>5500</v>
      </c>
      <c r="AO98">
        <v>99</v>
      </c>
      <c r="AP98">
        <v>370</v>
      </c>
      <c r="AT98"/>
      <c r="BG98" s="14">
        <f>SUM(Portefeuille_MNT_PPS_Access32[[#This Row],[AC ANT]:[TR 2035]])</f>
        <v>7944</v>
      </c>
      <c r="BH98" s="14">
        <f>SUM(Portefeuille_MNT_PPS_Access32[[#This Row],[AC 2026]:[TR 2030]])</f>
        <v>6876</v>
      </c>
      <c r="BI98" s="14">
        <f>SUM(Portefeuille_MNT_PPS_Access32[[#This Row],[AC 2026]:[TR 2035]])</f>
        <v>6876</v>
      </c>
    </row>
    <row r="99" spans="1:61" x14ac:dyDescent="0.3">
      <c r="A99" t="s">
        <v>286</v>
      </c>
      <c r="C99">
        <v>2</v>
      </c>
      <c r="D99" t="s">
        <v>126</v>
      </c>
      <c r="E99" t="s">
        <v>127</v>
      </c>
      <c r="F99" t="s">
        <v>200</v>
      </c>
      <c r="G99" t="s">
        <v>252</v>
      </c>
      <c r="H99" t="s">
        <v>20</v>
      </c>
      <c r="I99" t="s">
        <v>20</v>
      </c>
      <c r="J99" t="s">
        <v>131</v>
      </c>
      <c r="K99">
        <v>154250379</v>
      </c>
      <c r="L99" t="s">
        <v>652</v>
      </c>
      <c r="M99" t="s">
        <v>139</v>
      </c>
      <c r="N99" t="s">
        <v>109</v>
      </c>
      <c r="O99" t="s">
        <v>291</v>
      </c>
      <c r="P99" s="1"/>
      <c r="Q99" s="1"/>
      <c r="R99" s="1"/>
      <c r="S9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9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9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9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9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99">
        <f>Portefeuille_MNT_PPS_Access32[[#This Row],[Délais PC1 et PC3]]+Portefeuille_MNT_PPS_Access32[[#This Row],[Délais PC3 et PC5]]</f>
        <v>0</v>
      </c>
      <c r="Y99">
        <v>1</v>
      </c>
      <c r="Z99">
        <v>1</v>
      </c>
      <c r="AA99">
        <v>3</v>
      </c>
      <c r="AB99" t="s">
        <v>311</v>
      </c>
      <c r="AC99">
        <v>2</v>
      </c>
      <c r="AD99" s="2">
        <f>_xlfn.XLOOKUP(Portefeuille_MNT_PPS_Access32[[#This Row],[Numéro projet]],Portefeuille_MNT_PPS_Access27[Numéro projet],Portefeuille_MNT_PPS_Access27[Critère Etat Infrastructure])</f>
        <v>2</v>
      </c>
      <c r="AE9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99" s="221"/>
      <c r="AJ99"/>
      <c r="AN99">
        <v>15</v>
      </c>
      <c r="AT99"/>
      <c r="BG99" s="14">
        <f>SUM(Portefeuille_MNT_PPS_Access32[[#This Row],[AC ANT]:[TR 2035]])</f>
        <v>15</v>
      </c>
      <c r="BH99" s="14">
        <f>SUM(Portefeuille_MNT_PPS_Access32[[#This Row],[AC 2026]:[TR 2030]])</f>
        <v>15</v>
      </c>
      <c r="BI99" s="57">
        <f>SUM(Portefeuille_MNT_PPS_Access32[[#This Row],[AC 2026]:[TR 2035]])</f>
        <v>15</v>
      </c>
    </row>
    <row r="100" spans="1:61" x14ac:dyDescent="0.3">
      <c r="A100" t="s">
        <v>286</v>
      </c>
      <c r="B100" t="s">
        <v>664</v>
      </c>
      <c r="C100">
        <v>6</v>
      </c>
      <c r="D100" t="s">
        <v>101</v>
      </c>
      <c r="E100" t="s">
        <v>102</v>
      </c>
      <c r="F100" t="s">
        <v>200</v>
      </c>
      <c r="G100" t="s">
        <v>113</v>
      </c>
      <c r="H100" t="s">
        <v>20</v>
      </c>
      <c r="I100" t="s">
        <v>20</v>
      </c>
      <c r="J100" t="s">
        <v>131</v>
      </c>
      <c r="K100">
        <v>154230556</v>
      </c>
      <c r="L100" t="s">
        <v>437</v>
      </c>
      <c r="M100" t="s">
        <v>139</v>
      </c>
      <c r="N100" t="s">
        <v>169</v>
      </c>
      <c r="O100" t="s">
        <v>155</v>
      </c>
      <c r="P100" s="1">
        <v>46127</v>
      </c>
      <c r="Q100" s="1">
        <v>46522</v>
      </c>
      <c r="R100" s="1">
        <v>47041</v>
      </c>
      <c r="S10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0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13</v>
      </c>
      <c r="W10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17</v>
      </c>
      <c r="X100">
        <f>Portefeuille_MNT_PPS_Access32[[#This Row],[Délais PC1 et PC3]]+Portefeuille_MNT_PPS_Access32[[#This Row],[Délais PC3 et PC5]]</f>
        <v>30</v>
      </c>
      <c r="Z100">
        <v>1</v>
      </c>
      <c r="AB100" t="s">
        <v>156</v>
      </c>
      <c r="AC100">
        <v>2</v>
      </c>
      <c r="AD100" s="2">
        <f>_xlfn.XLOOKUP(Portefeuille_MNT_PPS_Access32[[#This Row],[Numéro projet]],Portefeuille_MNT_PPS_Access27[Numéro projet],Portefeuille_MNT_PPS_Access27[Critère Etat Infrastructure])</f>
        <v>5</v>
      </c>
      <c r="AE10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100" s="221"/>
      <c r="AJ100"/>
      <c r="AM100">
        <v>50</v>
      </c>
      <c r="AO100">
        <v>50</v>
      </c>
      <c r="AQ100">
        <v>150</v>
      </c>
      <c r="AS100">
        <v>300</v>
      </c>
      <c r="AT100">
        <v>3000</v>
      </c>
      <c r="BG100" s="14">
        <f>SUM(Portefeuille_MNT_PPS_Access32[[#This Row],[AC ANT]:[TR 2035]])</f>
        <v>3550</v>
      </c>
      <c r="BH100" s="14">
        <f>SUM(Portefeuille_MNT_PPS_Access32[[#This Row],[AC 2026]:[TR 2030]])</f>
        <v>3550</v>
      </c>
      <c r="BI100" s="14">
        <f>SUM(Portefeuille_MNT_PPS_Access32[[#This Row],[AC 2026]:[TR 2035]])</f>
        <v>3550</v>
      </c>
    </row>
    <row r="101" spans="1:61" hidden="1" x14ac:dyDescent="0.3">
      <c r="A101" t="s">
        <v>11</v>
      </c>
      <c r="D101" t="s">
        <v>118</v>
      </c>
      <c r="E101" t="s">
        <v>102</v>
      </c>
      <c r="F101" t="s">
        <v>103</v>
      </c>
      <c r="G101" t="s">
        <v>252</v>
      </c>
      <c r="H101" t="s">
        <v>20</v>
      </c>
      <c r="I101" t="s">
        <v>16</v>
      </c>
      <c r="J101" t="s">
        <v>131</v>
      </c>
      <c r="K101">
        <v>154220312</v>
      </c>
      <c r="L101" t="s">
        <v>388</v>
      </c>
      <c r="M101" t="s">
        <v>180</v>
      </c>
      <c r="O101" t="s">
        <v>297</v>
      </c>
      <c r="P101" s="1"/>
      <c r="Q101" s="1"/>
      <c r="R101" s="1"/>
      <c r="S10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0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0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0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0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01">
        <f>Portefeuille_MNT_PPS_Access32[[#This Row],[Délais PC1 et PC3]]+Portefeuille_MNT_PPS_Access32[[#This Row],[Délais PC3 et PC5]]</f>
        <v>0</v>
      </c>
      <c r="Z101">
        <v>1</v>
      </c>
      <c r="AB101" t="s">
        <v>349</v>
      </c>
      <c r="AC101">
        <v>2.7333333333333334</v>
      </c>
      <c r="AD101" s="2" t="e">
        <f>_xlfn.XLOOKUP(Portefeuille_MNT_PPS_Access32[[#This Row],[Numéro projet]],Portefeuille_MNT_PPS_Access27[Numéro projet],Portefeuille_MNT_PPS_Access27[Critère Etat Infrastructure])</f>
        <v>#N/A</v>
      </c>
      <c r="AE101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01" s="221"/>
      <c r="AJ101">
        <v>316</v>
      </c>
      <c r="AT101"/>
      <c r="BG101" s="14">
        <f>SUM(Portefeuille_MNT_PPS_Access32[[#This Row],[AC ANT]:[TR 2035]])</f>
        <v>316</v>
      </c>
      <c r="BH101" s="14">
        <f>SUM(Portefeuille_MNT_PPS_Access32[[#This Row],[AC 2026]:[TR 2030]])</f>
        <v>0</v>
      </c>
      <c r="BI101" s="14">
        <f>SUM(Portefeuille_MNT_PPS_Access32[[#This Row],[AC 2026]:[TR 2035]])</f>
        <v>0</v>
      </c>
    </row>
    <row r="102" spans="1:61" x14ac:dyDescent="0.3">
      <c r="A102" t="s">
        <v>286</v>
      </c>
      <c r="B102" t="s">
        <v>295</v>
      </c>
      <c r="D102" t="s">
        <v>126</v>
      </c>
      <c r="E102" t="s">
        <v>127</v>
      </c>
      <c r="F102" t="s">
        <v>136</v>
      </c>
      <c r="G102" t="s">
        <v>113</v>
      </c>
      <c r="H102" t="s">
        <v>16</v>
      </c>
      <c r="I102" t="s">
        <v>20</v>
      </c>
      <c r="J102" t="s">
        <v>131</v>
      </c>
      <c r="K102">
        <v>154190601</v>
      </c>
      <c r="L102" t="s">
        <v>227</v>
      </c>
      <c r="M102" t="s">
        <v>139</v>
      </c>
      <c r="N102" t="s">
        <v>370</v>
      </c>
      <c r="O102" t="s">
        <v>110</v>
      </c>
      <c r="P102" s="1">
        <v>45330</v>
      </c>
      <c r="Q102" s="1">
        <v>46690</v>
      </c>
      <c r="R102" s="1">
        <v>47376</v>
      </c>
      <c r="S10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0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44</v>
      </c>
      <c r="W10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23</v>
      </c>
      <c r="X102">
        <f>Portefeuille_MNT_PPS_Access32[[#This Row],[Délais PC1 et PC3]]+Portefeuille_MNT_PPS_Access32[[#This Row],[Délais PC3 et PC5]]</f>
        <v>67</v>
      </c>
      <c r="Z102">
        <v>1</v>
      </c>
      <c r="AB102" t="s">
        <v>112</v>
      </c>
      <c r="AC102">
        <v>2</v>
      </c>
      <c r="AD102" s="2">
        <f>_xlfn.XLOOKUP(Portefeuille_MNT_PPS_Access32[[#This Row],[Numéro projet]],Portefeuille_MNT_PPS_Access27[Numéro projet],Portefeuille_MNT_PPS_Access27[Critère Etat Infrastructure])</f>
        <v>3</v>
      </c>
      <c r="AE10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102" s="221"/>
      <c r="AG102">
        <v>44</v>
      </c>
      <c r="AI102">
        <v>35</v>
      </c>
      <c r="AJ102"/>
      <c r="AK102">
        <v>100</v>
      </c>
      <c r="AM102">
        <v>288</v>
      </c>
      <c r="AO102">
        <v>475</v>
      </c>
      <c r="AQ102">
        <v>475</v>
      </c>
      <c r="AS102">
        <v>573</v>
      </c>
      <c r="AT102"/>
      <c r="AU102">
        <v>1000</v>
      </c>
      <c r="AW102">
        <v>1087</v>
      </c>
      <c r="AX102">
        <v>14362</v>
      </c>
      <c r="BG102" s="14">
        <f>SUM(Portefeuille_MNT_PPS_Access32[[#This Row],[AC ANT]:[TR 2035]])</f>
        <v>18439</v>
      </c>
      <c r="BH102" s="14">
        <f>SUM(Portefeuille_MNT_PPS_Access32[[#This Row],[AC 2026]:[TR 2030]])</f>
        <v>2811</v>
      </c>
      <c r="BI102" s="14">
        <f>SUM(Portefeuille_MNT_PPS_Access32[[#This Row],[AC 2026]:[TR 2035]])</f>
        <v>18260</v>
      </c>
    </row>
    <row r="103" spans="1:61" x14ac:dyDescent="0.3">
      <c r="A103" t="s">
        <v>286</v>
      </c>
      <c r="B103" t="s">
        <v>662</v>
      </c>
      <c r="D103" t="s">
        <v>118</v>
      </c>
      <c r="E103" t="s">
        <v>102</v>
      </c>
      <c r="F103" t="s">
        <v>103</v>
      </c>
      <c r="G103" t="s">
        <v>113</v>
      </c>
      <c r="H103" t="s">
        <v>20</v>
      </c>
      <c r="I103" t="s">
        <v>20</v>
      </c>
      <c r="J103" t="s">
        <v>131</v>
      </c>
      <c r="K103">
        <v>154220353</v>
      </c>
      <c r="L103" t="s">
        <v>423</v>
      </c>
      <c r="M103" t="s">
        <v>139</v>
      </c>
      <c r="N103" t="s">
        <v>392</v>
      </c>
      <c r="O103" t="s">
        <v>155</v>
      </c>
      <c r="P103" s="1">
        <v>46127</v>
      </c>
      <c r="Q103" s="1">
        <v>46522</v>
      </c>
      <c r="R103" s="1">
        <v>47041</v>
      </c>
      <c r="S10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0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13</v>
      </c>
      <c r="W10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17</v>
      </c>
      <c r="X103">
        <f>Portefeuille_MNT_PPS_Access32[[#This Row],[Délais PC1 et PC3]]+Portefeuille_MNT_PPS_Access32[[#This Row],[Délais PC3 et PC5]]</f>
        <v>30</v>
      </c>
      <c r="Z103">
        <v>1</v>
      </c>
      <c r="AB103" t="s">
        <v>156</v>
      </c>
      <c r="AC103">
        <v>2</v>
      </c>
      <c r="AD103" s="2">
        <f>_xlfn.XLOOKUP(Portefeuille_MNT_PPS_Access32[[#This Row],[Numéro projet]],Portefeuille_MNT_PPS_Access27[Numéro projet],Portefeuille_MNT_PPS_Access27[Critère Etat Infrastructure])</f>
        <v>4</v>
      </c>
      <c r="AE10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103" s="221"/>
      <c r="AJ103"/>
      <c r="AT103"/>
      <c r="AW103">
        <v>100</v>
      </c>
      <c r="AY103">
        <v>200</v>
      </c>
      <c r="BA103">
        <v>250</v>
      </c>
      <c r="BB103">
        <v>7500</v>
      </c>
      <c r="BG103" s="14">
        <f>SUM(Portefeuille_MNT_PPS_Access32[[#This Row],[AC ANT]:[TR 2035]])</f>
        <v>8050</v>
      </c>
      <c r="BH103" s="14">
        <f>SUM(Portefeuille_MNT_PPS_Access32[[#This Row],[AC 2026]:[TR 2030]])</f>
        <v>0</v>
      </c>
      <c r="BI103" s="14">
        <f>SUM(Portefeuille_MNT_PPS_Access32[[#This Row],[AC 2026]:[TR 2035]])</f>
        <v>8050</v>
      </c>
    </row>
    <row r="104" spans="1:61" x14ac:dyDescent="0.3">
      <c r="A104" t="s">
        <v>286</v>
      </c>
      <c r="B104" t="s">
        <v>662</v>
      </c>
      <c r="C104">
        <v>7</v>
      </c>
      <c r="D104" t="s">
        <v>118</v>
      </c>
      <c r="E104" t="s">
        <v>102</v>
      </c>
      <c r="F104" t="s">
        <v>136</v>
      </c>
      <c r="G104" t="s">
        <v>113</v>
      </c>
      <c r="H104" t="s">
        <v>20</v>
      </c>
      <c r="I104" t="s">
        <v>20</v>
      </c>
      <c r="J104" t="s">
        <v>131</v>
      </c>
      <c r="K104">
        <v>154250021</v>
      </c>
      <c r="L104" t="s">
        <v>544</v>
      </c>
      <c r="M104" t="s">
        <v>187</v>
      </c>
      <c r="N104" t="s">
        <v>109</v>
      </c>
      <c r="O104" t="s">
        <v>123</v>
      </c>
      <c r="P104" s="1">
        <v>45762</v>
      </c>
      <c r="Q104" s="1">
        <v>46096</v>
      </c>
      <c r="R104" s="1">
        <v>46096</v>
      </c>
      <c r="S10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0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10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10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10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04">
        <f>Portefeuille_MNT_PPS_Access32[[#This Row],[Délais PC1 et PC3]]+Portefeuille_MNT_PPS_Access32[[#This Row],[Délais PC3 et PC5]]</f>
        <v>11</v>
      </c>
      <c r="Y104">
        <v>1</v>
      </c>
      <c r="Z104">
        <v>1</v>
      </c>
      <c r="AA104">
        <v>3</v>
      </c>
      <c r="AB104" t="s">
        <v>125</v>
      </c>
      <c r="AC104">
        <v>3</v>
      </c>
      <c r="AD104" s="2">
        <f>_xlfn.XLOOKUP(Portefeuille_MNT_PPS_Access32[[#This Row],[Numéro projet]],Portefeuille_MNT_PPS_Access27[Numéro projet],Portefeuille_MNT_PPS_Access27[Critère Etat Infrastructure])</f>
        <v>3</v>
      </c>
      <c r="AE10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49.999999999999993</v>
      </c>
      <c r="AF104" s="221"/>
      <c r="AJ104"/>
      <c r="AM104">
        <v>1</v>
      </c>
      <c r="AN104">
        <v>82</v>
      </c>
      <c r="AO104">
        <v>1</v>
      </c>
      <c r="AP104">
        <v>82</v>
      </c>
      <c r="AT104"/>
      <c r="BG104" s="14">
        <f>SUM(Portefeuille_MNT_PPS_Access32[[#This Row],[AC ANT]:[TR 2035]])</f>
        <v>166</v>
      </c>
      <c r="BH104" s="14">
        <f>SUM(Portefeuille_MNT_PPS_Access32[[#This Row],[AC 2026]:[TR 2030]])</f>
        <v>166</v>
      </c>
      <c r="BI104" s="14">
        <f>SUM(Portefeuille_MNT_PPS_Access32[[#This Row],[AC 2026]:[TR 2035]])</f>
        <v>166</v>
      </c>
    </row>
    <row r="105" spans="1:61" x14ac:dyDescent="0.3">
      <c r="A105" t="s">
        <v>286</v>
      </c>
      <c r="B105" t="s">
        <v>662</v>
      </c>
      <c r="C105">
        <v>3</v>
      </c>
      <c r="D105" t="s">
        <v>118</v>
      </c>
      <c r="E105" t="s">
        <v>102</v>
      </c>
      <c r="F105" t="s">
        <v>177</v>
      </c>
      <c r="G105" t="s">
        <v>113</v>
      </c>
      <c r="H105" t="s">
        <v>16</v>
      </c>
      <c r="I105" t="s">
        <v>20</v>
      </c>
      <c r="J105" t="s">
        <v>131</v>
      </c>
      <c r="K105">
        <v>154200650</v>
      </c>
      <c r="L105" t="s">
        <v>241</v>
      </c>
      <c r="M105" t="s">
        <v>187</v>
      </c>
      <c r="N105" t="s">
        <v>173</v>
      </c>
      <c r="O105" t="s">
        <v>110</v>
      </c>
      <c r="P105" s="1">
        <v>45708</v>
      </c>
      <c r="Q105" s="1">
        <v>45923</v>
      </c>
      <c r="R105" s="1">
        <v>46296</v>
      </c>
      <c r="S10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10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7</v>
      </c>
      <c r="W10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13</v>
      </c>
      <c r="X105">
        <f>Portefeuille_MNT_PPS_Access32[[#This Row],[Délais PC1 et PC3]]+Portefeuille_MNT_PPS_Access32[[#This Row],[Délais PC3 et PC5]]</f>
        <v>20</v>
      </c>
      <c r="Z105">
        <v>1</v>
      </c>
      <c r="AA105">
        <v>5</v>
      </c>
      <c r="AB105" t="s">
        <v>112</v>
      </c>
      <c r="AC105">
        <v>3</v>
      </c>
      <c r="AD105" s="2">
        <f>_xlfn.XLOOKUP(Portefeuille_MNT_PPS_Access32[[#This Row],[Numéro projet]],Portefeuille_MNT_PPS_Access27[Numéro projet],Portefeuille_MNT_PPS_Access27[Critère Etat Infrastructure])</f>
        <v>5</v>
      </c>
      <c r="AE10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70</v>
      </c>
      <c r="AF105" s="221"/>
      <c r="AJ105"/>
      <c r="AK105">
        <v>217</v>
      </c>
      <c r="AM105">
        <v>72</v>
      </c>
      <c r="AO105">
        <v>295</v>
      </c>
      <c r="AP105">
        <v>5162</v>
      </c>
      <c r="AT105"/>
      <c r="BG105" s="14">
        <f>SUM(Portefeuille_MNT_PPS_Access32[[#This Row],[AC ANT]:[TR 2035]])</f>
        <v>5746</v>
      </c>
      <c r="BH105" s="14">
        <f>SUM(Portefeuille_MNT_PPS_Access32[[#This Row],[AC 2026]:[TR 2030]])</f>
        <v>5529</v>
      </c>
      <c r="BI105" s="14">
        <f>SUM(Portefeuille_MNT_PPS_Access32[[#This Row],[AC 2026]:[TR 2035]])</f>
        <v>5529</v>
      </c>
    </row>
    <row r="106" spans="1:61" x14ac:dyDescent="0.3">
      <c r="A106" t="s">
        <v>286</v>
      </c>
      <c r="B106" t="s">
        <v>663</v>
      </c>
      <c r="D106" t="s">
        <v>101</v>
      </c>
      <c r="E106" t="s">
        <v>102</v>
      </c>
      <c r="F106" t="s">
        <v>136</v>
      </c>
      <c r="G106" t="s">
        <v>113</v>
      </c>
      <c r="H106" t="s">
        <v>16</v>
      </c>
      <c r="I106" t="s">
        <v>20</v>
      </c>
      <c r="J106" t="s">
        <v>131</v>
      </c>
      <c r="K106">
        <v>154140339</v>
      </c>
      <c r="L106" t="s">
        <v>186</v>
      </c>
      <c r="M106" t="s">
        <v>187</v>
      </c>
      <c r="N106" t="s">
        <v>197</v>
      </c>
      <c r="O106" t="s">
        <v>110</v>
      </c>
      <c r="P106" s="1">
        <v>44823</v>
      </c>
      <c r="Q106" s="1">
        <v>46310</v>
      </c>
      <c r="R106" s="1">
        <v>46521</v>
      </c>
      <c r="S10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0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49</v>
      </c>
      <c r="W10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7</v>
      </c>
      <c r="X106">
        <f>Portefeuille_MNT_PPS_Access32[[#This Row],[Délais PC1 et PC3]]+Portefeuille_MNT_PPS_Access32[[#This Row],[Délais PC3 et PC5]]</f>
        <v>56</v>
      </c>
      <c r="Z106">
        <v>1</v>
      </c>
      <c r="AA106">
        <v>5</v>
      </c>
      <c r="AB106" t="s">
        <v>112</v>
      </c>
      <c r="AC106">
        <v>3</v>
      </c>
      <c r="AD106" s="2">
        <f>_xlfn.XLOOKUP(Portefeuille_MNT_PPS_Access32[[#This Row],[Numéro projet]],Portefeuille_MNT_PPS_Access27[Numéro projet],Portefeuille_MNT_PPS_Access27[Critère Etat Infrastructure])</f>
        <v>3</v>
      </c>
      <c r="AE10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60.000000000000007</v>
      </c>
      <c r="AF106" s="221"/>
      <c r="AG106">
        <v>282</v>
      </c>
      <c r="AI106">
        <v>175</v>
      </c>
      <c r="AJ106"/>
      <c r="AK106">
        <v>424</v>
      </c>
      <c r="AM106">
        <v>835</v>
      </c>
      <c r="AO106">
        <v>657</v>
      </c>
      <c r="AQ106">
        <v>212</v>
      </c>
      <c r="AR106">
        <v>5369</v>
      </c>
      <c r="AS106">
        <v>289</v>
      </c>
      <c r="AT106">
        <v>10806</v>
      </c>
      <c r="BG106" s="14">
        <f>SUM(Portefeuille_MNT_PPS_Access32[[#This Row],[AC ANT]:[TR 2035]])</f>
        <v>19049</v>
      </c>
      <c r="BH106" s="14">
        <f>SUM(Portefeuille_MNT_PPS_Access32[[#This Row],[AC 2026]:[TR 2030]])</f>
        <v>18168</v>
      </c>
      <c r="BI106" s="14">
        <f>SUM(Portefeuille_MNT_PPS_Access32[[#This Row],[AC 2026]:[TR 2035]])</f>
        <v>18168</v>
      </c>
    </row>
    <row r="107" spans="1:61" x14ac:dyDescent="0.3">
      <c r="A107" t="s">
        <v>286</v>
      </c>
      <c r="B107" t="s">
        <v>662</v>
      </c>
      <c r="D107" t="s">
        <v>118</v>
      </c>
      <c r="E107" t="s">
        <v>102</v>
      </c>
      <c r="F107" t="s">
        <v>177</v>
      </c>
      <c r="G107" t="s">
        <v>113</v>
      </c>
      <c r="H107" t="s">
        <v>20</v>
      </c>
      <c r="I107" t="s">
        <v>20</v>
      </c>
      <c r="J107" t="s">
        <v>131</v>
      </c>
      <c r="K107">
        <v>154240709</v>
      </c>
      <c r="L107" t="s">
        <v>512</v>
      </c>
      <c r="M107" t="s">
        <v>187</v>
      </c>
      <c r="N107" t="s">
        <v>197</v>
      </c>
      <c r="O107" t="s">
        <v>155</v>
      </c>
      <c r="P107" s="1">
        <v>46006</v>
      </c>
      <c r="Q107" s="1">
        <v>46341</v>
      </c>
      <c r="R107" s="1">
        <v>46706</v>
      </c>
      <c r="S10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0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0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0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10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07">
        <f>Portefeuille_MNT_PPS_Access32[[#This Row],[Délais PC1 et PC3]]+Portefeuille_MNT_PPS_Access32[[#This Row],[Délais PC3 et PC5]]</f>
        <v>23</v>
      </c>
      <c r="Z107">
        <v>1</v>
      </c>
      <c r="AA107">
        <v>5</v>
      </c>
      <c r="AB107" t="s">
        <v>156</v>
      </c>
      <c r="AC107">
        <v>3</v>
      </c>
      <c r="AD107" s="2">
        <f>_xlfn.XLOOKUP(Portefeuille_MNT_PPS_Access32[[#This Row],[Numéro projet]],Portefeuille_MNT_PPS_Access27[Numéro projet],Portefeuille_MNT_PPS_Access27[Critère Etat Infrastructure])</f>
        <v>5</v>
      </c>
      <c r="AE10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70</v>
      </c>
      <c r="AF107" s="221"/>
      <c r="AJ107"/>
      <c r="AO107">
        <v>150</v>
      </c>
      <c r="AQ107">
        <v>150</v>
      </c>
      <c r="AR107">
        <v>1000</v>
      </c>
      <c r="AT107"/>
      <c r="BG107" s="14">
        <f>SUM(Portefeuille_MNT_PPS_Access32[[#This Row],[AC ANT]:[TR 2035]])</f>
        <v>1300</v>
      </c>
      <c r="BH107" s="14">
        <f>SUM(Portefeuille_MNT_PPS_Access32[[#This Row],[AC 2026]:[TR 2030]])</f>
        <v>1300</v>
      </c>
      <c r="BI107" s="14">
        <f>SUM(Portefeuille_MNT_PPS_Access32[[#This Row],[AC 2026]:[TR 2035]])</f>
        <v>1300</v>
      </c>
    </row>
    <row r="108" spans="1:61" x14ac:dyDescent="0.3">
      <c r="A108" t="s">
        <v>286</v>
      </c>
      <c r="B108" t="s">
        <v>662</v>
      </c>
      <c r="D108" t="s">
        <v>118</v>
      </c>
      <c r="E108" t="s">
        <v>102</v>
      </c>
      <c r="F108" t="s">
        <v>177</v>
      </c>
      <c r="H108" t="s">
        <v>20</v>
      </c>
      <c r="I108" t="s">
        <v>20</v>
      </c>
      <c r="J108" t="s">
        <v>131</v>
      </c>
      <c r="K108">
        <v>154240787</v>
      </c>
      <c r="L108" t="s">
        <v>523</v>
      </c>
      <c r="M108" t="s">
        <v>187</v>
      </c>
      <c r="N108" t="s">
        <v>184</v>
      </c>
      <c r="O108" t="s">
        <v>291</v>
      </c>
      <c r="P108" s="1"/>
      <c r="Q108" s="1"/>
      <c r="R108" s="1"/>
      <c r="S10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0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0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0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0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08">
        <f>Portefeuille_MNT_PPS_Access32[[#This Row],[Délais PC1 et PC3]]+Portefeuille_MNT_PPS_Access32[[#This Row],[Délais PC3 et PC5]]</f>
        <v>0</v>
      </c>
      <c r="Z108">
        <v>1</v>
      </c>
      <c r="AB108" t="s">
        <v>311</v>
      </c>
      <c r="AC108">
        <v>3</v>
      </c>
      <c r="AD108" s="2">
        <f>_xlfn.XLOOKUP(Portefeuille_MNT_PPS_Access32[[#This Row],[Numéro projet]],Portefeuille_MNT_PPS_Access27[Numéro projet],Portefeuille_MNT_PPS_Access27[Critère Etat Infrastructure])</f>
        <v>5</v>
      </c>
      <c r="AE10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108" s="221"/>
      <c r="AJ108"/>
      <c r="AQ108">
        <v>50</v>
      </c>
      <c r="AS108">
        <v>100</v>
      </c>
      <c r="AT108"/>
      <c r="AU108">
        <v>200</v>
      </c>
      <c r="AV108">
        <v>2000</v>
      </c>
      <c r="BG108" s="14">
        <f>SUM(Portefeuille_MNT_PPS_Access32[[#This Row],[AC ANT]:[TR 2035]])</f>
        <v>2350</v>
      </c>
      <c r="BH108" s="14">
        <f>SUM(Portefeuille_MNT_PPS_Access32[[#This Row],[AC 2026]:[TR 2030]])</f>
        <v>2350</v>
      </c>
      <c r="BI108" s="14">
        <f>SUM(Portefeuille_MNT_PPS_Access32[[#This Row],[AC 2026]:[TR 2035]])</f>
        <v>2350</v>
      </c>
    </row>
    <row r="109" spans="1:61" x14ac:dyDescent="0.3">
      <c r="A109" t="s">
        <v>286</v>
      </c>
      <c r="B109" t="s">
        <v>662</v>
      </c>
      <c r="D109" t="s">
        <v>118</v>
      </c>
      <c r="E109" t="s">
        <v>102</v>
      </c>
      <c r="F109" t="s">
        <v>103</v>
      </c>
      <c r="H109" t="s">
        <v>20</v>
      </c>
      <c r="I109" t="s">
        <v>20</v>
      </c>
      <c r="J109" t="s">
        <v>131</v>
      </c>
      <c r="K109">
        <v>154240816</v>
      </c>
      <c r="L109" t="s">
        <v>532</v>
      </c>
      <c r="M109" t="s">
        <v>187</v>
      </c>
      <c r="N109" t="s">
        <v>395</v>
      </c>
      <c r="O109" t="s">
        <v>291</v>
      </c>
      <c r="P109" s="1"/>
      <c r="Q109" s="1"/>
      <c r="R109" s="1"/>
      <c r="S10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0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0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0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0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09">
        <f>Portefeuille_MNT_PPS_Access32[[#This Row],[Délais PC1 et PC3]]+Portefeuille_MNT_PPS_Access32[[#This Row],[Délais PC3 et PC5]]</f>
        <v>0</v>
      </c>
      <c r="Z109">
        <v>1</v>
      </c>
      <c r="AB109" t="s">
        <v>311</v>
      </c>
      <c r="AC109">
        <v>3</v>
      </c>
      <c r="AD109" s="2">
        <f>_xlfn.XLOOKUP(Portefeuille_MNT_PPS_Access32[[#This Row],[Numéro projet]],Portefeuille_MNT_PPS_Access27[Numéro projet],Portefeuille_MNT_PPS_Access27[Critère Etat Infrastructure])</f>
        <v>4</v>
      </c>
      <c r="AE10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109" s="221"/>
      <c r="AJ109"/>
      <c r="AT109"/>
      <c r="AY109">
        <v>150</v>
      </c>
      <c r="BA109">
        <v>150</v>
      </c>
      <c r="BC109">
        <v>500</v>
      </c>
      <c r="BD109">
        <v>8000</v>
      </c>
      <c r="BG109" s="14">
        <f>SUM(Portefeuille_MNT_PPS_Access32[[#This Row],[AC ANT]:[TR 2035]])</f>
        <v>8800</v>
      </c>
      <c r="BH109" s="14">
        <f>SUM(Portefeuille_MNT_PPS_Access32[[#This Row],[AC 2026]:[TR 2030]])</f>
        <v>0</v>
      </c>
      <c r="BI109" s="14">
        <f>SUM(Portefeuille_MNT_PPS_Access32[[#This Row],[AC 2026]:[TR 2035]])</f>
        <v>8800</v>
      </c>
    </row>
    <row r="110" spans="1:61" x14ac:dyDescent="0.3">
      <c r="A110" t="s">
        <v>286</v>
      </c>
      <c r="B110" t="s">
        <v>662</v>
      </c>
      <c r="D110" t="s">
        <v>118</v>
      </c>
      <c r="E110" t="s">
        <v>102</v>
      </c>
      <c r="F110" t="s">
        <v>136</v>
      </c>
      <c r="G110" t="s">
        <v>252</v>
      </c>
      <c r="H110" t="s">
        <v>16</v>
      </c>
      <c r="I110" t="s">
        <v>16</v>
      </c>
      <c r="J110" t="s">
        <v>131</v>
      </c>
      <c r="K110">
        <v>154240497</v>
      </c>
      <c r="L110" t="s">
        <v>529</v>
      </c>
      <c r="M110" t="s">
        <v>209</v>
      </c>
      <c r="N110" t="s">
        <v>109</v>
      </c>
      <c r="O110" t="s">
        <v>291</v>
      </c>
      <c r="P110" s="1"/>
      <c r="Q110" s="1"/>
      <c r="R110" s="1">
        <v>46006</v>
      </c>
      <c r="S11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1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1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1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1511</v>
      </c>
      <c r="X110">
        <f>Portefeuille_MNT_PPS_Access32[[#This Row],[Délais PC1 et PC3]]+Portefeuille_MNT_PPS_Access32[[#This Row],[Délais PC3 et PC5]]</f>
        <v>1511</v>
      </c>
      <c r="Y110">
        <v>1</v>
      </c>
      <c r="Z110">
        <v>1</v>
      </c>
      <c r="AA110">
        <v>5</v>
      </c>
      <c r="AB110" t="s">
        <v>311</v>
      </c>
      <c r="AC110">
        <v>3.3333333333333335</v>
      </c>
      <c r="AD110" s="2">
        <f>_xlfn.XLOOKUP(Portefeuille_MNT_PPS_Access32[[#This Row],[Numéro projet]],Portefeuille_MNT_PPS_Access27[Numéro projet],Portefeuille_MNT_PPS_Access27[Critère Etat Infrastructure])</f>
        <v>4</v>
      </c>
      <c r="AE11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66.666666666666671</v>
      </c>
      <c r="AF110" s="221"/>
      <c r="AJ110"/>
      <c r="AK110">
        <v>60</v>
      </c>
      <c r="AM110">
        <v>20</v>
      </c>
      <c r="AN110">
        <v>540</v>
      </c>
      <c r="AT110"/>
      <c r="BG110" s="14">
        <f>SUM(Portefeuille_MNT_PPS_Access32[[#This Row],[AC ANT]:[TR 2035]])</f>
        <v>620</v>
      </c>
      <c r="BH110" s="14">
        <f>SUM(Portefeuille_MNT_PPS_Access32[[#This Row],[AC 2026]:[TR 2030]])</f>
        <v>560</v>
      </c>
      <c r="BI110" s="14">
        <f>SUM(Portefeuille_MNT_PPS_Access32[[#This Row],[AC 2026]:[TR 2035]])</f>
        <v>560</v>
      </c>
    </row>
    <row r="111" spans="1:61" hidden="1" x14ac:dyDescent="0.3">
      <c r="A111" t="s">
        <v>286</v>
      </c>
      <c r="B111" t="s">
        <v>295</v>
      </c>
      <c r="D111" t="s">
        <v>126</v>
      </c>
      <c r="E111" t="s">
        <v>127</v>
      </c>
      <c r="F111" t="s">
        <v>128</v>
      </c>
      <c r="G111" t="s">
        <v>252</v>
      </c>
      <c r="H111" t="s">
        <v>16</v>
      </c>
      <c r="I111" t="s">
        <v>16</v>
      </c>
      <c r="J111" t="s">
        <v>131</v>
      </c>
      <c r="K111">
        <v>154220431</v>
      </c>
      <c r="L111" t="s">
        <v>435</v>
      </c>
      <c r="M111" t="s">
        <v>147</v>
      </c>
      <c r="O111" t="s">
        <v>123</v>
      </c>
      <c r="P111" s="1"/>
      <c r="Q111" s="1"/>
      <c r="R111" s="1">
        <v>45413</v>
      </c>
      <c r="S11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1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11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11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1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1492</v>
      </c>
      <c r="X111">
        <f>Portefeuille_MNT_PPS_Access32[[#This Row],[Délais PC1 et PC3]]+Portefeuille_MNT_PPS_Access32[[#This Row],[Délais PC3 et PC5]]</f>
        <v>1492</v>
      </c>
      <c r="Z111">
        <v>1</v>
      </c>
      <c r="AB111" t="s">
        <v>125</v>
      </c>
      <c r="AC111">
        <v>2.6666666666666665</v>
      </c>
      <c r="AD111" s="2" t="e">
        <f>_xlfn.XLOOKUP(Portefeuille_MNT_PPS_Access32[[#This Row],[Numéro projet]],Portefeuille_MNT_PPS_Access27[Numéro projet],Portefeuille_MNT_PPS_Access27[Critère Etat Infrastructure])</f>
        <v>#N/A</v>
      </c>
      <c r="AE111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11" s="221"/>
      <c r="AI111">
        <v>2</v>
      </c>
      <c r="AJ111">
        <v>64</v>
      </c>
      <c r="AT111"/>
      <c r="BG111" s="14">
        <f>SUM(Portefeuille_MNT_PPS_Access32[[#This Row],[AC ANT]:[TR 2035]])</f>
        <v>66</v>
      </c>
      <c r="BH111" s="14">
        <f>SUM(Portefeuille_MNT_PPS_Access32[[#This Row],[AC 2026]:[TR 2030]])</f>
        <v>0</v>
      </c>
      <c r="BI111" s="14">
        <f>SUM(Portefeuille_MNT_PPS_Access32[[#This Row],[AC 2026]:[TR 2035]])</f>
        <v>0</v>
      </c>
    </row>
    <row r="112" spans="1:61" x14ac:dyDescent="0.3">
      <c r="A112" t="s">
        <v>286</v>
      </c>
      <c r="B112" t="s">
        <v>662</v>
      </c>
      <c r="D112" t="s">
        <v>118</v>
      </c>
      <c r="E112" t="s">
        <v>102</v>
      </c>
      <c r="F112" t="s">
        <v>119</v>
      </c>
      <c r="G112" t="s">
        <v>206</v>
      </c>
      <c r="H112" t="s">
        <v>16</v>
      </c>
      <c r="I112" t="s">
        <v>130</v>
      </c>
      <c r="J112" t="s">
        <v>131</v>
      </c>
      <c r="K112">
        <v>154180745</v>
      </c>
      <c r="L112" t="s">
        <v>208</v>
      </c>
      <c r="M112" t="s">
        <v>209</v>
      </c>
      <c r="N112" t="s">
        <v>197</v>
      </c>
      <c r="O112" t="s">
        <v>155</v>
      </c>
      <c r="P112" s="1">
        <v>45976</v>
      </c>
      <c r="Q112" s="1">
        <v>46096</v>
      </c>
      <c r="R112" s="1">
        <v>46280</v>
      </c>
      <c r="S11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4</v>
      </c>
      <c r="W11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6</v>
      </c>
      <c r="X112">
        <f>Portefeuille_MNT_PPS_Access32[[#This Row],[Délais PC1 et PC3]]+Portefeuille_MNT_PPS_Access32[[#This Row],[Délais PC3 et PC5]]</f>
        <v>10</v>
      </c>
      <c r="Z112">
        <v>1</v>
      </c>
      <c r="AA112">
        <v>5</v>
      </c>
      <c r="AB112" t="s">
        <v>156</v>
      </c>
      <c r="AC112">
        <v>3.3333333333333335</v>
      </c>
      <c r="AD112" s="2">
        <f>_xlfn.XLOOKUP(Portefeuille_MNT_PPS_Access32[[#This Row],[Numéro projet]],Portefeuille_MNT_PPS_Access27[Numéro projet],Portefeuille_MNT_PPS_Access27[Critère Etat Infrastructure])</f>
        <v>3</v>
      </c>
      <c r="AE11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61.666666666666671</v>
      </c>
      <c r="AF112" s="221"/>
      <c r="AG112">
        <v>196</v>
      </c>
      <c r="AJ112"/>
      <c r="AK112">
        <v>40</v>
      </c>
      <c r="AM112">
        <v>255</v>
      </c>
      <c r="AO112">
        <v>396</v>
      </c>
      <c r="AR112">
        <v>1500</v>
      </c>
      <c r="AT112"/>
      <c r="BG112" s="14">
        <f>SUM(Portefeuille_MNT_PPS_Access32[[#This Row],[AC ANT]:[TR 2035]])</f>
        <v>2387</v>
      </c>
      <c r="BH112" s="14">
        <f>SUM(Portefeuille_MNT_PPS_Access32[[#This Row],[AC 2026]:[TR 2030]])</f>
        <v>2151</v>
      </c>
      <c r="BI112" s="14">
        <f>SUM(Portefeuille_MNT_PPS_Access32[[#This Row],[AC 2026]:[TR 2035]])</f>
        <v>2151</v>
      </c>
    </row>
    <row r="113" spans="1:61" x14ac:dyDescent="0.3">
      <c r="A113" t="s">
        <v>286</v>
      </c>
      <c r="B113" t="s">
        <v>662</v>
      </c>
      <c r="D113" t="s">
        <v>118</v>
      </c>
      <c r="E113" t="s">
        <v>102</v>
      </c>
      <c r="F113" t="s">
        <v>103</v>
      </c>
      <c r="G113" t="s">
        <v>206</v>
      </c>
      <c r="H113" t="s">
        <v>16</v>
      </c>
      <c r="I113" t="s">
        <v>20</v>
      </c>
      <c r="J113" t="s">
        <v>131</v>
      </c>
      <c r="K113">
        <v>154180768</v>
      </c>
      <c r="L113" t="s">
        <v>211</v>
      </c>
      <c r="M113" t="s">
        <v>209</v>
      </c>
      <c r="N113" t="s">
        <v>197</v>
      </c>
      <c r="O113" t="s">
        <v>155</v>
      </c>
      <c r="P113" s="1">
        <v>45976</v>
      </c>
      <c r="Q113" s="1">
        <v>46341</v>
      </c>
      <c r="R113" s="1">
        <v>46706</v>
      </c>
      <c r="S11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11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13">
        <f>Portefeuille_MNT_PPS_Access32[[#This Row],[Délais PC1 et PC3]]+Portefeuille_MNT_PPS_Access32[[#This Row],[Délais PC3 et PC5]]</f>
        <v>24</v>
      </c>
      <c r="Z113">
        <v>1</v>
      </c>
      <c r="AA113">
        <v>5</v>
      </c>
      <c r="AB113" t="s">
        <v>156</v>
      </c>
      <c r="AC113">
        <v>3.3333333333333335</v>
      </c>
      <c r="AD113" s="2">
        <f>_xlfn.XLOOKUP(Portefeuille_MNT_PPS_Access32[[#This Row],[Numéro projet]],Portefeuille_MNT_PPS_Access27[Numéro projet],Portefeuille_MNT_PPS_Access27[Critère Etat Infrastructure])</f>
        <v>4</v>
      </c>
      <c r="AE11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66.666666666666671</v>
      </c>
      <c r="AF113" s="221"/>
      <c r="AG113">
        <v>8</v>
      </c>
      <c r="AJ113"/>
      <c r="AK113">
        <v>100</v>
      </c>
      <c r="AM113">
        <v>100</v>
      </c>
      <c r="AO113">
        <v>100</v>
      </c>
      <c r="AQ113">
        <v>250</v>
      </c>
      <c r="AR113">
        <v>7500</v>
      </c>
      <c r="AT113"/>
      <c r="BG113" s="14">
        <f>SUM(Portefeuille_MNT_PPS_Access32[[#This Row],[AC ANT]:[TR 2035]])</f>
        <v>8058</v>
      </c>
      <c r="BH113" s="14">
        <f>SUM(Portefeuille_MNT_PPS_Access32[[#This Row],[AC 2026]:[TR 2030]])</f>
        <v>7950</v>
      </c>
      <c r="BI113" s="14">
        <f>SUM(Portefeuille_MNT_PPS_Access32[[#This Row],[AC 2026]:[TR 2035]])</f>
        <v>7950</v>
      </c>
    </row>
    <row r="114" spans="1:61" x14ac:dyDescent="0.3">
      <c r="A114" t="s">
        <v>286</v>
      </c>
      <c r="B114" t="s">
        <v>663</v>
      </c>
      <c r="D114" t="s">
        <v>101</v>
      </c>
      <c r="E114" t="s">
        <v>102</v>
      </c>
      <c r="F114" t="s">
        <v>136</v>
      </c>
      <c r="G114" t="s">
        <v>206</v>
      </c>
      <c r="H114" t="s">
        <v>130</v>
      </c>
      <c r="I114" t="s">
        <v>20</v>
      </c>
      <c r="J114" t="s">
        <v>131</v>
      </c>
      <c r="K114">
        <v>154171404</v>
      </c>
      <c r="L114" t="s">
        <v>376</v>
      </c>
      <c r="M114" t="s">
        <v>209</v>
      </c>
      <c r="N114" t="s">
        <v>169</v>
      </c>
      <c r="O114" t="s">
        <v>155</v>
      </c>
      <c r="P114" s="1">
        <v>46280</v>
      </c>
      <c r="Q114" s="1">
        <v>46645</v>
      </c>
      <c r="R114" s="1">
        <v>47011</v>
      </c>
      <c r="S11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11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14">
        <f>Portefeuille_MNT_PPS_Access32[[#This Row],[Délais PC1 et PC3]]+Portefeuille_MNT_PPS_Access32[[#This Row],[Délais PC3 et PC5]]</f>
        <v>24</v>
      </c>
      <c r="Z114">
        <v>1</v>
      </c>
      <c r="AB114" t="s">
        <v>156</v>
      </c>
      <c r="AC114">
        <v>3.3333333333333335</v>
      </c>
      <c r="AD114" s="2">
        <f>_xlfn.XLOOKUP(Portefeuille_MNT_PPS_Access32[[#This Row],[Numéro projet]],Portefeuille_MNT_PPS_Access27[Numéro projet],Portefeuille_MNT_PPS_Access27[Critère Etat Infrastructure])</f>
        <v>4</v>
      </c>
      <c r="AE11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114" s="221"/>
      <c r="AJ114"/>
      <c r="AO114">
        <v>250</v>
      </c>
      <c r="AQ114">
        <v>350</v>
      </c>
      <c r="AS114">
        <v>500</v>
      </c>
      <c r="AT114">
        <v>1500</v>
      </c>
      <c r="AU114">
        <v>500</v>
      </c>
      <c r="AV114">
        <v>6000</v>
      </c>
      <c r="AW114">
        <v>600</v>
      </c>
      <c r="AX114">
        <v>10000</v>
      </c>
      <c r="BG114" s="14">
        <f>SUM(Portefeuille_MNT_PPS_Access32[[#This Row],[AC ANT]:[TR 2035]])</f>
        <v>19700</v>
      </c>
      <c r="BH114" s="14">
        <f>SUM(Portefeuille_MNT_PPS_Access32[[#This Row],[AC 2026]:[TR 2030]])</f>
        <v>9100</v>
      </c>
      <c r="BI114" s="14">
        <f>SUM(Portefeuille_MNT_PPS_Access32[[#This Row],[AC 2026]:[TR 2035]])</f>
        <v>19700</v>
      </c>
    </row>
    <row r="115" spans="1:61" x14ac:dyDescent="0.3">
      <c r="A115" t="s">
        <v>286</v>
      </c>
      <c r="B115" t="s">
        <v>664</v>
      </c>
      <c r="D115" t="s">
        <v>101</v>
      </c>
      <c r="E115" t="s">
        <v>102</v>
      </c>
      <c r="F115" t="s">
        <v>103</v>
      </c>
      <c r="G115" t="s">
        <v>140</v>
      </c>
      <c r="H115" t="s">
        <v>16</v>
      </c>
      <c r="I115" t="s">
        <v>16</v>
      </c>
      <c r="J115" t="s">
        <v>105</v>
      </c>
      <c r="K115">
        <v>154171517</v>
      </c>
      <c r="L115" t="s">
        <v>175</v>
      </c>
      <c r="M115" t="s">
        <v>143</v>
      </c>
      <c r="N115" t="s">
        <v>148</v>
      </c>
      <c r="O115" t="s">
        <v>164</v>
      </c>
      <c r="P115" s="1">
        <v>44014</v>
      </c>
      <c r="Q115" s="1">
        <v>44294</v>
      </c>
      <c r="R115" s="1">
        <v>45239</v>
      </c>
      <c r="S11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9</v>
      </c>
      <c r="W11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31</v>
      </c>
      <c r="X115">
        <f>Portefeuille_MNT_PPS_Access32[[#This Row],[Délais PC1 et PC3]]+Portefeuille_MNT_PPS_Access32[[#This Row],[Délais PC3 et PC5]]</f>
        <v>40</v>
      </c>
      <c r="Y115">
        <v>5</v>
      </c>
      <c r="Z115">
        <v>5</v>
      </c>
      <c r="AB115" t="s">
        <v>165</v>
      </c>
      <c r="AC115">
        <v>4.333333333333333</v>
      </c>
      <c r="AD115" s="2">
        <f>_xlfn.XLOOKUP(Portefeuille_MNT_PPS_Access32[[#This Row],[Numéro projet]],Portefeuille_MNT_PPS_Access27[Numéro projet],Portefeuille_MNT_PPS_Access27[Critère Etat Infrastructure])</f>
        <v>4</v>
      </c>
      <c r="AE11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100</v>
      </c>
      <c r="AF115" s="221"/>
      <c r="AG115">
        <v>389</v>
      </c>
      <c r="AH115">
        <v>4986</v>
      </c>
      <c r="AI115">
        <v>450</v>
      </c>
      <c r="AJ115">
        <v>25618</v>
      </c>
      <c r="AK115">
        <v>623</v>
      </c>
      <c r="AL115">
        <v>13622</v>
      </c>
      <c r="AM115">
        <v>55</v>
      </c>
      <c r="AN115">
        <v>1361</v>
      </c>
      <c r="AT115"/>
      <c r="BG115" s="14">
        <f>SUM(Portefeuille_MNT_PPS_Access32[[#This Row],[AC ANT]:[TR 2035]])</f>
        <v>47104</v>
      </c>
      <c r="BH115" s="14">
        <f>SUM(Portefeuille_MNT_PPS_Access32[[#This Row],[AC 2026]:[TR 2030]])</f>
        <v>1416</v>
      </c>
      <c r="BI115" s="14">
        <f>SUM(Portefeuille_MNT_PPS_Access32[[#This Row],[AC 2026]:[TR 2035]])</f>
        <v>1416</v>
      </c>
    </row>
    <row r="116" spans="1:61" x14ac:dyDescent="0.3">
      <c r="A116" t="s">
        <v>286</v>
      </c>
      <c r="B116" t="s">
        <v>664</v>
      </c>
      <c r="D116" t="s">
        <v>101</v>
      </c>
      <c r="E116" t="s">
        <v>102</v>
      </c>
      <c r="F116" t="s">
        <v>128</v>
      </c>
      <c r="G116" t="s">
        <v>140</v>
      </c>
      <c r="H116" t="s">
        <v>16</v>
      </c>
      <c r="I116" t="s">
        <v>16</v>
      </c>
      <c r="J116" t="s">
        <v>105</v>
      </c>
      <c r="K116">
        <v>154160008</v>
      </c>
      <c r="L116" t="s">
        <v>142</v>
      </c>
      <c r="M116" t="s">
        <v>143</v>
      </c>
      <c r="N116" t="s">
        <v>109</v>
      </c>
      <c r="O116" t="s">
        <v>123</v>
      </c>
      <c r="P116" s="1">
        <v>42900</v>
      </c>
      <c r="Q116" s="1">
        <v>45323</v>
      </c>
      <c r="R116" s="1">
        <v>45889</v>
      </c>
      <c r="S11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80</v>
      </c>
      <c r="W11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18</v>
      </c>
      <c r="X116">
        <f>Portefeuille_MNT_PPS_Access32[[#This Row],[Délais PC1 et PC3]]+Portefeuille_MNT_PPS_Access32[[#This Row],[Délais PC3 et PC5]]</f>
        <v>98</v>
      </c>
      <c r="Y116">
        <v>1</v>
      </c>
      <c r="Z116">
        <v>5</v>
      </c>
      <c r="AA116">
        <v>5</v>
      </c>
      <c r="AB116" t="s">
        <v>125</v>
      </c>
      <c r="AC116">
        <v>4.333333333333333</v>
      </c>
      <c r="AD116" s="2">
        <f>_xlfn.XLOOKUP(Portefeuille_MNT_PPS_Access32[[#This Row],[Numéro projet]],Portefeuille_MNT_PPS_Access27[Numéro projet],Portefeuille_MNT_PPS_Access27[Critère Etat Infrastructure])</f>
        <v>5</v>
      </c>
      <c r="AE11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96.666666666666671</v>
      </c>
      <c r="AF116" s="221"/>
      <c r="AG116">
        <v>61</v>
      </c>
      <c r="AJ116"/>
      <c r="AM116">
        <v>400</v>
      </c>
      <c r="AN116">
        <v>5141</v>
      </c>
      <c r="AT116"/>
      <c r="BG116" s="14">
        <f>SUM(Portefeuille_MNT_PPS_Access32[[#This Row],[AC ANT]:[TR 2035]])</f>
        <v>5602</v>
      </c>
      <c r="BH116" s="14">
        <f>SUM(Portefeuille_MNT_PPS_Access32[[#This Row],[AC 2026]:[TR 2030]])</f>
        <v>5541</v>
      </c>
      <c r="BI116" s="14">
        <f>SUM(Portefeuille_MNT_PPS_Access32[[#This Row],[AC 2026]:[TR 2035]])</f>
        <v>5541</v>
      </c>
    </row>
    <row r="117" spans="1:61" hidden="1" x14ac:dyDescent="0.3">
      <c r="A117" t="s">
        <v>286</v>
      </c>
      <c r="B117" t="s">
        <v>662</v>
      </c>
      <c r="D117" t="s">
        <v>118</v>
      </c>
      <c r="E117" t="s">
        <v>102</v>
      </c>
      <c r="F117" t="s">
        <v>103</v>
      </c>
      <c r="G117" t="s">
        <v>340</v>
      </c>
      <c r="H117" t="s">
        <v>16</v>
      </c>
      <c r="I117" t="s">
        <v>16</v>
      </c>
      <c r="J117" t="s">
        <v>105</v>
      </c>
      <c r="K117">
        <v>154230638</v>
      </c>
      <c r="L117" t="s">
        <v>355</v>
      </c>
      <c r="M117" t="s">
        <v>143</v>
      </c>
      <c r="O117" t="s">
        <v>164</v>
      </c>
      <c r="P117" s="1"/>
      <c r="Q117" s="1"/>
      <c r="R117" s="1"/>
      <c r="S11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1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1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1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1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17">
        <f>Portefeuille_MNT_PPS_Access32[[#This Row],[Délais PC1 et PC3]]+Portefeuille_MNT_PPS_Access32[[#This Row],[Délais PC3 et PC5]]</f>
        <v>0</v>
      </c>
      <c r="Z117">
        <v>1</v>
      </c>
      <c r="AB117" t="s">
        <v>165</v>
      </c>
      <c r="AC117">
        <v>4.333333333333333</v>
      </c>
      <c r="AD117" s="2" t="e">
        <f>_xlfn.XLOOKUP(Portefeuille_MNT_PPS_Access32[[#This Row],[Numéro projet]],Portefeuille_MNT_PPS_Access27[Numéro projet],Portefeuille_MNT_PPS_Access27[Critère Etat Infrastructure])</f>
        <v>#N/A</v>
      </c>
      <c r="AE117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17" s="221"/>
      <c r="AG117">
        <v>173</v>
      </c>
      <c r="AH117">
        <v>7850</v>
      </c>
      <c r="AI117">
        <v>3</v>
      </c>
      <c r="AJ117">
        <v>173</v>
      </c>
      <c r="AT117"/>
      <c r="BG117" s="14">
        <f>SUM(Portefeuille_MNT_PPS_Access32[[#This Row],[AC ANT]:[TR 2035]])</f>
        <v>8199</v>
      </c>
      <c r="BH117" s="14">
        <f>SUM(Portefeuille_MNT_PPS_Access32[[#This Row],[AC 2026]:[TR 2030]])</f>
        <v>0</v>
      </c>
      <c r="BI117" s="14">
        <f>SUM(Portefeuille_MNT_PPS_Access32[[#This Row],[AC 2026]:[TR 2035]])</f>
        <v>0</v>
      </c>
    </row>
    <row r="118" spans="1:61" x14ac:dyDescent="0.3">
      <c r="A118" t="s">
        <v>286</v>
      </c>
      <c r="B118" t="s">
        <v>662</v>
      </c>
      <c r="D118" t="s">
        <v>118</v>
      </c>
      <c r="E118" t="s">
        <v>102</v>
      </c>
      <c r="F118" t="s">
        <v>136</v>
      </c>
      <c r="G118" t="s">
        <v>104</v>
      </c>
      <c r="H118" t="s">
        <v>16</v>
      </c>
      <c r="I118" t="s">
        <v>20</v>
      </c>
      <c r="J118" t="s">
        <v>105</v>
      </c>
      <c r="K118">
        <v>154240757</v>
      </c>
      <c r="L118" t="s">
        <v>519</v>
      </c>
      <c r="M118" t="s">
        <v>143</v>
      </c>
      <c r="N118" t="s">
        <v>197</v>
      </c>
      <c r="O118" t="s">
        <v>155</v>
      </c>
      <c r="P118" s="1">
        <v>46127</v>
      </c>
      <c r="Q118" s="1"/>
      <c r="R118" s="1"/>
      <c r="S11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1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1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1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-1515</v>
      </c>
      <c r="W11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18">
        <f>Portefeuille_MNT_PPS_Access32[[#This Row],[Délais PC1 et PC3]]+Portefeuille_MNT_PPS_Access32[[#This Row],[Délais PC3 et PC5]]</f>
        <v>-1515</v>
      </c>
      <c r="Z118">
        <v>1</v>
      </c>
      <c r="AA118">
        <v>1</v>
      </c>
      <c r="AB118" t="s">
        <v>156</v>
      </c>
      <c r="AC118">
        <v>4.333333333333333</v>
      </c>
      <c r="AD118" s="2">
        <f>_xlfn.XLOOKUP(Portefeuille_MNT_PPS_Access32[[#This Row],[Numéro projet]],Portefeuille_MNT_PPS_Access27[Numéro projet],Portefeuille_MNT_PPS_Access27[Critère Etat Infrastructure])</f>
        <v>5</v>
      </c>
      <c r="AE11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56.666666666666664</v>
      </c>
      <c r="AF118" s="221"/>
      <c r="AJ118"/>
      <c r="AM118">
        <v>10</v>
      </c>
      <c r="AO118">
        <v>15</v>
      </c>
      <c r="AQ118">
        <v>25</v>
      </c>
      <c r="AR118">
        <v>250</v>
      </c>
      <c r="AT118"/>
      <c r="BG118" s="14">
        <f>SUM(Portefeuille_MNT_PPS_Access32[[#This Row],[AC ANT]:[TR 2035]])</f>
        <v>300</v>
      </c>
      <c r="BH118" s="14">
        <f>SUM(Portefeuille_MNT_PPS_Access32[[#This Row],[AC 2026]:[TR 2030]])</f>
        <v>300</v>
      </c>
      <c r="BI118" s="14">
        <f>SUM(Portefeuille_MNT_PPS_Access32[[#This Row],[AC 2026]:[TR 2035]])</f>
        <v>300</v>
      </c>
    </row>
    <row r="119" spans="1:61" x14ac:dyDescent="0.3">
      <c r="A119" t="s">
        <v>286</v>
      </c>
      <c r="B119" t="s">
        <v>295</v>
      </c>
      <c r="D119" t="s">
        <v>126</v>
      </c>
      <c r="E119" t="s">
        <v>127</v>
      </c>
      <c r="F119" t="s">
        <v>103</v>
      </c>
      <c r="G119" t="s">
        <v>140</v>
      </c>
      <c r="H119" t="s">
        <v>20</v>
      </c>
      <c r="I119" t="s">
        <v>20</v>
      </c>
      <c r="J119" t="s">
        <v>105</v>
      </c>
      <c r="K119">
        <v>154220338</v>
      </c>
      <c r="L119" t="s">
        <v>636</v>
      </c>
      <c r="M119" t="s">
        <v>143</v>
      </c>
      <c r="N119" s="2" t="s">
        <v>370</v>
      </c>
      <c r="O119" t="s">
        <v>155</v>
      </c>
      <c r="P119" s="1">
        <v>46266</v>
      </c>
      <c r="Q119" s="1">
        <v>46631</v>
      </c>
      <c r="R119" s="1">
        <v>46997</v>
      </c>
      <c r="S11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1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1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1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11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19">
        <f>Portefeuille_MNT_PPS_Access32[[#This Row],[Délais PC1 et PC3]]+Portefeuille_MNT_PPS_Access32[[#This Row],[Délais PC3 et PC5]]</f>
        <v>24</v>
      </c>
      <c r="Z119">
        <v>1</v>
      </c>
      <c r="AB119" t="s">
        <v>156</v>
      </c>
      <c r="AC119">
        <v>4.333333333333333</v>
      </c>
      <c r="AD119" s="2">
        <f>_xlfn.XLOOKUP(Portefeuille_MNT_PPS_Access32[[#This Row],[Numéro projet]],Portefeuille_MNT_PPS_Access27[Numéro projet],Portefeuille_MNT_PPS_Access27[Critère Etat Infrastructure])</f>
        <v>3</v>
      </c>
      <c r="AE11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119" s="221"/>
      <c r="AJ119"/>
      <c r="AQ119">
        <v>375</v>
      </c>
      <c r="AS119">
        <v>375</v>
      </c>
      <c r="AT119"/>
      <c r="AU119">
        <v>750</v>
      </c>
      <c r="AW119">
        <v>875</v>
      </c>
      <c r="AX119">
        <v>5136</v>
      </c>
      <c r="AY119">
        <v>1250</v>
      </c>
      <c r="AZ119">
        <v>34450</v>
      </c>
      <c r="BA119">
        <v>500</v>
      </c>
      <c r="BB119">
        <v>28275</v>
      </c>
      <c r="BC119">
        <v>1000</v>
      </c>
      <c r="BD119">
        <v>42000</v>
      </c>
      <c r="BG119" s="14">
        <f>SUM(Portefeuille_MNT_PPS_Access32[[#This Row],[AC ANT]:[TR 2035]])</f>
        <v>114986</v>
      </c>
      <c r="BH119" s="14">
        <f>SUM(Portefeuille_MNT_PPS_Access32[[#This Row],[AC 2026]:[TR 2030]])</f>
        <v>1500</v>
      </c>
      <c r="BI119" s="14">
        <f>SUM(Portefeuille_MNT_PPS_Access32[[#This Row],[AC 2026]:[TR 2035]])</f>
        <v>114986</v>
      </c>
    </row>
    <row r="120" spans="1:61" x14ac:dyDescent="0.3">
      <c r="A120" t="s">
        <v>286</v>
      </c>
      <c r="B120" t="s">
        <v>664</v>
      </c>
      <c r="D120" t="s">
        <v>101</v>
      </c>
      <c r="E120" t="s">
        <v>102</v>
      </c>
      <c r="F120" t="s">
        <v>389</v>
      </c>
      <c r="H120" t="s">
        <v>20</v>
      </c>
      <c r="I120" t="s">
        <v>20</v>
      </c>
      <c r="J120" t="s">
        <v>105</v>
      </c>
      <c r="K120">
        <v>154220360</v>
      </c>
      <c r="L120" t="s">
        <v>433</v>
      </c>
      <c r="M120" t="s">
        <v>143</v>
      </c>
      <c r="N120" t="s">
        <v>370</v>
      </c>
      <c r="O120" t="s">
        <v>291</v>
      </c>
      <c r="P120" s="1"/>
      <c r="Q120" s="1"/>
      <c r="R120" s="1"/>
      <c r="S12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0">
        <f>Portefeuille_MNT_PPS_Access32[[#This Row],[Délais PC1 et PC3]]+Portefeuille_MNT_PPS_Access32[[#This Row],[Délais PC3 et PC5]]</f>
        <v>0</v>
      </c>
      <c r="Z120">
        <v>1</v>
      </c>
      <c r="AB120" t="s">
        <v>311</v>
      </c>
      <c r="AC120">
        <v>4.333333333333333</v>
      </c>
      <c r="AD120" s="2">
        <f>_xlfn.XLOOKUP(Portefeuille_MNT_PPS_Access32[[#This Row],[Numéro projet]],Portefeuille_MNT_PPS_Access27[Numéro projet],Portefeuille_MNT_PPS_Access27[Critère Etat Infrastructure])</f>
        <v>4</v>
      </c>
      <c r="AE12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46.666666666666664</v>
      </c>
      <c r="AF120" s="221"/>
      <c r="AJ120"/>
      <c r="AT120"/>
      <c r="AU120">
        <v>100</v>
      </c>
      <c r="AW120">
        <v>200</v>
      </c>
      <c r="AX120">
        <v>5000</v>
      </c>
      <c r="BG120" s="14">
        <f>SUM(Portefeuille_MNT_PPS_Access32[[#This Row],[AC ANT]:[TR 2035]])</f>
        <v>5300</v>
      </c>
      <c r="BH120" s="14">
        <f>SUM(Portefeuille_MNT_PPS_Access32[[#This Row],[AC 2026]:[TR 2030]])</f>
        <v>100</v>
      </c>
      <c r="BI120" s="14">
        <f>SUM(Portefeuille_MNT_PPS_Access32[[#This Row],[AC 2026]:[TR 2035]])</f>
        <v>5300</v>
      </c>
    </row>
    <row r="121" spans="1:61" x14ac:dyDescent="0.3">
      <c r="A121" t="s">
        <v>286</v>
      </c>
      <c r="B121" t="s">
        <v>663</v>
      </c>
      <c r="D121" t="s">
        <v>101</v>
      </c>
      <c r="E121" t="s">
        <v>102</v>
      </c>
      <c r="F121" t="s">
        <v>136</v>
      </c>
      <c r="H121" t="s">
        <v>20</v>
      </c>
      <c r="I121" t="s">
        <v>20</v>
      </c>
      <c r="J121" t="s">
        <v>105</v>
      </c>
      <c r="K121">
        <v>154240501</v>
      </c>
      <c r="L121" t="s">
        <v>455</v>
      </c>
      <c r="M121" t="s">
        <v>143</v>
      </c>
      <c r="N121" t="s">
        <v>421</v>
      </c>
      <c r="O121" t="s">
        <v>291</v>
      </c>
      <c r="P121" s="1"/>
      <c r="Q121" s="1"/>
      <c r="R121" s="1"/>
      <c r="S12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1">
        <f>Portefeuille_MNT_PPS_Access32[[#This Row],[Délais PC1 et PC3]]+Portefeuille_MNT_PPS_Access32[[#This Row],[Délais PC3 et PC5]]</f>
        <v>0</v>
      </c>
      <c r="Z121">
        <v>1</v>
      </c>
      <c r="AB121" t="s">
        <v>311</v>
      </c>
      <c r="AC121">
        <v>4.333333333333333</v>
      </c>
      <c r="AD121" s="2">
        <f>_xlfn.XLOOKUP(Portefeuille_MNT_PPS_Access32[[#This Row],[Numéro projet]],Portefeuille_MNT_PPS_Access27[Numéro projet],Portefeuille_MNT_PPS_Access27[Critère Etat Infrastructure])</f>
        <v>3</v>
      </c>
      <c r="AE12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41.666666666666664</v>
      </c>
      <c r="AF121" s="221"/>
      <c r="AJ121"/>
      <c r="AS121">
        <v>150</v>
      </c>
      <c r="AT121"/>
      <c r="AU121">
        <v>150</v>
      </c>
      <c r="AW121">
        <v>500</v>
      </c>
      <c r="AY121">
        <v>500</v>
      </c>
      <c r="AZ121">
        <v>5000</v>
      </c>
      <c r="BA121">
        <v>500</v>
      </c>
      <c r="BB121">
        <v>5000</v>
      </c>
      <c r="BG121" s="14">
        <f>SUM(Portefeuille_MNT_PPS_Access32[[#This Row],[AC ANT]:[TR 2035]])</f>
        <v>11800</v>
      </c>
      <c r="BH121" s="14">
        <f>SUM(Portefeuille_MNT_PPS_Access32[[#This Row],[AC 2026]:[TR 2030]])</f>
        <v>300</v>
      </c>
      <c r="BI121" s="14">
        <f>SUM(Portefeuille_MNT_PPS_Access32[[#This Row],[AC 2026]:[TR 2035]])</f>
        <v>11800</v>
      </c>
    </row>
    <row r="122" spans="1:61" x14ac:dyDescent="0.3">
      <c r="A122" t="s">
        <v>286</v>
      </c>
      <c r="B122" t="s">
        <v>664</v>
      </c>
      <c r="D122" t="s">
        <v>101</v>
      </c>
      <c r="E122" t="s">
        <v>102</v>
      </c>
      <c r="F122" t="s">
        <v>103</v>
      </c>
      <c r="G122" t="s">
        <v>149</v>
      </c>
      <c r="H122" t="s">
        <v>16</v>
      </c>
      <c r="I122" t="s">
        <v>16</v>
      </c>
      <c r="J122" t="s">
        <v>105</v>
      </c>
      <c r="K122">
        <v>154190480</v>
      </c>
      <c r="L122" t="s">
        <v>229</v>
      </c>
      <c r="M122" t="s">
        <v>230</v>
      </c>
      <c r="N122" t="s">
        <v>148</v>
      </c>
      <c r="O122" t="s">
        <v>164</v>
      </c>
      <c r="P122" s="1">
        <v>45022</v>
      </c>
      <c r="Q122" s="1">
        <v>45463</v>
      </c>
      <c r="R122" s="1">
        <v>45590</v>
      </c>
      <c r="S12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2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12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2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12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4</v>
      </c>
      <c r="X122">
        <f>Portefeuille_MNT_PPS_Access32[[#This Row],[Délais PC1 et PC3]]+Portefeuille_MNT_PPS_Access32[[#This Row],[Délais PC3 et PC5]]</f>
        <v>18</v>
      </c>
      <c r="Y122">
        <v>1</v>
      </c>
      <c r="Z122">
        <v>5</v>
      </c>
      <c r="AB122" t="s">
        <v>165</v>
      </c>
      <c r="AC122">
        <v>3</v>
      </c>
      <c r="AD122" s="2">
        <f>_xlfn.XLOOKUP(Portefeuille_MNT_PPS_Access32[[#This Row],[Numéro projet]],Portefeuille_MNT_PPS_Access27[Numéro projet],Portefeuille_MNT_PPS_Access27[Critère Etat Infrastructure])</f>
        <v>4</v>
      </c>
      <c r="AE12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95</v>
      </c>
      <c r="AF122" s="221"/>
      <c r="AG122">
        <v>61</v>
      </c>
      <c r="AJ122"/>
      <c r="AK122">
        <v>601</v>
      </c>
      <c r="AL122">
        <v>11581</v>
      </c>
      <c r="AT122"/>
      <c r="BG122" s="14">
        <f>SUM(Portefeuille_MNT_PPS_Access32[[#This Row],[AC ANT]:[TR 2035]])</f>
        <v>12243</v>
      </c>
      <c r="BH122" s="14">
        <f>SUM(Portefeuille_MNT_PPS_Access32[[#This Row],[AC 2026]:[TR 2030]])</f>
        <v>0</v>
      </c>
      <c r="BI122" s="14">
        <f>SUM(Portefeuille_MNT_PPS_Access32[[#This Row],[AC 2026]:[TR 2035]])</f>
        <v>0</v>
      </c>
    </row>
    <row r="123" spans="1:61" x14ac:dyDescent="0.3">
      <c r="A123" t="s">
        <v>286</v>
      </c>
      <c r="B123" t="s">
        <v>662</v>
      </c>
      <c r="D123" t="s">
        <v>118</v>
      </c>
      <c r="E123" t="s">
        <v>102</v>
      </c>
      <c r="F123" t="s">
        <v>136</v>
      </c>
      <c r="H123" t="s">
        <v>20</v>
      </c>
      <c r="I123" t="s">
        <v>20</v>
      </c>
      <c r="J123" t="s">
        <v>105</v>
      </c>
      <c r="K123">
        <v>154250513</v>
      </c>
      <c r="L123" t="s">
        <v>697</v>
      </c>
      <c r="M123" t="s">
        <v>230</v>
      </c>
      <c r="N123" t="s">
        <v>169</v>
      </c>
      <c r="P123" s="1"/>
      <c r="Q123" s="1"/>
      <c r="R123" s="1"/>
      <c r="S12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3">
        <f>Portefeuille_MNT_PPS_Access32[[#This Row],[Délais PC1 et PC3]]+Portefeuille_MNT_PPS_Access32[[#This Row],[Délais PC3 et PC5]]</f>
        <v>0</v>
      </c>
      <c r="Z123">
        <v>1</v>
      </c>
      <c r="AC123">
        <v>3</v>
      </c>
      <c r="AD123" s="2" t="e">
        <f>_xlfn.XLOOKUP(Portefeuille_MNT_PPS_Access32[[#This Row],[Numéro projet]],Portefeuille_MNT_PPS_Access27[Numéro projet],Portefeuille_MNT_PPS_Access27[Critère Etat Infrastructure])</f>
        <v>#N/A</v>
      </c>
      <c r="AE123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23" s="221"/>
      <c r="AJ123"/>
      <c r="AQ123">
        <v>75</v>
      </c>
      <c r="AS123">
        <v>75</v>
      </c>
      <c r="AT123">
        <v>1500</v>
      </c>
      <c r="BG123" s="14">
        <f>SUM(Portefeuille_MNT_PPS_Access32[[#This Row],[AC ANT]:[TR 2035]])</f>
        <v>1650</v>
      </c>
      <c r="BH123" s="14">
        <f>SUM(Portefeuille_MNT_PPS_Access32[[#This Row],[AC 2026]:[TR 2030]])</f>
        <v>1650</v>
      </c>
      <c r="BI123" s="14">
        <f>SUM(Portefeuille_MNT_PPS_Access32[[#This Row],[AC 2026]:[TR 2035]])</f>
        <v>1650</v>
      </c>
    </row>
    <row r="124" spans="1:61" x14ac:dyDescent="0.3">
      <c r="A124" t="s">
        <v>286</v>
      </c>
      <c r="B124" t="s">
        <v>663</v>
      </c>
      <c r="D124" t="s">
        <v>101</v>
      </c>
      <c r="E124" t="s">
        <v>102</v>
      </c>
      <c r="F124" t="s">
        <v>136</v>
      </c>
      <c r="H124" t="s">
        <v>20</v>
      </c>
      <c r="I124" t="s">
        <v>20</v>
      </c>
      <c r="J124" t="s">
        <v>105</v>
      </c>
      <c r="K124">
        <v>154240505</v>
      </c>
      <c r="L124" t="s">
        <v>463</v>
      </c>
      <c r="M124" t="s">
        <v>230</v>
      </c>
      <c r="N124" t="s">
        <v>392</v>
      </c>
      <c r="O124" t="s">
        <v>291</v>
      </c>
      <c r="P124" s="1"/>
      <c r="Q124" s="1"/>
      <c r="R124" s="1"/>
      <c r="S12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4">
        <f>Portefeuille_MNT_PPS_Access32[[#This Row],[Délais PC1 et PC3]]+Portefeuille_MNT_PPS_Access32[[#This Row],[Délais PC3 et PC5]]</f>
        <v>0</v>
      </c>
      <c r="Z124">
        <v>1</v>
      </c>
      <c r="AB124" t="s">
        <v>311</v>
      </c>
      <c r="AC124">
        <v>3</v>
      </c>
      <c r="AD124" s="2">
        <f>_xlfn.XLOOKUP(Portefeuille_MNT_PPS_Access32[[#This Row],[Numéro projet]],Portefeuille_MNT_PPS_Access27[Numéro projet],Portefeuille_MNT_PPS_Access27[Critère Etat Infrastructure])</f>
        <v>3</v>
      </c>
      <c r="AE12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35</v>
      </c>
      <c r="AF124" s="221"/>
      <c r="AJ124"/>
      <c r="AT124"/>
      <c r="AW124">
        <v>150</v>
      </c>
      <c r="AY124">
        <v>150</v>
      </c>
      <c r="BA124">
        <v>500</v>
      </c>
      <c r="BB124">
        <v>6800</v>
      </c>
      <c r="BG124" s="14">
        <f>SUM(Portefeuille_MNT_PPS_Access32[[#This Row],[AC ANT]:[TR 2035]])</f>
        <v>7600</v>
      </c>
      <c r="BH124" s="14">
        <f>SUM(Portefeuille_MNT_PPS_Access32[[#This Row],[AC 2026]:[TR 2030]])</f>
        <v>0</v>
      </c>
      <c r="BI124" s="14">
        <f>SUM(Portefeuille_MNT_PPS_Access32[[#This Row],[AC 2026]:[TR 2035]])</f>
        <v>7600</v>
      </c>
    </row>
    <row r="125" spans="1:61" x14ac:dyDescent="0.3">
      <c r="A125" t="s">
        <v>286</v>
      </c>
      <c r="B125" t="s">
        <v>662</v>
      </c>
      <c r="D125" t="s">
        <v>118</v>
      </c>
      <c r="E125" t="s">
        <v>102</v>
      </c>
      <c r="F125" t="s">
        <v>103</v>
      </c>
      <c r="H125" t="s">
        <v>20</v>
      </c>
      <c r="I125" t="s">
        <v>20</v>
      </c>
      <c r="J125" t="s">
        <v>131</v>
      </c>
      <c r="K125">
        <v>154220352</v>
      </c>
      <c r="L125" t="s">
        <v>530</v>
      </c>
      <c r="M125" t="s">
        <v>420</v>
      </c>
      <c r="N125" t="s">
        <v>421</v>
      </c>
      <c r="O125" t="s">
        <v>291</v>
      </c>
      <c r="P125" s="1"/>
      <c r="Q125" s="1"/>
      <c r="R125" s="1"/>
      <c r="S12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5">
        <f>Portefeuille_MNT_PPS_Access32[[#This Row],[Délais PC1 et PC3]]+Portefeuille_MNT_PPS_Access32[[#This Row],[Délais PC3 et PC5]]</f>
        <v>0</v>
      </c>
      <c r="Z125">
        <v>1</v>
      </c>
      <c r="AB125" t="s">
        <v>311</v>
      </c>
      <c r="AC125">
        <v>3.6666666666666665</v>
      </c>
      <c r="AD125" s="2">
        <f>_xlfn.XLOOKUP(Portefeuille_MNT_PPS_Access32[[#This Row],[Numéro projet]],Portefeuille_MNT_PPS_Access27[Numéro projet],Portefeuille_MNT_PPS_Access27[Critère Etat Infrastructure])</f>
        <v>4</v>
      </c>
      <c r="AE12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43.333333333333329</v>
      </c>
      <c r="AF125" s="221"/>
      <c r="AJ125"/>
      <c r="AT125"/>
      <c r="AU125">
        <v>100</v>
      </c>
      <c r="AW125">
        <v>200</v>
      </c>
      <c r="AY125">
        <v>450</v>
      </c>
      <c r="AZ125">
        <v>7500</v>
      </c>
      <c r="BG125" s="14">
        <f>SUM(Portefeuille_MNT_PPS_Access32[[#This Row],[AC ANT]:[TR 2035]])</f>
        <v>8250</v>
      </c>
      <c r="BH125" s="14">
        <f>SUM(Portefeuille_MNT_PPS_Access32[[#This Row],[AC 2026]:[TR 2030]])</f>
        <v>100</v>
      </c>
      <c r="BI125" s="14">
        <f>SUM(Portefeuille_MNT_PPS_Access32[[#This Row],[AC 2026]:[TR 2035]])</f>
        <v>8250</v>
      </c>
    </row>
    <row r="126" spans="1:61" x14ac:dyDescent="0.3">
      <c r="A126" t="s">
        <v>286</v>
      </c>
      <c r="B126" t="s">
        <v>662</v>
      </c>
      <c r="D126" t="s">
        <v>118</v>
      </c>
      <c r="E126" t="s">
        <v>102</v>
      </c>
      <c r="F126" t="s">
        <v>242</v>
      </c>
      <c r="H126" t="s">
        <v>20</v>
      </c>
      <c r="I126" t="s">
        <v>20</v>
      </c>
      <c r="J126" t="s">
        <v>131</v>
      </c>
      <c r="K126">
        <v>154250476</v>
      </c>
      <c r="L126" t="s">
        <v>686</v>
      </c>
      <c r="M126" t="s">
        <v>687</v>
      </c>
      <c r="N126" t="s">
        <v>184</v>
      </c>
      <c r="P126" s="1"/>
      <c r="Q126" s="1"/>
      <c r="R126" s="1"/>
      <c r="S12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6">
        <f>Portefeuille_MNT_PPS_Access32[[#This Row],[Délais PC1 et PC3]]+Portefeuille_MNT_PPS_Access32[[#This Row],[Délais PC3 et PC5]]</f>
        <v>0</v>
      </c>
      <c r="Z126">
        <v>1</v>
      </c>
      <c r="AC126">
        <v>1.6666666666666667</v>
      </c>
      <c r="AD126" s="2">
        <f>_xlfn.XLOOKUP(Portefeuille_MNT_PPS_Access32[[#This Row],[Numéro projet]],Portefeuille_MNT_PPS_Access27[Numéro projet],Portefeuille_MNT_PPS_Access27[Critère Etat Infrastructure])</f>
        <v>3</v>
      </c>
      <c r="AE12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28.333333333333332</v>
      </c>
      <c r="AF126" s="221"/>
      <c r="AJ126"/>
      <c r="AQ126">
        <v>50</v>
      </c>
      <c r="AS126">
        <v>100</v>
      </c>
      <c r="AT126"/>
      <c r="AU126">
        <v>200</v>
      </c>
      <c r="AV126">
        <v>1500</v>
      </c>
      <c r="BG126" s="14">
        <f>SUM(Portefeuille_MNT_PPS_Access32[[#This Row],[AC ANT]:[TR 2035]])</f>
        <v>1850</v>
      </c>
      <c r="BH126" s="14">
        <f>SUM(Portefeuille_MNT_PPS_Access32[[#This Row],[AC 2026]:[TR 2030]])</f>
        <v>1850</v>
      </c>
      <c r="BI126" s="14">
        <f>SUM(Portefeuille_MNT_PPS_Access32[[#This Row],[AC 2026]:[TR 2035]])</f>
        <v>1850</v>
      </c>
    </row>
    <row r="127" spans="1:61" x14ac:dyDescent="0.3">
      <c r="A127" t="s">
        <v>286</v>
      </c>
      <c r="B127" t="s">
        <v>662</v>
      </c>
      <c r="C127">
        <v>1</v>
      </c>
      <c r="D127" t="s">
        <v>118</v>
      </c>
      <c r="E127" t="s">
        <v>102</v>
      </c>
      <c r="F127" t="s">
        <v>188</v>
      </c>
      <c r="G127" t="s">
        <v>113</v>
      </c>
      <c r="H127" t="s">
        <v>16</v>
      </c>
      <c r="I127" t="s">
        <v>130</v>
      </c>
      <c r="J127" t="s">
        <v>131</v>
      </c>
      <c r="K127">
        <v>154151031</v>
      </c>
      <c r="L127" t="s">
        <v>190</v>
      </c>
      <c r="M127" t="s">
        <v>191</v>
      </c>
      <c r="N127" t="s">
        <v>109</v>
      </c>
      <c r="O127" t="s">
        <v>123</v>
      </c>
      <c r="P127" s="1">
        <v>45684</v>
      </c>
      <c r="Q127" s="1"/>
      <c r="R127" s="1">
        <v>46006</v>
      </c>
      <c r="S12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2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2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-1500</v>
      </c>
      <c r="W12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1511</v>
      </c>
      <c r="X127">
        <f>Portefeuille_MNT_PPS_Access32[[#This Row],[Délais PC1 et PC3]]+Portefeuille_MNT_PPS_Access32[[#This Row],[Délais PC3 et PC5]]</f>
        <v>11</v>
      </c>
      <c r="Y127">
        <v>1</v>
      </c>
      <c r="Z127">
        <v>1</v>
      </c>
      <c r="AA127">
        <v>5</v>
      </c>
      <c r="AB127" t="s">
        <v>125</v>
      </c>
      <c r="AC127">
        <v>1.6666666666666667</v>
      </c>
      <c r="AD127" s="2">
        <f>_xlfn.XLOOKUP(Portefeuille_MNT_PPS_Access32[[#This Row],[Numéro projet]],Portefeuille_MNT_PPS_Access27[Numéro projet],Portefeuille_MNT_PPS_Access27[Critère Etat Infrastructure])</f>
        <v>5</v>
      </c>
      <c r="AE12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63.333333333333343</v>
      </c>
      <c r="AF127" s="221"/>
      <c r="AJ127"/>
      <c r="AK127">
        <v>132</v>
      </c>
      <c r="AM127">
        <v>262</v>
      </c>
      <c r="AN127">
        <v>899</v>
      </c>
      <c r="AT127"/>
      <c r="BG127" s="14">
        <f>SUM(Portefeuille_MNT_PPS_Access32[[#This Row],[AC ANT]:[TR 2035]])</f>
        <v>1293</v>
      </c>
      <c r="BH127" s="14">
        <f>SUM(Portefeuille_MNT_PPS_Access32[[#This Row],[AC 2026]:[TR 2030]])</f>
        <v>1161</v>
      </c>
      <c r="BI127" s="14">
        <f>SUM(Portefeuille_MNT_PPS_Access32[[#This Row],[AC 2026]:[TR 2035]])</f>
        <v>1161</v>
      </c>
    </row>
    <row r="128" spans="1:61" x14ac:dyDescent="0.3">
      <c r="A128" t="s">
        <v>286</v>
      </c>
      <c r="B128" t="s">
        <v>662</v>
      </c>
      <c r="C128">
        <v>2</v>
      </c>
      <c r="D128" t="s">
        <v>118</v>
      </c>
      <c r="E128" t="s">
        <v>102</v>
      </c>
      <c r="F128" t="s">
        <v>103</v>
      </c>
      <c r="G128" t="s">
        <v>113</v>
      </c>
      <c r="H128" t="s">
        <v>20</v>
      </c>
      <c r="I128" t="s">
        <v>20</v>
      </c>
      <c r="J128" t="s">
        <v>131</v>
      </c>
      <c r="K128">
        <v>154180766</v>
      </c>
      <c r="L128" t="s">
        <v>378</v>
      </c>
      <c r="M128" t="s">
        <v>191</v>
      </c>
      <c r="N128" t="s">
        <v>197</v>
      </c>
      <c r="O128" t="s">
        <v>155</v>
      </c>
      <c r="P128" s="1">
        <v>46068</v>
      </c>
      <c r="Q128" s="1">
        <v>46461</v>
      </c>
      <c r="R128" s="1">
        <v>46888</v>
      </c>
      <c r="S12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12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2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1.Très à risque</v>
      </c>
      <c r="V12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13</v>
      </c>
      <c r="W12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</v>
      </c>
      <c r="X128">
        <f>Portefeuille_MNT_PPS_Access32[[#This Row],[Délais PC1 et PC3]]+Portefeuille_MNT_PPS_Access32[[#This Row],[Délais PC3 et PC5]]</f>
        <v>27</v>
      </c>
      <c r="Z128">
        <v>1</v>
      </c>
      <c r="AA128">
        <v>3</v>
      </c>
      <c r="AB128" t="s">
        <v>156</v>
      </c>
      <c r="AC128">
        <v>1.6666666666666667</v>
      </c>
      <c r="AD128" s="2">
        <f>_xlfn.XLOOKUP(Portefeuille_MNT_PPS_Access32[[#This Row],[Numéro projet]],Portefeuille_MNT_PPS_Access27[Numéro projet],Portefeuille_MNT_PPS_Access27[Critère Etat Infrastructure])</f>
        <v>4</v>
      </c>
      <c r="AE12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48.333333333333336</v>
      </c>
      <c r="AF128" s="221"/>
      <c r="AJ128"/>
      <c r="AM128">
        <v>100</v>
      </c>
      <c r="AO128">
        <v>200</v>
      </c>
      <c r="AQ128">
        <v>495</v>
      </c>
      <c r="AR128">
        <v>8000</v>
      </c>
      <c r="AT128"/>
      <c r="BG128" s="14">
        <f>SUM(Portefeuille_MNT_PPS_Access32[[#This Row],[AC ANT]:[TR 2035]])</f>
        <v>8795</v>
      </c>
      <c r="BH128" s="14">
        <f>SUM(Portefeuille_MNT_PPS_Access32[[#This Row],[AC 2026]:[TR 2030]])</f>
        <v>8795</v>
      </c>
      <c r="BI128" s="14">
        <f>SUM(Portefeuille_MNT_PPS_Access32[[#This Row],[AC 2026]:[TR 2035]])</f>
        <v>8795</v>
      </c>
    </row>
    <row r="129" spans="1:61" x14ac:dyDescent="0.3">
      <c r="A129" t="s">
        <v>286</v>
      </c>
      <c r="B129" t="s">
        <v>662</v>
      </c>
      <c r="D129" t="s">
        <v>118</v>
      </c>
      <c r="E129" t="s">
        <v>102</v>
      </c>
      <c r="F129" t="s">
        <v>136</v>
      </c>
      <c r="H129" t="s">
        <v>20</v>
      </c>
      <c r="I129" t="s">
        <v>20</v>
      </c>
      <c r="J129" t="s">
        <v>131</v>
      </c>
      <c r="K129">
        <v>154240509</v>
      </c>
      <c r="L129" t="s">
        <v>471</v>
      </c>
      <c r="M129" t="s">
        <v>191</v>
      </c>
      <c r="N129" t="s">
        <v>421</v>
      </c>
      <c r="O129" t="s">
        <v>291</v>
      </c>
      <c r="P129" s="1"/>
      <c r="Q129" s="1"/>
      <c r="R129" s="1"/>
      <c r="S12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2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2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2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2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29">
        <f>Portefeuille_MNT_PPS_Access32[[#This Row],[Délais PC1 et PC3]]+Portefeuille_MNT_PPS_Access32[[#This Row],[Délais PC3 et PC5]]</f>
        <v>0</v>
      </c>
      <c r="Z129">
        <v>1</v>
      </c>
      <c r="AB129" t="s">
        <v>311</v>
      </c>
      <c r="AC129">
        <v>1.6666666666666667</v>
      </c>
      <c r="AD129" s="2">
        <f>_xlfn.XLOOKUP(Portefeuille_MNT_PPS_Access32[[#This Row],[Numéro projet]],Portefeuille_MNT_PPS_Access27[Numéro projet],Portefeuille_MNT_PPS_Access27[Critère Etat Infrastructure])</f>
        <v>4</v>
      </c>
      <c r="AE12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33.333333333333329</v>
      </c>
      <c r="AF129" s="221"/>
      <c r="AJ129"/>
      <c r="AS129">
        <v>100</v>
      </c>
      <c r="AT129"/>
      <c r="AU129">
        <v>100</v>
      </c>
      <c r="AW129">
        <v>200</v>
      </c>
      <c r="AY129">
        <v>500</v>
      </c>
      <c r="AZ129">
        <v>3000</v>
      </c>
      <c r="BA129">
        <v>500</v>
      </c>
      <c r="BB129">
        <v>3000</v>
      </c>
      <c r="BG129" s="14">
        <f>SUM(Portefeuille_MNT_PPS_Access32[[#This Row],[AC ANT]:[TR 2035]])</f>
        <v>7400</v>
      </c>
      <c r="BH129" s="14">
        <f>SUM(Portefeuille_MNT_PPS_Access32[[#This Row],[AC 2026]:[TR 2030]])</f>
        <v>200</v>
      </c>
      <c r="BI129" s="14">
        <f>SUM(Portefeuille_MNT_PPS_Access32[[#This Row],[AC 2026]:[TR 2035]])</f>
        <v>7400</v>
      </c>
    </row>
    <row r="130" spans="1:61" x14ac:dyDescent="0.3">
      <c r="A130" t="s">
        <v>286</v>
      </c>
      <c r="B130" t="s">
        <v>295</v>
      </c>
      <c r="D130" t="s">
        <v>126</v>
      </c>
      <c r="E130" t="s">
        <v>127</v>
      </c>
      <c r="F130" t="s">
        <v>136</v>
      </c>
      <c r="G130" t="s">
        <v>104</v>
      </c>
      <c r="H130" t="s">
        <v>16</v>
      </c>
      <c r="I130" t="s">
        <v>16</v>
      </c>
      <c r="J130" t="s">
        <v>105</v>
      </c>
      <c r="K130">
        <v>154061996</v>
      </c>
      <c r="L130" t="s">
        <v>163</v>
      </c>
      <c r="M130" t="s">
        <v>122</v>
      </c>
      <c r="N130" t="s">
        <v>148</v>
      </c>
      <c r="O130" t="s">
        <v>164</v>
      </c>
      <c r="P130" s="1"/>
      <c r="Q130" s="1"/>
      <c r="R130" s="1"/>
      <c r="S13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3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3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3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3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30">
        <f>Portefeuille_MNT_PPS_Access32[[#This Row],[Délais PC1 et PC3]]+Portefeuille_MNT_PPS_Access32[[#This Row],[Délais PC3 et PC5]]</f>
        <v>0</v>
      </c>
      <c r="Y130">
        <v>1</v>
      </c>
      <c r="Z130">
        <v>1</v>
      </c>
      <c r="AB130" t="s">
        <v>165</v>
      </c>
      <c r="AC130">
        <v>4</v>
      </c>
      <c r="AD130" s="2">
        <f>_xlfn.XLOOKUP(Portefeuille_MNT_PPS_Access32[[#This Row],[Numéro projet]],Portefeuille_MNT_PPS_Access27[Numéro projet],Portefeuille_MNT_PPS_Access27[Critère Etat Infrastructure])</f>
        <v>0</v>
      </c>
      <c r="AE13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60.000000000000007</v>
      </c>
      <c r="AF130" s="221"/>
      <c r="AG130">
        <v>5398</v>
      </c>
      <c r="AH130">
        <v>28152</v>
      </c>
      <c r="AI130">
        <v>46</v>
      </c>
      <c r="AJ130">
        <v>891</v>
      </c>
      <c r="AK130">
        <v>109</v>
      </c>
      <c r="AL130">
        <v>155</v>
      </c>
      <c r="AM130">
        <v>45</v>
      </c>
      <c r="AT130"/>
      <c r="BG130" s="14">
        <f>SUM(Portefeuille_MNT_PPS_Access32[[#This Row],[AC ANT]:[TR 2035]])</f>
        <v>34796</v>
      </c>
      <c r="BH130" s="14">
        <f>SUM(Portefeuille_MNT_PPS_Access32[[#This Row],[AC 2026]:[TR 2030]])</f>
        <v>45</v>
      </c>
      <c r="BI130" s="14">
        <f>SUM(Portefeuille_MNT_PPS_Access32[[#This Row],[AC 2026]:[TR 2035]])</f>
        <v>45</v>
      </c>
    </row>
    <row r="131" spans="1:61" x14ac:dyDescent="0.3">
      <c r="A131" t="s">
        <v>286</v>
      </c>
      <c r="B131" t="s">
        <v>664</v>
      </c>
      <c r="D131" t="s">
        <v>101</v>
      </c>
      <c r="E131" t="s">
        <v>102</v>
      </c>
      <c r="F131" t="s">
        <v>128</v>
      </c>
      <c r="G131" t="s">
        <v>113</v>
      </c>
      <c r="H131" t="s">
        <v>16</v>
      </c>
      <c r="I131" t="s">
        <v>16</v>
      </c>
      <c r="J131" t="s">
        <v>105</v>
      </c>
      <c r="K131">
        <v>154171105</v>
      </c>
      <c r="L131" t="s">
        <v>161</v>
      </c>
      <c r="M131" t="s">
        <v>122</v>
      </c>
      <c r="N131" t="s">
        <v>148</v>
      </c>
      <c r="O131" t="s">
        <v>164</v>
      </c>
      <c r="P131" s="1">
        <v>44956</v>
      </c>
      <c r="Q131" s="1">
        <v>45321</v>
      </c>
      <c r="R131" s="1">
        <v>45687</v>
      </c>
      <c r="S13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13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3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13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13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31">
        <f>Portefeuille_MNT_PPS_Access32[[#This Row],[Délais PC1 et PC3]]+Portefeuille_MNT_PPS_Access32[[#This Row],[Délais PC3 et PC5]]</f>
        <v>24</v>
      </c>
      <c r="Y131">
        <v>1</v>
      </c>
      <c r="Z131">
        <v>5</v>
      </c>
      <c r="AB131" t="s">
        <v>165</v>
      </c>
      <c r="AC131">
        <v>4</v>
      </c>
      <c r="AD131" s="2">
        <f>_xlfn.XLOOKUP(Portefeuille_MNT_PPS_Access32[[#This Row],[Numéro projet]],Portefeuille_MNT_PPS_Access27[Numéro projet],Portefeuille_MNT_PPS_Access27[Critère Etat Infrastructure])</f>
        <v>0</v>
      </c>
      <c r="AE13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80</v>
      </c>
      <c r="AF131" s="221"/>
      <c r="AG131">
        <v>6</v>
      </c>
      <c r="AI131">
        <v>14</v>
      </c>
      <c r="AJ131"/>
      <c r="AK131">
        <v>291</v>
      </c>
      <c r="AL131">
        <v>4537</v>
      </c>
      <c r="AM131">
        <v>34</v>
      </c>
      <c r="AT131"/>
      <c r="BG131" s="14">
        <f>SUM(Portefeuille_MNT_PPS_Access32[[#This Row],[AC ANT]:[TR 2035]])</f>
        <v>4882</v>
      </c>
      <c r="BH131" s="14">
        <f>SUM(Portefeuille_MNT_PPS_Access32[[#This Row],[AC 2026]:[TR 2030]])</f>
        <v>34</v>
      </c>
      <c r="BI131" s="14">
        <f>SUM(Portefeuille_MNT_PPS_Access32[[#This Row],[AC 2026]:[TR 2035]])</f>
        <v>34</v>
      </c>
    </row>
    <row r="132" spans="1:61" x14ac:dyDescent="0.3">
      <c r="A132" t="s">
        <v>286</v>
      </c>
      <c r="B132" t="s">
        <v>663</v>
      </c>
      <c r="D132" t="s">
        <v>101</v>
      </c>
      <c r="E132" t="s">
        <v>102</v>
      </c>
      <c r="F132" t="s">
        <v>119</v>
      </c>
      <c r="G132" t="s">
        <v>113</v>
      </c>
      <c r="H132" t="s">
        <v>16</v>
      </c>
      <c r="I132" t="s">
        <v>16</v>
      </c>
      <c r="J132" t="s">
        <v>105</v>
      </c>
      <c r="K132">
        <v>154180091</v>
      </c>
      <c r="L132" t="s">
        <v>333</v>
      </c>
      <c r="M132" t="s">
        <v>122</v>
      </c>
      <c r="N132" t="s">
        <v>148</v>
      </c>
      <c r="O132" t="s">
        <v>164</v>
      </c>
      <c r="P132" s="1">
        <v>44162</v>
      </c>
      <c r="Q132" s="1">
        <v>44489</v>
      </c>
      <c r="R132" s="1">
        <v>44608</v>
      </c>
      <c r="S13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3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3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3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13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4</v>
      </c>
      <c r="X132">
        <f>Portefeuille_MNT_PPS_Access32[[#This Row],[Délais PC1 et PC3]]+Portefeuille_MNT_PPS_Access32[[#This Row],[Délais PC3 et PC5]]</f>
        <v>15</v>
      </c>
      <c r="Y132">
        <v>1</v>
      </c>
      <c r="Z132">
        <v>1</v>
      </c>
      <c r="AB132" t="s">
        <v>165</v>
      </c>
      <c r="AC132">
        <v>4</v>
      </c>
      <c r="AD132" s="2">
        <f>_xlfn.XLOOKUP(Portefeuille_MNT_PPS_Access32[[#This Row],[Numéro projet]],Portefeuille_MNT_PPS_Access27[Numéro projet],Portefeuille_MNT_PPS_Access27[Critère Etat Infrastructure])</f>
        <v>5</v>
      </c>
      <c r="AE13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85.000000000000014</v>
      </c>
      <c r="AF132" s="221"/>
      <c r="AG132">
        <v>183</v>
      </c>
      <c r="AH132">
        <v>33</v>
      </c>
      <c r="AI132">
        <v>297</v>
      </c>
      <c r="AJ132">
        <v>6350</v>
      </c>
      <c r="AK132">
        <v>162</v>
      </c>
      <c r="AL132">
        <v>50</v>
      </c>
      <c r="AT132"/>
      <c r="BG132" s="14">
        <f>SUM(Portefeuille_MNT_PPS_Access32[[#This Row],[AC ANT]:[TR 2035]])</f>
        <v>7075</v>
      </c>
      <c r="BH132" s="14">
        <f>SUM(Portefeuille_MNT_PPS_Access32[[#This Row],[AC 2026]:[TR 2030]])</f>
        <v>0</v>
      </c>
      <c r="BI132" s="14">
        <f>SUM(Portefeuille_MNT_PPS_Access32[[#This Row],[AC 2026]:[TR 2035]])</f>
        <v>0</v>
      </c>
    </row>
    <row r="133" spans="1:61" x14ac:dyDescent="0.3">
      <c r="A133" t="s">
        <v>286</v>
      </c>
      <c r="B133" t="s">
        <v>662</v>
      </c>
      <c r="D133" t="s">
        <v>118</v>
      </c>
      <c r="E133" t="s">
        <v>102</v>
      </c>
      <c r="F133" t="s">
        <v>119</v>
      </c>
      <c r="G133" t="s">
        <v>113</v>
      </c>
      <c r="H133" t="s">
        <v>16</v>
      </c>
      <c r="I133" t="s">
        <v>16</v>
      </c>
      <c r="J133" t="s">
        <v>105</v>
      </c>
      <c r="K133">
        <v>154230987</v>
      </c>
      <c r="L133" t="s">
        <v>289</v>
      </c>
      <c r="M133" t="s">
        <v>122</v>
      </c>
      <c r="N133" t="s">
        <v>148</v>
      </c>
      <c r="O133" t="s">
        <v>164</v>
      </c>
      <c r="P133" s="1"/>
      <c r="Q133" s="1"/>
      <c r="R133" s="1">
        <v>45712</v>
      </c>
      <c r="S13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3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3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13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3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1501</v>
      </c>
      <c r="X133">
        <f>Portefeuille_MNT_PPS_Access32[[#This Row],[Délais PC1 et PC3]]+Portefeuille_MNT_PPS_Access32[[#This Row],[Délais PC3 et PC5]]</f>
        <v>1501</v>
      </c>
      <c r="Y133">
        <v>1</v>
      </c>
      <c r="Z133">
        <v>5</v>
      </c>
      <c r="AB133" t="s">
        <v>165</v>
      </c>
      <c r="AC133">
        <v>4</v>
      </c>
      <c r="AD133" s="2">
        <f>_xlfn.XLOOKUP(Portefeuille_MNT_PPS_Access32[[#This Row],[Numéro projet]],Portefeuille_MNT_PPS_Access27[Numéro projet],Portefeuille_MNT_PPS_Access27[Critère Etat Infrastructure])</f>
        <v>5</v>
      </c>
      <c r="AE13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105</v>
      </c>
      <c r="AF133" s="221"/>
      <c r="AJ133"/>
      <c r="AK133">
        <v>20</v>
      </c>
      <c r="AL133">
        <v>895</v>
      </c>
      <c r="AT133"/>
      <c r="BG133" s="14">
        <f>SUM(Portefeuille_MNT_PPS_Access32[[#This Row],[AC ANT]:[TR 2035]])</f>
        <v>915</v>
      </c>
      <c r="BH133" s="14">
        <f>SUM(Portefeuille_MNT_PPS_Access32[[#This Row],[AC 2026]:[TR 2030]])</f>
        <v>0</v>
      </c>
      <c r="BI133" s="14">
        <f>SUM(Portefeuille_MNT_PPS_Access32[[#This Row],[AC 2026]:[TR 2035]])</f>
        <v>0</v>
      </c>
    </row>
    <row r="134" spans="1:61" x14ac:dyDescent="0.3">
      <c r="A134" t="s">
        <v>286</v>
      </c>
      <c r="B134" t="s">
        <v>662</v>
      </c>
      <c r="D134" t="s">
        <v>118</v>
      </c>
      <c r="E134" t="s">
        <v>102</v>
      </c>
      <c r="F134" t="s">
        <v>103</v>
      </c>
      <c r="G134" t="s">
        <v>113</v>
      </c>
      <c r="H134" t="s">
        <v>20</v>
      </c>
      <c r="I134" t="s">
        <v>20</v>
      </c>
      <c r="J134" t="s">
        <v>105</v>
      </c>
      <c r="K134">
        <v>154220487</v>
      </c>
      <c r="L134" t="s">
        <v>527</v>
      </c>
      <c r="M134" t="s">
        <v>122</v>
      </c>
      <c r="N134" t="s">
        <v>169</v>
      </c>
      <c r="O134" t="s">
        <v>155</v>
      </c>
      <c r="P134" s="1">
        <v>46249</v>
      </c>
      <c r="Q134" s="1">
        <v>46675</v>
      </c>
      <c r="R134" s="1">
        <v>47041</v>
      </c>
      <c r="S13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3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3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3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13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34">
        <f>Portefeuille_MNT_PPS_Access32[[#This Row],[Délais PC1 et PC3]]+Portefeuille_MNT_PPS_Access32[[#This Row],[Délais PC3 et PC5]]</f>
        <v>26</v>
      </c>
      <c r="Z134">
        <v>1</v>
      </c>
      <c r="AB134" t="s">
        <v>156</v>
      </c>
      <c r="AC134">
        <v>4</v>
      </c>
      <c r="AD134" s="2">
        <f>_xlfn.XLOOKUP(Portefeuille_MNT_PPS_Access32[[#This Row],[Numéro projet]],Portefeuille_MNT_PPS_Access27[Numéro projet],Portefeuille_MNT_PPS_Access27[Critère Etat Infrastructure])</f>
        <v>3</v>
      </c>
      <c r="AE13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134" s="221"/>
      <c r="AJ134"/>
      <c r="AO134">
        <v>100</v>
      </c>
      <c r="AQ134">
        <v>150</v>
      </c>
      <c r="AS134">
        <v>500</v>
      </c>
      <c r="AT134">
        <v>7000</v>
      </c>
      <c r="BG134" s="14">
        <f>SUM(Portefeuille_MNT_PPS_Access32[[#This Row],[AC ANT]:[TR 2035]])</f>
        <v>7750</v>
      </c>
      <c r="BH134" s="14">
        <f>SUM(Portefeuille_MNT_PPS_Access32[[#This Row],[AC 2026]:[TR 2030]])</f>
        <v>7750</v>
      </c>
      <c r="BI134" s="14">
        <f>SUM(Portefeuille_MNT_PPS_Access32[[#This Row],[AC 2026]:[TR 2035]])</f>
        <v>7750</v>
      </c>
    </row>
    <row r="135" spans="1:61" x14ac:dyDescent="0.3">
      <c r="A135" t="s">
        <v>286</v>
      </c>
      <c r="B135" t="s">
        <v>664</v>
      </c>
      <c r="D135" t="s">
        <v>101</v>
      </c>
      <c r="E135" t="s">
        <v>102</v>
      </c>
      <c r="F135" t="s">
        <v>103</v>
      </c>
      <c r="H135" t="s">
        <v>20</v>
      </c>
      <c r="I135" t="s">
        <v>20</v>
      </c>
      <c r="J135" t="s">
        <v>105</v>
      </c>
      <c r="K135">
        <v>154220344</v>
      </c>
      <c r="L135" t="s">
        <v>394</v>
      </c>
      <c r="M135" t="s">
        <v>122</v>
      </c>
      <c r="N135" t="s">
        <v>533</v>
      </c>
      <c r="O135" t="s">
        <v>291</v>
      </c>
      <c r="P135" s="1"/>
      <c r="Q135" s="1"/>
      <c r="R135" s="1"/>
      <c r="S13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3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3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3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3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35">
        <f>Portefeuille_MNT_PPS_Access32[[#This Row],[Délais PC1 et PC3]]+Portefeuille_MNT_PPS_Access32[[#This Row],[Délais PC3 et PC5]]</f>
        <v>0</v>
      </c>
      <c r="Z135">
        <v>1</v>
      </c>
      <c r="AB135" t="s">
        <v>311</v>
      </c>
      <c r="AC135">
        <v>4</v>
      </c>
      <c r="AD135" s="2">
        <f>_xlfn.XLOOKUP(Portefeuille_MNT_PPS_Access32[[#This Row],[Numéro projet]],Portefeuille_MNT_PPS_Access27[Numéro projet],Portefeuille_MNT_PPS_Access27[Critère Etat Infrastructure])</f>
        <v>4</v>
      </c>
      <c r="AE13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45</v>
      </c>
      <c r="AF135" s="221"/>
      <c r="AJ135"/>
      <c r="AT135"/>
      <c r="BA135">
        <v>100</v>
      </c>
      <c r="BC135">
        <v>100</v>
      </c>
      <c r="BE135">
        <v>500</v>
      </c>
      <c r="BF135">
        <v>12000</v>
      </c>
      <c r="BG135" s="14">
        <f>SUM(Portefeuille_MNT_PPS_Access32[[#This Row],[AC ANT]:[TR 2035]])</f>
        <v>12700</v>
      </c>
      <c r="BH135" s="14">
        <f>SUM(Portefeuille_MNT_PPS_Access32[[#This Row],[AC 2026]:[TR 2030]])</f>
        <v>0</v>
      </c>
      <c r="BI135" s="14">
        <f>SUM(Portefeuille_MNT_PPS_Access32[[#This Row],[AC 2026]:[TR 2035]])</f>
        <v>12700</v>
      </c>
    </row>
    <row r="136" spans="1:61" x14ac:dyDescent="0.3">
      <c r="A136" t="s">
        <v>286</v>
      </c>
      <c r="B136" t="s">
        <v>664</v>
      </c>
      <c r="D136" t="s">
        <v>101</v>
      </c>
      <c r="E136" t="s">
        <v>102</v>
      </c>
      <c r="F136" t="s">
        <v>103</v>
      </c>
      <c r="G136" t="s">
        <v>113</v>
      </c>
      <c r="H136" t="s">
        <v>16</v>
      </c>
      <c r="I136" t="s">
        <v>16</v>
      </c>
      <c r="J136" t="s">
        <v>105</v>
      </c>
      <c r="K136">
        <v>154180736</v>
      </c>
      <c r="L136" t="s">
        <v>115</v>
      </c>
      <c r="M136" t="s">
        <v>116</v>
      </c>
      <c r="N136" t="s">
        <v>109</v>
      </c>
      <c r="O136" t="s">
        <v>123</v>
      </c>
      <c r="P136" s="1">
        <v>45105</v>
      </c>
      <c r="Q136" s="1">
        <v>45789</v>
      </c>
      <c r="R136" s="1">
        <v>45932</v>
      </c>
      <c r="S13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3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13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3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23</v>
      </c>
      <c r="W13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5</v>
      </c>
      <c r="X136">
        <f>Portefeuille_MNT_PPS_Access32[[#This Row],[Délais PC1 et PC3]]+Portefeuille_MNT_PPS_Access32[[#This Row],[Délais PC3 et PC5]]</f>
        <v>28</v>
      </c>
      <c r="Y136">
        <v>1</v>
      </c>
      <c r="Z136">
        <v>5</v>
      </c>
      <c r="AA136">
        <v>5</v>
      </c>
      <c r="AB136" t="s">
        <v>125</v>
      </c>
      <c r="AC136">
        <v>3.3333333333333335</v>
      </c>
      <c r="AD136" s="2">
        <f>_xlfn.XLOOKUP(Portefeuille_MNT_PPS_Access32[[#This Row],[Numéro projet]],Portefeuille_MNT_PPS_Access27[Numéro projet],Portefeuille_MNT_PPS_Access27[Critère Etat Infrastructure])</f>
        <v>4</v>
      </c>
      <c r="AE13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86.666666666666671</v>
      </c>
      <c r="AF136" s="221"/>
      <c r="AG136">
        <v>25</v>
      </c>
      <c r="AI136">
        <v>17</v>
      </c>
      <c r="AJ136"/>
      <c r="AK136">
        <v>178</v>
      </c>
      <c r="AM136">
        <v>820</v>
      </c>
      <c r="AN136">
        <v>16510</v>
      </c>
      <c r="AT136"/>
      <c r="BG136" s="14">
        <f>SUM(Portefeuille_MNT_PPS_Access32[[#This Row],[AC ANT]:[TR 2035]])</f>
        <v>17550</v>
      </c>
      <c r="BH136" s="14">
        <f>SUM(Portefeuille_MNT_PPS_Access32[[#This Row],[AC 2026]:[TR 2030]])</f>
        <v>17330</v>
      </c>
      <c r="BI136" s="14">
        <f>SUM(Portefeuille_MNT_PPS_Access32[[#This Row],[AC 2026]:[TR 2035]])</f>
        <v>17330</v>
      </c>
    </row>
    <row r="137" spans="1:61" x14ac:dyDescent="0.3">
      <c r="A137" t="s">
        <v>286</v>
      </c>
      <c r="B137" t="s">
        <v>663</v>
      </c>
      <c r="D137" t="s">
        <v>101</v>
      </c>
      <c r="E137" t="s">
        <v>102</v>
      </c>
      <c r="F137" t="s">
        <v>136</v>
      </c>
      <c r="H137" t="s">
        <v>20</v>
      </c>
      <c r="I137" t="s">
        <v>20</v>
      </c>
      <c r="J137" t="s">
        <v>105</v>
      </c>
      <c r="K137">
        <v>154240506</v>
      </c>
      <c r="L137" t="s">
        <v>465</v>
      </c>
      <c r="M137" t="s">
        <v>116</v>
      </c>
      <c r="N137" s="2" t="s">
        <v>395</v>
      </c>
      <c r="O137" t="s">
        <v>291</v>
      </c>
      <c r="P137" s="1"/>
      <c r="Q137" s="1"/>
      <c r="R137" s="1"/>
      <c r="S13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3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3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3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3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37">
        <f>Portefeuille_MNT_PPS_Access32[[#This Row],[Délais PC1 et PC3]]+Portefeuille_MNT_PPS_Access32[[#This Row],[Délais PC3 et PC5]]</f>
        <v>0</v>
      </c>
      <c r="Z137">
        <v>1</v>
      </c>
      <c r="AB137" t="s">
        <v>311</v>
      </c>
      <c r="AC137">
        <v>3.3333333333333335</v>
      </c>
      <c r="AD137" s="2">
        <f>_xlfn.XLOOKUP(Portefeuille_MNT_PPS_Access32[[#This Row],[Numéro projet]],Portefeuille_MNT_PPS_Access27[Numéro projet],Portefeuille_MNT_PPS_Access27[Critère Etat Infrastructure])</f>
        <v>3</v>
      </c>
      <c r="AE13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137" s="221"/>
      <c r="AJ137"/>
      <c r="AT137"/>
      <c r="AW137">
        <v>150</v>
      </c>
      <c r="AY137">
        <v>150</v>
      </c>
      <c r="BA137">
        <v>150</v>
      </c>
      <c r="BC137">
        <v>500</v>
      </c>
      <c r="BD137">
        <v>6800</v>
      </c>
      <c r="BG137" s="14">
        <f>SUM(Portefeuille_MNT_PPS_Access32[[#This Row],[AC ANT]:[TR 2035]])</f>
        <v>7750</v>
      </c>
      <c r="BH137" s="14">
        <f>SUM(Portefeuille_MNT_PPS_Access32[[#This Row],[AC 2026]:[TR 2030]])</f>
        <v>0</v>
      </c>
      <c r="BI137" s="14">
        <f>SUM(Portefeuille_MNT_PPS_Access32[[#This Row],[AC 2026]:[TR 2035]])</f>
        <v>7750</v>
      </c>
    </row>
    <row r="138" spans="1:61" x14ac:dyDescent="0.3">
      <c r="A138" t="s">
        <v>286</v>
      </c>
      <c r="B138" t="s">
        <v>662</v>
      </c>
      <c r="D138" t="s">
        <v>118</v>
      </c>
      <c r="E138" t="s">
        <v>102</v>
      </c>
      <c r="F138" t="s">
        <v>177</v>
      </c>
      <c r="G138" t="s">
        <v>129</v>
      </c>
      <c r="H138" t="s">
        <v>16</v>
      </c>
      <c r="I138" t="s">
        <v>16</v>
      </c>
      <c r="J138" t="s">
        <v>131</v>
      </c>
      <c r="K138">
        <v>154240647</v>
      </c>
      <c r="L138" t="s">
        <v>294</v>
      </c>
      <c r="M138" t="s">
        <v>134</v>
      </c>
      <c r="N138" t="s">
        <v>148</v>
      </c>
      <c r="O138" t="s">
        <v>164</v>
      </c>
      <c r="P138" s="1">
        <v>45702</v>
      </c>
      <c r="Q138" s="1">
        <v>45702</v>
      </c>
      <c r="R138" s="1">
        <v>45702</v>
      </c>
      <c r="S13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3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13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13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3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38">
        <f>Portefeuille_MNT_PPS_Access32[[#This Row],[Délais PC1 et PC3]]+Portefeuille_MNT_PPS_Access32[[#This Row],[Délais PC3 et PC5]]</f>
        <v>0</v>
      </c>
      <c r="Y138">
        <v>1</v>
      </c>
      <c r="Z138">
        <v>1</v>
      </c>
      <c r="AB138" t="s">
        <v>165</v>
      </c>
      <c r="AC138">
        <v>2.3333333333333335</v>
      </c>
      <c r="AD138" s="2" t="e">
        <f>_xlfn.XLOOKUP(Portefeuille_MNT_PPS_Access32[[#This Row],[Numéro projet]],Portefeuille_MNT_PPS_Access27[Numéro projet],Portefeuille_MNT_PPS_Access27[Critère Etat Infrastructure])</f>
        <v>#N/A</v>
      </c>
      <c r="AE138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38" s="221"/>
      <c r="AJ138"/>
      <c r="AK138">
        <v>50</v>
      </c>
      <c r="AL138">
        <v>2894</v>
      </c>
      <c r="AT138"/>
      <c r="BG138" s="14">
        <f>SUM(Portefeuille_MNT_PPS_Access32[[#This Row],[AC ANT]:[TR 2035]])</f>
        <v>2944</v>
      </c>
      <c r="BH138" s="14">
        <f>SUM(Portefeuille_MNT_PPS_Access32[[#This Row],[AC 2026]:[TR 2030]])</f>
        <v>0</v>
      </c>
      <c r="BI138" s="14">
        <f>SUM(Portefeuille_MNT_PPS_Access32[[#This Row],[AC 2026]:[TR 2035]])</f>
        <v>0</v>
      </c>
    </row>
    <row r="139" spans="1:61" x14ac:dyDescent="0.3">
      <c r="A139" t="s">
        <v>286</v>
      </c>
      <c r="B139" t="s">
        <v>664</v>
      </c>
      <c r="D139" t="s">
        <v>101</v>
      </c>
      <c r="E139" t="s">
        <v>102</v>
      </c>
      <c r="F139" t="s">
        <v>103</v>
      </c>
      <c r="G139" t="s">
        <v>129</v>
      </c>
      <c r="H139" t="s">
        <v>16</v>
      </c>
      <c r="I139" t="s">
        <v>16</v>
      </c>
      <c r="J139" t="s">
        <v>131</v>
      </c>
      <c r="K139">
        <v>154151060</v>
      </c>
      <c r="L139" t="s">
        <v>288</v>
      </c>
      <c r="M139" t="s">
        <v>134</v>
      </c>
      <c r="N139" t="s">
        <v>109</v>
      </c>
      <c r="O139" t="s">
        <v>123</v>
      </c>
      <c r="P139" s="1">
        <v>45218</v>
      </c>
      <c r="Q139" s="1">
        <v>45722</v>
      </c>
      <c r="R139" s="1">
        <v>45976</v>
      </c>
      <c r="S13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3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3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3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17</v>
      </c>
      <c r="W13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8</v>
      </c>
      <c r="X139">
        <f>Portefeuille_MNT_PPS_Access32[[#This Row],[Délais PC1 et PC3]]+Portefeuille_MNT_PPS_Access32[[#This Row],[Délais PC3 et PC5]]</f>
        <v>25</v>
      </c>
      <c r="Y139">
        <v>1</v>
      </c>
      <c r="Z139">
        <v>5</v>
      </c>
      <c r="AA139">
        <v>5</v>
      </c>
      <c r="AB139" t="s">
        <v>125</v>
      </c>
      <c r="AC139">
        <v>2.3333333333333335</v>
      </c>
      <c r="AD139" s="2">
        <f>_xlfn.XLOOKUP(Portefeuille_MNT_PPS_Access32[[#This Row],[Numéro projet]],Portefeuille_MNT_PPS_Access27[Numéro projet],Portefeuille_MNT_PPS_Access27[Critère Etat Infrastructure])</f>
        <v>5</v>
      </c>
      <c r="AE13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86.666666666666671</v>
      </c>
      <c r="AF139" s="221"/>
      <c r="AI139">
        <v>12</v>
      </c>
      <c r="AJ139"/>
      <c r="AK139">
        <v>10</v>
      </c>
      <c r="AM139">
        <v>350</v>
      </c>
      <c r="AN139">
        <v>4669</v>
      </c>
      <c r="AT139"/>
      <c r="BG139" s="14">
        <f>SUM(Portefeuille_MNT_PPS_Access32[[#This Row],[AC ANT]:[TR 2035]])</f>
        <v>5041</v>
      </c>
      <c r="BH139" s="14">
        <f>SUM(Portefeuille_MNT_PPS_Access32[[#This Row],[AC 2026]:[TR 2030]])</f>
        <v>5019</v>
      </c>
      <c r="BI139" s="14">
        <f>SUM(Portefeuille_MNT_PPS_Access32[[#This Row],[AC 2026]:[TR 2035]])</f>
        <v>5019</v>
      </c>
    </row>
    <row r="140" spans="1:61" x14ac:dyDescent="0.3">
      <c r="A140" t="s">
        <v>286</v>
      </c>
      <c r="B140" t="s">
        <v>663</v>
      </c>
      <c r="D140" t="s">
        <v>101</v>
      </c>
      <c r="E140" t="s">
        <v>102</v>
      </c>
      <c r="F140" t="s">
        <v>119</v>
      </c>
      <c r="G140" t="s">
        <v>129</v>
      </c>
      <c r="H140" t="s">
        <v>16</v>
      </c>
      <c r="I140" t="s">
        <v>16</v>
      </c>
      <c r="J140" t="s">
        <v>131</v>
      </c>
      <c r="K140">
        <v>154200653</v>
      </c>
      <c r="L140" t="s">
        <v>154</v>
      </c>
      <c r="M140" t="s">
        <v>134</v>
      </c>
      <c r="N140" t="s">
        <v>109</v>
      </c>
      <c r="O140" t="s">
        <v>123</v>
      </c>
      <c r="P140" s="1">
        <v>45601</v>
      </c>
      <c r="Q140" s="1">
        <v>45731</v>
      </c>
      <c r="R140" s="1">
        <v>45976</v>
      </c>
      <c r="S14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4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4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4</v>
      </c>
      <c r="W14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8</v>
      </c>
      <c r="X140">
        <f>Portefeuille_MNT_PPS_Access32[[#This Row],[Délais PC1 et PC3]]+Portefeuille_MNT_PPS_Access32[[#This Row],[Délais PC3 et PC5]]</f>
        <v>12</v>
      </c>
      <c r="Y140">
        <v>1</v>
      </c>
      <c r="Z140">
        <v>5</v>
      </c>
      <c r="AA140">
        <v>5</v>
      </c>
      <c r="AB140" t="s">
        <v>125</v>
      </c>
      <c r="AC140">
        <v>2.3333333333333335</v>
      </c>
      <c r="AD140" s="2">
        <f>_xlfn.XLOOKUP(Portefeuille_MNT_PPS_Access32[[#This Row],[Numéro projet]],Portefeuille_MNT_PPS_Access27[Numéro projet],Portefeuille_MNT_PPS_Access27[Critère Etat Infrastructure])</f>
        <v>3</v>
      </c>
      <c r="AE14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76.666666666666671</v>
      </c>
      <c r="AF140" s="221"/>
      <c r="AJ140"/>
      <c r="AK140">
        <v>20</v>
      </c>
      <c r="AM140">
        <v>55</v>
      </c>
      <c r="AN140">
        <v>543</v>
      </c>
      <c r="AT140"/>
      <c r="BG140" s="14">
        <f>SUM(Portefeuille_MNT_PPS_Access32[[#This Row],[AC ANT]:[TR 2035]])</f>
        <v>618</v>
      </c>
      <c r="BH140" s="14">
        <f>SUM(Portefeuille_MNT_PPS_Access32[[#This Row],[AC 2026]:[TR 2030]])</f>
        <v>598</v>
      </c>
      <c r="BI140" s="14">
        <f>SUM(Portefeuille_MNT_PPS_Access32[[#This Row],[AC 2026]:[TR 2035]])</f>
        <v>598</v>
      </c>
    </row>
    <row r="141" spans="1:61" x14ac:dyDescent="0.3">
      <c r="A141" t="s">
        <v>286</v>
      </c>
      <c r="B141" t="s">
        <v>662</v>
      </c>
      <c r="D141" t="s">
        <v>118</v>
      </c>
      <c r="E141" t="s">
        <v>102</v>
      </c>
      <c r="F141" t="s">
        <v>242</v>
      </c>
      <c r="G141" t="s">
        <v>129</v>
      </c>
      <c r="H141" t="s">
        <v>16</v>
      </c>
      <c r="I141" t="s">
        <v>20</v>
      </c>
      <c r="J141" t="s">
        <v>131</v>
      </c>
      <c r="K141">
        <v>154180774</v>
      </c>
      <c r="L141" t="s">
        <v>386</v>
      </c>
      <c r="M141" t="s">
        <v>134</v>
      </c>
      <c r="N141" t="s">
        <v>197</v>
      </c>
      <c r="O141" t="s">
        <v>155</v>
      </c>
      <c r="P141" s="1">
        <v>45960</v>
      </c>
      <c r="Q141" s="1">
        <v>46395</v>
      </c>
      <c r="R141" s="1">
        <v>46631</v>
      </c>
      <c r="S14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4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4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15</v>
      </c>
      <c r="W14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8</v>
      </c>
      <c r="X141">
        <f>Portefeuille_MNT_PPS_Access32[[#This Row],[Délais PC1 et PC3]]+Portefeuille_MNT_PPS_Access32[[#This Row],[Délais PC3 et PC5]]</f>
        <v>23</v>
      </c>
      <c r="Z141">
        <v>1</v>
      </c>
      <c r="AA141">
        <v>5</v>
      </c>
      <c r="AB141" t="s">
        <v>156</v>
      </c>
      <c r="AC141">
        <v>1.3333333333333333</v>
      </c>
      <c r="AD141" s="2">
        <f>_xlfn.XLOOKUP(Portefeuille_MNT_PPS_Access32[[#This Row],[Numéro projet]],Portefeuille_MNT_PPS_Access27[Numéro projet],Portefeuille_MNT_PPS_Access27[Critère Etat Infrastructure])</f>
        <v>4</v>
      </c>
      <c r="AE14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56.666666666666679</v>
      </c>
      <c r="AF141" s="221"/>
      <c r="AJ141"/>
      <c r="AM141">
        <v>50</v>
      </c>
      <c r="AO141">
        <v>50</v>
      </c>
      <c r="AQ141">
        <v>220</v>
      </c>
      <c r="AR141">
        <v>1161</v>
      </c>
      <c r="AT141"/>
      <c r="BG141" s="14">
        <f>SUM(Portefeuille_MNT_PPS_Access32[[#This Row],[AC ANT]:[TR 2035]])</f>
        <v>1481</v>
      </c>
      <c r="BH141" s="14">
        <f>SUM(Portefeuille_MNT_PPS_Access32[[#This Row],[AC 2026]:[TR 2030]])</f>
        <v>1481</v>
      </c>
      <c r="BI141" s="14">
        <f>SUM(Portefeuille_MNT_PPS_Access32[[#This Row],[AC 2026]:[TR 2035]])</f>
        <v>1481</v>
      </c>
    </row>
    <row r="142" spans="1:61" x14ac:dyDescent="0.3">
      <c r="A142" t="s">
        <v>286</v>
      </c>
      <c r="B142" t="s">
        <v>664</v>
      </c>
      <c r="D142" t="s">
        <v>101</v>
      </c>
      <c r="E142" t="s">
        <v>102</v>
      </c>
      <c r="F142" t="s">
        <v>103</v>
      </c>
      <c r="G142" t="s">
        <v>129</v>
      </c>
      <c r="H142" t="s">
        <v>20</v>
      </c>
      <c r="I142" t="s">
        <v>20</v>
      </c>
      <c r="J142" t="s">
        <v>131</v>
      </c>
      <c r="K142">
        <v>154250401</v>
      </c>
      <c r="L142" t="s">
        <v>654</v>
      </c>
      <c r="M142" t="s">
        <v>134</v>
      </c>
      <c r="N142" t="s">
        <v>169</v>
      </c>
      <c r="O142" t="s">
        <v>291</v>
      </c>
      <c r="P142" s="1"/>
      <c r="Q142" s="1"/>
      <c r="R142" s="1"/>
      <c r="S14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4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4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4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4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42">
        <f>Portefeuille_MNT_PPS_Access32[[#This Row],[Délais PC1 et PC3]]+Portefeuille_MNT_PPS_Access32[[#This Row],[Délais PC3 et PC5]]</f>
        <v>0</v>
      </c>
      <c r="Z142">
        <v>1</v>
      </c>
      <c r="AB142" t="s">
        <v>311</v>
      </c>
      <c r="AC142">
        <v>1.3333333333333333</v>
      </c>
      <c r="AD142" s="2">
        <f>_xlfn.XLOOKUP(Portefeuille_MNT_PPS_Access32[[#This Row],[Numéro projet]],Portefeuille_MNT_PPS_Access27[Numéro projet],Portefeuille_MNT_PPS_Access27[Critère Etat Infrastructure])</f>
        <v>5</v>
      </c>
      <c r="AE14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142" s="221"/>
      <c r="AJ142"/>
      <c r="AO142">
        <v>125</v>
      </c>
      <c r="AQ142">
        <v>125</v>
      </c>
      <c r="AS142">
        <v>250</v>
      </c>
      <c r="AT142">
        <v>1000</v>
      </c>
      <c r="BG142" s="14">
        <f>SUM(Portefeuille_MNT_PPS_Access32[[#This Row],[AC ANT]:[TR 2035]])</f>
        <v>1500</v>
      </c>
      <c r="BH142" s="14">
        <f>SUM(Portefeuille_MNT_PPS_Access32[[#This Row],[AC 2026]:[TR 2030]])</f>
        <v>1500</v>
      </c>
      <c r="BI142" s="14">
        <f>SUM(Portefeuille_MNT_PPS_Access32[[#This Row],[AC 2026]:[TR 2035]])</f>
        <v>1500</v>
      </c>
    </row>
    <row r="143" spans="1:61" x14ac:dyDescent="0.3">
      <c r="A143" t="s">
        <v>286</v>
      </c>
      <c r="B143" t="s">
        <v>664</v>
      </c>
      <c r="D143" t="s">
        <v>101</v>
      </c>
      <c r="E143" t="s">
        <v>102</v>
      </c>
      <c r="F143" t="s">
        <v>103</v>
      </c>
      <c r="H143" t="s">
        <v>20</v>
      </c>
      <c r="I143" t="s">
        <v>20</v>
      </c>
      <c r="J143" t="s">
        <v>131</v>
      </c>
      <c r="K143">
        <v>154180769</v>
      </c>
      <c r="L143" t="s">
        <v>380</v>
      </c>
      <c r="M143" t="s">
        <v>134</v>
      </c>
      <c r="N143" t="s">
        <v>533</v>
      </c>
      <c r="O143" t="s">
        <v>291</v>
      </c>
      <c r="P143" s="1"/>
      <c r="Q143" s="1"/>
      <c r="R143" s="1"/>
      <c r="S14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4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4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4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4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43">
        <f>Portefeuille_MNT_PPS_Access32[[#This Row],[Délais PC1 et PC3]]+Portefeuille_MNT_PPS_Access32[[#This Row],[Délais PC3 et PC5]]</f>
        <v>0</v>
      </c>
      <c r="Z143">
        <v>1</v>
      </c>
      <c r="AB143" t="s">
        <v>311</v>
      </c>
      <c r="AC143">
        <v>2.3333333333333335</v>
      </c>
      <c r="AD143" s="2">
        <f>_xlfn.XLOOKUP(Portefeuille_MNT_PPS_Access32[[#This Row],[Numéro projet]],Portefeuille_MNT_PPS_Access27[Numéro projet],Portefeuille_MNT_PPS_Access27[Critère Etat Infrastructure])</f>
        <v>4</v>
      </c>
      <c r="AE14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36.666666666666664</v>
      </c>
      <c r="AF143" s="221"/>
      <c r="AJ143"/>
      <c r="AT143"/>
      <c r="BC143">
        <v>150</v>
      </c>
      <c r="BE143">
        <v>250</v>
      </c>
      <c r="BF143">
        <v>5000</v>
      </c>
      <c r="BG143" s="14">
        <f>SUM(Portefeuille_MNT_PPS_Access32[[#This Row],[AC ANT]:[TR 2035]])</f>
        <v>5400</v>
      </c>
      <c r="BH143" s="14">
        <f>SUM(Portefeuille_MNT_PPS_Access32[[#This Row],[AC 2026]:[TR 2030]])</f>
        <v>0</v>
      </c>
      <c r="BI143" s="14">
        <f>SUM(Portefeuille_MNT_PPS_Access32[[#This Row],[AC 2026]:[TR 2035]])</f>
        <v>5400</v>
      </c>
    </row>
    <row r="144" spans="1:61" x14ac:dyDescent="0.3">
      <c r="A144" t="s">
        <v>286</v>
      </c>
      <c r="B144" t="s">
        <v>664</v>
      </c>
      <c r="D144" t="s">
        <v>101</v>
      </c>
      <c r="E144" t="s">
        <v>102</v>
      </c>
      <c r="F144" t="s">
        <v>200</v>
      </c>
      <c r="G144" t="s">
        <v>149</v>
      </c>
      <c r="H144" t="s">
        <v>16</v>
      </c>
      <c r="I144" t="s">
        <v>16</v>
      </c>
      <c r="J144" t="s">
        <v>105</v>
      </c>
      <c r="K144">
        <v>154180629</v>
      </c>
      <c r="L144" t="s">
        <v>335</v>
      </c>
      <c r="M144" t="s">
        <v>205</v>
      </c>
      <c r="N144" t="s">
        <v>148</v>
      </c>
      <c r="O144" t="s">
        <v>164</v>
      </c>
      <c r="P144" s="1">
        <v>44228</v>
      </c>
      <c r="Q144" s="1">
        <v>44579</v>
      </c>
      <c r="R144" s="1">
        <v>44865</v>
      </c>
      <c r="S14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4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4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11</v>
      </c>
      <c r="W14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144">
        <f>Portefeuille_MNT_PPS_Access32[[#This Row],[Délais PC1 et PC3]]+Portefeuille_MNT_PPS_Access32[[#This Row],[Délais PC3 et PC5]]</f>
        <v>20</v>
      </c>
      <c r="Y144">
        <v>1</v>
      </c>
      <c r="Z144">
        <v>1</v>
      </c>
      <c r="AB144" t="s">
        <v>165</v>
      </c>
      <c r="AC144">
        <v>3</v>
      </c>
      <c r="AD144" s="2">
        <f>_xlfn.XLOOKUP(Portefeuille_MNT_PPS_Access32[[#This Row],[Numéro projet]],Portefeuille_MNT_PPS_Access27[Numéro projet],Portefeuille_MNT_PPS_Access27[Critère Etat Infrastructure])</f>
        <v>0</v>
      </c>
      <c r="AE14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55.000000000000007</v>
      </c>
      <c r="AF144" s="221"/>
      <c r="AG144">
        <v>262</v>
      </c>
      <c r="AH144">
        <v>16</v>
      </c>
      <c r="AI144">
        <v>265</v>
      </c>
      <c r="AJ144">
        <v>6205</v>
      </c>
      <c r="AK144">
        <v>183</v>
      </c>
      <c r="AL144">
        <v>282</v>
      </c>
      <c r="AT144"/>
      <c r="BG144" s="14">
        <f>SUM(Portefeuille_MNT_PPS_Access32[[#This Row],[AC ANT]:[TR 2035]])</f>
        <v>7213</v>
      </c>
      <c r="BH144" s="14">
        <f>SUM(Portefeuille_MNT_PPS_Access32[[#This Row],[AC 2026]:[TR 2030]])</f>
        <v>0</v>
      </c>
      <c r="BI144" s="14">
        <f>SUM(Portefeuille_MNT_PPS_Access32[[#This Row],[AC 2026]:[TR 2035]])</f>
        <v>0</v>
      </c>
    </row>
    <row r="145" spans="1:62" x14ac:dyDescent="0.3">
      <c r="A145" t="s">
        <v>286</v>
      </c>
      <c r="B145" t="s">
        <v>664</v>
      </c>
      <c r="C145">
        <v>8</v>
      </c>
      <c r="D145" t="s">
        <v>101</v>
      </c>
      <c r="E145" t="s">
        <v>102</v>
      </c>
      <c r="F145" t="s">
        <v>103</v>
      </c>
      <c r="G145" t="s">
        <v>149</v>
      </c>
      <c r="H145" t="s">
        <v>16</v>
      </c>
      <c r="I145" t="s">
        <v>20</v>
      </c>
      <c r="J145" t="s">
        <v>105</v>
      </c>
      <c r="K145">
        <v>154190684</v>
      </c>
      <c r="L145" t="s">
        <v>510</v>
      </c>
      <c r="M145" t="s">
        <v>205</v>
      </c>
      <c r="N145" t="s">
        <v>173</v>
      </c>
      <c r="O145" t="s">
        <v>110</v>
      </c>
      <c r="P145" s="1">
        <v>45706</v>
      </c>
      <c r="Q145" s="1">
        <v>46055</v>
      </c>
      <c r="R145" s="1">
        <v>46273</v>
      </c>
      <c r="S14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14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4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12</v>
      </c>
      <c r="W14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7</v>
      </c>
      <c r="X145">
        <f>Portefeuille_MNT_PPS_Access32[[#This Row],[Délais PC1 et PC3]]+Portefeuille_MNT_PPS_Access32[[#This Row],[Délais PC3 et PC5]]</f>
        <v>19</v>
      </c>
      <c r="Z145">
        <v>1</v>
      </c>
      <c r="AA145">
        <v>3</v>
      </c>
      <c r="AB145" t="s">
        <v>112</v>
      </c>
      <c r="AC145">
        <v>3</v>
      </c>
      <c r="AD145" s="2">
        <f>_xlfn.XLOOKUP(Portefeuille_MNT_PPS_Access32[[#This Row],[Numéro projet]],Portefeuille_MNT_PPS_Access27[Numéro projet],Portefeuille_MNT_PPS_Access27[Critère Etat Infrastructure])</f>
        <v>4</v>
      </c>
      <c r="AE14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55.000000000000007</v>
      </c>
      <c r="AF145" s="221"/>
      <c r="AJ145"/>
      <c r="AK145">
        <v>102</v>
      </c>
      <c r="AM145">
        <v>200</v>
      </c>
      <c r="AO145">
        <v>958</v>
      </c>
      <c r="AP145">
        <v>13608</v>
      </c>
      <c r="AT145"/>
      <c r="BG145" s="14">
        <f>SUM(Portefeuille_MNT_PPS_Access32[[#This Row],[AC ANT]:[TR 2035]])</f>
        <v>14868</v>
      </c>
      <c r="BH145" s="14">
        <f>SUM(Portefeuille_MNT_PPS_Access32[[#This Row],[AC 2026]:[TR 2030]])</f>
        <v>14766</v>
      </c>
      <c r="BI145" s="14">
        <f>SUM(Portefeuille_MNT_PPS_Access32[[#This Row],[AC 2026]:[TR 2035]])</f>
        <v>14766</v>
      </c>
    </row>
    <row r="146" spans="1:62" x14ac:dyDescent="0.3">
      <c r="A146" t="s">
        <v>286</v>
      </c>
      <c r="B146" t="s">
        <v>663</v>
      </c>
      <c r="D146" t="s">
        <v>101</v>
      </c>
      <c r="E146" t="s">
        <v>102</v>
      </c>
      <c r="F146" t="s">
        <v>136</v>
      </c>
      <c r="G146" t="s">
        <v>149</v>
      </c>
      <c r="H146" t="s">
        <v>16</v>
      </c>
      <c r="I146" t="s">
        <v>20</v>
      </c>
      <c r="J146" t="s">
        <v>105</v>
      </c>
      <c r="K146" s="2">
        <v>154180731</v>
      </c>
      <c r="L146" t="s">
        <v>204</v>
      </c>
      <c r="M146" t="s">
        <v>205</v>
      </c>
      <c r="N146" t="s">
        <v>197</v>
      </c>
      <c r="O146" t="s">
        <v>155</v>
      </c>
      <c r="P146" s="1">
        <v>45960</v>
      </c>
      <c r="Q146" s="1">
        <v>46264</v>
      </c>
      <c r="R146" s="1">
        <v>46629</v>
      </c>
      <c r="S14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4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4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10</v>
      </c>
      <c r="W14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12</v>
      </c>
      <c r="X146">
        <f>Portefeuille_MNT_PPS_Access32[[#This Row],[Délais PC1 et PC3]]+Portefeuille_MNT_PPS_Access32[[#This Row],[Délais PC3 et PC5]]</f>
        <v>22</v>
      </c>
      <c r="Z146">
        <v>1</v>
      </c>
      <c r="AA146">
        <v>5</v>
      </c>
      <c r="AB146" t="s">
        <v>156</v>
      </c>
      <c r="AC146">
        <v>3</v>
      </c>
      <c r="AD146" s="2">
        <f>_xlfn.XLOOKUP(Portefeuille_MNT_PPS_Access32[[#This Row],[Numéro projet]],Portefeuille_MNT_PPS_Access27[Numéro projet],Portefeuille_MNT_PPS_Access27[Critère Etat Infrastructure])</f>
        <v>5</v>
      </c>
      <c r="AE14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70</v>
      </c>
      <c r="AF146" s="221"/>
      <c r="AJ146"/>
      <c r="AM146">
        <v>85</v>
      </c>
      <c r="AO146">
        <v>85</v>
      </c>
      <c r="AQ146">
        <v>170</v>
      </c>
      <c r="AR146">
        <v>2000</v>
      </c>
      <c r="AT146"/>
      <c r="BG146" s="14">
        <f>SUM(Portefeuille_MNT_PPS_Access32[[#This Row],[AC ANT]:[TR 2035]])</f>
        <v>2340</v>
      </c>
      <c r="BH146" s="14">
        <f>SUM(Portefeuille_MNT_PPS_Access32[[#This Row],[AC 2026]:[TR 2030]])</f>
        <v>2340</v>
      </c>
      <c r="BI146" s="14">
        <f>SUM(Portefeuille_MNT_PPS_Access32[[#This Row],[AC 2026]:[TR 2035]])</f>
        <v>2340</v>
      </c>
    </row>
    <row r="147" spans="1:62" x14ac:dyDescent="0.3">
      <c r="A147" t="s">
        <v>286</v>
      </c>
      <c r="B147" t="s">
        <v>662</v>
      </c>
      <c r="D147" t="s">
        <v>118</v>
      </c>
      <c r="E147" t="s">
        <v>102</v>
      </c>
      <c r="F147" t="s">
        <v>136</v>
      </c>
      <c r="G147" t="s">
        <v>104</v>
      </c>
      <c r="H147" t="s">
        <v>130</v>
      </c>
      <c r="I147" t="s">
        <v>20</v>
      </c>
      <c r="J147" t="s">
        <v>105</v>
      </c>
      <c r="K147">
        <v>154061990</v>
      </c>
      <c r="L147" t="s">
        <v>365</v>
      </c>
      <c r="M147" t="s">
        <v>205</v>
      </c>
      <c r="N147" t="s">
        <v>370</v>
      </c>
      <c r="O147" t="s">
        <v>291</v>
      </c>
      <c r="P147" s="1"/>
      <c r="Q147" s="1"/>
      <c r="R147" s="1"/>
      <c r="S14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4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4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4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4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47">
        <f>Portefeuille_MNT_PPS_Access32[[#This Row],[Délais PC1 et PC3]]+Portefeuille_MNT_PPS_Access32[[#This Row],[Délais PC3 et PC5]]</f>
        <v>0</v>
      </c>
      <c r="Z147">
        <v>1</v>
      </c>
      <c r="AB147" t="s">
        <v>311</v>
      </c>
      <c r="AC147">
        <v>3</v>
      </c>
      <c r="AD147" s="2">
        <f>_xlfn.XLOOKUP(Portefeuille_MNT_PPS_Access32[[#This Row],[Numéro projet]],Portefeuille_MNT_PPS_Access27[Numéro projet],Portefeuille_MNT_PPS_Access27[Critère Etat Infrastructure])</f>
        <v>4</v>
      </c>
      <c r="AE14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147" s="221"/>
      <c r="AJ147"/>
      <c r="AQ147">
        <v>200</v>
      </c>
      <c r="AS147">
        <v>200</v>
      </c>
      <c r="AT147"/>
      <c r="AU147">
        <v>400</v>
      </c>
      <c r="AW147">
        <v>400</v>
      </c>
      <c r="AX147">
        <v>4500</v>
      </c>
      <c r="AY147">
        <v>400</v>
      </c>
      <c r="AZ147">
        <v>7000</v>
      </c>
      <c r="BA147">
        <v>400</v>
      </c>
      <c r="BB147">
        <v>7000</v>
      </c>
      <c r="BG147" s="14">
        <f>SUM(Portefeuille_MNT_PPS_Access32[[#This Row],[AC ANT]:[TR 2035]])</f>
        <v>20500</v>
      </c>
      <c r="BH147" s="14">
        <f>SUM(Portefeuille_MNT_PPS_Access32[[#This Row],[AC 2026]:[TR 2030]])</f>
        <v>800</v>
      </c>
      <c r="BI147" s="14">
        <f>SUM(Portefeuille_MNT_PPS_Access32[[#This Row],[AC 2026]:[TR 2035]])</f>
        <v>20500</v>
      </c>
    </row>
    <row r="148" spans="1:62" x14ac:dyDescent="0.3">
      <c r="A148" t="s">
        <v>286</v>
      </c>
      <c r="B148" t="s">
        <v>662</v>
      </c>
      <c r="D148" t="s">
        <v>118</v>
      </c>
      <c r="E148" t="s">
        <v>102</v>
      </c>
      <c r="F148" t="s">
        <v>389</v>
      </c>
      <c r="H148" t="s">
        <v>20</v>
      </c>
      <c r="I148" t="s">
        <v>20</v>
      </c>
      <c r="J148" t="s">
        <v>105</v>
      </c>
      <c r="K148">
        <v>154220358</v>
      </c>
      <c r="L148" t="s">
        <v>425</v>
      </c>
      <c r="M148" t="s">
        <v>205</v>
      </c>
      <c r="N148" t="s">
        <v>392</v>
      </c>
      <c r="O148" t="s">
        <v>291</v>
      </c>
      <c r="P148" s="1"/>
      <c r="Q148" s="1"/>
      <c r="R148" s="1"/>
      <c r="S14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4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4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4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4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48">
        <f>Portefeuille_MNT_PPS_Access32[[#This Row],[Délais PC1 et PC3]]+Portefeuille_MNT_PPS_Access32[[#This Row],[Délais PC3 et PC5]]</f>
        <v>0</v>
      </c>
      <c r="Z148">
        <v>1</v>
      </c>
      <c r="AB148" t="s">
        <v>311</v>
      </c>
      <c r="AC148">
        <v>3</v>
      </c>
      <c r="AD148" s="2">
        <f>_xlfn.XLOOKUP(Portefeuille_MNT_PPS_Access32[[#This Row],[Numéro projet]],Portefeuille_MNT_PPS_Access27[Numéro projet],Portefeuille_MNT_PPS_Access27[Critère Etat Infrastructure])</f>
        <v>4</v>
      </c>
      <c r="AE14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</v>
      </c>
      <c r="AF148" s="221"/>
      <c r="AJ148"/>
      <c r="AT148"/>
      <c r="AW148">
        <v>100</v>
      </c>
      <c r="AY148">
        <v>100</v>
      </c>
      <c r="BA148">
        <v>200</v>
      </c>
      <c r="BB148">
        <v>5000</v>
      </c>
      <c r="BG148" s="14">
        <f>SUM(Portefeuille_MNT_PPS_Access32[[#This Row],[AC ANT]:[TR 2035]])</f>
        <v>5400</v>
      </c>
      <c r="BH148" s="14">
        <f>SUM(Portefeuille_MNT_PPS_Access32[[#This Row],[AC 2026]:[TR 2030]])</f>
        <v>0</v>
      </c>
      <c r="BI148" s="14">
        <f>SUM(Portefeuille_MNT_PPS_Access32[[#This Row],[AC 2026]:[TR 2035]])</f>
        <v>5400</v>
      </c>
      <c r="BJ148" s="57"/>
    </row>
    <row r="149" spans="1:62" x14ac:dyDescent="0.3">
      <c r="A149" t="s">
        <v>286</v>
      </c>
      <c r="B149" t="s">
        <v>664</v>
      </c>
      <c r="D149" t="s">
        <v>101</v>
      </c>
      <c r="E149" t="s">
        <v>102</v>
      </c>
      <c r="F149" t="s">
        <v>200</v>
      </c>
      <c r="G149" t="s">
        <v>104</v>
      </c>
      <c r="H149" t="s">
        <v>16</v>
      </c>
      <c r="I149" t="s">
        <v>16</v>
      </c>
      <c r="J149" t="s">
        <v>105</v>
      </c>
      <c r="K149">
        <v>154180001</v>
      </c>
      <c r="L149" t="s">
        <v>331</v>
      </c>
      <c r="M149" t="s">
        <v>180</v>
      </c>
      <c r="N149" t="s">
        <v>148</v>
      </c>
      <c r="O149" t="s">
        <v>164</v>
      </c>
      <c r="P149" s="1">
        <v>43360</v>
      </c>
      <c r="Q149" s="1">
        <v>43671</v>
      </c>
      <c r="R149" s="1">
        <v>44217</v>
      </c>
      <c r="S14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4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4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4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10</v>
      </c>
      <c r="W14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18</v>
      </c>
      <c r="X149">
        <f>Portefeuille_MNT_PPS_Access32[[#This Row],[Délais PC1 et PC3]]+Portefeuille_MNT_PPS_Access32[[#This Row],[Délais PC3 et PC5]]</f>
        <v>28</v>
      </c>
      <c r="Y149">
        <v>1</v>
      </c>
      <c r="Z149">
        <v>1</v>
      </c>
      <c r="AB149" t="s">
        <v>165</v>
      </c>
      <c r="AC149">
        <v>3</v>
      </c>
      <c r="AD149" s="2">
        <f>_xlfn.XLOOKUP(Portefeuille_MNT_PPS_Access32[[#This Row],[Numéro projet]],Portefeuille_MNT_PPS_Access27[Numéro projet],Portefeuille_MNT_PPS_Access27[Critère Etat Infrastructure])</f>
        <v>0</v>
      </c>
      <c r="AE14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55.000000000000007</v>
      </c>
      <c r="AF149" s="221"/>
      <c r="AG149">
        <v>432</v>
      </c>
      <c r="AH149">
        <v>3057</v>
      </c>
      <c r="AI149">
        <v>136</v>
      </c>
      <c r="AJ149"/>
      <c r="AK149">
        <v>137</v>
      </c>
      <c r="AL149">
        <v>73</v>
      </c>
      <c r="AT149"/>
      <c r="BG149" s="14">
        <f>SUM(Portefeuille_MNT_PPS_Access32[[#This Row],[AC ANT]:[TR 2035]])</f>
        <v>3835</v>
      </c>
      <c r="BH149" s="14">
        <f>SUM(Portefeuille_MNT_PPS_Access32[[#This Row],[AC 2026]:[TR 2030]])</f>
        <v>0</v>
      </c>
      <c r="BI149" s="14">
        <f>SUM(Portefeuille_MNT_PPS_Access32[[#This Row],[AC 2026]:[TR 2035]])</f>
        <v>0</v>
      </c>
    </row>
    <row r="150" spans="1:62" x14ac:dyDescent="0.3">
      <c r="A150" t="s">
        <v>286</v>
      </c>
      <c r="B150" t="s">
        <v>663</v>
      </c>
      <c r="D150" t="s">
        <v>101</v>
      </c>
      <c r="E150" t="s">
        <v>102</v>
      </c>
      <c r="F150" t="s">
        <v>177</v>
      </c>
      <c r="G150" t="s">
        <v>129</v>
      </c>
      <c r="H150" t="s">
        <v>16</v>
      </c>
      <c r="I150" t="s">
        <v>16</v>
      </c>
      <c r="J150" t="s">
        <v>131</v>
      </c>
      <c r="K150">
        <v>154180922</v>
      </c>
      <c r="L150" t="s">
        <v>179</v>
      </c>
      <c r="M150" t="s">
        <v>180</v>
      </c>
      <c r="N150" t="s">
        <v>148</v>
      </c>
      <c r="O150" t="s">
        <v>164</v>
      </c>
      <c r="P150" s="1"/>
      <c r="Q150" s="1"/>
      <c r="R150" s="1">
        <v>45195</v>
      </c>
      <c r="S15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5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5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5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1484</v>
      </c>
      <c r="X150">
        <f>Portefeuille_MNT_PPS_Access32[[#This Row],[Délais PC1 et PC3]]+Portefeuille_MNT_PPS_Access32[[#This Row],[Délais PC3 et PC5]]</f>
        <v>1484</v>
      </c>
      <c r="Y150">
        <v>1</v>
      </c>
      <c r="Z150">
        <v>5</v>
      </c>
      <c r="AB150" t="s">
        <v>165</v>
      </c>
      <c r="AC150">
        <v>2.6</v>
      </c>
      <c r="AD150" s="2">
        <f>_xlfn.XLOOKUP(Portefeuille_MNT_PPS_Access32[[#This Row],[Numéro projet]],Portefeuille_MNT_PPS_Access27[Numéro projet],Portefeuille_MNT_PPS_Access27[Critère Etat Infrastructure])</f>
        <v>0</v>
      </c>
      <c r="AE150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73</v>
      </c>
      <c r="AF150" s="221"/>
      <c r="AG150">
        <v>74.999999999999986</v>
      </c>
      <c r="AH150">
        <v>101.00000000000001</v>
      </c>
      <c r="AI150">
        <v>25</v>
      </c>
      <c r="AJ150">
        <v>1137</v>
      </c>
      <c r="AK150">
        <v>73</v>
      </c>
      <c r="AL150">
        <v>596</v>
      </c>
      <c r="AT150"/>
      <c r="BG150" s="14">
        <f>SUM(Portefeuille_MNT_PPS_Access32[[#This Row],[AC ANT]:[TR 2035]])</f>
        <v>2007</v>
      </c>
      <c r="BH150" s="14">
        <f>SUM(Portefeuille_MNT_PPS_Access32[[#This Row],[AC 2026]:[TR 2030]])</f>
        <v>0</v>
      </c>
      <c r="BI150" s="14">
        <f>SUM(Portefeuille_MNT_PPS_Access32[[#This Row],[AC 2026]:[TR 2035]])</f>
        <v>0</v>
      </c>
    </row>
    <row r="151" spans="1:62" x14ac:dyDescent="0.3">
      <c r="A151" t="s">
        <v>286</v>
      </c>
      <c r="B151" t="s">
        <v>664</v>
      </c>
      <c r="D151" t="s">
        <v>101</v>
      </c>
      <c r="E151" t="s">
        <v>102</v>
      </c>
      <c r="F151" t="s">
        <v>200</v>
      </c>
      <c r="G151" t="s">
        <v>113</v>
      </c>
      <c r="H151" t="s">
        <v>16</v>
      </c>
      <c r="I151" t="s">
        <v>16</v>
      </c>
      <c r="J151" t="s">
        <v>131</v>
      </c>
      <c r="K151">
        <v>154190163</v>
      </c>
      <c r="L151" t="s">
        <v>337</v>
      </c>
      <c r="M151" t="s">
        <v>180</v>
      </c>
      <c r="N151" t="s">
        <v>148</v>
      </c>
      <c r="O151" t="s">
        <v>164</v>
      </c>
      <c r="P151" s="1"/>
      <c r="Q151" s="1">
        <v>44518</v>
      </c>
      <c r="R151" s="1">
        <v>44657</v>
      </c>
      <c r="S15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5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5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1462</v>
      </c>
      <c r="W15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5</v>
      </c>
      <c r="X151">
        <f>Portefeuille_MNT_PPS_Access32[[#This Row],[Délais PC1 et PC3]]+Portefeuille_MNT_PPS_Access32[[#This Row],[Délais PC3 et PC5]]</f>
        <v>1467</v>
      </c>
      <c r="Y151">
        <v>1</v>
      </c>
      <c r="Z151">
        <v>1</v>
      </c>
      <c r="AB151" t="s">
        <v>165</v>
      </c>
      <c r="AC151">
        <v>2.6666666666666665</v>
      </c>
      <c r="AD151" s="2">
        <f>_xlfn.XLOOKUP(Portefeuille_MNT_PPS_Access32[[#This Row],[Numéro projet]],Portefeuille_MNT_PPS_Access27[Numéro projet],Portefeuille_MNT_PPS_Access27[Critère Etat Infrastructure])</f>
        <v>5</v>
      </c>
      <c r="AE15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78.333333333333329</v>
      </c>
      <c r="AF151" s="221"/>
      <c r="AG151">
        <v>594</v>
      </c>
      <c r="AH151">
        <v>3359</v>
      </c>
      <c r="AI151">
        <v>264</v>
      </c>
      <c r="AJ151">
        <v>2717</v>
      </c>
      <c r="AK151">
        <v>63</v>
      </c>
      <c r="AL151">
        <v>462</v>
      </c>
      <c r="AT151"/>
      <c r="BG151" s="14">
        <f>SUM(Portefeuille_MNT_PPS_Access32[[#This Row],[AC ANT]:[TR 2035]])</f>
        <v>7459</v>
      </c>
      <c r="BH151" s="14">
        <f>SUM(Portefeuille_MNT_PPS_Access32[[#This Row],[AC 2026]:[TR 2030]])</f>
        <v>0</v>
      </c>
      <c r="BI151" s="14">
        <f>SUM(Portefeuille_MNT_PPS_Access32[[#This Row],[AC 2026]:[TR 2035]])</f>
        <v>0</v>
      </c>
    </row>
    <row r="152" spans="1:62" x14ac:dyDescent="0.3">
      <c r="A152" t="s">
        <v>11</v>
      </c>
      <c r="D152" t="s">
        <v>118</v>
      </c>
      <c r="E152" t="s">
        <v>102</v>
      </c>
      <c r="F152" t="s">
        <v>103</v>
      </c>
      <c r="G152" t="s">
        <v>252</v>
      </c>
      <c r="H152" t="s">
        <v>20</v>
      </c>
      <c r="I152" t="s">
        <v>16</v>
      </c>
      <c r="J152" t="s">
        <v>131</v>
      </c>
      <c r="K152">
        <v>154240498</v>
      </c>
      <c r="L152" t="s">
        <v>258</v>
      </c>
      <c r="M152" t="s">
        <v>180</v>
      </c>
      <c r="N152" t="s">
        <v>148</v>
      </c>
      <c r="O152" t="s">
        <v>291</v>
      </c>
      <c r="P152" s="1"/>
      <c r="Q152" s="1"/>
      <c r="R152" s="1"/>
      <c r="S15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52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5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5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52">
        <f>Portefeuille_MNT_PPS_Access32[[#This Row],[Délais PC1 et PC3]]+Portefeuille_MNT_PPS_Access32[[#This Row],[Délais PC3 et PC5]]</f>
        <v>0</v>
      </c>
      <c r="Y152">
        <v>1</v>
      </c>
      <c r="Z152">
        <v>1</v>
      </c>
      <c r="AB152" t="s">
        <v>311</v>
      </c>
      <c r="AC152">
        <v>2.8787878787878789</v>
      </c>
      <c r="AD152" s="2">
        <f>_xlfn.XLOOKUP(Portefeuille_MNT_PPS_Access32[[#This Row],[Numéro projet]],Portefeuille_MNT_PPS_Access27[Numéro projet],Portefeuille_MNT_PPS_Access27[Critère Etat Infrastructure])</f>
        <v>3</v>
      </c>
      <c r="AE152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34.393939393939391</v>
      </c>
      <c r="AF152" s="221"/>
      <c r="AJ152"/>
      <c r="AL152">
        <v>300</v>
      </c>
      <c r="AT152"/>
      <c r="BG152" s="14">
        <f>SUM(Portefeuille_MNT_PPS_Access32[[#This Row],[AC ANT]:[TR 2035]])</f>
        <v>300</v>
      </c>
      <c r="BH152" s="14">
        <f>SUM(Portefeuille_MNT_PPS_Access32[[#This Row],[AC 2026]:[TR 2030]])</f>
        <v>0</v>
      </c>
      <c r="BI152" s="14">
        <f>SUM(Portefeuille_MNT_PPS_Access32[[#This Row],[AC 2026]:[TR 2035]])</f>
        <v>0</v>
      </c>
      <c r="BJ152" s="57"/>
    </row>
    <row r="153" spans="1:62" x14ac:dyDescent="0.3">
      <c r="A153" t="s">
        <v>286</v>
      </c>
      <c r="B153" t="s">
        <v>295</v>
      </c>
      <c r="D153" t="s">
        <v>126</v>
      </c>
      <c r="E153" t="s">
        <v>127</v>
      </c>
      <c r="F153" t="s">
        <v>177</v>
      </c>
      <c r="G153" t="s">
        <v>206</v>
      </c>
      <c r="H153" t="s">
        <v>16</v>
      </c>
      <c r="I153" t="s">
        <v>16</v>
      </c>
      <c r="J153" t="s">
        <v>223</v>
      </c>
      <c r="K153">
        <v>154190529</v>
      </c>
      <c r="L153" t="s">
        <v>520</v>
      </c>
      <c r="M153" t="s">
        <v>180</v>
      </c>
      <c r="N153" t="s">
        <v>109</v>
      </c>
      <c r="O153" t="s">
        <v>123</v>
      </c>
      <c r="P153" s="1">
        <v>44623</v>
      </c>
      <c r="Q153" s="1">
        <v>45698</v>
      </c>
      <c r="R153" s="1">
        <v>46341</v>
      </c>
      <c r="S153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53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53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1.Très à risque</v>
      </c>
      <c r="V153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35</v>
      </c>
      <c r="W153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21</v>
      </c>
      <c r="X153">
        <f>Portefeuille_MNT_PPS_Access32[[#This Row],[Délais PC1 et PC3]]+Portefeuille_MNT_PPS_Access32[[#This Row],[Délais PC3 et PC5]]</f>
        <v>56</v>
      </c>
      <c r="Y153">
        <v>1</v>
      </c>
      <c r="Z153">
        <v>1</v>
      </c>
      <c r="AA153">
        <v>1</v>
      </c>
      <c r="AB153" t="s">
        <v>125</v>
      </c>
      <c r="AC153">
        <v>3.35</v>
      </c>
      <c r="AD153" s="2">
        <f>_xlfn.XLOOKUP(Portefeuille_MNT_PPS_Access32[[#This Row],[Numéro projet]],Portefeuille_MNT_PPS_Access27[Numéro projet],Portefeuille_MNT_PPS_Access27[Critère Etat Infrastructure])</f>
        <v>5</v>
      </c>
      <c r="AE153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51.750000000000007</v>
      </c>
      <c r="AF153" s="221"/>
      <c r="AG153">
        <v>180.00000000000003</v>
      </c>
      <c r="AI153">
        <v>53</v>
      </c>
      <c r="AJ153"/>
      <c r="AK153">
        <v>343.99999999999994</v>
      </c>
      <c r="AM153">
        <v>50</v>
      </c>
      <c r="AN153">
        <v>100</v>
      </c>
      <c r="AO153">
        <v>200</v>
      </c>
      <c r="AP153">
        <v>1594.9999999999998</v>
      </c>
      <c r="AQ153">
        <v>106</v>
      </c>
      <c r="AR153">
        <v>3411</v>
      </c>
      <c r="AS153">
        <v>212</v>
      </c>
      <c r="AT153">
        <v>5141.0000000000009</v>
      </c>
      <c r="AU153">
        <v>27.999999999999993</v>
      </c>
      <c r="AV153">
        <v>5153.0000000000018</v>
      </c>
      <c r="AW153">
        <v>28</v>
      </c>
      <c r="AX153">
        <v>5046.9999999999991</v>
      </c>
      <c r="BG153" s="14">
        <f>SUM(Portefeuille_MNT_PPS_Access32[[#This Row],[AC ANT]:[TR 2035]])</f>
        <v>21648</v>
      </c>
      <c r="BH153" s="14">
        <f>SUM(Portefeuille_MNT_PPS_Access32[[#This Row],[AC 2026]:[TR 2030]])</f>
        <v>15996.000000000002</v>
      </c>
      <c r="BI153" s="14">
        <f>SUM(Portefeuille_MNT_PPS_Access32[[#This Row],[AC 2026]:[TR 2035]])</f>
        <v>21071</v>
      </c>
    </row>
    <row r="154" spans="1:62" x14ac:dyDescent="0.3">
      <c r="A154" t="s">
        <v>286</v>
      </c>
      <c r="B154" t="s">
        <v>662</v>
      </c>
      <c r="C154">
        <v>4</v>
      </c>
      <c r="D154" t="s">
        <v>118</v>
      </c>
      <c r="E154" t="s">
        <v>102</v>
      </c>
      <c r="F154" t="s">
        <v>136</v>
      </c>
      <c r="G154" t="s">
        <v>113</v>
      </c>
      <c r="H154" t="s">
        <v>16</v>
      </c>
      <c r="I154" t="s">
        <v>20</v>
      </c>
      <c r="J154" t="s">
        <v>105</v>
      </c>
      <c r="K154">
        <v>154230630</v>
      </c>
      <c r="L154" t="s">
        <v>249</v>
      </c>
      <c r="M154" t="s">
        <v>180</v>
      </c>
      <c r="N154" t="s">
        <v>109</v>
      </c>
      <c r="O154" t="s">
        <v>110</v>
      </c>
      <c r="P154" s="1">
        <v>45476</v>
      </c>
      <c r="Q154" s="1">
        <v>46068</v>
      </c>
      <c r="R154" s="1">
        <v>46068</v>
      </c>
      <c r="S154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1.Très à risque</v>
      </c>
      <c r="T154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1.Très à risque</v>
      </c>
      <c r="U154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3.À risque</v>
      </c>
      <c r="V154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19</v>
      </c>
      <c r="W154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54">
        <f>Portefeuille_MNT_PPS_Access32[[#This Row],[Délais PC1 et PC3]]+Portefeuille_MNT_PPS_Access32[[#This Row],[Délais PC3 et PC5]]</f>
        <v>19</v>
      </c>
      <c r="Y154">
        <v>1</v>
      </c>
      <c r="Z154">
        <v>1</v>
      </c>
      <c r="AA154">
        <v>3</v>
      </c>
      <c r="AB154" t="s">
        <v>112</v>
      </c>
      <c r="AC154">
        <v>3.1333333333333333</v>
      </c>
      <c r="AD154" s="2">
        <f>_xlfn.XLOOKUP(Portefeuille_MNT_PPS_Access32[[#This Row],[Numéro projet]],Portefeuille_MNT_PPS_Access27[Numéro projet],Portefeuille_MNT_PPS_Access27[Critère Etat Infrastructure])</f>
        <v>5</v>
      </c>
      <c r="AE154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60.666666666666671</v>
      </c>
      <c r="AF154" s="221"/>
      <c r="AJ154"/>
      <c r="AK154">
        <v>35</v>
      </c>
      <c r="AM154">
        <v>110</v>
      </c>
      <c r="AN154">
        <v>3307.0000000000005</v>
      </c>
      <c r="AO154">
        <v>175</v>
      </c>
      <c r="AP154">
        <v>138</v>
      </c>
      <c r="AT154"/>
      <c r="BG154" s="14">
        <f>SUM(Portefeuille_MNT_PPS_Access32[[#This Row],[AC ANT]:[TR 2035]])</f>
        <v>3765.0000000000005</v>
      </c>
      <c r="BH154" s="14">
        <f>SUM(Portefeuille_MNT_PPS_Access32[[#This Row],[AC 2026]:[TR 2030]])</f>
        <v>3730.0000000000005</v>
      </c>
      <c r="BI154" s="14">
        <f>SUM(Portefeuille_MNT_PPS_Access32[[#This Row],[AC 2026]:[TR 2035]])</f>
        <v>3730.0000000000005</v>
      </c>
    </row>
    <row r="155" spans="1:62" x14ac:dyDescent="0.3">
      <c r="A155" t="s">
        <v>11</v>
      </c>
      <c r="C155">
        <v>8</v>
      </c>
      <c r="D155" t="s">
        <v>118</v>
      </c>
      <c r="E155" t="s">
        <v>102</v>
      </c>
      <c r="F155" t="s">
        <v>103</v>
      </c>
      <c r="G155" t="s">
        <v>252</v>
      </c>
      <c r="H155" t="s">
        <v>20</v>
      </c>
      <c r="I155" t="s">
        <v>20</v>
      </c>
      <c r="J155" t="s">
        <v>131</v>
      </c>
      <c r="K155">
        <v>154250176</v>
      </c>
      <c r="L155" t="s">
        <v>598</v>
      </c>
      <c r="M155" t="s">
        <v>180</v>
      </c>
      <c r="N155" t="s">
        <v>109</v>
      </c>
      <c r="O155" t="s">
        <v>291</v>
      </c>
      <c r="P155" s="1"/>
      <c r="Q155" s="1"/>
      <c r="R155" s="1"/>
      <c r="S155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5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55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55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55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55">
        <f>Portefeuille_MNT_PPS_Access32[[#This Row],[Délais PC1 et PC3]]+Portefeuille_MNT_PPS_Access32[[#This Row],[Délais PC3 et PC5]]</f>
        <v>0</v>
      </c>
      <c r="Y155">
        <v>1</v>
      </c>
      <c r="Z155">
        <v>1</v>
      </c>
      <c r="AA155">
        <v>3</v>
      </c>
      <c r="AB155" t="s">
        <v>311</v>
      </c>
      <c r="AC155">
        <v>3</v>
      </c>
      <c r="AD155" s="2">
        <f>_xlfn.XLOOKUP(Portefeuille_MNT_PPS_Access32[[#This Row],[Numéro projet]],Portefeuille_MNT_PPS_Access27[Numéro projet],Portefeuille_MNT_PPS_Access27[Critère Etat Infrastructure])</f>
        <v>3</v>
      </c>
      <c r="AE155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49.999999999999993</v>
      </c>
      <c r="AF155" s="221"/>
      <c r="AJ155"/>
      <c r="AN155">
        <v>300</v>
      </c>
      <c r="AT155"/>
      <c r="BG155" s="14">
        <f>SUM(Portefeuille_MNT_PPS_Access32[[#This Row],[AC ANT]:[TR 2035]])</f>
        <v>300</v>
      </c>
      <c r="BH155" s="14">
        <f>SUM(Portefeuille_MNT_PPS_Access32[[#This Row],[AC 2026]:[TR 2030]])</f>
        <v>300</v>
      </c>
      <c r="BI155" s="14">
        <f>SUM(Portefeuille_MNT_PPS_Access32[[#This Row],[AC 2026]:[TR 2035]])</f>
        <v>300</v>
      </c>
    </row>
    <row r="156" spans="1:62" x14ac:dyDescent="0.3">
      <c r="A156" t="s">
        <v>286</v>
      </c>
      <c r="B156" t="s">
        <v>663</v>
      </c>
      <c r="C156">
        <v>10</v>
      </c>
      <c r="D156" t="s">
        <v>101</v>
      </c>
      <c r="E156" t="s">
        <v>102</v>
      </c>
      <c r="F156" t="s">
        <v>103</v>
      </c>
      <c r="G156" t="s">
        <v>140</v>
      </c>
      <c r="H156" t="s">
        <v>16</v>
      </c>
      <c r="I156" t="s">
        <v>20</v>
      </c>
      <c r="J156" t="s">
        <v>131</v>
      </c>
      <c r="K156">
        <v>154210528</v>
      </c>
      <c r="L156" t="s">
        <v>515</v>
      </c>
      <c r="M156" t="s">
        <v>180</v>
      </c>
      <c r="N156" t="s">
        <v>173</v>
      </c>
      <c r="O156" t="s">
        <v>110</v>
      </c>
      <c r="P156" s="1">
        <v>45679</v>
      </c>
      <c r="Q156" s="1">
        <v>46096</v>
      </c>
      <c r="R156" s="1">
        <v>46371</v>
      </c>
      <c r="S156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3.À risque</v>
      </c>
      <c r="T156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3.À risque</v>
      </c>
      <c r="U156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56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14</v>
      </c>
      <c r="W156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9</v>
      </c>
      <c r="X156">
        <f>Portefeuille_MNT_PPS_Access32[[#This Row],[Délais PC1 et PC3]]+Portefeuille_MNT_PPS_Access32[[#This Row],[Délais PC3 et PC5]]</f>
        <v>23</v>
      </c>
      <c r="Z156">
        <v>1</v>
      </c>
      <c r="AA156">
        <v>3</v>
      </c>
      <c r="AB156" t="s">
        <v>112</v>
      </c>
      <c r="AC156">
        <v>1.8333333333333335</v>
      </c>
      <c r="AD156" s="2">
        <f>_xlfn.XLOOKUP(Portefeuille_MNT_PPS_Access32[[#This Row],[Numéro projet]],Portefeuille_MNT_PPS_Access27[Numéro projet],Portefeuille_MNT_PPS_Access27[Critère Etat Infrastructure])</f>
        <v>5</v>
      </c>
      <c r="AE156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54.166666666666671</v>
      </c>
      <c r="AF156" s="221"/>
      <c r="AJ156"/>
      <c r="AK156">
        <v>200</v>
      </c>
      <c r="AM156">
        <v>110</v>
      </c>
      <c r="AO156">
        <v>82</v>
      </c>
      <c r="AP156">
        <v>3475</v>
      </c>
      <c r="AQ156">
        <v>81</v>
      </c>
      <c r="AR156">
        <v>427</v>
      </c>
      <c r="AT156"/>
      <c r="BG156" s="14">
        <f>SUM(Portefeuille_MNT_PPS_Access32[[#This Row],[AC ANT]:[TR 2035]])</f>
        <v>4375</v>
      </c>
      <c r="BH156" s="14">
        <f>SUM(Portefeuille_MNT_PPS_Access32[[#This Row],[AC 2026]:[TR 2030]])</f>
        <v>4175</v>
      </c>
      <c r="BI156" s="14">
        <f>SUM(Portefeuille_MNT_PPS_Access32[[#This Row],[AC 2026]:[TR 2035]])</f>
        <v>4175</v>
      </c>
    </row>
    <row r="157" spans="1:62" x14ac:dyDescent="0.3">
      <c r="A157" t="s">
        <v>11</v>
      </c>
      <c r="C157">
        <v>9</v>
      </c>
      <c r="D157" t="s">
        <v>118</v>
      </c>
      <c r="E157" t="s">
        <v>102</v>
      </c>
      <c r="F157" t="s">
        <v>103</v>
      </c>
      <c r="G157" t="s">
        <v>252</v>
      </c>
      <c r="H157" t="s">
        <v>20</v>
      </c>
      <c r="I157" t="s">
        <v>20</v>
      </c>
      <c r="J157" t="s">
        <v>131</v>
      </c>
      <c r="K157">
        <v>154250200</v>
      </c>
      <c r="L157" t="s">
        <v>607</v>
      </c>
      <c r="M157" t="s">
        <v>180</v>
      </c>
      <c r="N157" s="2" t="s">
        <v>173</v>
      </c>
      <c r="O157" t="s">
        <v>291</v>
      </c>
      <c r="P157" s="1"/>
      <c r="Q157" s="1"/>
      <c r="R157" s="1"/>
      <c r="S157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7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57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57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57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57">
        <f>Portefeuille_MNT_PPS_Access32[[#This Row],[Délais PC1 et PC3]]+Portefeuille_MNT_PPS_Access32[[#This Row],[Délais PC3 et PC5]]</f>
        <v>0</v>
      </c>
      <c r="Z157">
        <v>1</v>
      </c>
      <c r="AA157">
        <v>3</v>
      </c>
      <c r="AB157" t="s">
        <v>311</v>
      </c>
      <c r="AC157">
        <v>3</v>
      </c>
      <c r="AD157" s="2">
        <f>_xlfn.XLOOKUP(Portefeuille_MNT_PPS_Access32[[#This Row],[Numéro projet]],Portefeuille_MNT_PPS_Access27[Numéro projet],Portefeuille_MNT_PPS_Access27[Critère Etat Infrastructure])</f>
        <v>3</v>
      </c>
      <c r="AE157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49.999999999999993</v>
      </c>
      <c r="AF157" s="221"/>
      <c r="AJ157"/>
      <c r="AP157">
        <v>300</v>
      </c>
      <c r="AT157"/>
      <c r="BG157" s="14">
        <f>SUM(Portefeuille_MNT_PPS_Access32[[#This Row],[AC ANT]:[TR 2035]])</f>
        <v>300</v>
      </c>
      <c r="BH157" s="14">
        <f>SUM(Portefeuille_MNT_PPS_Access32[[#This Row],[AC 2026]:[TR 2030]])</f>
        <v>300</v>
      </c>
      <c r="BI157" s="57">
        <f>SUM(Portefeuille_MNT_PPS_Access32[[#This Row],[AC 2026]:[TR 2035]])</f>
        <v>300</v>
      </c>
    </row>
    <row r="158" spans="1:62" x14ac:dyDescent="0.3">
      <c r="A158" t="s">
        <v>286</v>
      </c>
      <c r="B158" t="s">
        <v>663</v>
      </c>
      <c r="D158" t="s">
        <v>101</v>
      </c>
      <c r="E158" t="s">
        <v>102</v>
      </c>
      <c r="F158" t="s">
        <v>136</v>
      </c>
      <c r="G158" t="s">
        <v>144</v>
      </c>
      <c r="H158" t="s">
        <v>16</v>
      </c>
      <c r="I158" t="s">
        <v>20</v>
      </c>
      <c r="J158" t="s">
        <v>131</v>
      </c>
      <c r="K158">
        <v>154171403</v>
      </c>
      <c r="L158" t="s">
        <v>196</v>
      </c>
      <c r="M158" t="s">
        <v>180</v>
      </c>
      <c r="N158" t="s">
        <v>197</v>
      </c>
      <c r="O158" t="s">
        <v>110</v>
      </c>
      <c r="P158" s="1">
        <v>44889</v>
      </c>
      <c r="Q158" s="1">
        <v>46068</v>
      </c>
      <c r="R158" s="1">
        <v>46583</v>
      </c>
      <c r="S158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5.Respect OPC</v>
      </c>
      <c r="T158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5.Respect OPC</v>
      </c>
      <c r="U158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5.Respect OPC</v>
      </c>
      <c r="V158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39</v>
      </c>
      <c r="W158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17</v>
      </c>
      <c r="X158">
        <f>Portefeuille_MNT_PPS_Access32[[#This Row],[Délais PC1 et PC3]]+Portefeuille_MNT_PPS_Access32[[#This Row],[Délais PC3 et PC5]]</f>
        <v>56</v>
      </c>
      <c r="Z158">
        <v>1</v>
      </c>
      <c r="AA158">
        <v>5</v>
      </c>
      <c r="AB158" t="s">
        <v>112</v>
      </c>
      <c r="AC158">
        <v>2.6666666666666665</v>
      </c>
      <c r="AD158" s="2">
        <f>_xlfn.XLOOKUP(Portefeuille_MNT_PPS_Access32[[#This Row],[Numéro projet]],Portefeuille_MNT_PPS_Access27[Numéro projet],Portefeuille_MNT_PPS_Access27[Critère Etat Infrastructure])</f>
        <v>4</v>
      </c>
      <c r="AE158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63.333333333333343</v>
      </c>
      <c r="AF158" s="221"/>
      <c r="AG158">
        <v>337</v>
      </c>
      <c r="AI158">
        <v>76</v>
      </c>
      <c r="AJ158"/>
      <c r="AK158">
        <v>1535</v>
      </c>
      <c r="AM158">
        <v>1611</v>
      </c>
      <c r="AO158">
        <v>1611</v>
      </c>
      <c r="AQ158">
        <v>1611</v>
      </c>
      <c r="AR158">
        <v>2500</v>
      </c>
      <c r="AS158">
        <v>1200</v>
      </c>
      <c r="AT158">
        <v>11500</v>
      </c>
      <c r="AU158">
        <v>112</v>
      </c>
      <c r="AV158">
        <v>21000</v>
      </c>
      <c r="BG158" s="14">
        <f>SUM(Portefeuille_MNT_PPS_Access32[[#This Row],[AC ANT]:[TR 2035]])</f>
        <v>43093</v>
      </c>
      <c r="BH158" s="14">
        <f>SUM(Portefeuille_MNT_PPS_Access32[[#This Row],[AC 2026]:[TR 2030]])</f>
        <v>41145</v>
      </c>
      <c r="BI158" s="14">
        <f>SUM(Portefeuille_MNT_PPS_Access32[[#This Row],[AC 2026]:[TR 2035]])</f>
        <v>41145</v>
      </c>
    </row>
    <row r="159" spans="1:62" x14ac:dyDescent="0.3">
      <c r="A159" t="s">
        <v>286</v>
      </c>
      <c r="B159" t="s">
        <v>662</v>
      </c>
      <c r="D159" t="s">
        <v>118</v>
      </c>
      <c r="E159" t="s">
        <v>102</v>
      </c>
      <c r="F159" t="s">
        <v>136</v>
      </c>
      <c r="H159" t="s">
        <v>20</v>
      </c>
      <c r="I159" t="s">
        <v>20</v>
      </c>
      <c r="J159" t="s">
        <v>105</v>
      </c>
      <c r="K159">
        <v>154250517</v>
      </c>
      <c r="L159" t="s">
        <v>696</v>
      </c>
      <c r="M159" t="s">
        <v>180</v>
      </c>
      <c r="N159" t="s">
        <v>197</v>
      </c>
      <c r="P159" s="1"/>
      <c r="Q159" s="1"/>
      <c r="R159" s="1"/>
      <c r="S159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59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59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59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59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59">
        <f>Portefeuille_MNT_PPS_Access32[[#This Row],[Délais PC1 et PC3]]+Portefeuille_MNT_PPS_Access32[[#This Row],[Délais PC3 et PC5]]</f>
        <v>0</v>
      </c>
      <c r="Z159">
        <v>1</v>
      </c>
      <c r="AA159">
        <v>3</v>
      </c>
      <c r="AC159">
        <v>3.0833333333333335</v>
      </c>
      <c r="AD159" s="2">
        <f>_xlfn.XLOOKUP(Portefeuille_MNT_PPS_Access32[[#This Row],[Numéro projet]],Portefeuille_MNT_PPS_Access27[Numéro projet],Portefeuille_MNT_PPS_Access27[Critère Etat Infrastructure])</f>
        <v>5</v>
      </c>
      <c r="AE159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60.416666666666671</v>
      </c>
      <c r="AF159" s="221"/>
      <c r="AJ159"/>
      <c r="AO159">
        <v>300</v>
      </c>
      <c r="AQ159">
        <v>300</v>
      </c>
      <c r="AR159">
        <v>1532</v>
      </c>
      <c r="AT159"/>
      <c r="BG159" s="14">
        <f>SUM(Portefeuille_MNT_PPS_Access32[[#This Row],[AC ANT]:[TR 2035]])</f>
        <v>2132</v>
      </c>
      <c r="BH159" s="14">
        <f>SUM(Portefeuille_MNT_PPS_Access32[[#This Row],[AC 2026]:[TR 2030]])</f>
        <v>2132</v>
      </c>
      <c r="BI159" s="14">
        <f>SUM(Portefeuille_MNT_PPS_Access32[[#This Row],[AC 2026]:[TR 2035]])</f>
        <v>2132</v>
      </c>
      <c r="BJ159" s="57"/>
    </row>
    <row r="160" spans="1:62" x14ac:dyDescent="0.3">
      <c r="A160" t="s">
        <v>286</v>
      </c>
      <c r="B160" t="s">
        <v>662</v>
      </c>
      <c r="D160" t="s">
        <v>118</v>
      </c>
      <c r="E160" t="s">
        <v>102</v>
      </c>
      <c r="F160" t="s">
        <v>136</v>
      </c>
      <c r="H160" t="s">
        <v>20</v>
      </c>
      <c r="I160" t="s">
        <v>20</v>
      </c>
      <c r="J160" t="s">
        <v>131</v>
      </c>
      <c r="K160">
        <v>154250516</v>
      </c>
      <c r="L160" t="s">
        <v>695</v>
      </c>
      <c r="M160" t="s">
        <v>180</v>
      </c>
      <c r="N160" t="s">
        <v>169</v>
      </c>
      <c r="P160" s="1"/>
      <c r="Q160" s="1"/>
      <c r="R160" s="1"/>
      <c r="S160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60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60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60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60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60">
        <f>Portefeuille_MNT_PPS_Access32[[#This Row],[Délais PC1 et PC3]]+Portefeuille_MNT_PPS_Access32[[#This Row],[Délais PC3 et PC5]]</f>
        <v>0</v>
      </c>
      <c r="Z160">
        <v>1</v>
      </c>
      <c r="AC160">
        <v>1.3333333333333333</v>
      </c>
      <c r="AD160" s="2" t="e">
        <f>_xlfn.XLOOKUP(Portefeuille_MNT_PPS_Access32[[#This Row],[Numéro projet]],Portefeuille_MNT_PPS_Access27[Numéro projet],Portefeuille_MNT_PPS_Access27[Critère Etat Infrastructure])</f>
        <v>#N/A</v>
      </c>
      <c r="AE160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60" s="221"/>
      <c r="AJ160"/>
      <c r="AQ160">
        <v>50</v>
      </c>
      <c r="AS160">
        <v>50</v>
      </c>
      <c r="AT160">
        <v>500</v>
      </c>
      <c r="BG160" s="14">
        <f>SUM(Portefeuille_MNT_PPS_Access32[[#This Row],[AC ANT]:[TR 2035]])</f>
        <v>600</v>
      </c>
      <c r="BH160" s="14">
        <f>SUM(Portefeuille_MNT_PPS_Access32[[#This Row],[AC 2026]:[TR 2030]])</f>
        <v>600</v>
      </c>
      <c r="BI160" s="57">
        <f>SUM(Portefeuille_MNT_PPS_Access32[[#This Row],[AC 2026]:[TR 2035]])</f>
        <v>600</v>
      </c>
    </row>
    <row r="161" spans="1:63" x14ac:dyDescent="0.3">
      <c r="A161" t="s">
        <v>286</v>
      </c>
      <c r="B161" t="s">
        <v>663</v>
      </c>
      <c r="D161" t="s">
        <v>101</v>
      </c>
      <c r="E161" t="s">
        <v>102</v>
      </c>
      <c r="F161" t="s">
        <v>177</v>
      </c>
      <c r="G161" t="s">
        <v>129</v>
      </c>
      <c r="H161" t="s">
        <v>20</v>
      </c>
      <c r="I161" t="s">
        <v>20</v>
      </c>
      <c r="J161" t="s">
        <v>131</v>
      </c>
      <c r="K161">
        <v>154230631</v>
      </c>
      <c r="L161" t="s">
        <v>439</v>
      </c>
      <c r="M161" t="s">
        <v>180</v>
      </c>
      <c r="N161" t="s">
        <v>184</v>
      </c>
      <c r="O161" t="s">
        <v>291</v>
      </c>
      <c r="P161" s="1"/>
      <c r="Q161" s="1"/>
      <c r="R161" s="1"/>
      <c r="S161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61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61" s="1" t="str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X</v>
      </c>
      <c r="V161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61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0</v>
      </c>
      <c r="X161">
        <f>Portefeuille_MNT_PPS_Access32[[#This Row],[Délais PC1 et PC3]]+Portefeuille_MNT_PPS_Access32[[#This Row],[Délais PC3 et PC5]]</f>
        <v>0</v>
      </c>
      <c r="Z161">
        <v>1</v>
      </c>
      <c r="AB161" t="s">
        <v>311</v>
      </c>
      <c r="AC161">
        <v>3.1428571428571428</v>
      </c>
      <c r="AD161" s="2">
        <f>_xlfn.XLOOKUP(Portefeuille_MNT_PPS_Access32[[#This Row],[Numéro projet]],Portefeuille_MNT_PPS_Access27[Numéro projet],Portefeuille_MNT_PPS_Access27[Critère Etat Infrastructure])</f>
        <v>4</v>
      </c>
      <c r="AE161" s="12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40.714285714285715</v>
      </c>
      <c r="AF161" s="221"/>
      <c r="AJ161"/>
      <c r="AS161">
        <v>100</v>
      </c>
      <c r="AT161"/>
      <c r="AU161">
        <v>175.00000000000003</v>
      </c>
      <c r="AV161">
        <v>1500</v>
      </c>
      <c r="BG161" s="14">
        <f>SUM(Portefeuille_MNT_PPS_Access32[[#This Row],[AC ANT]:[TR 2035]])</f>
        <v>1775</v>
      </c>
      <c r="BH161" s="14">
        <f>SUM(Portefeuille_MNT_PPS_Access32[[#This Row],[AC 2026]:[TR 2030]])</f>
        <v>1775</v>
      </c>
      <c r="BI161" s="14">
        <f>SUM(Portefeuille_MNT_PPS_Access32[[#This Row],[AC 2026]:[TR 2035]])</f>
        <v>1775</v>
      </c>
    </row>
    <row r="162" spans="1:63" hidden="1" x14ac:dyDescent="0.3">
      <c r="A162" t="s">
        <v>11</v>
      </c>
      <c r="B162" t="s">
        <v>662</v>
      </c>
      <c r="D162" t="s">
        <v>118</v>
      </c>
      <c r="E162" t="s">
        <v>102</v>
      </c>
      <c r="F162" t="s">
        <v>177</v>
      </c>
      <c r="G162" t="s">
        <v>104</v>
      </c>
      <c r="H162" t="s">
        <v>16</v>
      </c>
      <c r="I162" t="s">
        <v>16</v>
      </c>
      <c r="J162" t="s">
        <v>105</v>
      </c>
      <c r="K162">
        <v>154951716</v>
      </c>
      <c r="L162" t="s">
        <v>199</v>
      </c>
      <c r="M162" t="s">
        <v>108</v>
      </c>
      <c r="O162" t="s">
        <v>297</v>
      </c>
      <c r="P162" s="1"/>
      <c r="Q162" s="1"/>
      <c r="R162" s="1">
        <v>45176</v>
      </c>
      <c r="S162" s="1" t="str">
        <f xml:space="preserve"> IF(Portefeuille_MNT_PPS_Access32[[#This Row],[PC-1]] = "", "X",IF(Portefeuille_MNT_PPS_Access32[[#This Row],[PC-1]] &lt;= DATE(Portefeuille_MNT_PPS_Access32[[#This Row],[Année DÉBUT Travaux prévu]]- 3, 12, 15),"5.Respect OPC",IF(Portefeuille_MNT_PPS_Access32[[#This Row],[PC-1]] &lt;= DATE(Portefeuille_MNT_PPS_Access32[[#This Row],[Année DÉBUT Travaux prévu]]-2, 4, 1),"3.À risque","1.Très à risque")))</f>
        <v>X</v>
      </c>
      <c r="T162" s="1" t="str">
        <f xml:space="preserve"> IF(Portefeuille_MNT_PPS_Access32[[#This Row],[PC-3]] = "", "X",IF(Portefeuille_MNT_PPS_Access32[[#This Row],[PC-3]] &lt;= DATE(Portefeuille_MNT_PPS_Access32[[#This Row],[Année DÉBUT Travaux prévu]]- 2, 12, 15),"5.Respect OPC",IF(Portefeuille_MNT_PPS_Access32[[#This Row],[PC-3]] &lt;= DATE(Portefeuille_MNT_PPS_Access32[[#This Row],[Année DÉBUT Travaux prévu]]-1, 4, 1),"3.À risque","1.Très à risque")))</f>
        <v>X</v>
      </c>
      <c r="U162" s="1" t="e">
        <f xml:space="preserve"> IF(Portefeuille_MNT_PPS_Access32[[#This Row],[PC-5]] = "", "X",IF(Portefeuille_MNT_PPS_Access32[[#This Row],[PC-5]] &lt;= DATE(Portefeuille_MNT_PPS_Access32[[#This Row],[Année DÉBUT Travaux prévu]]- 1, 12, 15),"5.Respect OPC",IF(Portefeuille_MNT_PPS_Access32[[#This Row],[PC-5]] &lt;= DATE(Portefeuille_MNT_PPS_Access32[[#This Row],[Année DÉBUT Travaux prévu]], 4, 1),"3.À risque","1.Très à risque")))</f>
        <v>#NUM!</v>
      </c>
      <c r="V162">
        <f xml:space="preserve"> (YEAR(Portefeuille_MNT_PPS_Access32[[#This Row],[PC-3]]) - YEAR(Portefeuille_MNT_PPS_Access32[[#This Row],[PC-1]])) * 12 + MONTH(Portefeuille_MNT_PPS_Access32[[#This Row],[PC-3]]) - MONTH(Portefeuille_MNT_PPS_Access32[[#This Row],[PC-1]])</f>
        <v>0</v>
      </c>
      <c r="W162">
        <f xml:space="preserve"> (YEAR(Portefeuille_MNT_PPS_Access32[[#This Row],[PC-5]]) - YEAR(Portefeuille_MNT_PPS_Access32[[#This Row],[PC-3]])) * 12 + MONTH(Portefeuille_MNT_PPS_Access32[[#This Row],[PC-5]]) - MONTH(Portefeuille_MNT_PPS_Access32[[#This Row],[PC-3]])</f>
        <v>1484</v>
      </c>
      <c r="X162">
        <f>Portefeuille_MNT_PPS_Access32[[#This Row],[Délais PC1 et PC3]]+Portefeuille_MNT_PPS_Access32[[#This Row],[Délais PC3 et PC5]]</f>
        <v>1484</v>
      </c>
      <c r="Z162">
        <v>1</v>
      </c>
      <c r="AB162" t="s">
        <v>349</v>
      </c>
      <c r="AC162">
        <v>4</v>
      </c>
      <c r="AD162" s="2" t="e">
        <f>_xlfn.XLOOKUP(Portefeuille_MNT_PPS_Access32[[#This Row],[Numéro projet]],Portefeuille_MNT_PPS_Access27[Numéro projet],Portefeuille_MNT_PPS_Access27[Critère Etat Infrastructure])</f>
        <v>#N/A</v>
      </c>
      <c r="AE162" s="12" t="e">
        <f>IF(Portefeuille_MNT_PPS_Access32[[#This Row],[IND_PARA_25-26]]=5,100, SUM(IF(Portefeuille_MNT_PPS_Access32[[#This Row],[INDICE OPC]]="",Portefeuille_MNT_PPS_Access32[[#This Row],[IND_Etat_avancement]]*$AD$8/5,Portefeuille_MNT_PPS_Access32[[#This Row],[INDICE OPC]]*$AD$8/5),Portefeuille_MNT_PPS_Access32[[#This Row],[Critère Etat Infrastructure]]* $AD$10/5,Portefeuille_MNT_PPS_Access32[[#This Row],[IND_SITE_PRIO_2024]]* $AD$9/5,Portefeuille_MNT_PPS_Access32[[#This Row],[IND_PROJT_ANNONCE_25-27]]* $AD$7/5)*100)</f>
        <v>#N/A</v>
      </c>
      <c r="AF162" s="221"/>
      <c r="AG162">
        <v>269</v>
      </c>
      <c r="AI162">
        <v>14</v>
      </c>
      <c r="AJ162">
        <v>5</v>
      </c>
      <c r="AT162"/>
      <c r="BG162" s="14">
        <f>SUM(Portefeuille_MNT_PPS_Access32[[#This Row],[AC ANT]:[TR 2035]])</f>
        <v>288</v>
      </c>
      <c r="BH162" s="14">
        <f>SUM(Portefeuille_MNT_PPS_Access32[[#This Row],[AC 2026]:[TR 2030]])</f>
        <v>0</v>
      </c>
      <c r="BI162" s="14">
        <f>SUM(Portefeuille_MNT_PPS_Access32[[#This Row],[AC 2026]:[TR 2035]])</f>
        <v>0</v>
      </c>
    </row>
    <row r="163" spans="1:63" x14ac:dyDescent="0.3">
      <c r="K163">
        <f>SUBTOTAL(103,Portefeuille_MNT_PPS_Access32[Numéro projet])</f>
        <v>120</v>
      </c>
      <c r="AF163" s="25"/>
      <c r="AG163" s="14">
        <f>SUBTOTAL(109,Portefeuille_MNT_PPS_Access32[AC ANT])</f>
        <v>15776</v>
      </c>
      <c r="AH163" s="14">
        <f>SUBTOTAL(109,Portefeuille_MNT_PPS_Access32[TR ANT])</f>
        <v>79147</v>
      </c>
      <c r="AI163" s="14">
        <f>SUBTOTAL(109,Portefeuille_MNT_PPS_Access32[AC 2024])</f>
        <v>3998</v>
      </c>
      <c r="AJ163" s="14">
        <f>SUBTOTAL(109,Portefeuille_MNT_PPS_Access32[TR 2024])</f>
        <v>55719</v>
      </c>
      <c r="AK163" s="14">
        <f>SUBTOTAL(109,Portefeuille_MNT_PPS_Access32[AC 2025])</f>
        <v>10216</v>
      </c>
      <c r="AL163" s="14">
        <f>SUBTOTAL(109,Portefeuille_MNT_PPS_Access32[TR 2025])</f>
        <v>55335</v>
      </c>
      <c r="AM163" s="14">
        <f>SUBTOTAL(109,Portefeuille_MNT_PPS_Access32[AC 2026])</f>
        <v>11198</v>
      </c>
      <c r="AN163">
        <f>SUBTOTAL(103,Portefeuille_MNT_PPS_Access32[TR 2026])</f>
        <v>20</v>
      </c>
      <c r="AP163">
        <f>SUBTOTAL(103,Portefeuille_MNT_PPS_Access32[TR 2027])</f>
        <v>19</v>
      </c>
      <c r="AR163">
        <f>SUBTOTAL(103,Portefeuille_MNT_PPS_Access32[TR 2028])</f>
        <v>22</v>
      </c>
      <c r="AT163">
        <f>SUBTOTAL(103,Portefeuille_MNT_PPS_Access32[TR 2029])</f>
        <v>17</v>
      </c>
      <c r="AV163">
        <f>SUBTOTAL(103,Portefeuille_MNT_PPS_Access32[TR 2030])</f>
        <v>15</v>
      </c>
      <c r="AW163" s="14"/>
      <c r="AX163" s="14">
        <f>SUBTOTAL(109,Portefeuille_MNT_PPS_Access32[TR 2031])</f>
        <v>97064</v>
      </c>
      <c r="AY163" s="14">
        <f>SUBTOTAL(109,Portefeuille_MNT_PPS_Access32[AC 2032])</f>
        <v>7850</v>
      </c>
      <c r="AZ163" s="14">
        <f>SUBTOTAL(109,Portefeuille_MNT_PPS_Access32[TR 2032])</f>
        <v>92650</v>
      </c>
      <c r="BA163" s="14">
        <f>SUBTOTAL(109,Portefeuille_MNT_PPS_Access32[AC 2033])</f>
        <v>7225</v>
      </c>
      <c r="BB163" s="14">
        <f>SUBTOTAL(109,Portefeuille_MNT_PPS_Access32[TR 2033])</f>
        <v>93275</v>
      </c>
      <c r="BC163" s="14">
        <f>SUBTOTAL(109,Portefeuille_MNT_PPS_Access32[AC 2034])</f>
        <v>5125</v>
      </c>
      <c r="BD163" s="14">
        <f>SUBTOTAL(109,Portefeuille_MNT_PPS_Access32[TR 2034])</f>
        <v>94236</v>
      </c>
      <c r="BE163" s="14">
        <f>SUBTOTAL(109,Portefeuille_MNT_PPS_Access32[AC 2035])</f>
        <v>3350</v>
      </c>
      <c r="BF163" s="14">
        <f>SUBTOTAL(109,Portefeuille_MNT_PPS_Access32[TR 2035])</f>
        <v>102764</v>
      </c>
      <c r="BG163" s="14">
        <f>SUBTOTAL(109,Portefeuille_MNT_PPS_Access32[Total Projet])</f>
        <v>1181291</v>
      </c>
      <c r="BH163" s="14">
        <f>SUBTOTAL(109,Portefeuille_MNT_PPS_Access32[Total Projet 2026-2031])</f>
        <v>449063</v>
      </c>
      <c r="BI163" s="14">
        <f>SUBTOTAL(109,Portefeuille_MNT_PPS_Access32[Total Projet 2026-2036])</f>
        <v>961100</v>
      </c>
    </row>
    <row r="164" spans="1:63" x14ac:dyDescent="0.3">
      <c r="BH164" s="14"/>
    </row>
    <row r="165" spans="1:63" x14ac:dyDescent="0.3"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14"/>
    </row>
    <row r="167" spans="1:63" x14ac:dyDescent="0.3">
      <c r="BH167" s="57"/>
    </row>
    <row r="169" spans="1:63" x14ac:dyDescent="0.3">
      <c r="BI169" s="57"/>
      <c r="BJ169" s="57"/>
      <c r="BK169" s="57"/>
    </row>
  </sheetData>
  <mergeCells count="187">
    <mergeCell ref="BE16:BF16"/>
    <mergeCell ref="AS16:AT16"/>
    <mergeCell ref="AU16:AV16"/>
    <mergeCell ref="AW16:AX16"/>
    <mergeCell ref="AY16:AZ16"/>
    <mergeCell ref="BA16:BB16"/>
    <mergeCell ref="BC16:BD16"/>
    <mergeCell ref="AY15:AZ15"/>
    <mergeCell ref="BA15:BB15"/>
    <mergeCell ref="BC15:BD15"/>
    <mergeCell ref="BE15:BF15"/>
    <mergeCell ref="AG16:AH16"/>
    <mergeCell ref="AI16:AJ16"/>
    <mergeCell ref="AK16:AL16"/>
    <mergeCell ref="AM16:AN16"/>
    <mergeCell ref="AO16:AP16"/>
    <mergeCell ref="AQ16:AR16"/>
    <mergeCell ref="BE14:BF14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S14:AT14"/>
    <mergeCell ref="AU14:AV14"/>
    <mergeCell ref="AW14:AX14"/>
    <mergeCell ref="AY14:AZ14"/>
    <mergeCell ref="BA14:BB14"/>
    <mergeCell ref="BC14:BD14"/>
    <mergeCell ref="AG14:AH14"/>
    <mergeCell ref="AI14:AJ14"/>
    <mergeCell ref="AK14:AL14"/>
    <mergeCell ref="AM14:AN14"/>
    <mergeCell ref="AO14:AP14"/>
    <mergeCell ref="AQ14:AR14"/>
    <mergeCell ref="AU13:AV13"/>
    <mergeCell ref="AW13:AX13"/>
    <mergeCell ref="AY13:AZ13"/>
    <mergeCell ref="BA13:BB13"/>
    <mergeCell ref="BC13:BD13"/>
    <mergeCell ref="BE13:BF13"/>
    <mergeCell ref="BC12:BD12"/>
    <mergeCell ref="BE12:BF12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Q12:AR12"/>
    <mergeCell ref="AS12:AT12"/>
    <mergeCell ref="AU12:AV12"/>
    <mergeCell ref="AW12:AX12"/>
    <mergeCell ref="AY12:AZ12"/>
    <mergeCell ref="BA12:BB12"/>
    <mergeCell ref="AW11:AX11"/>
    <mergeCell ref="AY11:AZ11"/>
    <mergeCell ref="BA11:BB11"/>
    <mergeCell ref="BC11:BD11"/>
    <mergeCell ref="BE11:BF11"/>
    <mergeCell ref="AG12:AH12"/>
    <mergeCell ref="AI12:AJ12"/>
    <mergeCell ref="AK12:AL12"/>
    <mergeCell ref="AM12:AN12"/>
    <mergeCell ref="AO12:AP12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Y9:AZ9"/>
    <mergeCell ref="BA9:BB9"/>
    <mergeCell ref="BC9:BD9"/>
    <mergeCell ref="BE9:BF9"/>
    <mergeCell ref="AG10:AH10"/>
    <mergeCell ref="AI10:AJ10"/>
    <mergeCell ref="AK10:AL10"/>
    <mergeCell ref="AM10:AN10"/>
    <mergeCell ref="AO10:AP10"/>
    <mergeCell ref="AQ10:AR10"/>
    <mergeCell ref="BE10:BF10"/>
    <mergeCell ref="AS10:AT10"/>
    <mergeCell ref="AU10:AV10"/>
    <mergeCell ref="AW10:AX10"/>
    <mergeCell ref="AY10:AZ10"/>
    <mergeCell ref="BA10:BB10"/>
    <mergeCell ref="BC10:BD10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7:AZ7"/>
    <mergeCell ref="BA7:BB7"/>
    <mergeCell ref="BC7:BD7"/>
    <mergeCell ref="BE7:BF7"/>
    <mergeCell ref="AG8:AH8"/>
    <mergeCell ref="AI8:AJ8"/>
    <mergeCell ref="AK8:AL8"/>
    <mergeCell ref="AM8:AN8"/>
    <mergeCell ref="AO8:AP8"/>
    <mergeCell ref="AQ8:AR8"/>
    <mergeCell ref="BE8:BF8"/>
    <mergeCell ref="AS8:AT8"/>
    <mergeCell ref="AU8:AV8"/>
    <mergeCell ref="AW8:AX8"/>
    <mergeCell ref="AY8:AZ8"/>
    <mergeCell ref="BA8:BB8"/>
    <mergeCell ref="BC8:BD8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BC5:BD5"/>
    <mergeCell ref="BE5:BF5"/>
    <mergeCell ref="AG6:AH6"/>
    <mergeCell ref="AI6:AJ6"/>
    <mergeCell ref="AK6:AL6"/>
    <mergeCell ref="AM6:AN6"/>
    <mergeCell ref="AO6:AP6"/>
    <mergeCell ref="AQ6:AR6"/>
    <mergeCell ref="BE6:BF6"/>
    <mergeCell ref="AS6:AT6"/>
    <mergeCell ref="AU6:AV6"/>
    <mergeCell ref="AW6:AX6"/>
    <mergeCell ref="AY6:AZ6"/>
    <mergeCell ref="BA6:BB6"/>
    <mergeCell ref="BC6:BD6"/>
    <mergeCell ref="BE4:BF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AY5:AZ5"/>
    <mergeCell ref="BA5:BB5"/>
    <mergeCell ref="AU3:AV3"/>
    <mergeCell ref="AW3:AX3"/>
    <mergeCell ref="AY3:AZ3"/>
    <mergeCell ref="BA3:BB3"/>
    <mergeCell ref="BC3:BD3"/>
    <mergeCell ref="BE3:BF3"/>
    <mergeCell ref="AG2:BI2"/>
    <mergeCell ref="I3:J3"/>
    <mergeCell ref="AE3:AF3"/>
    <mergeCell ref="AG3:AH3"/>
    <mergeCell ref="AI3:AJ3"/>
    <mergeCell ref="AK3:AL3"/>
    <mergeCell ref="AM3:AN3"/>
    <mergeCell ref="AO3:AP3"/>
    <mergeCell ref="AQ3:AR3"/>
    <mergeCell ref="AS3:AT3"/>
  </mergeCells>
  <conditionalFormatting sqref="S19:Y162">
    <cfRule type="containsText" dxfId="81" priority="1" operator="containsText" text="1.Très à risque">
      <formula>NOT(ISERROR(SEARCH("1.Très à risque",S19)))</formula>
    </cfRule>
    <cfRule type="containsText" dxfId="80" priority="2" operator="containsText" text="3.À risque">
      <formula>NOT(ISERROR(SEARCH("3.À risque",S19)))</formula>
    </cfRule>
    <cfRule type="containsText" dxfId="79" priority="3" operator="containsText" text="5.Respect OPC">
      <formula>NOT(ISERROR(SEARCH("5.Respect OPC",S19)))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091223D-DCDC-4E6C-A40A-EA178C9E70D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AD19:AF162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B0E6-440A-4FF0-B670-652D6676DFEE}">
  <dimension ref="A1:BV169"/>
  <sheetViews>
    <sheetView topLeftCell="L1" zoomScale="80" zoomScaleNormal="80" workbookViewId="0">
      <pane ySplit="18" topLeftCell="A19" activePane="bottomLeft" state="frozen"/>
      <selection activeCell="AA1" sqref="AA1"/>
      <selection pane="bottomLeft" activeCell="S18" sqref="S18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8.6640625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7.33203125" customWidth="1" outlineLevel="1"/>
    <col min="8" max="8" width="12.44140625" customWidth="1" outlineLevel="1"/>
    <col min="9" max="9" width="11.5546875" customWidth="1" outlineLevel="1"/>
    <col min="10" max="10" width="14.33203125" customWidth="1"/>
    <col min="11" max="11" width="19.33203125" bestFit="1" customWidth="1"/>
    <col min="12" max="12" width="80.6640625" customWidth="1" collapsed="1"/>
    <col min="13" max="13" width="21.44140625" customWidth="1"/>
    <col min="14" max="14" width="10" customWidth="1"/>
    <col min="15" max="15" width="23" customWidth="1"/>
    <col min="16" max="16" width="12.5546875" customWidth="1" outlineLevel="1"/>
    <col min="17" max="17" width="17.44140625" customWidth="1" outlineLevel="1"/>
    <col min="18" max="18" width="15" customWidth="1" outlineLevel="1"/>
    <col min="19" max="19" width="15.6640625" customWidth="1"/>
    <col min="20" max="20" width="14" customWidth="1"/>
    <col min="21" max="21" width="13.6640625" customWidth="1"/>
    <col min="22" max="22" width="11.33203125" hidden="1" customWidth="1" outlineLevel="1"/>
    <col min="23" max="23" width="15" hidden="1" customWidth="1" outlineLevel="1"/>
    <col min="24" max="24" width="12.33203125" hidden="1" customWidth="1" outlineLevel="1"/>
    <col min="25" max="26" width="11.44140625" hidden="1" customWidth="1" outlineLevel="1"/>
    <col min="27" max="27" width="11.33203125" hidden="1" customWidth="1" outlineLevel="1"/>
    <col min="28" max="28" width="9.88671875" hidden="1" customWidth="1" outlineLevel="1"/>
    <col min="29" max="29" width="14.6640625" hidden="1" customWidth="1" outlineLevel="1"/>
    <col min="30" max="30" width="13.88671875" hidden="1" customWidth="1" outlineLevel="1"/>
    <col min="31" max="31" width="13.5546875" customWidth="1" collapsed="1"/>
    <col min="32" max="32" width="6.33203125" customWidth="1"/>
    <col min="33" max="33" width="9.33203125" hidden="1" customWidth="1" outlineLevel="1"/>
    <col min="34" max="34" width="10.44140625" hidden="1" customWidth="1" outlineLevel="1"/>
    <col min="35" max="35" width="9.88671875" hidden="1" customWidth="1" outlineLevel="1"/>
    <col min="36" max="36" width="9.88671875" style="25" hidden="1" customWidth="1" outlineLevel="1"/>
    <col min="37" max="38" width="9.88671875" hidden="1" customWidth="1" outlineLevel="1"/>
    <col min="39" max="39" width="11.109375" customWidth="1" collapsed="1"/>
    <col min="40" max="40" width="12.33203125" customWidth="1"/>
    <col min="41" max="41" width="11" customWidth="1"/>
    <col min="42" max="45" width="9.88671875" customWidth="1"/>
    <col min="46" max="46" width="9.88671875" style="8" customWidth="1"/>
    <col min="47" max="48" width="9.88671875" customWidth="1"/>
    <col min="49" max="58" width="9.88671875" hidden="1" customWidth="1" outlineLevel="1"/>
    <col min="59" max="59" width="14.44140625" bestFit="1" customWidth="1" collapsed="1"/>
    <col min="60" max="60" width="14.44140625" customWidth="1"/>
    <col min="61" max="61" width="12.6640625" bestFit="1" customWidth="1"/>
    <col min="62" max="64" width="9.88671875" customWidth="1"/>
    <col min="65" max="65" width="13.44140625" customWidth="1"/>
    <col min="66" max="66" width="13.5546875" customWidth="1"/>
    <col min="67" max="67" width="18" customWidth="1"/>
    <col min="68" max="68" width="17" customWidth="1"/>
    <col min="69" max="69" width="16.6640625" bestFit="1" customWidth="1"/>
    <col min="70" max="79" width="11.33203125" customWidth="1"/>
    <col min="80" max="80" width="12.5546875" customWidth="1"/>
    <col min="81" max="81" width="13.44140625" customWidth="1"/>
    <col min="82" max="82" width="13.109375" customWidth="1"/>
    <col min="83" max="83" width="14" customWidth="1"/>
    <col min="84" max="89" width="17.33203125" customWidth="1"/>
    <col min="90" max="90" width="18.109375" customWidth="1"/>
    <col min="91" max="91" width="17.5546875" customWidth="1"/>
  </cols>
  <sheetData>
    <row r="1" spans="1:74" ht="21" x14ac:dyDescent="0.4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7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85"/>
      <c r="BS1" s="85"/>
      <c r="BT1" s="85"/>
      <c r="BU1" s="85"/>
      <c r="BV1" s="85"/>
    </row>
    <row r="2" spans="1:74" x14ac:dyDescent="0.3">
      <c r="Q2" s="2" t="s">
        <v>710</v>
      </c>
      <c r="R2" s="60"/>
      <c r="S2" s="60"/>
      <c r="T2" s="60"/>
      <c r="AB2" s="25"/>
      <c r="AC2" s="25"/>
      <c r="AD2" s="25"/>
      <c r="AE2" s="25"/>
      <c r="AF2" s="25"/>
      <c r="AG2" s="25"/>
      <c r="AI2" s="232"/>
      <c r="AJ2" s="232"/>
      <c r="AK2" s="232"/>
      <c r="AL2" s="232"/>
      <c r="AM2" s="349" t="s">
        <v>701</v>
      </c>
      <c r="AN2" s="349"/>
      <c r="AO2" s="349"/>
      <c r="AP2" s="349"/>
      <c r="AQ2" s="349"/>
      <c r="AR2" s="349"/>
      <c r="AS2" s="349"/>
      <c r="AT2" s="349"/>
      <c r="AU2" s="349"/>
      <c r="AV2" s="349"/>
      <c r="AW2" s="349"/>
      <c r="AX2" s="349"/>
      <c r="AY2" s="232"/>
      <c r="AZ2" s="232"/>
      <c r="BA2" s="232"/>
      <c r="BB2" s="232"/>
      <c r="BC2" s="232"/>
      <c r="BD2" s="232"/>
      <c r="BE2" s="232"/>
      <c r="BF2" s="232"/>
      <c r="BG2" s="232"/>
      <c r="BH2" s="232"/>
      <c r="BI2" s="232"/>
      <c r="BJ2" s="232"/>
    </row>
    <row r="3" spans="1:74" ht="26.4" customHeight="1" x14ac:dyDescent="0.3">
      <c r="J3" s="306" t="s">
        <v>2</v>
      </c>
      <c r="K3" s="307"/>
      <c r="M3" s="65"/>
      <c r="N3" s="65"/>
      <c r="O3" s="65"/>
      <c r="P3" s="65"/>
      <c r="Q3" s="235" t="s">
        <v>50</v>
      </c>
      <c r="R3" s="235" t="s">
        <v>51</v>
      </c>
      <c r="S3" s="235" t="s">
        <v>52</v>
      </c>
      <c r="T3" s="235" t="s">
        <v>708</v>
      </c>
      <c r="W3" s="234"/>
      <c r="X3" s="234"/>
      <c r="AC3" s="4" t="s">
        <v>3</v>
      </c>
      <c r="AD3" s="80" t="s">
        <v>4</v>
      </c>
      <c r="AE3" s="342" t="s">
        <v>5</v>
      </c>
      <c r="AF3" s="342"/>
      <c r="AG3" s="265" t="s">
        <v>6</v>
      </c>
      <c r="AH3" s="264"/>
      <c r="AI3" s="263">
        <v>2024</v>
      </c>
      <c r="AJ3" s="264"/>
      <c r="AK3" s="263">
        <v>2025</v>
      </c>
      <c r="AL3" s="264"/>
      <c r="AM3" s="263">
        <v>2026</v>
      </c>
      <c r="AN3" s="264"/>
      <c r="AO3" s="263">
        <v>2027</v>
      </c>
      <c r="AP3" s="264"/>
      <c r="AQ3" s="263">
        <v>2028</v>
      </c>
      <c r="AR3" s="264"/>
      <c r="AS3" s="263">
        <v>2029</v>
      </c>
      <c r="AT3" s="264"/>
      <c r="AU3" s="263">
        <v>2030</v>
      </c>
      <c r="AV3" s="264"/>
      <c r="AW3" s="263">
        <v>2031</v>
      </c>
      <c r="AX3" s="264"/>
      <c r="AY3" s="263">
        <v>2032</v>
      </c>
      <c r="AZ3" s="264"/>
      <c r="BA3" s="263">
        <v>2033</v>
      </c>
      <c r="BB3" s="264"/>
      <c r="BC3" s="263">
        <v>2034</v>
      </c>
      <c r="BD3" s="264"/>
      <c r="BE3" s="263">
        <v>2035</v>
      </c>
      <c r="BF3" s="264"/>
      <c r="BG3" s="26" t="s">
        <v>560</v>
      </c>
      <c r="BH3" s="26" t="s">
        <v>699</v>
      </c>
      <c r="BI3" s="26" t="s">
        <v>595</v>
      </c>
    </row>
    <row r="4" spans="1:74" x14ac:dyDescent="0.3">
      <c r="J4" s="27" t="s">
        <v>9</v>
      </c>
      <c r="K4" s="28" t="s">
        <v>10</v>
      </c>
      <c r="M4" s="65"/>
      <c r="N4" s="65"/>
      <c r="O4" s="65"/>
      <c r="P4" s="236" t="s">
        <v>704</v>
      </c>
      <c r="Q4">
        <f>COUNTIFS(Portefeuille_MNT_PPS_Access_26_28[État Composante AC],"&lt;&gt;PR",Portefeuille_MNT_PPS_Access_26_28[Gérant projet],"&lt;&gt;DAA",Portefeuille_MNT_PPS_Access_26_28[OPC-1],"&lt;&gt;X")</f>
        <v>0</v>
      </c>
      <c r="R4">
        <f>COUNTIFS(Portefeuille_MNT_PPS_Access_26_28[Année DÉBUT Travaux prévu],"=2027",Portefeuille_MNT_PPS_Access_26_28[Gérant projet],"&lt;&gt;DAA",Portefeuille_MNT_PPS_Access_26_28[OPC PC-3],"&lt;&gt;X")</f>
        <v>9</v>
      </c>
      <c r="S4">
        <f>COUNTIFS(Portefeuille_MNT_PPS_Access_26_28[Année DÉBUT Travaux prévu],"=2026",Portefeuille_MNT_PPS_Access_26_28[Gérant projet],"&lt;&gt;DAA",Portefeuille_MNT_PPS_Access_26_28[OPC PC-5],"&lt;&gt;X")</f>
        <v>11</v>
      </c>
      <c r="T4">
        <f>SUM(Q4:S4)</f>
        <v>20</v>
      </c>
      <c r="AC4" s="66"/>
      <c r="AD4" s="138"/>
      <c r="AF4" s="104" t="s">
        <v>11</v>
      </c>
      <c r="AG4" s="260">
        <f>SUMIFS(Portefeuille_MNT_PPS_Access_26_28[AC ANT],Portefeuille_MNT_PPS_Access_26_28[DES_COMPL_NATR_COMPB],"=Fonctionnement")+SUMIFS(Portefeuille_MNT_PPS_Access_26_28[TR ANT],Portefeuille_MNT_PPS_Access_26_28[DES_COMPL_NATR_COMPB],"=Fonctionnement")</f>
        <v>0</v>
      </c>
      <c r="AH4" s="260"/>
      <c r="AI4" s="260">
        <f>SUMIFS(Portefeuille_MNT_PPS_Access_26_28[AC 2024],Portefeuille_MNT_PPS_Access_26_28[DES_COMPL_NATR_COMPB],"=Fonctionnement")+SUMIFS(Portefeuille_MNT_PPS_Access_26_28[TR 2024],Portefeuille_MNT_PPS_Access_26_28[DES_COMPL_NATR_COMPB],"=Fonctionnement")</f>
        <v>0</v>
      </c>
      <c r="AJ4" s="260"/>
      <c r="AK4" s="260">
        <f>SUMIFS(Portefeuille_MNT_PPS_Access_26_28[AC 2025],Portefeuille_MNT_PPS_Access_26_28[DES_COMPL_NATR_COMPB],"=Fonctionnement")+SUMIFS(Portefeuille_MNT_PPS_Access_26_28[TR 2025],Portefeuille_MNT_PPS_Access_26_28[DES_COMPL_NATR_COMPB],"=Fonctionnement")</f>
        <v>0</v>
      </c>
      <c r="AL4" s="260"/>
      <c r="AM4" s="260">
        <f>SUMIFS(Portefeuille_MNT_PPS_Access_26_28[AC 2026],Portefeuille_MNT_PPS_Access_26_28[DES_COMPL_NATR_COMPB],"=Fonctionnement")+SUMIFS(Portefeuille_MNT_PPS_Access_26_28[TR 2026],Portefeuille_MNT_PPS_Access_26_28[DES_COMPL_NATR_COMPB],"=Fonctionnement")</f>
        <v>0</v>
      </c>
      <c r="AN4" s="260"/>
      <c r="AO4" s="260">
        <f>SUMIFS(Portefeuille_MNT_PPS_Access_26_28[AC 2027],Portefeuille_MNT_PPS_Access_26_28[DES_COMPL_NATR_COMPB],"=Fonctionnement")+SUMIFS(Portefeuille_MNT_PPS_Access_26_28[TR 2027],Portefeuille_MNT_PPS_Access_26_28[DES_COMPL_NATR_COMPB],"=Fonctionnement")</f>
        <v>0</v>
      </c>
      <c r="AP4" s="260"/>
      <c r="AQ4" s="260">
        <f>SUMIFS(Portefeuille_MNT_PPS_Access_26_28[AC 2028],Portefeuille_MNT_PPS_Access_26_28[DES_COMPL_NATR_COMPB],"=Fonctionnement")+SUMIFS(Portefeuille_MNT_PPS_Access_26_28[TR 2028],Portefeuille_MNT_PPS_Access_26_28[DES_COMPL_NATR_COMPB],"=Fonctionnement")</f>
        <v>0</v>
      </c>
      <c r="AR4" s="260"/>
      <c r="AS4" s="260">
        <f>SUMIFS(Portefeuille_MNT_PPS_Access_26_28[AC 2029],Portefeuille_MNT_PPS_Access_26_28[DES_COMPL_NATR_COMPB],"=Fonctionnement")+SUMIFS(Portefeuille_MNT_PPS_Access_26_28[TR 2029],Portefeuille_MNT_PPS_Access_26_28[DES_COMPL_NATR_COMPB],"=Fonctionnement")</f>
        <v>0</v>
      </c>
      <c r="AT4" s="260"/>
      <c r="AU4" s="260">
        <f>SUMIFS(Portefeuille_MNT_PPS_Access_26_28[AC 2030],Portefeuille_MNT_PPS_Access_26_28[DES_COMPL_NATR_COMPB],"=Fonctionnement")+SUMIFS(Portefeuille_MNT_PPS_Access_26_28[TR 2030],Portefeuille_MNT_PPS_Access_26_28[DES_COMPL_NATR_COMPB],"=Fonctionnement")</f>
        <v>0</v>
      </c>
      <c r="AV4" s="260"/>
      <c r="AW4" s="260">
        <f>SUMIFS(Portefeuille_MNT_PPS_Access_26_28[AC 2031],Portefeuille_MNT_PPS_Access_26_28[DES_COMPL_NATR_COMPB],"=Fonctionnement")+SUMIFS(Portefeuille_MNT_PPS_Access_26_28[TR 2031],Portefeuille_MNT_PPS_Access_26_28[DES_COMPL_NATR_COMPB],"=Fonctionnement")</f>
        <v>0</v>
      </c>
      <c r="AX4" s="260"/>
      <c r="AY4" s="260">
        <f>SUMIFS(Portefeuille_MNT_PPS_Access_26_28[AC 2032],Portefeuille_MNT_PPS_Access_26_28[DES_COMPL_NATR_COMPB],"=Fonctionnement")+SUMIFS(Portefeuille_MNT_PPS_Access_26_28[TR 2032],Portefeuille_MNT_PPS_Access_26_28[DES_COMPL_NATR_COMPB],"=Fonctionnement")</f>
        <v>0</v>
      </c>
      <c r="AZ4" s="260"/>
      <c r="BA4" s="260">
        <f>SUMIFS(Portefeuille_MNT_PPS_Access_26_28[AC 2033],Portefeuille_MNT_PPS_Access_26_28[DES_COMPL_NATR_COMPB],"=Fonctionnement")+SUMIFS(Portefeuille_MNT_PPS_Access_26_28[TR 2033],Portefeuille_MNT_PPS_Access_26_28[DES_COMPL_NATR_COMPB],"=Fonctionnement")</f>
        <v>0</v>
      </c>
      <c r="BB4" s="260"/>
      <c r="BC4" s="260">
        <f>SUMIFS(Portefeuille_MNT_PPS_Access_26_28[AC 2034],Portefeuille_MNT_PPS_Access_26_28[DES_COMPL_NATR_COMPB],"=Fonctionnement")+SUMIFS(Portefeuille_MNT_PPS_Access_26_28[TR 2034],Portefeuille_MNT_PPS_Access_26_28[DES_COMPL_NATR_COMPB],"=Fonctionnement")</f>
        <v>0</v>
      </c>
      <c r="BD4" s="260"/>
      <c r="BE4" s="260">
        <f>SUMIFS(Portefeuille_MNT_PPS_Access_26_28[AC 2035],Portefeuille_MNT_PPS_Access_26_28[DES_COMPL_NATR_COMPB],"=Fonctionnement")+SUMIFS(Portefeuille_MNT_PPS_Access_26_28[TR 2035],Portefeuille_MNT_PPS_Access_26_28[DES_COMPL_NATR_COMPB],"=Fonctionnement")</f>
        <v>0</v>
      </c>
      <c r="BF4" s="260"/>
      <c r="BG4" s="16">
        <f>SUM(AM4:AV4)</f>
        <v>0</v>
      </c>
      <c r="BH4" s="16">
        <f>SUM(AW4:BF4)</f>
        <v>0</v>
      </c>
      <c r="BI4" s="16">
        <f>SUM(AM4:BF4)</f>
        <v>0</v>
      </c>
    </row>
    <row r="5" spans="1:74" x14ac:dyDescent="0.3">
      <c r="J5" s="27" t="s">
        <v>12</v>
      </c>
      <c r="K5" s="28" t="s">
        <v>13</v>
      </c>
      <c r="P5" s="236" t="s">
        <v>705</v>
      </c>
      <c r="Q5">
        <f>COUNTIFS(Portefeuille_MNT_PPS_Access_26_28[État Composante AC],"&lt;&gt;PR",Portefeuille_MNT_PPS_Access_26_28[Gérant projet],"&lt;&gt;DAA",Portefeuille_MNT_PPS_Access_26_28[OPC-1],"&lt;&gt;X",Portefeuille_MNT_PPS_Access_26_28[PC-1],"&lt;=2025-10-15")</f>
        <v>0</v>
      </c>
      <c r="R5">
        <f>COUNTIFS(Portefeuille_MNT_PPS_Access_26_28[Année DÉBUT Travaux prévu],"=2027",Portefeuille_MNT_PPS_Access_26_28[Gérant projet],"&lt;&gt;DAA",Portefeuille_MNT_PPS_Access_26_28[OPC PC-3],"&lt;&gt;X",Portefeuille_MNT_PPS_Access_26_28[PC-3],"&lt;=2025-10-15")</f>
        <v>1</v>
      </c>
      <c r="S5">
        <f>COUNTIFS(Portefeuille_MNT_PPS_Access_26_28[Année DÉBUT Travaux prévu],"=2026",Portefeuille_MNT_PPS_Access_26_28[Gérant projet],"&lt;&gt;DAA",Portefeuille_MNT_PPS_Access_26_28[OPC PC-5],"&lt;&gt;X",Portefeuille_MNT_PPS_Access_26_28[PC-5],"&lt;=2025-10-15")</f>
        <v>2</v>
      </c>
      <c r="T5">
        <f>SUM(Q5:S5)</f>
        <v>3</v>
      </c>
      <c r="AC5" s="67"/>
      <c r="AD5" s="139" t="s">
        <v>299</v>
      </c>
      <c r="AF5" s="104" t="s">
        <v>15</v>
      </c>
      <c r="AG5" s="260">
        <f>SUMIFS(Portefeuille_MNT_PPS_Access_26_28[AC ANT],Portefeuille_MNT_PPS_Access_26_28[État Composante AC],"=PR")</f>
        <v>7967</v>
      </c>
      <c r="AH5" s="260"/>
      <c r="AI5" s="260">
        <f>SUMIFS(Portefeuille_MNT_PPS_Access_26_28[AC 2024],Portefeuille_MNT_PPS_Access_26_28[État Composante AC],"=PR")</f>
        <v>1514</v>
      </c>
      <c r="AJ5" s="260"/>
      <c r="AK5" s="260">
        <f>SUMIFS(Portefeuille_MNT_PPS_Access_26_28[AC 2025],Portefeuille_MNT_PPS_Access_26_28[État Composante AC],"=PR")</f>
        <v>7991</v>
      </c>
      <c r="AL5" s="260"/>
      <c r="AM5" s="260">
        <f>SUMIFS(Portefeuille_MNT_PPS_Access_26_28[AC 2026],Portefeuille_MNT_PPS_Access_26_28[État Composante AC],"=PR")</f>
        <v>10981</v>
      </c>
      <c r="AN5" s="260"/>
      <c r="AO5" s="260">
        <f>SUMIFS(Portefeuille_MNT_PPS_Access_26_28[AC 2027],Portefeuille_MNT_PPS_Access_26_28[État Composante AC],"=PR")</f>
        <v>10406</v>
      </c>
      <c r="AP5" s="260"/>
      <c r="AQ5" s="260">
        <f>SUMIFS(Portefeuille_MNT_PPS_Access_26_28[AC 2028],Portefeuille_MNT_PPS_Access_26_28[État Composante AC],"=PR")</f>
        <v>6115</v>
      </c>
      <c r="AR5" s="260"/>
      <c r="AS5" s="260">
        <f>SUMIFS(Portefeuille_MNT_PPS_Access_26_28[AC 2029],Portefeuille_MNT_PPS_Access_26_28[État Composante AC],"=PR")</f>
        <v>3062</v>
      </c>
      <c r="AT5" s="260"/>
      <c r="AU5" s="260">
        <f>SUMIFS(Portefeuille_MNT_PPS_Access_26_28[AC 2030],Portefeuille_MNT_PPS_Access_26_28[État Composante AC],"=PR")</f>
        <v>2395</v>
      </c>
      <c r="AV5" s="260"/>
      <c r="AW5" s="260">
        <f>SUMIFS(Portefeuille_MNT_PPS_Access_26_28[AC 2031],Portefeuille_MNT_PPS_Access_26_28[État Composante AC],"=PR")</f>
        <v>1918</v>
      </c>
      <c r="AX5" s="260"/>
      <c r="AY5" s="260">
        <f>SUMIFS(Portefeuille_MNT_PPS_Access_26_28[AC 2032],Portefeuille_MNT_PPS_Access_26_28[État Composante AC],"=PR")</f>
        <v>0</v>
      </c>
      <c r="AZ5" s="260"/>
      <c r="BA5" s="260">
        <f>SUMIFS(Portefeuille_MNT_PPS_Access_26_28[AC 2033],Portefeuille_MNT_PPS_Access_26_28[État Composante AC],"=PR")</f>
        <v>0</v>
      </c>
      <c r="BB5" s="260"/>
      <c r="BC5" s="260">
        <f>SUMIFS(Portefeuille_MNT_PPS_Access_26_28[AC 2034],Portefeuille_MNT_PPS_Access_26_28[État Composante AC],"=PR")</f>
        <v>0</v>
      </c>
      <c r="BD5" s="260"/>
      <c r="BE5" s="260">
        <f>SUMIFS(Portefeuille_MNT_PPS_Access_26_28[AC 2035],Portefeuille_MNT_PPS_Access_26_28[État Composante TR],"=PR")</f>
        <v>0</v>
      </c>
      <c r="BF5" s="260"/>
      <c r="BG5" s="16">
        <f>SUM(AM5:AV5)</f>
        <v>32959</v>
      </c>
      <c r="BH5" s="16">
        <f t="shared" ref="BH5:BH6" si="0">SUM(AW5:BF5)</f>
        <v>1918</v>
      </c>
      <c r="BI5" s="16">
        <f>SUM(AM5:BF5)</f>
        <v>34877</v>
      </c>
    </row>
    <row r="6" spans="1:74" x14ac:dyDescent="0.3">
      <c r="J6" s="29" t="s">
        <v>16</v>
      </c>
      <c r="K6" s="28" t="s">
        <v>17</v>
      </c>
      <c r="P6" s="236" t="s">
        <v>706</v>
      </c>
      <c r="Q6">
        <f>COUNTIFS(Portefeuille_MNT_PPS_Access_26_28[État Composante AC],"&lt;&gt;PR",Portefeuille_MNT_PPS_Access_26_28[Gérant projet],"&lt;&gt;DAA",Portefeuille_MNT_PPS_Access_26_28[OPC-1],"&lt;&gt;X", Portefeuille_MNT_PPS_Access_26_28[PC-1],"&gt;2025-10-15", Portefeuille_MNT_PPS_Access_26_28[PC-1],"&lt;=2025-12-15")</f>
        <v>0</v>
      </c>
      <c r="R6">
        <f>COUNTIFS(Portefeuille_MNT_PPS_Access_26_28[Année DÉBUT Travaux prévu],"=2027",Portefeuille_MNT_PPS_Access_26_28[Gérant projet],"&lt;&gt;DAA",Portefeuille_MNT_PPS_Access_26_28[OPC PC-3],"&lt;&gt;X",Portefeuille_MNT_PPS_Access_26_28[PC-3],"&gt;2025-10-15",Portefeuille_MNT_PPS_Access_26_28[PC-3],"&lt;=2025-12-15")</f>
        <v>1</v>
      </c>
      <c r="S6">
        <f>COUNTIFS(Portefeuille_MNT_PPS_Access_26_28[Année DÉBUT Travaux prévu],"=2026",Portefeuille_MNT_PPS_Access_26_28[Gérant projet],"&lt;&gt;DAA",Portefeuille_MNT_PPS_Access_26_28[OPC PC-5],"&lt;&gt;X",Portefeuille_MNT_PPS_Access_26_28[PC-5],"&gt;2025-10-15",Portefeuille_MNT_PPS_Access_26_28[PC-5],"&lt;=2025-12-15")</f>
        <v>5</v>
      </c>
      <c r="T6">
        <f t="shared" ref="T6:T7" si="1">SUM(Q6:S6)</f>
        <v>6</v>
      </c>
      <c r="AC6" s="35" t="s">
        <v>18</v>
      </c>
      <c r="AD6" s="140">
        <v>1</v>
      </c>
      <c r="AF6" s="83" t="s">
        <v>19</v>
      </c>
      <c r="AG6" s="260">
        <f>SUMIFS(Portefeuille_MNT_PPS_Access_26_28[TR ANT],Portefeuille_MNT_PPS_Access_26_28[État Composante TR],"=PR")</f>
        <v>28193</v>
      </c>
      <c r="AH6" s="260"/>
      <c r="AI6" s="260">
        <f>SUMIFS(Portefeuille_MNT_PPS_Access_26_28[TR 2024],Portefeuille_MNT_PPS_Access_26_28[État Composante TR],"=PR")</f>
        <v>891</v>
      </c>
      <c r="AJ6" s="260"/>
      <c r="AK6" s="260">
        <f>SUMIFS(Portefeuille_MNT_PPS_Access_26_28[TR 2025],Portefeuille_MNT_PPS_Access_26_28[État Composante TR],"=PR")</f>
        <v>67</v>
      </c>
      <c r="AL6" s="260"/>
      <c r="AM6" s="260">
        <f>SUMIFS(Portefeuille_MNT_PPS_Access_26_28[TR 2026],Portefeuille_MNT_PPS_Access_26_28[État Composante TR],"=PR")</f>
        <v>66913</v>
      </c>
      <c r="AN6" s="260"/>
      <c r="AO6" s="260">
        <f>SUMIFS(Portefeuille_MNT_PPS_Access_26_28[TR 2027],Portefeuille_MNT_PPS_Access_26_28[État Composante TR],"=PR")</f>
        <v>5749</v>
      </c>
      <c r="AP6" s="260"/>
      <c r="AQ6" s="260">
        <f>SUMIFS(Portefeuille_MNT_PPS_Access_26_28[TR 2028],Portefeuille_MNT_PPS_Access_26_28[État Composante TR],"=PR")</f>
        <v>4929</v>
      </c>
      <c r="AR6" s="260"/>
      <c r="AS6" s="260">
        <f>SUMIFS(Portefeuille_MNT_PPS_Access_26_28[TR 2029],Portefeuille_MNT_PPS_Access_26_28[État Composante TR],"=PR")</f>
        <v>6707.0000000000018</v>
      </c>
      <c r="AT6" s="260"/>
      <c r="AU6" s="260">
        <f>SUMIFS(Portefeuille_MNT_PPS_Access_26_28[TR 2030],Portefeuille_MNT_PPS_Access_26_28[État Composante TR],"=PR")</f>
        <v>6846.0000000000018</v>
      </c>
      <c r="AV6" s="260"/>
      <c r="AW6" s="260">
        <f>SUMIFS(Portefeuille_MNT_PPS_Access_26_28[TR 2031],Portefeuille_MNT_PPS_Access_26_28[État Composante TR],"=PR")</f>
        <v>0</v>
      </c>
      <c r="AX6" s="260"/>
      <c r="AY6" s="260">
        <f>SUMIFS(Portefeuille_MNT_PPS_Access_26_28[TR 2032],Portefeuille_MNT_PPS_Access_26_28[État Composante TR],"=PR")</f>
        <v>0</v>
      </c>
      <c r="AZ6" s="260"/>
      <c r="BA6" s="260">
        <f>SUMIFS(Portefeuille_MNT_PPS_Access_26_28[TR 2033],Portefeuille_MNT_PPS_Access_26_28[État Composante TR],"=PR")</f>
        <v>0</v>
      </c>
      <c r="BB6" s="260"/>
      <c r="BC6" s="260">
        <f>SUMIFS(Portefeuille_MNT_PPS_Access_26_28[TR 2034],Portefeuille_MNT_PPS_Access_26_28[État Composante TR],"=PR")</f>
        <v>0</v>
      </c>
      <c r="BD6" s="260"/>
      <c r="BE6" s="260">
        <f>SUMIFS(Portefeuille_MNT_PPS_Access_26_28[TR 2035],Portefeuille_MNT_PPS_Access_26_28[Région],"=PR")</f>
        <v>0</v>
      </c>
      <c r="BF6" s="260"/>
      <c r="BG6" s="16">
        <f>SUM(AM6:AV6)</f>
        <v>91144</v>
      </c>
      <c r="BH6" s="16">
        <f t="shared" si="0"/>
        <v>0</v>
      </c>
      <c r="BI6" s="16">
        <f>SUM(AM6:BF6)</f>
        <v>91144</v>
      </c>
    </row>
    <row r="7" spans="1:74" x14ac:dyDescent="0.3">
      <c r="J7" s="30" t="s">
        <v>20</v>
      </c>
      <c r="K7" s="31" t="s">
        <v>21</v>
      </c>
      <c r="P7" s="236" t="s">
        <v>707</v>
      </c>
      <c r="Q7">
        <f>COUNTIFS(Portefeuille_MNT_PPS_Access_26_28[État Composante AC],"&lt;&gt;PR",Portefeuille_MNT_PPS_Access_26_28[Gérant projet],"&lt;&gt;DAA",Portefeuille_MNT_PPS_Access_26_28[OPC-1],"&lt;&gt;X",Portefeuille_MNT_PPS_Access_26_28[PC-1],"&gt;2025-12-15")</f>
        <v>0</v>
      </c>
      <c r="R7">
        <f>COUNTIFS(Portefeuille_MNT_PPS_Access_26_28[Année DÉBUT Travaux prévu],"=2027",Portefeuille_MNT_PPS_Access_26_28[Gérant projet],"&lt;&gt;DAA",Portefeuille_MNT_PPS_Access_26_28[OPC PC-3],"&lt;&gt;X",Portefeuille_MNT_PPS_Access_26_28[PC-3],"&gt;2025-12-15")</f>
        <v>7</v>
      </c>
      <c r="S7">
        <f>COUNTIFS(Portefeuille_MNT_PPS_Access_26_28[Année DÉBUT Travaux prévu],"=2026",Portefeuille_MNT_PPS_Access_26_28[Gérant projet],"&lt;&gt;DAA",Portefeuille_MNT_PPS_Access_26_28[OPC PC-5],"&lt;&gt;X",Portefeuille_MNT_PPS_Access_26_28[PC-5],"&gt;2025-12-15")</f>
        <v>4</v>
      </c>
      <c r="T7">
        <f t="shared" si="1"/>
        <v>11</v>
      </c>
      <c r="AC7" s="35" t="s">
        <v>22</v>
      </c>
      <c r="AD7" s="140">
        <v>0.25</v>
      </c>
      <c r="AF7" s="83" t="s">
        <v>23</v>
      </c>
      <c r="AG7" s="262">
        <f>AG5+AG6</f>
        <v>36160</v>
      </c>
      <c r="AH7" s="262"/>
      <c r="AI7" s="262">
        <f>AI5+AI6</f>
        <v>2405</v>
      </c>
      <c r="AJ7" s="262"/>
      <c r="AK7" s="262">
        <f>AK5+AK6</f>
        <v>8058</v>
      </c>
      <c r="AL7" s="262"/>
      <c r="AM7" s="262">
        <f>AM5+AM6</f>
        <v>77894</v>
      </c>
      <c r="AN7" s="262"/>
      <c r="AO7" s="262">
        <f>AO5+AO6</f>
        <v>16155</v>
      </c>
      <c r="AP7" s="262"/>
      <c r="AQ7" s="262">
        <f>AQ5+AQ6</f>
        <v>11044</v>
      </c>
      <c r="AR7" s="262"/>
      <c r="AS7" s="262">
        <f>AS5+AS6</f>
        <v>9769.0000000000018</v>
      </c>
      <c r="AT7" s="262"/>
      <c r="AU7" s="262">
        <f>AU5+AU6</f>
        <v>9241.0000000000018</v>
      </c>
      <c r="AV7" s="262"/>
      <c r="AW7" s="262">
        <f>AW5+AW6</f>
        <v>1918</v>
      </c>
      <c r="AX7" s="262"/>
      <c r="AY7" s="262">
        <f>AY5+AY6</f>
        <v>0</v>
      </c>
      <c r="AZ7" s="262"/>
      <c r="BA7" s="262">
        <f>BA5+BA6</f>
        <v>0</v>
      </c>
      <c r="BB7" s="262"/>
      <c r="BC7" s="262">
        <f>BC5+BC6</f>
        <v>0</v>
      </c>
      <c r="BD7" s="262"/>
      <c r="BE7" s="262">
        <f>BE5+BE6</f>
        <v>0</v>
      </c>
      <c r="BF7" s="262"/>
      <c r="BG7" s="20">
        <f>BG6+BG5</f>
        <v>124103</v>
      </c>
      <c r="BH7" s="20">
        <f>BH6+BH5</f>
        <v>1918</v>
      </c>
      <c r="BI7" s="20">
        <f>BI6+BI5</f>
        <v>126021</v>
      </c>
    </row>
    <row r="8" spans="1:74" ht="26.4" x14ac:dyDescent="0.3">
      <c r="J8" s="131"/>
      <c r="K8" s="28" t="s">
        <v>270</v>
      </c>
      <c r="P8" s="236" t="s">
        <v>709</v>
      </c>
      <c r="Q8" s="237" t="e">
        <f>(Q6+Q5)/Q4</f>
        <v>#DIV/0!</v>
      </c>
      <c r="R8" s="237">
        <f>(R6+R5)/R4</f>
        <v>0.22222222222222221</v>
      </c>
      <c r="S8" s="237">
        <f>(S6+S5)/S4</f>
        <v>0.63636363636363635</v>
      </c>
      <c r="T8" s="237">
        <f>(T6+T5)/T4</f>
        <v>0.45</v>
      </c>
      <c r="AC8" s="35" t="s">
        <v>24</v>
      </c>
      <c r="AD8" s="140">
        <v>0.25</v>
      </c>
      <c r="AF8" s="83" t="s">
        <v>25</v>
      </c>
      <c r="AG8" s="260">
        <f>SUMIFS(Portefeuille_MNT_PPS_Access_26_28[AC ANT],Portefeuille_MNT_PPS_Access_26_28[État Composante AC],"&lt;&gt;PR")</f>
        <v>0</v>
      </c>
      <c r="AH8" s="260"/>
      <c r="AI8" s="260">
        <f>SUMIFS(Portefeuille_MNT_PPS_Access_26_28[AC 2024],Portefeuille_MNT_PPS_Access_26_28[État Composante AC],"&lt;&gt;PR")</f>
        <v>0</v>
      </c>
      <c r="AJ8" s="260"/>
      <c r="AK8" s="260">
        <f>SUMIFS(Portefeuille_MNT_PPS_Access_26_28[AC 2025],Portefeuille_MNT_PPS_Access_26_28[État Composante AC],"&lt;&gt;PR")</f>
        <v>0</v>
      </c>
      <c r="AL8" s="260"/>
      <c r="AM8" s="260">
        <f>SUMIFS(Portefeuille_MNT_PPS_Access_26_28[AC 2026],Portefeuille_MNT_PPS_Access_26_28[État Composante AC],"&lt;&gt;PR")</f>
        <v>0</v>
      </c>
      <c r="AN8" s="260"/>
      <c r="AO8" s="260">
        <f>SUMIFS(Portefeuille_MNT_PPS_Access_26_28[AC 2027],Portefeuille_MNT_PPS_Access_26_28[État Composante AC],"&lt;&gt;PR")</f>
        <v>0</v>
      </c>
      <c r="AP8" s="260"/>
      <c r="AQ8" s="260">
        <f>SUMIFS(Portefeuille_MNT_PPS_Access_26_28[AC 2028],Portefeuille_MNT_PPS_Access_26_28[État Composante AC],"&lt;&gt;PR")</f>
        <v>0</v>
      </c>
      <c r="AR8" s="260"/>
      <c r="AS8" s="260">
        <f>SUMIFS(Portefeuille_MNT_PPS_Access_26_28[AC 2029],Portefeuille_MNT_PPS_Access_26_28[État Composante AC],"&lt;&gt;PR")</f>
        <v>0</v>
      </c>
      <c r="AT8" s="260"/>
      <c r="AU8" s="260">
        <f>SUMIFS(Portefeuille_MNT_PPS_Access_26_28[AC 2030],Portefeuille_MNT_PPS_Access_26_28[État Composante AC],"&lt;&gt;PR")</f>
        <v>0</v>
      </c>
      <c r="AV8" s="260"/>
      <c r="AW8" s="260">
        <f>SUMIFS(Portefeuille_MNT_PPS_Access_26_28[AC 2031],Portefeuille_MNT_PPS_Access_26_28[État Composante AC],"&lt;&gt;PR")</f>
        <v>0</v>
      </c>
      <c r="AX8" s="260"/>
      <c r="AY8" s="260">
        <f>SUMIFS(Portefeuille_MNT_PPS_Access_26_28[AC 2032],Portefeuille_MNT_PPS_Access_26_28[État Composante AC],"&lt;&gt;PR")</f>
        <v>0</v>
      </c>
      <c r="AZ8" s="260"/>
      <c r="BA8" s="260">
        <f>SUMIFS(Portefeuille_MNT_PPS_Access_26_28[AC 2033],Portefeuille_MNT_PPS_Access_26_28[État Composante AC],"&lt;&gt;PR")</f>
        <v>0</v>
      </c>
      <c r="BB8" s="260"/>
      <c r="BC8" s="260">
        <f>SUMIFS(Portefeuille_MNT_PPS_Access_26_28[AC 2034],Portefeuille_MNT_PPS_Access_26_28[État Composante AC],"&lt;&gt;PR")</f>
        <v>0</v>
      </c>
      <c r="BD8" s="260"/>
      <c r="BE8" s="260">
        <f>SUMIFS(Portefeuille_MNT_PPS_Access_26_28[AC 2035],Portefeuille_MNT_PPS_Access_26_28[État Composante TR],"&lt;&gt;PR")</f>
        <v>0</v>
      </c>
      <c r="BF8" s="260"/>
      <c r="BG8" s="16">
        <f>SUM(AM8:AV8)</f>
        <v>0</v>
      </c>
      <c r="BH8" s="16">
        <f>SUM(AW8:BF8)</f>
        <v>0</v>
      </c>
      <c r="BI8" s="16">
        <f>SUM(AM8:BF8)</f>
        <v>0</v>
      </c>
    </row>
    <row r="9" spans="1:74" x14ac:dyDescent="0.3">
      <c r="J9" s="176"/>
      <c r="K9" s="28" t="s">
        <v>271</v>
      </c>
      <c r="AC9" s="35" t="s">
        <v>26</v>
      </c>
      <c r="AD9" s="140">
        <v>0.25</v>
      </c>
      <c r="AF9" s="83" t="s">
        <v>27</v>
      </c>
      <c r="AG9" s="260">
        <f>SUMIFS(Portefeuille_MNT_PPS_Access_26_28[TR ANT],Portefeuille_MNT_PPS_Access_26_28[État Composante TR],"&lt;&gt;PR")</f>
        <v>12</v>
      </c>
      <c r="AH9" s="260"/>
      <c r="AI9" s="260">
        <f>SUMIFS(Portefeuille_MNT_PPS_Access_26_28[TR 2024],Portefeuille_MNT_PPS_Access_26_28[État Composante TR],"&lt;&gt;PR")</f>
        <v>0</v>
      </c>
      <c r="AJ9" s="260"/>
      <c r="AK9" s="260">
        <f>SUMIFS(Portefeuille_MNT_PPS_Access_26_28[TR 2025],Portefeuille_MNT_PPS_Access_26_28[État Composante TR],"&lt;&gt;PR")</f>
        <v>0</v>
      </c>
      <c r="AL9" s="260"/>
      <c r="AM9" s="260">
        <f>SUMIFS(Portefeuille_MNT_PPS_Access_26_28[TR 2026],Portefeuille_MNT_PPS_Access_26_28[État Composante TR],"&lt;&gt;PR")</f>
        <v>1377</v>
      </c>
      <c r="AN9" s="260"/>
      <c r="AO9" s="260">
        <f>SUMIFS(Portefeuille_MNT_PPS_Access_26_28[TR 2027],Portefeuille_MNT_PPS_Access_26_28[État Composante TR],"&lt;&gt;PR")</f>
        <v>53602</v>
      </c>
      <c r="AP9" s="260"/>
      <c r="AQ9" s="260">
        <f>SUMIFS(Portefeuille_MNT_PPS_Access_26_28[TR 2028],Portefeuille_MNT_PPS_Access_26_28[État Composante TR],"&lt;&gt;PR")</f>
        <v>61619</v>
      </c>
      <c r="AR9" s="260"/>
      <c r="AS9" s="260">
        <f>SUMIFS(Portefeuille_MNT_PPS_Access_26_28[TR 2029],Portefeuille_MNT_PPS_Access_26_28[État Composante TR],"&lt;&gt;PR")</f>
        <v>48544</v>
      </c>
      <c r="AT9" s="260"/>
      <c r="AU9" s="260">
        <f>SUMIFS(Portefeuille_MNT_PPS_Access_26_28[TR 2030],Portefeuille_MNT_PPS_Access_26_28[État Composante TR],"&lt;&gt;PR")</f>
        <v>29362</v>
      </c>
      <c r="AV9" s="260"/>
      <c r="AW9" s="260">
        <f>SUMIFS(Portefeuille_MNT_PPS_Access_26_28[TR 2031],Portefeuille_MNT_PPS_Access_26_28[État Composante TR],"&lt;&gt;PR")</f>
        <v>41119</v>
      </c>
      <c r="AX9" s="260"/>
      <c r="AY9" s="260">
        <f>SUMIFS(Portefeuille_MNT_PPS_Access_26_28[TR 2032],Portefeuille_MNT_PPS_Access_26_28[État Composante TR],"&lt;&gt;PR")</f>
        <v>0</v>
      </c>
      <c r="AZ9" s="260"/>
      <c r="BA9" s="260">
        <f>SUMIFS(Portefeuille_MNT_PPS_Access_26_28[TR 2033],Portefeuille_MNT_PPS_Access_26_28[État Composante TR],"&lt;&gt;PR")</f>
        <v>0</v>
      </c>
      <c r="BB9" s="260"/>
      <c r="BC9" s="260">
        <f>SUMIFS(Portefeuille_MNT_PPS_Access_26_28[TR 2034],Portefeuille_MNT_PPS_Access_26_28[État Composante TR],"&lt;&gt;PR")</f>
        <v>0</v>
      </c>
      <c r="BD9" s="260"/>
      <c r="BE9" s="260">
        <f>SUMIFS(Portefeuille_MNT_PPS_Access_26_28[TR 2035],Portefeuille_MNT_PPS_Access_26_28[Région],"&lt;&gt;PR")</f>
        <v>0</v>
      </c>
      <c r="BF9" s="260"/>
      <c r="BG9" s="16">
        <f>SUM(AM9:AV9)</f>
        <v>194504</v>
      </c>
      <c r="BH9" s="16">
        <f>SUM(AW9:BF9)</f>
        <v>41119</v>
      </c>
      <c r="BI9" s="16">
        <f>SUM(AM9:BF9)</f>
        <v>235623</v>
      </c>
    </row>
    <row r="10" spans="1:74" x14ac:dyDescent="0.3">
      <c r="J10" s="175"/>
      <c r="K10" s="31" t="s">
        <v>521</v>
      </c>
      <c r="AC10" s="35" t="s">
        <v>28</v>
      </c>
      <c r="AD10" s="140">
        <v>0.25</v>
      </c>
      <c r="AF10" s="83" t="s">
        <v>29</v>
      </c>
      <c r="AG10" s="262">
        <f>AG8+AG9</f>
        <v>12</v>
      </c>
      <c r="AH10" s="262"/>
      <c r="AI10" s="262">
        <f>AI8+AI9</f>
        <v>0</v>
      </c>
      <c r="AJ10" s="262"/>
      <c r="AK10" s="262">
        <f>AK8+AK9</f>
        <v>0</v>
      </c>
      <c r="AL10" s="262"/>
      <c r="AM10" s="262">
        <f>AM8+AM9</f>
        <v>1377</v>
      </c>
      <c r="AN10" s="262"/>
      <c r="AO10" s="262">
        <f>AO8+AO9</f>
        <v>53602</v>
      </c>
      <c r="AP10" s="262"/>
      <c r="AQ10" s="262">
        <f>AQ8+AQ9</f>
        <v>61619</v>
      </c>
      <c r="AR10" s="262"/>
      <c r="AS10" s="262">
        <f>AS8+AS9</f>
        <v>48544</v>
      </c>
      <c r="AT10" s="262"/>
      <c r="AU10" s="262">
        <f>AU8+AU9</f>
        <v>29362</v>
      </c>
      <c r="AV10" s="262"/>
      <c r="AW10" s="262">
        <f>AW8+AW9</f>
        <v>41119</v>
      </c>
      <c r="AX10" s="262"/>
      <c r="AY10" s="262">
        <f>AY8+AY9</f>
        <v>0</v>
      </c>
      <c r="AZ10" s="262"/>
      <c r="BA10" s="262">
        <f>BA8+BA9</f>
        <v>0</v>
      </c>
      <c r="BB10" s="262"/>
      <c r="BC10" s="262">
        <f>BC8+BC9</f>
        <v>0</v>
      </c>
      <c r="BD10" s="262"/>
      <c r="BE10" s="262">
        <f>BE8+BE9</f>
        <v>0</v>
      </c>
      <c r="BF10" s="262"/>
      <c r="BG10" s="20">
        <f>BG9+BG8</f>
        <v>194504</v>
      </c>
      <c r="BH10" s="20">
        <f>BH9+BH8</f>
        <v>41119</v>
      </c>
      <c r="BI10" s="20">
        <f>BI9+BI8</f>
        <v>235623</v>
      </c>
    </row>
    <row r="11" spans="1:74" ht="15.6" x14ac:dyDescent="0.3">
      <c r="AC11" s="24" t="s">
        <v>30</v>
      </c>
      <c r="AD11" s="212">
        <f>SUM(AD7:AD10)</f>
        <v>1</v>
      </c>
      <c r="AE11" s="343" t="s">
        <v>31</v>
      </c>
      <c r="AF11" s="344"/>
      <c r="AG11" s="261">
        <f>AG10+AG7</f>
        <v>36172</v>
      </c>
      <c r="AH11" s="259"/>
      <c r="AI11" s="258">
        <f>AI10+AI7</f>
        <v>2405</v>
      </c>
      <c r="AJ11" s="259"/>
      <c r="AK11" s="258">
        <f>AK10+AK7</f>
        <v>8058</v>
      </c>
      <c r="AL11" s="259"/>
      <c r="AM11" s="258">
        <f>AM10+AM7</f>
        <v>79271</v>
      </c>
      <c r="AN11" s="259"/>
      <c r="AO11" s="258">
        <f>AO10+AO7</f>
        <v>69757</v>
      </c>
      <c r="AP11" s="259"/>
      <c r="AQ11" s="258">
        <f>AQ10+AQ7</f>
        <v>72663</v>
      </c>
      <c r="AR11" s="259"/>
      <c r="AS11" s="258">
        <f>AS10+AS7</f>
        <v>58313</v>
      </c>
      <c r="AT11" s="259"/>
      <c r="AU11" s="258">
        <f>AU10+AU7</f>
        <v>38603</v>
      </c>
      <c r="AV11" s="259"/>
      <c r="AW11" s="258">
        <f>AW10+AW7</f>
        <v>43037</v>
      </c>
      <c r="AX11" s="259"/>
      <c r="AY11" s="258">
        <f>AY10+AY7</f>
        <v>0</v>
      </c>
      <c r="AZ11" s="259"/>
      <c r="BA11" s="258">
        <f>BA10+BA7</f>
        <v>0</v>
      </c>
      <c r="BB11" s="259"/>
      <c r="BC11" s="258">
        <f>BC10+BC7</f>
        <v>0</v>
      </c>
      <c r="BD11" s="259"/>
      <c r="BE11" s="258">
        <f>BE10+BE7</f>
        <v>0</v>
      </c>
      <c r="BF11" s="259"/>
      <c r="BG11" s="21">
        <f>BG7+BG10</f>
        <v>318607</v>
      </c>
      <c r="BH11" s="21">
        <f>BH7+BH10</f>
        <v>43037</v>
      </c>
      <c r="BI11" s="21">
        <f>BI7+BI10</f>
        <v>361644</v>
      </c>
    </row>
    <row r="12" spans="1:74" x14ac:dyDescent="0.3">
      <c r="AE12" s="209"/>
      <c r="AF12" s="83" t="s">
        <v>700</v>
      </c>
      <c r="AG12" s="260"/>
      <c r="AH12" s="260"/>
      <c r="AI12" s="260"/>
      <c r="AJ12" s="28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>
        <v>0</v>
      </c>
      <c r="AX12" s="260"/>
      <c r="AY12" s="260">
        <v>0</v>
      </c>
      <c r="AZ12" s="260"/>
      <c r="BA12" s="260">
        <v>0</v>
      </c>
      <c r="BB12" s="260"/>
      <c r="BC12" s="260">
        <v>0</v>
      </c>
      <c r="BD12" s="260"/>
      <c r="BE12" s="260">
        <v>0</v>
      </c>
      <c r="BF12" s="260"/>
      <c r="BG12" s="233">
        <f>SUM(AM12:AV12)</f>
        <v>0</v>
      </c>
      <c r="BH12" s="233">
        <f>SUM(AW12:BF12)</f>
        <v>0</v>
      </c>
      <c r="BI12" s="233">
        <f>SUM(AM12:BF12)</f>
        <v>0</v>
      </c>
    </row>
    <row r="13" spans="1:74" ht="15.6" x14ac:dyDescent="0.3">
      <c r="Q13" s="1"/>
      <c r="AE13" s="345" t="s">
        <v>592</v>
      </c>
      <c r="AF13" s="346"/>
      <c r="AG13" s="258">
        <f>AG12+AG11</f>
        <v>36172</v>
      </c>
      <c r="AH13" s="259"/>
      <c r="AI13" s="258">
        <f>AI12+AI11</f>
        <v>2405</v>
      </c>
      <c r="AJ13" s="259"/>
      <c r="AK13" s="258">
        <f>AK12+AK11</f>
        <v>8058</v>
      </c>
      <c r="AL13" s="259"/>
      <c r="AM13" s="258">
        <f>AM12+AM11</f>
        <v>79271</v>
      </c>
      <c r="AN13" s="259"/>
      <c r="AO13" s="258">
        <f>AO12+AO11</f>
        <v>69757</v>
      </c>
      <c r="AP13" s="259"/>
      <c r="AQ13" s="258">
        <f>AQ12+AQ11</f>
        <v>72663</v>
      </c>
      <c r="AR13" s="259"/>
      <c r="AS13" s="258">
        <f>AS12+AS11</f>
        <v>58313</v>
      </c>
      <c r="AT13" s="259"/>
      <c r="AU13" s="258">
        <f>AU12+AU11</f>
        <v>38603</v>
      </c>
      <c r="AV13" s="259"/>
      <c r="AW13" s="258">
        <f>AW12+AW11</f>
        <v>43037</v>
      </c>
      <c r="AX13" s="259"/>
      <c r="AY13" s="258">
        <f>AY12+AY11</f>
        <v>0</v>
      </c>
      <c r="AZ13" s="259"/>
      <c r="BA13" s="258">
        <f>BA12+BA11</f>
        <v>0</v>
      </c>
      <c r="BB13" s="259"/>
      <c r="BC13" s="258">
        <f>BC12+BC11</f>
        <v>0</v>
      </c>
      <c r="BD13" s="259"/>
      <c r="BE13" s="258">
        <f>BE12+BE11</f>
        <v>0</v>
      </c>
      <c r="BF13" s="259"/>
      <c r="BG13" s="21">
        <f>BG12+BG11</f>
        <v>318607</v>
      </c>
      <c r="BH13" s="21">
        <f>BH12+BH11</f>
        <v>43037</v>
      </c>
      <c r="BI13" s="21">
        <f>BI12+BI11</f>
        <v>361644</v>
      </c>
    </row>
    <row r="14" spans="1:74" ht="15.6" x14ac:dyDescent="0.3">
      <c r="AE14" s="210"/>
      <c r="AF14" s="144" t="s">
        <v>692</v>
      </c>
      <c r="AG14" s="256"/>
      <c r="AH14" s="257"/>
      <c r="AI14" s="256"/>
      <c r="AJ14" s="257"/>
      <c r="AK14" s="256"/>
      <c r="AL14" s="257"/>
      <c r="AM14" s="256">
        <v>75500</v>
      </c>
      <c r="AN14" s="257"/>
      <c r="AO14" s="256">
        <v>80500</v>
      </c>
      <c r="AP14" s="257"/>
      <c r="AQ14" s="256">
        <v>80500</v>
      </c>
      <c r="AR14" s="257"/>
      <c r="AS14" s="256">
        <v>80500</v>
      </c>
      <c r="AT14" s="257"/>
      <c r="AU14" s="256">
        <v>80500</v>
      </c>
      <c r="AV14" s="257"/>
      <c r="AW14" s="256">
        <v>100500</v>
      </c>
      <c r="AX14" s="257"/>
      <c r="AY14" s="256">
        <v>100500</v>
      </c>
      <c r="AZ14" s="257"/>
      <c r="BA14" s="256">
        <v>100500</v>
      </c>
      <c r="BB14" s="257"/>
      <c r="BC14" s="256">
        <v>100500</v>
      </c>
      <c r="BD14" s="257"/>
      <c r="BE14" s="256">
        <v>100500</v>
      </c>
      <c r="BF14" s="257"/>
      <c r="BG14" s="17">
        <f>SUM(AM14:AV14)</f>
        <v>397500</v>
      </c>
      <c r="BH14" s="17">
        <f>SUM(AW14:BF14)</f>
        <v>502500</v>
      </c>
      <c r="BI14" s="17">
        <f>SUM(AM14:BF14)</f>
        <v>900000</v>
      </c>
    </row>
    <row r="15" spans="1:74" ht="15.6" x14ac:dyDescent="0.3">
      <c r="AE15" s="210"/>
      <c r="AF15" s="84" t="s">
        <v>690</v>
      </c>
      <c r="AG15" s="252"/>
      <c r="AH15" s="348"/>
      <c r="AI15" s="252"/>
      <c r="AJ15" s="253"/>
      <c r="AK15" s="252"/>
      <c r="AL15" s="253"/>
      <c r="AM15" s="252">
        <f>AM14-AM13</f>
        <v>-3771</v>
      </c>
      <c r="AN15" s="253"/>
      <c r="AO15" s="252">
        <f t="shared" ref="AO15" si="2">AO14-AO13</f>
        <v>10743</v>
      </c>
      <c r="AP15" s="253"/>
      <c r="AQ15" s="252">
        <f t="shared" ref="AQ15" si="3">AQ14-AQ13</f>
        <v>7837</v>
      </c>
      <c r="AR15" s="253"/>
      <c r="AS15" s="252">
        <f t="shared" ref="AS15" si="4">AS14-AS13</f>
        <v>22187</v>
      </c>
      <c r="AT15" s="253"/>
      <c r="AU15" s="252">
        <f t="shared" ref="AU15" si="5">AU14-AU13</f>
        <v>41897</v>
      </c>
      <c r="AV15" s="253"/>
      <c r="AW15" s="252">
        <f t="shared" ref="AW15" si="6">AW14-AW13</f>
        <v>57463</v>
      </c>
      <c r="AX15" s="253"/>
      <c r="AY15" s="252">
        <f t="shared" ref="AY15" si="7">AY14-AY13</f>
        <v>100500</v>
      </c>
      <c r="AZ15" s="253"/>
      <c r="BA15" s="252">
        <f>BA14-BA13</f>
        <v>100500</v>
      </c>
      <c r="BB15" s="253"/>
      <c r="BC15" s="252">
        <f>BC14-BC13</f>
        <v>100500</v>
      </c>
      <c r="BD15" s="253"/>
      <c r="BE15" s="252">
        <f>BE14-BE13</f>
        <v>100500</v>
      </c>
      <c r="BF15" s="253"/>
      <c r="BG15" s="23">
        <f>BG14-BG13</f>
        <v>78893</v>
      </c>
      <c r="BH15" s="23">
        <f>BH14-BH13</f>
        <v>459463</v>
      </c>
      <c r="BI15" s="23">
        <f>BI14-BI13</f>
        <v>538356</v>
      </c>
    </row>
    <row r="16" spans="1:74" ht="15.6" x14ac:dyDescent="0.3">
      <c r="AE16" s="211"/>
      <c r="AF16" s="145" t="s">
        <v>691</v>
      </c>
      <c r="AG16" s="254"/>
      <c r="AH16" s="255"/>
      <c r="AI16" s="254"/>
      <c r="AJ16" s="255"/>
      <c r="AK16" s="254"/>
      <c r="AL16" s="255"/>
      <c r="AM16" s="254">
        <f>(AM14-AM13)/AM14</f>
        <v>-4.9947019867549666E-2</v>
      </c>
      <c r="AN16" s="255"/>
      <c r="AO16" s="254">
        <f t="shared" ref="AO16" si="8">(AO14-AO13)/AO14</f>
        <v>0.13345341614906833</v>
      </c>
      <c r="AP16" s="255"/>
      <c r="AQ16" s="254">
        <f t="shared" ref="AQ16" si="9">(AQ14-AQ13)/AQ14</f>
        <v>9.7354037267080751E-2</v>
      </c>
      <c r="AR16" s="255"/>
      <c r="AS16" s="254">
        <f t="shared" ref="AS16" si="10">(AS14-AS13)/AS14</f>
        <v>0.27561490683229811</v>
      </c>
      <c r="AT16" s="255"/>
      <c r="AU16" s="254">
        <f t="shared" ref="AU16" si="11">(AU14-AU13)/AU14</f>
        <v>0.5204596273291926</v>
      </c>
      <c r="AV16" s="255"/>
      <c r="AW16" s="254">
        <f t="shared" ref="AW16" si="12">(AW14-AW13)/AW14</f>
        <v>0.57177114427860698</v>
      </c>
      <c r="AX16" s="255"/>
      <c r="AY16" s="254">
        <f t="shared" ref="AY16" si="13">(AY14-AY13)/AY14</f>
        <v>1</v>
      </c>
      <c r="AZ16" s="255"/>
      <c r="BA16" s="254">
        <f>(BA14-BA13)/BA14</f>
        <v>1</v>
      </c>
      <c r="BB16" s="255"/>
      <c r="BC16" s="254">
        <f>(BC14-BC13)/BC14</f>
        <v>1</v>
      </c>
      <c r="BD16" s="255"/>
      <c r="BE16" s="254">
        <f>(BE14-BE13)/BE14</f>
        <v>1</v>
      </c>
      <c r="BF16" s="255"/>
      <c r="BG16" s="22">
        <f>(BG14-BG13)/BG14</f>
        <v>0.19847295597484277</v>
      </c>
      <c r="BH16" s="22">
        <f>(BH14-BH13)/BH14</f>
        <v>0.91435422885572137</v>
      </c>
      <c r="BI16" s="22">
        <f>(BI14-BI13)/BI14</f>
        <v>0.59817333333333333</v>
      </c>
    </row>
    <row r="17" spans="1:60" ht="13.95" customHeight="1" thickBot="1" x14ac:dyDescent="0.35">
      <c r="AI17" s="8"/>
      <c r="AJ17"/>
      <c r="AT17"/>
    </row>
    <row r="18" spans="1:60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50</v>
      </c>
      <c r="Q18" s="11" t="s">
        <v>51</v>
      </c>
      <c r="R18" s="11" t="s">
        <v>52</v>
      </c>
      <c r="S18" s="11" t="s">
        <v>548</v>
      </c>
      <c r="T18" s="11" t="s">
        <v>538</v>
      </c>
      <c r="U18" s="11" t="s">
        <v>537</v>
      </c>
      <c r="V18" s="11" t="s">
        <v>535</v>
      </c>
      <c r="W18" s="11" t="s">
        <v>534</v>
      </c>
      <c r="X18" s="11" t="s">
        <v>536</v>
      </c>
      <c r="Y18" s="11" t="s">
        <v>657</v>
      </c>
      <c r="Z18" s="11" t="s">
        <v>658</v>
      </c>
      <c r="AA18" s="11" t="s">
        <v>659</v>
      </c>
      <c r="AB18" s="11" t="s">
        <v>69</v>
      </c>
      <c r="AC18" s="11" t="s">
        <v>660</v>
      </c>
      <c r="AD18" s="9" t="s">
        <v>73</v>
      </c>
      <c r="AE18" s="9" t="s">
        <v>74</v>
      </c>
      <c r="AF18" s="10" t="s">
        <v>75</v>
      </c>
      <c r="AG18" s="9" t="s">
        <v>76</v>
      </c>
      <c r="AH18" s="9" t="s">
        <v>77</v>
      </c>
      <c r="AI18" s="9" t="s">
        <v>78</v>
      </c>
      <c r="AJ18" s="9" t="s">
        <v>79</v>
      </c>
      <c r="AK18" s="9" t="s">
        <v>80</v>
      </c>
      <c r="AL18" s="9" t="s">
        <v>81</v>
      </c>
      <c r="AM18" s="9" t="s">
        <v>82</v>
      </c>
      <c r="AN18" s="9" t="s">
        <v>83</v>
      </c>
      <c r="AO18" s="9" t="s">
        <v>84</v>
      </c>
      <c r="AP18" s="9" t="s">
        <v>85</v>
      </c>
      <c r="AQ18" s="9" t="s">
        <v>86</v>
      </c>
      <c r="AR18" s="9" t="s">
        <v>87</v>
      </c>
      <c r="AS18" s="9" t="s">
        <v>88</v>
      </c>
      <c r="AT18" s="9" t="s">
        <v>89</v>
      </c>
      <c r="AU18" s="9" t="s">
        <v>90</v>
      </c>
      <c r="AV18" s="9" t="s">
        <v>91</v>
      </c>
      <c r="AW18" s="9" t="s">
        <v>92</v>
      </c>
      <c r="AX18" s="9" t="s">
        <v>93</v>
      </c>
      <c r="AY18" s="9" t="s">
        <v>94</v>
      </c>
      <c r="AZ18" s="9" t="s">
        <v>95</v>
      </c>
      <c r="BA18" s="9" t="s">
        <v>96</v>
      </c>
      <c r="BB18" s="9" t="s">
        <v>97</v>
      </c>
      <c r="BC18" s="9" t="s">
        <v>98</v>
      </c>
      <c r="BD18" s="9" t="s">
        <v>99</v>
      </c>
      <c r="BE18" s="9" t="s">
        <v>593</v>
      </c>
      <c r="BF18" s="9" t="s">
        <v>594</v>
      </c>
      <c r="BG18" s="9" t="s">
        <v>100</v>
      </c>
      <c r="BH18" s="231"/>
    </row>
    <row r="19" spans="1:60" x14ac:dyDescent="0.3">
      <c r="A19" t="s">
        <v>286</v>
      </c>
      <c r="B19" t="s">
        <v>295</v>
      </c>
      <c r="D19" t="s">
        <v>126</v>
      </c>
      <c r="E19" t="s">
        <v>127</v>
      </c>
      <c r="F19" t="s">
        <v>177</v>
      </c>
      <c r="G19" t="s">
        <v>206</v>
      </c>
      <c r="H19" t="s">
        <v>16</v>
      </c>
      <c r="I19" t="s">
        <v>16</v>
      </c>
      <c r="J19" t="s">
        <v>223</v>
      </c>
      <c r="K19">
        <v>154190529</v>
      </c>
      <c r="L19" t="s">
        <v>520</v>
      </c>
      <c r="M19" t="s">
        <v>180</v>
      </c>
      <c r="N19" t="s">
        <v>109</v>
      </c>
      <c r="O19" t="s">
        <v>123</v>
      </c>
      <c r="P19" s="1">
        <v>44623</v>
      </c>
      <c r="Q19" s="1">
        <v>45698</v>
      </c>
      <c r="R19" s="1">
        <v>46341</v>
      </c>
      <c r="S19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19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19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1.Très à risque</v>
      </c>
      <c r="V19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35</v>
      </c>
      <c r="W19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21</v>
      </c>
      <c r="X19">
        <f>Portefeuille_MNT_PPS_Access_26_28[[#This Row],[Délais PC1 et PC3]]+Portefeuille_MNT_PPS_Access_26_28[[#This Row],[Délais PC3 et PC5]]</f>
        <v>56</v>
      </c>
      <c r="Y19">
        <v>1</v>
      </c>
      <c r="Z19">
        <v>1</v>
      </c>
      <c r="AA19">
        <v>1</v>
      </c>
      <c r="AB19" t="s">
        <v>125</v>
      </c>
      <c r="AC19">
        <v>3.35</v>
      </c>
      <c r="AD19" s="2">
        <f>_xlfn.XLOOKUP(Portefeuille_MNT_PPS_Access_26_28[[#This Row],[Numéro projet]],Portefeuille_MNT_PPS_Access27[Numéro projet],Portefeuille_MNT_PPS_Access27[Critère Etat Infrastructure])</f>
        <v>5</v>
      </c>
      <c r="AE19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51.750000000000007</v>
      </c>
      <c r="AF19" s="221"/>
      <c r="AG19">
        <v>180.00000000000003</v>
      </c>
      <c r="AI19">
        <v>53</v>
      </c>
      <c r="AJ19"/>
      <c r="AK19">
        <v>150</v>
      </c>
      <c r="AM19">
        <v>133</v>
      </c>
      <c r="AN19">
        <v>354.99999999999994</v>
      </c>
      <c r="AO19">
        <v>53.000000000000007</v>
      </c>
      <c r="AP19">
        <v>1610</v>
      </c>
      <c r="AQ19">
        <v>159</v>
      </c>
      <c r="AR19">
        <v>4929</v>
      </c>
      <c r="AS19">
        <v>212</v>
      </c>
      <c r="AT19">
        <v>6707.0000000000018</v>
      </c>
      <c r="AU19">
        <v>261</v>
      </c>
      <c r="AV19">
        <v>6846.0000000000018</v>
      </c>
      <c r="BG19" s="14">
        <f>SUM(Portefeuille_MNT_PPS_Access_26_28[[#This Row],[AC ANT]:[TR 2035]])</f>
        <v>21648.000000000004</v>
      </c>
      <c r="BH19" s="14"/>
    </row>
    <row r="20" spans="1:60" x14ac:dyDescent="0.3">
      <c r="A20" t="s">
        <v>286</v>
      </c>
      <c r="B20" t="s">
        <v>662</v>
      </c>
      <c r="D20" t="s">
        <v>118</v>
      </c>
      <c r="E20" t="s">
        <v>102</v>
      </c>
      <c r="F20" t="s">
        <v>136</v>
      </c>
      <c r="G20" t="s">
        <v>113</v>
      </c>
      <c r="H20" t="s">
        <v>16</v>
      </c>
      <c r="I20" t="s">
        <v>20</v>
      </c>
      <c r="J20" t="s">
        <v>105</v>
      </c>
      <c r="K20">
        <v>154230630</v>
      </c>
      <c r="L20" t="s">
        <v>249</v>
      </c>
      <c r="M20" t="s">
        <v>180</v>
      </c>
      <c r="N20" t="s">
        <v>173</v>
      </c>
      <c r="O20" t="s">
        <v>110</v>
      </c>
      <c r="P20" s="1">
        <v>45476</v>
      </c>
      <c r="Q20" s="1">
        <v>46068</v>
      </c>
      <c r="R20" s="1">
        <v>46068</v>
      </c>
      <c r="S20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0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20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0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19</v>
      </c>
      <c r="W20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0</v>
      </c>
      <c r="X20">
        <f>Portefeuille_MNT_PPS_Access_26_28[[#This Row],[Délais PC1 et PC3]]+Portefeuille_MNT_PPS_Access_26_28[[#This Row],[Délais PC3 et PC5]]</f>
        <v>19</v>
      </c>
      <c r="Z20">
        <v>1</v>
      </c>
      <c r="AA20">
        <v>3</v>
      </c>
      <c r="AB20" t="s">
        <v>112</v>
      </c>
      <c r="AC20">
        <v>3.1666666666666665</v>
      </c>
      <c r="AD20" s="2">
        <f>_xlfn.XLOOKUP(Portefeuille_MNT_PPS_Access_26_28[[#This Row],[Numéro projet]],Portefeuille_MNT_PPS_Access27[Numéro projet],Portefeuille_MNT_PPS_Access27[Critère Etat Infrastructure])</f>
        <v>5</v>
      </c>
      <c r="AE20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60.833333333333343</v>
      </c>
      <c r="AF20" s="221"/>
      <c r="AJ20"/>
      <c r="AK20">
        <v>100</v>
      </c>
      <c r="AM20">
        <v>110</v>
      </c>
      <c r="AO20">
        <v>110</v>
      </c>
      <c r="AP20">
        <v>3445</v>
      </c>
      <c r="AT20"/>
      <c r="BG20" s="14">
        <f>SUM(Portefeuille_MNT_PPS_Access_26_28[[#This Row],[AC ANT]:[TR 2035]])</f>
        <v>3765</v>
      </c>
      <c r="BH20" s="14"/>
    </row>
    <row r="21" spans="1:60" x14ac:dyDescent="0.3">
      <c r="A21" t="s">
        <v>286</v>
      </c>
      <c r="B21" t="s">
        <v>663</v>
      </c>
      <c r="D21" t="s">
        <v>101</v>
      </c>
      <c r="E21" t="s">
        <v>102</v>
      </c>
      <c r="F21" t="s">
        <v>136</v>
      </c>
      <c r="G21" t="s">
        <v>140</v>
      </c>
      <c r="H21" t="s">
        <v>16</v>
      </c>
      <c r="I21" t="s">
        <v>20</v>
      </c>
      <c r="J21" t="s">
        <v>131</v>
      </c>
      <c r="K21">
        <v>154101522</v>
      </c>
      <c r="L21" t="s">
        <v>296</v>
      </c>
      <c r="M21" t="s">
        <v>183</v>
      </c>
      <c r="N21" t="s">
        <v>173</v>
      </c>
      <c r="O21" t="s">
        <v>110</v>
      </c>
      <c r="P21" s="1">
        <v>45590</v>
      </c>
      <c r="Q21" s="1">
        <v>46157</v>
      </c>
      <c r="R21" s="1">
        <v>46157</v>
      </c>
      <c r="S21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1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21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1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19</v>
      </c>
      <c r="W21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0</v>
      </c>
      <c r="X21">
        <f>Portefeuille_MNT_PPS_Access_26_28[[#This Row],[Délais PC1 et PC3]]+Portefeuille_MNT_PPS_Access_26_28[[#This Row],[Délais PC3 et PC5]]</f>
        <v>19</v>
      </c>
      <c r="Z21">
        <v>1</v>
      </c>
      <c r="AA21">
        <v>1</v>
      </c>
      <c r="AB21" t="s">
        <v>112</v>
      </c>
      <c r="AC21">
        <v>2.3333333333333335</v>
      </c>
      <c r="AD21" s="2">
        <f>_xlfn.XLOOKUP(Portefeuille_MNT_PPS_Access_26_28[[#This Row],[Numéro projet]],Portefeuille_MNT_PPS_Access27[Numéro projet],Portefeuille_MNT_PPS_Access27[Critère Etat Infrastructure])</f>
        <v>3</v>
      </c>
      <c r="AE21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36.666666666666664</v>
      </c>
      <c r="AF21" s="221"/>
      <c r="AJ21"/>
      <c r="AK21">
        <v>466</v>
      </c>
      <c r="AM21">
        <v>475</v>
      </c>
      <c r="AO21">
        <v>468</v>
      </c>
      <c r="AP21">
        <v>1461</v>
      </c>
      <c r="AT21"/>
      <c r="BG21" s="14">
        <f>SUM(Portefeuille_MNT_PPS_Access_26_28[[#This Row],[AC ANT]:[TR 2035]])</f>
        <v>2870</v>
      </c>
      <c r="BH21" s="14"/>
    </row>
    <row r="22" spans="1:60" x14ac:dyDescent="0.3">
      <c r="A22" t="s">
        <v>286</v>
      </c>
      <c r="B22" t="s">
        <v>295</v>
      </c>
      <c r="D22" t="s">
        <v>126</v>
      </c>
      <c r="E22" t="s">
        <v>127</v>
      </c>
      <c r="F22" t="s">
        <v>103</v>
      </c>
      <c r="G22" t="s">
        <v>149</v>
      </c>
      <c r="H22" t="s">
        <v>16</v>
      </c>
      <c r="I22" t="s">
        <v>20</v>
      </c>
      <c r="J22" t="s">
        <v>131</v>
      </c>
      <c r="K22">
        <v>154190681</v>
      </c>
      <c r="L22" t="s">
        <v>542</v>
      </c>
      <c r="M22" t="s">
        <v>152</v>
      </c>
      <c r="N22" s="2" t="s">
        <v>197</v>
      </c>
      <c r="O22" t="s">
        <v>155</v>
      </c>
      <c r="P22" s="1">
        <v>46127</v>
      </c>
      <c r="Q22" s="1">
        <v>46553</v>
      </c>
      <c r="R22" s="1">
        <v>46980</v>
      </c>
      <c r="S22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22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22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1.Très à risque</v>
      </c>
      <c r="V22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14</v>
      </c>
      <c r="W22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14</v>
      </c>
      <c r="X22">
        <f>Portefeuille_MNT_PPS_Access_26_28[[#This Row],[Délais PC1 et PC3]]+Portefeuille_MNT_PPS_Access_26_28[[#This Row],[Délais PC3 et PC5]]</f>
        <v>28</v>
      </c>
      <c r="Z22">
        <v>1</v>
      </c>
      <c r="AA22">
        <v>1</v>
      </c>
      <c r="AB22" t="s">
        <v>156</v>
      </c>
      <c r="AC22">
        <v>3.3333333333333335</v>
      </c>
      <c r="AD22" s="2">
        <f>_xlfn.XLOOKUP(Portefeuille_MNT_PPS_Access_26_28[[#This Row],[Numéro projet]],Portefeuille_MNT_PPS_Access27[Numéro projet],Portefeuille_MNT_PPS_Access27[Critère Etat Infrastructure])</f>
        <v>3</v>
      </c>
      <c r="AE22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41.666666666666671</v>
      </c>
      <c r="AF22" s="221"/>
      <c r="AJ22"/>
      <c r="AK22">
        <v>100</v>
      </c>
      <c r="AM22">
        <v>267</v>
      </c>
      <c r="AO22">
        <v>588</v>
      </c>
      <c r="AR22">
        <v>4500</v>
      </c>
      <c r="AT22">
        <v>3000</v>
      </c>
      <c r="BG22" s="14">
        <f>SUM(Portefeuille_MNT_PPS_Access_26_28[[#This Row],[AC ANT]:[TR 2035]])</f>
        <v>8455</v>
      </c>
      <c r="BH22" s="14"/>
    </row>
    <row r="23" spans="1:60" x14ac:dyDescent="0.3">
      <c r="A23" t="s">
        <v>286</v>
      </c>
      <c r="B23" t="s">
        <v>663</v>
      </c>
      <c r="D23" t="s">
        <v>101</v>
      </c>
      <c r="E23" t="s">
        <v>102</v>
      </c>
      <c r="F23" t="s">
        <v>119</v>
      </c>
      <c r="G23" t="s">
        <v>129</v>
      </c>
      <c r="H23" t="s">
        <v>16</v>
      </c>
      <c r="I23" t="s">
        <v>16</v>
      </c>
      <c r="J23" t="s">
        <v>131</v>
      </c>
      <c r="K23">
        <v>154200653</v>
      </c>
      <c r="L23" t="s">
        <v>154</v>
      </c>
      <c r="M23" t="s">
        <v>134</v>
      </c>
      <c r="N23" s="2" t="s">
        <v>109</v>
      </c>
      <c r="O23" t="s">
        <v>123</v>
      </c>
      <c r="P23" s="1">
        <v>45601</v>
      </c>
      <c r="Q23" s="1">
        <v>45731</v>
      </c>
      <c r="R23" s="1">
        <v>45976</v>
      </c>
      <c r="S23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23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23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3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4</v>
      </c>
      <c r="W23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8</v>
      </c>
      <c r="X23">
        <f>Portefeuille_MNT_PPS_Access_26_28[[#This Row],[Délais PC1 et PC3]]+Portefeuille_MNT_PPS_Access_26_28[[#This Row],[Délais PC3 et PC5]]</f>
        <v>12</v>
      </c>
      <c r="Y23">
        <v>1</v>
      </c>
      <c r="Z23">
        <v>5</v>
      </c>
      <c r="AA23">
        <v>5</v>
      </c>
      <c r="AB23" t="s">
        <v>125</v>
      </c>
      <c r="AC23">
        <v>2.3333333333333335</v>
      </c>
      <c r="AD23" s="2">
        <f>_xlfn.XLOOKUP(Portefeuille_MNT_PPS_Access_26_28[[#This Row],[Numéro projet]],Portefeuille_MNT_PPS_Access27[Numéro projet],Portefeuille_MNT_PPS_Access27[Critère Etat Infrastructure])</f>
        <v>3</v>
      </c>
      <c r="AE23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76.666666666666671</v>
      </c>
      <c r="AF23" s="221"/>
      <c r="AJ23"/>
      <c r="AK23">
        <v>20</v>
      </c>
      <c r="AM23">
        <v>55</v>
      </c>
      <c r="AN23">
        <v>543</v>
      </c>
      <c r="AT23"/>
      <c r="BG23" s="14">
        <f>SUM(Portefeuille_MNT_PPS_Access_26_28[[#This Row],[AC ANT]:[TR 2035]])</f>
        <v>618</v>
      </c>
      <c r="BH23" s="14"/>
    </row>
    <row r="24" spans="1:60" x14ac:dyDescent="0.3">
      <c r="A24" t="s">
        <v>286</v>
      </c>
      <c r="B24" t="s">
        <v>662</v>
      </c>
      <c r="D24" t="s">
        <v>118</v>
      </c>
      <c r="E24" t="s">
        <v>102</v>
      </c>
      <c r="F24" t="s">
        <v>188</v>
      </c>
      <c r="G24" t="s">
        <v>113</v>
      </c>
      <c r="H24" t="s">
        <v>16</v>
      </c>
      <c r="I24" t="s">
        <v>130</v>
      </c>
      <c r="J24" t="s">
        <v>131</v>
      </c>
      <c r="K24">
        <v>154151031</v>
      </c>
      <c r="L24" t="s">
        <v>190</v>
      </c>
      <c r="M24" t="s">
        <v>191</v>
      </c>
      <c r="N24" t="s">
        <v>109</v>
      </c>
      <c r="O24" t="s">
        <v>123</v>
      </c>
      <c r="P24" s="1">
        <v>45684</v>
      </c>
      <c r="Q24" s="1"/>
      <c r="R24" s="1">
        <v>46006</v>
      </c>
      <c r="S24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24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24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4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-1500</v>
      </c>
      <c r="W24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1511</v>
      </c>
      <c r="X24">
        <f>Portefeuille_MNT_PPS_Access_26_28[[#This Row],[Délais PC1 et PC3]]+Portefeuille_MNT_PPS_Access_26_28[[#This Row],[Délais PC3 et PC5]]</f>
        <v>11</v>
      </c>
      <c r="Y24">
        <v>1</v>
      </c>
      <c r="Z24">
        <v>1</v>
      </c>
      <c r="AA24">
        <v>5</v>
      </c>
      <c r="AB24" t="s">
        <v>125</v>
      </c>
      <c r="AC24">
        <v>1.6666666666666667</v>
      </c>
      <c r="AD24" s="2">
        <f>_xlfn.XLOOKUP(Portefeuille_MNT_PPS_Access_26_28[[#This Row],[Numéro projet]],Portefeuille_MNT_PPS_Access27[Numéro projet],Portefeuille_MNT_PPS_Access27[Critère Etat Infrastructure])</f>
        <v>5</v>
      </c>
      <c r="AE24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63.333333333333343</v>
      </c>
      <c r="AF24" s="221"/>
      <c r="AJ24"/>
      <c r="AK24">
        <v>80</v>
      </c>
      <c r="AM24">
        <v>87</v>
      </c>
      <c r="AN24">
        <v>899</v>
      </c>
      <c r="AO24">
        <v>227</v>
      </c>
      <c r="AT24"/>
      <c r="BG24" s="14">
        <f>SUM(Portefeuille_MNT_PPS_Access_26_28[[#This Row],[AC ANT]:[TR 2035]])</f>
        <v>1293</v>
      </c>
      <c r="BH24" s="14"/>
    </row>
    <row r="25" spans="1:60" x14ac:dyDescent="0.3">
      <c r="A25" t="s">
        <v>286</v>
      </c>
      <c r="B25" t="s">
        <v>295</v>
      </c>
      <c r="D25" t="s">
        <v>126</v>
      </c>
      <c r="E25" t="s">
        <v>127</v>
      </c>
      <c r="F25" t="s">
        <v>136</v>
      </c>
      <c r="G25" t="s">
        <v>113</v>
      </c>
      <c r="H25" t="s">
        <v>16</v>
      </c>
      <c r="I25" t="s">
        <v>20</v>
      </c>
      <c r="J25" t="s">
        <v>131</v>
      </c>
      <c r="K25">
        <v>154190601</v>
      </c>
      <c r="L25" t="s">
        <v>227</v>
      </c>
      <c r="M25" t="s">
        <v>139</v>
      </c>
      <c r="N25" t="s">
        <v>184</v>
      </c>
      <c r="O25" t="s">
        <v>110</v>
      </c>
      <c r="P25" s="1">
        <v>45330</v>
      </c>
      <c r="Q25" s="1">
        <v>46690</v>
      </c>
      <c r="R25" s="1">
        <v>47376</v>
      </c>
      <c r="S25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5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25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5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44</v>
      </c>
      <c r="W25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23</v>
      </c>
      <c r="X25">
        <f>Portefeuille_MNT_PPS_Access_26_28[[#This Row],[Délais PC1 et PC3]]+Portefeuille_MNT_PPS_Access_26_28[[#This Row],[Délais PC3 et PC5]]</f>
        <v>67</v>
      </c>
      <c r="Z25">
        <v>1</v>
      </c>
      <c r="AB25" t="s">
        <v>112</v>
      </c>
      <c r="AC25">
        <v>2</v>
      </c>
      <c r="AD25" s="2">
        <f>_xlfn.XLOOKUP(Portefeuille_MNT_PPS_Access_26_28[[#This Row],[Numéro projet]],Portefeuille_MNT_PPS_Access27[Numéro projet],Portefeuille_MNT_PPS_Access27[Critère Etat Infrastructure])</f>
        <v>3</v>
      </c>
      <c r="AE25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45</v>
      </c>
      <c r="AF25" s="221"/>
      <c r="AG25">
        <v>44</v>
      </c>
      <c r="AI25">
        <v>35</v>
      </c>
      <c r="AJ25"/>
      <c r="AK25">
        <v>100</v>
      </c>
      <c r="AM25">
        <v>288</v>
      </c>
      <c r="AO25">
        <v>475</v>
      </c>
      <c r="AQ25">
        <v>475</v>
      </c>
      <c r="AS25">
        <v>573</v>
      </c>
      <c r="AT25"/>
      <c r="AU25">
        <v>1000</v>
      </c>
      <c r="AV25">
        <v>4362</v>
      </c>
      <c r="AW25">
        <v>1087</v>
      </c>
      <c r="AX25">
        <v>12800</v>
      </c>
      <c r="BG25" s="14">
        <f>SUM(Portefeuille_MNT_PPS_Access_26_28[[#This Row],[AC ANT]:[TR 2035]])</f>
        <v>21239</v>
      </c>
      <c r="BH25" s="14"/>
    </row>
    <row r="26" spans="1:60" x14ac:dyDescent="0.3">
      <c r="A26" t="s">
        <v>286</v>
      </c>
      <c r="B26" t="s">
        <v>663</v>
      </c>
      <c r="D26" t="s">
        <v>101</v>
      </c>
      <c r="E26" t="s">
        <v>102</v>
      </c>
      <c r="F26" t="s">
        <v>136</v>
      </c>
      <c r="G26" t="s">
        <v>113</v>
      </c>
      <c r="H26" t="s">
        <v>16</v>
      </c>
      <c r="I26" t="s">
        <v>16</v>
      </c>
      <c r="J26" t="s">
        <v>131</v>
      </c>
      <c r="K26">
        <v>154081840</v>
      </c>
      <c r="L26" t="s">
        <v>138</v>
      </c>
      <c r="M26" t="s">
        <v>139</v>
      </c>
      <c r="N26" t="s">
        <v>109</v>
      </c>
      <c r="O26" t="s">
        <v>123</v>
      </c>
      <c r="P26" s="1">
        <v>45062</v>
      </c>
      <c r="Q26" s="1">
        <v>45754</v>
      </c>
      <c r="R26" s="1">
        <v>45976</v>
      </c>
      <c r="S26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6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26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6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23</v>
      </c>
      <c r="W26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7</v>
      </c>
      <c r="X26">
        <f>Portefeuille_MNT_PPS_Access_26_28[[#This Row],[Délais PC1 et PC3]]+Portefeuille_MNT_PPS_Access_26_28[[#This Row],[Délais PC3 et PC5]]</f>
        <v>30</v>
      </c>
      <c r="Y26">
        <v>1</v>
      </c>
      <c r="Z26">
        <v>5</v>
      </c>
      <c r="AA26">
        <v>5</v>
      </c>
      <c r="AB26" t="s">
        <v>125</v>
      </c>
      <c r="AC26">
        <v>2</v>
      </c>
      <c r="AD26" s="2">
        <f>_xlfn.XLOOKUP(Portefeuille_MNT_PPS_Access_26_28[[#This Row],[Numéro projet]],Portefeuille_MNT_PPS_Access27[Numéro projet],Portefeuille_MNT_PPS_Access27[Critère Etat Infrastructure])</f>
        <v>4</v>
      </c>
      <c r="AE26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80</v>
      </c>
      <c r="AF26" s="221"/>
      <c r="AG26">
        <v>337</v>
      </c>
      <c r="AH26">
        <v>41</v>
      </c>
      <c r="AI26">
        <v>327</v>
      </c>
      <c r="AJ26"/>
      <c r="AK26">
        <v>363</v>
      </c>
      <c r="AM26">
        <v>1006</v>
      </c>
      <c r="AN26">
        <v>5870</v>
      </c>
      <c r="AT26"/>
      <c r="BG26" s="14">
        <f>SUM(Portefeuille_MNT_PPS_Access_26_28[[#This Row],[AC ANT]:[TR 2035]])</f>
        <v>7944</v>
      </c>
      <c r="BH26" s="14"/>
    </row>
    <row r="27" spans="1:60" x14ac:dyDescent="0.3">
      <c r="A27" t="s">
        <v>286</v>
      </c>
      <c r="B27" t="s">
        <v>663</v>
      </c>
      <c r="D27" t="s">
        <v>101</v>
      </c>
      <c r="E27" t="s">
        <v>102</v>
      </c>
      <c r="F27" t="s">
        <v>136</v>
      </c>
      <c r="G27" t="s">
        <v>104</v>
      </c>
      <c r="H27" t="s">
        <v>16</v>
      </c>
      <c r="I27" t="s">
        <v>130</v>
      </c>
      <c r="J27" t="s">
        <v>105</v>
      </c>
      <c r="K27">
        <v>154062002</v>
      </c>
      <c r="L27" t="s">
        <v>171</v>
      </c>
      <c r="M27" t="s">
        <v>172</v>
      </c>
      <c r="N27" t="s">
        <v>173</v>
      </c>
      <c r="O27" t="s">
        <v>110</v>
      </c>
      <c r="P27" s="1">
        <v>44833</v>
      </c>
      <c r="Q27" s="1">
        <v>45976</v>
      </c>
      <c r="R27" s="1">
        <v>46310</v>
      </c>
      <c r="S27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7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27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7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38</v>
      </c>
      <c r="W27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11</v>
      </c>
      <c r="X27">
        <f>Portefeuille_MNT_PPS_Access_26_28[[#This Row],[Délais PC1 et PC3]]+Portefeuille_MNT_PPS_Access_26_28[[#This Row],[Délais PC3 et PC5]]</f>
        <v>49</v>
      </c>
      <c r="Z27">
        <v>1</v>
      </c>
      <c r="AA27">
        <v>5</v>
      </c>
      <c r="AB27" t="s">
        <v>112</v>
      </c>
      <c r="AC27">
        <v>3.6666666666666665</v>
      </c>
      <c r="AD27" s="2">
        <f>_xlfn.XLOOKUP(Portefeuille_MNT_PPS_Access_26_28[[#This Row],[Numéro projet]],Portefeuille_MNT_PPS_Access27[Numéro projet],Portefeuille_MNT_PPS_Access27[Critère Etat Infrastructure])</f>
        <v>4</v>
      </c>
      <c r="AE27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68.333333333333329</v>
      </c>
      <c r="AF27" s="221"/>
      <c r="AG27">
        <v>497</v>
      </c>
      <c r="AH27">
        <v>8</v>
      </c>
      <c r="AI27">
        <v>199</v>
      </c>
      <c r="AJ27"/>
      <c r="AK27">
        <v>1064</v>
      </c>
      <c r="AM27">
        <v>1008</v>
      </c>
      <c r="AO27">
        <v>1886</v>
      </c>
      <c r="AP27">
        <v>6580</v>
      </c>
      <c r="AQ27">
        <v>722</v>
      </c>
      <c r="AR27">
        <v>6581</v>
      </c>
      <c r="AT27">
        <v>6576</v>
      </c>
      <c r="BG27" s="14">
        <f>SUM(Portefeuille_MNT_PPS_Access_26_28[[#This Row],[AC ANT]:[TR 2035]])</f>
        <v>25121</v>
      </c>
      <c r="BH27" s="14"/>
    </row>
    <row r="28" spans="1:60" x14ac:dyDescent="0.3">
      <c r="A28" t="s">
        <v>286</v>
      </c>
      <c r="B28" t="s">
        <v>295</v>
      </c>
      <c r="D28" t="s">
        <v>126</v>
      </c>
      <c r="E28" t="s">
        <v>127</v>
      </c>
      <c r="F28" t="s">
        <v>136</v>
      </c>
      <c r="G28" t="s">
        <v>104</v>
      </c>
      <c r="H28" t="s">
        <v>16</v>
      </c>
      <c r="I28" t="s">
        <v>16</v>
      </c>
      <c r="J28" t="s">
        <v>105</v>
      </c>
      <c r="K28">
        <v>154061996</v>
      </c>
      <c r="L28" t="s">
        <v>163</v>
      </c>
      <c r="M28" t="s">
        <v>122</v>
      </c>
      <c r="N28" s="2" t="s">
        <v>148</v>
      </c>
      <c r="O28" t="s">
        <v>164</v>
      </c>
      <c r="P28" s="1"/>
      <c r="Q28" s="1"/>
      <c r="R28" s="1"/>
      <c r="S28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X</v>
      </c>
      <c r="T28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28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X</v>
      </c>
      <c r="V28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0</v>
      </c>
      <c r="W28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0</v>
      </c>
      <c r="X28">
        <f>Portefeuille_MNT_PPS_Access_26_28[[#This Row],[Délais PC1 et PC3]]+Portefeuille_MNT_PPS_Access_26_28[[#This Row],[Délais PC3 et PC5]]</f>
        <v>0</v>
      </c>
      <c r="Y28">
        <v>1</v>
      </c>
      <c r="Z28">
        <v>1</v>
      </c>
      <c r="AB28" t="s">
        <v>165</v>
      </c>
      <c r="AC28">
        <v>4</v>
      </c>
      <c r="AD28" s="2">
        <f>_xlfn.XLOOKUP(Portefeuille_MNT_PPS_Access_26_28[[#This Row],[Numéro projet]],Portefeuille_MNT_PPS_Access27[Numéro projet],Portefeuille_MNT_PPS_Access27[Critère Etat Infrastructure])</f>
        <v>0</v>
      </c>
      <c r="AE28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60.000000000000007</v>
      </c>
      <c r="AF28" s="221"/>
      <c r="AG28">
        <v>5398</v>
      </c>
      <c r="AH28">
        <v>28152</v>
      </c>
      <c r="AI28">
        <v>46</v>
      </c>
      <c r="AJ28">
        <v>891</v>
      </c>
      <c r="AK28">
        <v>399</v>
      </c>
      <c r="AL28">
        <v>67</v>
      </c>
      <c r="AM28">
        <v>93</v>
      </c>
      <c r="AT28"/>
      <c r="BG28" s="14">
        <f>SUM(Portefeuille_MNT_PPS_Access_26_28[[#This Row],[AC ANT]:[TR 2035]])</f>
        <v>35046</v>
      </c>
      <c r="BH28" s="14"/>
    </row>
    <row r="29" spans="1:60" x14ac:dyDescent="0.3">
      <c r="A29" t="s">
        <v>286</v>
      </c>
      <c r="B29" t="s">
        <v>663</v>
      </c>
      <c r="D29" t="s">
        <v>101</v>
      </c>
      <c r="E29" t="s">
        <v>102</v>
      </c>
      <c r="F29" t="s">
        <v>136</v>
      </c>
      <c r="G29" t="s">
        <v>113</v>
      </c>
      <c r="H29" t="s">
        <v>16</v>
      </c>
      <c r="I29" t="s">
        <v>20</v>
      </c>
      <c r="J29" t="s">
        <v>131</v>
      </c>
      <c r="K29">
        <v>154140339</v>
      </c>
      <c r="L29" t="s">
        <v>186</v>
      </c>
      <c r="M29" t="s">
        <v>187</v>
      </c>
      <c r="N29" t="s">
        <v>197</v>
      </c>
      <c r="O29" t="s">
        <v>110</v>
      </c>
      <c r="P29" s="1">
        <v>44823</v>
      </c>
      <c r="Q29" s="1">
        <v>46310</v>
      </c>
      <c r="R29" s="1">
        <v>46521</v>
      </c>
      <c r="S29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29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29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29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49</v>
      </c>
      <c r="W29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7</v>
      </c>
      <c r="X29">
        <f>Portefeuille_MNT_PPS_Access_26_28[[#This Row],[Délais PC1 et PC3]]+Portefeuille_MNT_PPS_Access_26_28[[#This Row],[Délais PC3 et PC5]]</f>
        <v>56</v>
      </c>
      <c r="Z29">
        <v>1</v>
      </c>
      <c r="AA29">
        <v>5</v>
      </c>
      <c r="AB29" t="s">
        <v>112</v>
      </c>
      <c r="AC29">
        <v>3</v>
      </c>
      <c r="AD29" s="2">
        <f>_xlfn.XLOOKUP(Portefeuille_MNT_PPS_Access_26_28[[#This Row],[Numéro projet]],Portefeuille_MNT_PPS_Access27[Numéro projet],Portefeuille_MNT_PPS_Access27[Critère Etat Infrastructure])</f>
        <v>3</v>
      </c>
      <c r="AE29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60.000000000000007</v>
      </c>
      <c r="AF29" s="221"/>
      <c r="AG29">
        <v>282</v>
      </c>
      <c r="AI29">
        <v>175</v>
      </c>
      <c r="AJ29"/>
      <c r="AK29">
        <v>835</v>
      </c>
      <c r="AM29">
        <v>630</v>
      </c>
      <c r="AO29">
        <v>225</v>
      </c>
      <c r="AQ29">
        <v>225</v>
      </c>
      <c r="AR29">
        <v>5369</v>
      </c>
      <c r="AS29">
        <v>502</v>
      </c>
      <c r="AT29">
        <v>10806</v>
      </c>
      <c r="BG29" s="14">
        <f>SUM(Portefeuille_MNT_PPS_Access_26_28[[#This Row],[AC ANT]:[TR 2035]])</f>
        <v>19049</v>
      </c>
      <c r="BH29" s="14"/>
    </row>
    <row r="30" spans="1:60" x14ac:dyDescent="0.3">
      <c r="A30" t="s">
        <v>286</v>
      </c>
      <c r="B30" t="s">
        <v>664</v>
      </c>
      <c r="D30" t="s">
        <v>101</v>
      </c>
      <c r="E30" t="s">
        <v>102</v>
      </c>
      <c r="F30" t="s">
        <v>103</v>
      </c>
      <c r="G30" t="s">
        <v>129</v>
      </c>
      <c r="H30" t="s">
        <v>16</v>
      </c>
      <c r="I30" t="s">
        <v>16</v>
      </c>
      <c r="J30" t="s">
        <v>131</v>
      </c>
      <c r="K30">
        <v>154151060</v>
      </c>
      <c r="L30" t="s">
        <v>288</v>
      </c>
      <c r="M30" t="s">
        <v>134</v>
      </c>
      <c r="N30" t="s">
        <v>109</v>
      </c>
      <c r="O30" t="s">
        <v>123</v>
      </c>
      <c r="P30" s="1">
        <v>45218</v>
      </c>
      <c r="Q30" s="1">
        <v>45722</v>
      </c>
      <c r="R30" s="1">
        <v>45976</v>
      </c>
      <c r="S30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0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30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0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17</v>
      </c>
      <c r="W30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8</v>
      </c>
      <c r="X30">
        <f>Portefeuille_MNT_PPS_Access_26_28[[#This Row],[Délais PC1 et PC3]]+Portefeuille_MNT_PPS_Access_26_28[[#This Row],[Délais PC3 et PC5]]</f>
        <v>25</v>
      </c>
      <c r="Y30">
        <v>1</v>
      </c>
      <c r="Z30">
        <v>5</v>
      </c>
      <c r="AA30">
        <v>5</v>
      </c>
      <c r="AB30" t="s">
        <v>125</v>
      </c>
      <c r="AC30">
        <v>2.3333333333333335</v>
      </c>
      <c r="AD30" s="2">
        <f>_xlfn.XLOOKUP(Portefeuille_MNT_PPS_Access_26_28[[#This Row],[Numéro projet]],Portefeuille_MNT_PPS_Access27[Numéro projet],Portefeuille_MNT_PPS_Access27[Critère Etat Infrastructure])</f>
        <v>5</v>
      </c>
      <c r="AE30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86.666666666666671</v>
      </c>
      <c r="AF30" s="221"/>
      <c r="AI30">
        <v>12</v>
      </c>
      <c r="AJ30"/>
      <c r="AK30">
        <v>10</v>
      </c>
      <c r="AM30">
        <v>350</v>
      </c>
      <c r="AN30">
        <v>4669</v>
      </c>
      <c r="AT30"/>
      <c r="BG30" s="14">
        <f>SUM(Portefeuille_MNT_PPS_Access_26_28[[#This Row],[AC ANT]:[TR 2035]])</f>
        <v>5041</v>
      </c>
      <c r="BH30" s="14"/>
    </row>
    <row r="31" spans="1:60" x14ac:dyDescent="0.3">
      <c r="A31" t="s">
        <v>286</v>
      </c>
      <c r="B31" t="s">
        <v>295</v>
      </c>
      <c r="D31" t="s">
        <v>126</v>
      </c>
      <c r="E31" t="s">
        <v>127</v>
      </c>
      <c r="F31" t="s">
        <v>136</v>
      </c>
      <c r="G31" t="s">
        <v>144</v>
      </c>
      <c r="H31" t="s">
        <v>16</v>
      </c>
      <c r="I31" t="s">
        <v>20</v>
      </c>
      <c r="J31" t="s">
        <v>131</v>
      </c>
      <c r="K31">
        <v>154190675</v>
      </c>
      <c r="L31" t="s">
        <v>232</v>
      </c>
      <c r="M31" t="s">
        <v>147</v>
      </c>
      <c r="N31" t="s">
        <v>173</v>
      </c>
      <c r="O31" t="s">
        <v>110</v>
      </c>
      <c r="P31" s="1">
        <v>45099</v>
      </c>
      <c r="Q31" s="1">
        <v>46037</v>
      </c>
      <c r="R31" s="1">
        <v>46283</v>
      </c>
      <c r="S31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1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31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1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31</v>
      </c>
      <c r="W31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8</v>
      </c>
      <c r="X31">
        <f>Portefeuille_MNT_PPS_Access_26_28[[#This Row],[Délais PC1 et PC3]]+Portefeuille_MNT_PPS_Access_26_28[[#This Row],[Délais PC3 et PC5]]</f>
        <v>39</v>
      </c>
      <c r="Z31">
        <v>1</v>
      </c>
      <c r="AA31">
        <v>3</v>
      </c>
      <c r="AB31" t="s">
        <v>112</v>
      </c>
      <c r="AC31">
        <v>2.6666666666666665</v>
      </c>
      <c r="AD31" s="2">
        <f>_xlfn.XLOOKUP(Portefeuille_MNT_PPS_Access_26_28[[#This Row],[Numéro projet]],Portefeuille_MNT_PPS_Access27[Numéro projet],Portefeuille_MNT_PPS_Access27[Critère Etat Infrastructure])</f>
        <v>3</v>
      </c>
      <c r="AE31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48.333333333333336</v>
      </c>
      <c r="AF31" s="221"/>
      <c r="AG31">
        <v>9</v>
      </c>
      <c r="AI31">
        <v>21</v>
      </c>
      <c r="AJ31"/>
      <c r="AK31">
        <v>672</v>
      </c>
      <c r="AM31">
        <v>553</v>
      </c>
      <c r="AO31">
        <v>1175</v>
      </c>
      <c r="AP31">
        <v>6475</v>
      </c>
      <c r="AQ31">
        <v>1602</v>
      </c>
      <c r="AR31">
        <v>6677</v>
      </c>
      <c r="AT31"/>
      <c r="BG31" s="14">
        <f>SUM(Portefeuille_MNT_PPS_Access_26_28[[#This Row],[AC ANT]:[TR 2035]])</f>
        <v>17184</v>
      </c>
      <c r="BH31" s="14"/>
    </row>
    <row r="32" spans="1:60" x14ac:dyDescent="0.3">
      <c r="A32" t="s">
        <v>286</v>
      </c>
      <c r="B32" t="s">
        <v>663</v>
      </c>
      <c r="D32" t="s">
        <v>101</v>
      </c>
      <c r="E32" t="s">
        <v>102</v>
      </c>
      <c r="F32" t="s">
        <v>136</v>
      </c>
      <c r="G32" t="s">
        <v>149</v>
      </c>
      <c r="H32" t="s">
        <v>16</v>
      </c>
      <c r="I32" t="s">
        <v>20</v>
      </c>
      <c r="J32" t="s">
        <v>105</v>
      </c>
      <c r="K32">
        <v>154180731</v>
      </c>
      <c r="L32" t="s">
        <v>204</v>
      </c>
      <c r="M32" t="s">
        <v>205</v>
      </c>
      <c r="N32" t="s">
        <v>197</v>
      </c>
      <c r="O32" t="s">
        <v>155</v>
      </c>
      <c r="P32" s="1">
        <v>45960</v>
      </c>
      <c r="Q32" s="1">
        <v>46264</v>
      </c>
      <c r="R32" s="1">
        <v>46629</v>
      </c>
      <c r="S32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2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32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2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10</v>
      </c>
      <c r="W32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12</v>
      </c>
      <c r="X32">
        <f>Portefeuille_MNT_PPS_Access_26_28[[#This Row],[Délais PC1 et PC3]]+Portefeuille_MNT_PPS_Access_26_28[[#This Row],[Délais PC3 et PC5]]</f>
        <v>22</v>
      </c>
      <c r="Z32">
        <v>1</v>
      </c>
      <c r="AA32">
        <v>5</v>
      </c>
      <c r="AB32" t="s">
        <v>156</v>
      </c>
      <c r="AC32">
        <v>3</v>
      </c>
      <c r="AD32" s="2">
        <f>_xlfn.XLOOKUP(Portefeuille_MNT_PPS_Access_26_28[[#This Row],[Numéro projet]],Portefeuille_MNT_PPS_Access27[Numéro projet],Portefeuille_MNT_PPS_Access27[Critère Etat Infrastructure])</f>
        <v>5</v>
      </c>
      <c r="AE32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70</v>
      </c>
      <c r="AF32" s="221"/>
      <c r="AJ32"/>
      <c r="AK32">
        <v>85</v>
      </c>
      <c r="AM32">
        <v>85</v>
      </c>
      <c r="AO32">
        <v>170</v>
      </c>
      <c r="AR32">
        <v>2000</v>
      </c>
      <c r="AT32"/>
      <c r="BG32" s="14">
        <f>SUM(Portefeuille_MNT_PPS_Access_26_28[[#This Row],[AC ANT]:[TR 2035]])</f>
        <v>2340</v>
      </c>
      <c r="BH32" s="14"/>
    </row>
    <row r="33" spans="1:60" x14ac:dyDescent="0.3">
      <c r="A33" t="s">
        <v>286</v>
      </c>
      <c r="B33" t="s">
        <v>664</v>
      </c>
      <c r="D33" t="s">
        <v>101</v>
      </c>
      <c r="E33" t="s">
        <v>102</v>
      </c>
      <c r="F33" t="s">
        <v>200</v>
      </c>
      <c r="G33" t="s">
        <v>104</v>
      </c>
      <c r="H33" t="s">
        <v>16</v>
      </c>
      <c r="I33" t="s">
        <v>20</v>
      </c>
      <c r="J33" t="s">
        <v>105</v>
      </c>
      <c r="K33">
        <v>154180023</v>
      </c>
      <c r="L33" t="s">
        <v>202</v>
      </c>
      <c r="M33" t="s">
        <v>108</v>
      </c>
      <c r="O33" t="s">
        <v>155</v>
      </c>
      <c r="P33" s="1"/>
      <c r="Q33" s="1"/>
      <c r="R33" s="1"/>
      <c r="S33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X</v>
      </c>
      <c r="T33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33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X</v>
      </c>
      <c r="V33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0</v>
      </c>
      <c r="W33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0</v>
      </c>
      <c r="X33">
        <f>Portefeuille_MNT_PPS_Access_26_28[[#This Row],[Délais PC1 et PC3]]+Portefeuille_MNT_PPS_Access_26_28[[#This Row],[Délais PC3 et PC5]]</f>
        <v>0</v>
      </c>
      <c r="Z33">
        <v>1</v>
      </c>
      <c r="AB33" t="s">
        <v>156</v>
      </c>
      <c r="AC33">
        <v>4</v>
      </c>
      <c r="AD33" s="2" t="e">
        <f>_xlfn.XLOOKUP(Portefeuille_MNT_PPS_Access_26_28[[#This Row],[Numéro projet]],Portefeuille_MNT_PPS_Access27[Numéro projet],Portefeuille_MNT_PPS_Access27[Critère Etat Infrastructure])</f>
        <v>#N/A</v>
      </c>
      <c r="AE33" s="12" t="e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#N/A</v>
      </c>
      <c r="AF33" s="221"/>
      <c r="AG33">
        <v>277</v>
      </c>
      <c r="AH33">
        <v>4</v>
      </c>
      <c r="AJ33"/>
      <c r="AM33">
        <v>127</v>
      </c>
      <c r="AO33">
        <v>125</v>
      </c>
      <c r="AQ33">
        <v>471</v>
      </c>
      <c r="AT33"/>
      <c r="BG33" s="14">
        <f>SUM(Portefeuille_MNT_PPS_Access_26_28[[#This Row],[AC ANT]:[TR 2035]])</f>
        <v>1004</v>
      </c>
      <c r="BH33" s="14"/>
    </row>
    <row r="34" spans="1:60" x14ac:dyDescent="0.3">
      <c r="A34" t="s">
        <v>286</v>
      </c>
      <c r="B34" t="s">
        <v>664</v>
      </c>
      <c r="D34" t="s">
        <v>101</v>
      </c>
      <c r="E34" t="s">
        <v>102</v>
      </c>
      <c r="F34" t="s">
        <v>103</v>
      </c>
      <c r="G34" t="s">
        <v>149</v>
      </c>
      <c r="H34" t="s">
        <v>16</v>
      </c>
      <c r="I34" t="s">
        <v>20</v>
      </c>
      <c r="J34" t="s">
        <v>105</v>
      </c>
      <c r="K34">
        <v>154190686</v>
      </c>
      <c r="L34" t="s">
        <v>238</v>
      </c>
      <c r="M34" t="s">
        <v>239</v>
      </c>
      <c r="N34" t="s">
        <v>173</v>
      </c>
      <c r="O34" t="s">
        <v>110</v>
      </c>
      <c r="P34" s="1">
        <v>45915</v>
      </c>
      <c r="Q34" s="1">
        <v>46037</v>
      </c>
      <c r="R34" s="1">
        <v>46310</v>
      </c>
      <c r="S34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34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34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4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4</v>
      </c>
      <c r="W34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9</v>
      </c>
      <c r="X34">
        <f>Portefeuille_MNT_PPS_Access_26_28[[#This Row],[Délais PC1 et PC3]]+Portefeuille_MNT_PPS_Access_26_28[[#This Row],[Délais PC3 et PC5]]</f>
        <v>13</v>
      </c>
      <c r="Z34">
        <v>1</v>
      </c>
      <c r="AA34">
        <v>3</v>
      </c>
      <c r="AB34" t="s">
        <v>112</v>
      </c>
      <c r="AC34">
        <v>3.3333333333333335</v>
      </c>
      <c r="AD34" s="2">
        <f>_xlfn.XLOOKUP(Portefeuille_MNT_PPS_Access_26_28[[#This Row],[Numéro projet]],Portefeuille_MNT_PPS_Access27[Numéro projet],Portefeuille_MNT_PPS_Access27[Critère Etat Infrastructure])</f>
        <v>4</v>
      </c>
      <c r="AE34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56.666666666666664</v>
      </c>
      <c r="AF34" s="221"/>
      <c r="AJ34"/>
      <c r="AK34">
        <v>100</v>
      </c>
      <c r="AM34">
        <v>200</v>
      </c>
      <c r="AO34">
        <v>475</v>
      </c>
      <c r="AP34">
        <v>11000</v>
      </c>
      <c r="AT34"/>
      <c r="BG34" s="14">
        <f>SUM(Portefeuille_MNT_PPS_Access_26_28[[#This Row],[AC ANT]:[TR 2035]])</f>
        <v>11775</v>
      </c>
      <c r="BH34" s="14"/>
    </row>
    <row r="35" spans="1:60" x14ac:dyDescent="0.3">
      <c r="A35" t="s">
        <v>286</v>
      </c>
      <c r="B35" t="s">
        <v>664</v>
      </c>
      <c r="D35" t="s">
        <v>101</v>
      </c>
      <c r="E35" t="s">
        <v>102</v>
      </c>
      <c r="F35" t="s">
        <v>103</v>
      </c>
      <c r="G35" t="s">
        <v>149</v>
      </c>
      <c r="H35" t="s">
        <v>16</v>
      </c>
      <c r="I35" t="s">
        <v>20</v>
      </c>
      <c r="J35" t="s">
        <v>105</v>
      </c>
      <c r="K35">
        <v>154190684</v>
      </c>
      <c r="L35" t="s">
        <v>510</v>
      </c>
      <c r="M35" t="s">
        <v>205</v>
      </c>
      <c r="N35" t="s">
        <v>173</v>
      </c>
      <c r="O35" t="s">
        <v>110</v>
      </c>
      <c r="P35" s="1">
        <v>45706</v>
      </c>
      <c r="Q35" s="1">
        <v>46055</v>
      </c>
      <c r="R35" s="1">
        <v>46273</v>
      </c>
      <c r="S35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3.À risque</v>
      </c>
      <c r="T35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35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5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12</v>
      </c>
      <c r="W35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7</v>
      </c>
      <c r="X35">
        <f>Portefeuille_MNT_PPS_Access_26_28[[#This Row],[Délais PC1 et PC3]]+Portefeuille_MNT_PPS_Access_26_28[[#This Row],[Délais PC3 et PC5]]</f>
        <v>19</v>
      </c>
      <c r="Z35">
        <v>1</v>
      </c>
      <c r="AA35">
        <v>3</v>
      </c>
      <c r="AB35" t="s">
        <v>112</v>
      </c>
      <c r="AC35">
        <v>3</v>
      </c>
      <c r="AD35" s="2">
        <f>_xlfn.XLOOKUP(Portefeuille_MNT_PPS_Access_26_28[[#This Row],[Numéro projet]],Portefeuille_MNT_PPS_Access27[Numéro projet],Portefeuille_MNT_PPS_Access27[Critère Etat Infrastructure])</f>
        <v>4</v>
      </c>
      <c r="AE35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55.000000000000007</v>
      </c>
      <c r="AF35" s="221"/>
      <c r="AJ35"/>
      <c r="AK35">
        <v>90</v>
      </c>
      <c r="AM35">
        <v>200</v>
      </c>
      <c r="AO35">
        <v>970</v>
      </c>
      <c r="AP35">
        <v>13608</v>
      </c>
      <c r="AT35"/>
      <c r="BG35" s="14">
        <f>SUM(Portefeuille_MNT_PPS_Access_26_28[[#This Row],[AC ANT]:[TR 2035]])</f>
        <v>14868</v>
      </c>
      <c r="BH35" s="14"/>
    </row>
    <row r="36" spans="1:60" x14ac:dyDescent="0.3">
      <c r="A36" t="s">
        <v>286</v>
      </c>
      <c r="B36" t="s">
        <v>664</v>
      </c>
      <c r="D36" t="s">
        <v>101</v>
      </c>
      <c r="E36" t="s">
        <v>102</v>
      </c>
      <c r="F36" t="s">
        <v>103</v>
      </c>
      <c r="G36" t="s">
        <v>104</v>
      </c>
      <c r="H36" t="s">
        <v>16</v>
      </c>
      <c r="I36" t="s">
        <v>16</v>
      </c>
      <c r="J36" t="s">
        <v>105</v>
      </c>
      <c r="K36">
        <v>154190692</v>
      </c>
      <c r="L36" t="s">
        <v>107</v>
      </c>
      <c r="M36" t="s">
        <v>108</v>
      </c>
      <c r="N36" t="s">
        <v>109</v>
      </c>
      <c r="O36" t="s">
        <v>123</v>
      </c>
      <c r="P36" s="1">
        <v>45014</v>
      </c>
      <c r="Q36" s="1">
        <v>45799</v>
      </c>
      <c r="R36" s="1">
        <v>46006</v>
      </c>
      <c r="S36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6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36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6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26</v>
      </c>
      <c r="W36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7</v>
      </c>
      <c r="X36">
        <f>Portefeuille_MNT_PPS_Access_26_28[[#This Row],[Délais PC1 et PC3]]+Portefeuille_MNT_PPS_Access_26_28[[#This Row],[Délais PC3 et PC5]]</f>
        <v>33</v>
      </c>
      <c r="Y36">
        <v>1</v>
      </c>
      <c r="Z36">
        <v>5</v>
      </c>
      <c r="AA36">
        <v>5</v>
      </c>
      <c r="AB36" t="s">
        <v>125</v>
      </c>
      <c r="AC36">
        <v>4</v>
      </c>
      <c r="AD36" s="2">
        <f>_xlfn.XLOOKUP(Portefeuille_MNT_PPS_Access_26_28[[#This Row],[Numéro projet]],Portefeuille_MNT_PPS_Access27[Numéro projet],Portefeuille_MNT_PPS_Access27[Critère Etat Infrastructure])</f>
        <v>4</v>
      </c>
      <c r="AE36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90</v>
      </c>
      <c r="AF36" s="221"/>
      <c r="AG36">
        <v>69</v>
      </c>
      <c r="AI36">
        <v>213</v>
      </c>
      <c r="AJ36"/>
      <c r="AK36">
        <v>272</v>
      </c>
      <c r="AM36">
        <v>636</v>
      </c>
      <c r="AN36">
        <v>16507</v>
      </c>
      <c r="AT36"/>
      <c r="BG36" s="14">
        <f>SUM(Portefeuille_MNT_PPS_Access_26_28[[#This Row],[AC ANT]:[TR 2035]])</f>
        <v>17697</v>
      </c>
      <c r="BH36" s="14"/>
    </row>
    <row r="37" spans="1:60" x14ac:dyDescent="0.3">
      <c r="A37" t="s">
        <v>286</v>
      </c>
      <c r="B37" t="s">
        <v>664</v>
      </c>
      <c r="D37" t="s">
        <v>101</v>
      </c>
      <c r="E37" t="s">
        <v>102</v>
      </c>
      <c r="F37" t="s">
        <v>103</v>
      </c>
      <c r="G37" t="s">
        <v>113</v>
      </c>
      <c r="H37" t="s">
        <v>16</v>
      </c>
      <c r="I37" t="s">
        <v>16</v>
      </c>
      <c r="J37" t="s">
        <v>105</v>
      </c>
      <c r="K37">
        <v>154180736</v>
      </c>
      <c r="L37" t="s">
        <v>115</v>
      </c>
      <c r="M37" t="s">
        <v>116</v>
      </c>
      <c r="N37" t="s">
        <v>109</v>
      </c>
      <c r="O37" t="s">
        <v>297</v>
      </c>
      <c r="P37" s="1">
        <v>45105</v>
      </c>
      <c r="Q37" s="1">
        <v>45789</v>
      </c>
      <c r="R37" s="1">
        <v>45932</v>
      </c>
      <c r="S37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7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37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7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23</v>
      </c>
      <c r="W37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5</v>
      </c>
      <c r="X37">
        <f>Portefeuille_MNT_PPS_Access_26_28[[#This Row],[Délais PC1 et PC3]]+Portefeuille_MNT_PPS_Access_26_28[[#This Row],[Délais PC3 et PC5]]</f>
        <v>28</v>
      </c>
      <c r="Y37">
        <v>1</v>
      </c>
      <c r="Z37">
        <v>5</v>
      </c>
      <c r="AA37">
        <v>5</v>
      </c>
      <c r="AB37" t="s">
        <v>349</v>
      </c>
      <c r="AC37">
        <v>3.3333333333333335</v>
      </c>
      <c r="AD37" s="2">
        <f>_xlfn.XLOOKUP(Portefeuille_MNT_PPS_Access_26_28[[#This Row],[Numéro projet]],Portefeuille_MNT_PPS_Access27[Numéro projet],Portefeuille_MNT_PPS_Access27[Critère Etat Infrastructure])</f>
        <v>4</v>
      </c>
      <c r="AE37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86.666666666666671</v>
      </c>
      <c r="AF37" s="221"/>
      <c r="AG37">
        <v>25</v>
      </c>
      <c r="AI37">
        <v>17</v>
      </c>
      <c r="AJ37"/>
      <c r="AK37">
        <v>48</v>
      </c>
      <c r="AM37">
        <v>520</v>
      </c>
      <c r="AN37">
        <v>19125</v>
      </c>
      <c r="AT37"/>
      <c r="BG37" s="14">
        <f>SUM(Portefeuille_MNT_PPS_Access_26_28[[#This Row],[AC ANT]:[TR 2035]])</f>
        <v>19735</v>
      </c>
      <c r="BH37" s="14"/>
    </row>
    <row r="38" spans="1:60" x14ac:dyDescent="0.3">
      <c r="A38" t="s">
        <v>286</v>
      </c>
      <c r="B38" t="s">
        <v>664</v>
      </c>
      <c r="D38" t="s">
        <v>101</v>
      </c>
      <c r="E38" t="s">
        <v>102</v>
      </c>
      <c r="F38" t="s">
        <v>128</v>
      </c>
      <c r="G38" t="s">
        <v>149</v>
      </c>
      <c r="H38" t="s">
        <v>16</v>
      </c>
      <c r="I38" t="s">
        <v>16</v>
      </c>
      <c r="J38" t="s">
        <v>131</v>
      </c>
      <c r="K38">
        <v>154200665</v>
      </c>
      <c r="L38" t="s">
        <v>151</v>
      </c>
      <c r="M38" t="s">
        <v>152</v>
      </c>
      <c r="N38" s="2" t="s">
        <v>109</v>
      </c>
      <c r="O38" t="s">
        <v>123</v>
      </c>
      <c r="P38" s="1">
        <v>45079</v>
      </c>
      <c r="Q38" s="1">
        <v>45685</v>
      </c>
      <c r="R38" s="1">
        <v>46142</v>
      </c>
      <c r="S38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8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38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1.Très à risque</v>
      </c>
      <c r="V38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19</v>
      </c>
      <c r="W38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</v>
      </c>
      <c r="X38">
        <f>Portefeuille_MNT_PPS_Access_26_28[[#This Row],[Délais PC1 et PC3]]+Portefeuille_MNT_PPS_Access_26_28[[#This Row],[Délais PC3 et PC5]]</f>
        <v>34</v>
      </c>
      <c r="Y38">
        <v>1</v>
      </c>
      <c r="Z38">
        <v>5</v>
      </c>
      <c r="AA38">
        <v>1</v>
      </c>
      <c r="AB38" t="s">
        <v>125</v>
      </c>
      <c r="AC38">
        <v>3.3333333333333335</v>
      </c>
      <c r="AD38" s="2">
        <f>_xlfn.XLOOKUP(Portefeuille_MNT_PPS_Access_26_28[[#This Row],[Numéro projet]],Portefeuille_MNT_PPS_Access27[Numéro projet],Portefeuille_MNT_PPS_Access27[Critère Etat Infrastructure])</f>
        <v>4</v>
      </c>
      <c r="AE38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66.666666666666671</v>
      </c>
      <c r="AF38" s="221"/>
      <c r="AG38">
        <v>12</v>
      </c>
      <c r="AI38">
        <v>163</v>
      </c>
      <c r="AJ38"/>
      <c r="AK38">
        <v>100</v>
      </c>
      <c r="AM38">
        <v>300</v>
      </c>
      <c r="AN38">
        <v>4221</v>
      </c>
      <c r="AO38">
        <v>42</v>
      </c>
      <c r="AP38">
        <v>4139</v>
      </c>
      <c r="AT38"/>
      <c r="BG38" s="14">
        <f>SUM(Portefeuille_MNT_PPS_Access_26_28[[#This Row],[AC ANT]:[TR 2035]])</f>
        <v>8977</v>
      </c>
      <c r="BH38" s="14"/>
    </row>
    <row r="39" spans="1:60" x14ac:dyDescent="0.3">
      <c r="A39" t="s">
        <v>286</v>
      </c>
      <c r="B39" t="s">
        <v>662</v>
      </c>
      <c r="D39" t="s">
        <v>118</v>
      </c>
      <c r="E39" t="s">
        <v>102</v>
      </c>
      <c r="F39" t="s">
        <v>103</v>
      </c>
      <c r="G39" t="s">
        <v>206</v>
      </c>
      <c r="H39" t="s">
        <v>16</v>
      </c>
      <c r="I39" t="s">
        <v>20</v>
      </c>
      <c r="J39" t="s">
        <v>131</v>
      </c>
      <c r="K39">
        <v>154180768</v>
      </c>
      <c r="L39" t="s">
        <v>211</v>
      </c>
      <c r="M39" t="s">
        <v>209</v>
      </c>
      <c r="N39" t="s">
        <v>197</v>
      </c>
      <c r="O39" t="s">
        <v>155</v>
      </c>
      <c r="P39" s="1">
        <v>45976</v>
      </c>
      <c r="Q39" s="1">
        <v>46341</v>
      </c>
      <c r="R39" s="1">
        <v>46706</v>
      </c>
      <c r="S39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39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39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39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12</v>
      </c>
      <c r="W39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12</v>
      </c>
      <c r="X39">
        <f>Portefeuille_MNT_PPS_Access_26_28[[#This Row],[Délais PC1 et PC3]]+Portefeuille_MNT_PPS_Access_26_28[[#This Row],[Délais PC3 et PC5]]</f>
        <v>24</v>
      </c>
      <c r="Z39">
        <v>1</v>
      </c>
      <c r="AA39">
        <v>5</v>
      </c>
      <c r="AB39" t="s">
        <v>156</v>
      </c>
      <c r="AC39">
        <v>3.3333333333333335</v>
      </c>
      <c r="AD39" s="2">
        <f>_xlfn.XLOOKUP(Portefeuille_MNT_PPS_Access_26_28[[#This Row],[Numéro projet]],Portefeuille_MNT_PPS_Access27[Numéro projet],Portefeuille_MNT_PPS_Access27[Critère Etat Infrastructure])</f>
        <v>4</v>
      </c>
      <c r="AE39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66.666666666666671</v>
      </c>
      <c r="AF39" s="221"/>
      <c r="AG39">
        <v>8</v>
      </c>
      <c r="AJ39"/>
      <c r="AK39">
        <v>100</v>
      </c>
      <c r="AM39">
        <v>100</v>
      </c>
      <c r="AO39">
        <v>100</v>
      </c>
      <c r="AQ39">
        <v>250</v>
      </c>
      <c r="AR39">
        <v>7500</v>
      </c>
      <c r="AT39"/>
      <c r="BG39" s="14">
        <f>SUM(Portefeuille_MNT_PPS_Access_26_28[[#This Row],[AC ANT]:[TR 2035]])</f>
        <v>8058</v>
      </c>
      <c r="BH39" s="14"/>
    </row>
    <row r="40" spans="1:60" x14ac:dyDescent="0.3">
      <c r="A40" t="s">
        <v>286</v>
      </c>
      <c r="B40" t="s">
        <v>664</v>
      </c>
      <c r="D40" t="s">
        <v>101</v>
      </c>
      <c r="E40" t="s">
        <v>102</v>
      </c>
      <c r="F40" t="s">
        <v>136</v>
      </c>
      <c r="G40" t="s">
        <v>149</v>
      </c>
      <c r="H40" t="s">
        <v>16</v>
      </c>
      <c r="I40" t="s">
        <v>20</v>
      </c>
      <c r="J40" t="s">
        <v>131</v>
      </c>
      <c r="K40">
        <v>154180773</v>
      </c>
      <c r="L40" t="s">
        <v>213</v>
      </c>
      <c r="M40" t="s">
        <v>214</v>
      </c>
      <c r="N40" t="s">
        <v>184</v>
      </c>
      <c r="O40" t="s">
        <v>155</v>
      </c>
      <c r="P40" s="1">
        <v>46127</v>
      </c>
      <c r="Q40" s="1">
        <v>46798</v>
      </c>
      <c r="R40" s="1">
        <v>47192</v>
      </c>
      <c r="S40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0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0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0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22</v>
      </c>
      <c r="W40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13</v>
      </c>
      <c r="X40">
        <f>Portefeuille_MNT_PPS_Access_26_28[[#This Row],[Délais PC1 et PC3]]+Portefeuille_MNT_PPS_Access_26_28[[#This Row],[Délais PC3 et PC5]]</f>
        <v>35</v>
      </c>
      <c r="Z40">
        <v>1</v>
      </c>
      <c r="AB40" t="s">
        <v>156</v>
      </c>
      <c r="AC40">
        <v>3</v>
      </c>
      <c r="AD40" s="2">
        <f>_xlfn.XLOOKUP(Portefeuille_MNT_PPS_Access_26_28[[#This Row],[Numéro projet]],Portefeuille_MNT_PPS_Access27[Numéro projet],Portefeuille_MNT_PPS_Access27[Critère Etat Infrastructure])</f>
        <v>4</v>
      </c>
      <c r="AE40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45</v>
      </c>
      <c r="AF40" s="221"/>
      <c r="AG40">
        <v>47</v>
      </c>
      <c r="AI40">
        <v>93</v>
      </c>
      <c r="AJ40"/>
      <c r="AK40">
        <v>150</v>
      </c>
      <c r="AM40">
        <v>125</v>
      </c>
      <c r="AO40">
        <v>125</v>
      </c>
      <c r="AQ40">
        <v>125</v>
      </c>
      <c r="AS40">
        <v>125</v>
      </c>
      <c r="AT40"/>
      <c r="AU40">
        <v>300</v>
      </c>
      <c r="AV40">
        <v>5000</v>
      </c>
      <c r="AW40">
        <v>431</v>
      </c>
      <c r="AX40">
        <v>10000</v>
      </c>
      <c r="BG40" s="14">
        <f>SUM(Portefeuille_MNT_PPS_Access_26_28[[#This Row],[AC ANT]:[TR 2035]])</f>
        <v>16521</v>
      </c>
      <c r="BH40" s="14"/>
    </row>
    <row r="41" spans="1:60" x14ac:dyDescent="0.3">
      <c r="A41" t="s">
        <v>286</v>
      </c>
      <c r="B41" t="s">
        <v>663</v>
      </c>
      <c r="D41" t="s">
        <v>101</v>
      </c>
      <c r="E41" t="s">
        <v>102</v>
      </c>
      <c r="F41" t="s">
        <v>136</v>
      </c>
      <c r="G41" t="s">
        <v>144</v>
      </c>
      <c r="H41" t="s">
        <v>16</v>
      </c>
      <c r="I41" t="s">
        <v>20</v>
      </c>
      <c r="J41" t="s">
        <v>131</v>
      </c>
      <c r="K41">
        <v>154171403</v>
      </c>
      <c r="L41" t="s">
        <v>196</v>
      </c>
      <c r="M41" t="s">
        <v>180</v>
      </c>
      <c r="N41" t="s">
        <v>197</v>
      </c>
      <c r="O41" t="s">
        <v>110</v>
      </c>
      <c r="P41" s="1">
        <v>44889</v>
      </c>
      <c r="Q41" s="1">
        <v>46068</v>
      </c>
      <c r="R41" s="1">
        <v>46583</v>
      </c>
      <c r="S41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1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1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1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39</v>
      </c>
      <c r="W41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17</v>
      </c>
      <c r="X41">
        <f>Portefeuille_MNT_PPS_Access_26_28[[#This Row],[Délais PC1 et PC3]]+Portefeuille_MNT_PPS_Access_26_28[[#This Row],[Délais PC3 et PC5]]</f>
        <v>56</v>
      </c>
      <c r="Z41">
        <v>1</v>
      </c>
      <c r="AA41">
        <v>5</v>
      </c>
      <c r="AB41" t="s">
        <v>112</v>
      </c>
      <c r="AC41">
        <v>2.6666666666666665</v>
      </c>
      <c r="AD41" s="2">
        <f>_xlfn.XLOOKUP(Portefeuille_MNT_PPS_Access_26_28[[#This Row],[Numéro projet]],Portefeuille_MNT_PPS_Access27[Numéro projet],Portefeuille_MNT_PPS_Access27[Critère Etat Infrastructure])</f>
        <v>4</v>
      </c>
      <c r="AE41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63.333333333333343</v>
      </c>
      <c r="AF41" s="221"/>
      <c r="AG41">
        <v>336.99999999999994</v>
      </c>
      <c r="AI41">
        <v>76</v>
      </c>
      <c r="AJ41"/>
      <c r="AK41">
        <v>1657.9999999999998</v>
      </c>
      <c r="AM41">
        <v>1529</v>
      </c>
      <c r="AO41">
        <v>1529</v>
      </c>
      <c r="AQ41">
        <v>1325</v>
      </c>
      <c r="AR41">
        <v>7500</v>
      </c>
      <c r="AS41">
        <v>1200</v>
      </c>
      <c r="AT41">
        <v>9500</v>
      </c>
      <c r="AU41">
        <v>439</v>
      </c>
      <c r="AV41">
        <v>18000</v>
      </c>
      <c r="BG41" s="14">
        <f>SUM(Portefeuille_MNT_PPS_Access_26_28[[#This Row],[AC ANT]:[TR 2035]])</f>
        <v>43093</v>
      </c>
      <c r="BH41" s="14"/>
    </row>
    <row r="42" spans="1:60" x14ac:dyDescent="0.3">
      <c r="A42" t="s">
        <v>286</v>
      </c>
      <c r="B42" t="s">
        <v>662</v>
      </c>
      <c r="D42" t="s">
        <v>118</v>
      </c>
      <c r="E42" t="s">
        <v>102</v>
      </c>
      <c r="F42" t="s">
        <v>177</v>
      </c>
      <c r="G42" t="s">
        <v>113</v>
      </c>
      <c r="H42" t="s">
        <v>16</v>
      </c>
      <c r="I42" t="s">
        <v>20</v>
      </c>
      <c r="J42" t="s">
        <v>131</v>
      </c>
      <c r="K42">
        <v>154200650</v>
      </c>
      <c r="L42" t="s">
        <v>241</v>
      </c>
      <c r="M42" t="s">
        <v>187</v>
      </c>
      <c r="N42" t="s">
        <v>173</v>
      </c>
      <c r="O42" t="s">
        <v>123</v>
      </c>
      <c r="P42" s="1">
        <v>45708</v>
      </c>
      <c r="Q42" s="1">
        <v>45923</v>
      </c>
      <c r="R42" s="1">
        <v>46296</v>
      </c>
      <c r="S42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3.À risque</v>
      </c>
      <c r="T42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2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2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7</v>
      </c>
      <c r="W42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13</v>
      </c>
      <c r="X42">
        <f>Portefeuille_MNT_PPS_Access_26_28[[#This Row],[Délais PC1 et PC3]]+Portefeuille_MNT_PPS_Access_26_28[[#This Row],[Délais PC3 et PC5]]</f>
        <v>20</v>
      </c>
      <c r="Z42">
        <v>1</v>
      </c>
      <c r="AA42">
        <v>5</v>
      </c>
      <c r="AB42" t="s">
        <v>125</v>
      </c>
      <c r="AC42">
        <v>3</v>
      </c>
      <c r="AD42" s="2">
        <f>_xlfn.XLOOKUP(Portefeuille_MNT_PPS_Access_26_28[[#This Row],[Numéro projet]],Portefeuille_MNT_PPS_Access27[Numéro projet],Portefeuille_MNT_PPS_Access27[Critère Etat Infrastructure])</f>
        <v>5</v>
      </c>
      <c r="AE42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70</v>
      </c>
      <c r="AF42" s="221"/>
      <c r="AJ42"/>
      <c r="AK42">
        <v>178</v>
      </c>
      <c r="AM42">
        <v>176</v>
      </c>
      <c r="AO42">
        <v>212</v>
      </c>
      <c r="AP42">
        <v>4831</v>
      </c>
      <c r="AQ42">
        <v>151</v>
      </c>
      <c r="AR42">
        <v>3298</v>
      </c>
      <c r="AT42"/>
      <c r="BG42" s="14">
        <f>SUM(Portefeuille_MNT_PPS_Access_26_28[[#This Row],[AC ANT]:[TR 2035]])</f>
        <v>8846</v>
      </c>
      <c r="BH42" s="14"/>
    </row>
    <row r="43" spans="1:60" x14ac:dyDescent="0.3">
      <c r="A43" t="s">
        <v>286</v>
      </c>
      <c r="B43" t="s">
        <v>295</v>
      </c>
      <c r="D43" t="s">
        <v>126</v>
      </c>
      <c r="E43" t="s">
        <v>127</v>
      </c>
      <c r="F43" t="s">
        <v>103</v>
      </c>
      <c r="G43" t="s">
        <v>144</v>
      </c>
      <c r="H43" t="s">
        <v>16</v>
      </c>
      <c r="I43" t="s">
        <v>16</v>
      </c>
      <c r="J43" t="s">
        <v>131</v>
      </c>
      <c r="K43">
        <v>154190674</v>
      </c>
      <c r="L43" t="s">
        <v>146</v>
      </c>
      <c r="M43" t="s">
        <v>147</v>
      </c>
      <c r="N43" t="s">
        <v>109</v>
      </c>
      <c r="O43" t="s">
        <v>110</v>
      </c>
      <c r="P43" s="1">
        <v>44609</v>
      </c>
      <c r="Q43" s="1">
        <v>46310</v>
      </c>
      <c r="R43" s="1">
        <v>46583</v>
      </c>
      <c r="S43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3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1.Très à risque</v>
      </c>
      <c r="U43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1.Très à risque</v>
      </c>
      <c r="V43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56</v>
      </c>
      <c r="W43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9</v>
      </c>
      <c r="X43">
        <f>Portefeuille_MNT_PPS_Access_26_28[[#This Row],[Délais PC1 et PC3]]+Portefeuille_MNT_PPS_Access_26_28[[#This Row],[Délais PC3 et PC5]]</f>
        <v>65</v>
      </c>
      <c r="Y43">
        <v>1</v>
      </c>
      <c r="Z43">
        <v>5</v>
      </c>
      <c r="AA43">
        <v>1</v>
      </c>
      <c r="AB43" t="s">
        <v>112</v>
      </c>
      <c r="AC43">
        <v>2.6666666666666665</v>
      </c>
      <c r="AD43" s="2">
        <f>_xlfn.XLOOKUP(Portefeuille_MNT_PPS_Access_26_28[[#This Row],[Numéro projet]],Portefeuille_MNT_PPS_Access27[Numéro projet],Portefeuille_MNT_PPS_Access27[Critère Etat Infrastructure])</f>
        <v>3</v>
      </c>
      <c r="AE43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58.333333333333336</v>
      </c>
      <c r="AF43" s="221"/>
      <c r="AG43">
        <v>117</v>
      </c>
      <c r="AI43">
        <v>84</v>
      </c>
      <c r="AJ43"/>
      <c r="AK43">
        <v>105</v>
      </c>
      <c r="AM43">
        <v>417</v>
      </c>
      <c r="AN43">
        <v>9684</v>
      </c>
      <c r="AT43"/>
      <c r="BG43" s="14">
        <f>SUM(Portefeuille_MNT_PPS_Access_26_28[[#This Row],[AC ANT]:[TR 2035]])</f>
        <v>10407</v>
      </c>
      <c r="BH43" s="14"/>
    </row>
    <row r="44" spans="1:60" x14ac:dyDescent="0.3">
      <c r="A44" t="s">
        <v>286</v>
      </c>
      <c r="B44" t="s">
        <v>662</v>
      </c>
      <c r="D44" t="s">
        <v>118</v>
      </c>
      <c r="E44" t="s">
        <v>102</v>
      </c>
      <c r="F44" t="s">
        <v>119</v>
      </c>
      <c r="G44" t="s">
        <v>206</v>
      </c>
      <c r="H44" t="s">
        <v>16</v>
      </c>
      <c r="I44" t="s">
        <v>130</v>
      </c>
      <c r="J44" t="s">
        <v>131</v>
      </c>
      <c r="K44">
        <v>154180745</v>
      </c>
      <c r="L44" t="s">
        <v>208</v>
      </c>
      <c r="M44" t="s">
        <v>209</v>
      </c>
      <c r="N44" s="2" t="s">
        <v>173</v>
      </c>
      <c r="O44" t="s">
        <v>155</v>
      </c>
      <c r="P44" s="1">
        <v>45976</v>
      </c>
      <c r="Q44" s="1">
        <v>46096</v>
      </c>
      <c r="R44" s="1">
        <v>46280</v>
      </c>
      <c r="S44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44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44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4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4</v>
      </c>
      <c r="W44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6</v>
      </c>
      <c r="X44">
        <f>Portefeuille_MNT_PPS_Access_26_28[[#This Row],[Délais PC1 et PC3]]+Portefeuille_MNT_PPS_Access_26_28[[#This Row],[Délais PC3 et PC5]]</f>
        <v>10</v>
      </c>
      <c r="Z44">
        <v>1</v>
      </c>
      <c r="AA44">
        <v>3</v>
      </c>
      <c r="AB44" t="s">
        <v>156</v>
      </c>
      <c r="AC44">
        <v>3.3333333333333335</v>
      </c>
      <c r="AD44" s="2">
        <f>_xlfn.XLOOKUP(Portefeuille_MNT_PPS_Access_26_28[[#This Row],[Numéro projet]],Portefeuille_MNT_PPS_Access27[Numéro projet],Portefeuille_MNT_PPS_Access27[Critère Etat Infrastructure])</f>
        <v>3</v>
      </c>
      <c r="AE44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51.666666666666671</v>
      </c>
      <c r="AF44" s="221"/>
      <c r="AG44">
        <v>196</v>
      </c>
      <c r="AJ44"/>
      <c r="AK44">
        <v>40</v>
      </c>
      <c r="AM44">
        <v>255</v>
      </c>
      <c r="AO44">
        <v>396</v>
      </c>
      <c r="AP44">
        <v>1500</v>
      </c>
      <c r="AT44"/>
      <c r="BG44" s="14">
        <f>SUM(Portefeuille_MNT_PPS_Access_26_28[[#This Row],[AC ANT]:[TR 2035]])</f>
        <v>2387</v>
      </c>
      <c r="BH44" s="14"/>
    </row>
    <row r="45" spans="1:60" x14ac:dyDescent="0.3">
      <c r="A45" t="s">
        <v>286</v>
      </c>
      <c r="B45" t="s">
        <v>663</v>
      </c>
      <c r="D45" t="s">
        <v>101</v>
      </c>
      <c r="E45" t="s">
        <v>102</v>
      </c>
      <c r="F45" t="s">
        <v>136</v>
      </c>
      <c r="G45" t="s">
        <v>113</v>
      </c>
      <c r="H45" t="s">
        <v>16</v>
      </c>
      <c r="I45" t="s">
        <v>20</v>
      </c>
      <c r="J45" t="s">
        <v>105</v>
      </c>
      <c r="K45">
        <v>154061997</v>
      </c>
      <c r="L45" t="s">
        <v>167</v>
      </c>
      <c r="M45" t="s">
        <v>168</v>
      </c>
      <c r="N45" t="s">
        <v>169</v>
      </c>
      <c r="O45" t="s">
        <v>155</v>
      </c>
      <c r="P45" s="1">
        <v>45976</v>
      </c>
      <c r="Q45" s="1">
        <v>46402</v>
      </c>
      <c r="R45" s="1">
        <v>46980</v>
      </c>
      <c r="S45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5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5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5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14</v>
      </c>
      <c r="W45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19</v>
      </c>
      <c r="X45">
        <f>Portefeuille_MNT_PPS_Access_26_28[[#This Row],[Délais PC1 et PC3]]+Portefeuille_MNT_PPS_Access_26_28[[#This Row],[Délais PC3 et PC5]]</f>
        <v>33</v>
      </c>
      <c r="Z45">
        <v>1</v>
      </c>
      <c r="AB45" t="s">
        <v>156</v>
      </c>
      <c r="AC45">
        <v>3.3333333333333335</v>
      </c>
      <c r="AD45" s="2">
        <f>_xlfn.XLOOKUP(Portefeuille_MNT_PPS_Access_26_28[[#This Row],[Numéro projet]],Portefeuille_MNT_PPS_Access27[Numéro projet],Portefeuille_MNT_PPS_Access27[Critère Etat Infrastructure])</f>
        <v>4</v>
      </c>
      <c r="AE45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46.666666666666664</v>
      </c>
      <c r="AF45" s="221"/>
      <c r="AG45">
        <v>71</v>
      </c>
      <c r="AJ45"/>
      <c r="AK45">
        <v>120</v>
      </c>
      <c r="AM45">
        <v>210</v>
      </c>
      <c r="AO45">
        <v>310</v>
      </c>
      <c r="AQ45">
        <v>310</v>
      </c>
      <c r="AS45">
        <v>395</v>
      </c>
      <c r="AT45">
        <v>2000</v>
      </c>
      <c r="AU45">
        <v>395</v>
      </c>
      <c r="AV45">
        <v>2000</v>
      </c>
      <c r="AW45">
        <v>400</v>
      </c>
      <c r="AX45">
        <v>18319</v>
      </c>
      <c r="BG45" s="14">
        <f>SUM(Portefeuille_MNT_PPS_Access_26_28[[#This Row],[AC ANT]:[TR 2035]])</f>
        <v>24530</v>
      </c>
      <c r="BH45" s="14"/>
    </row>
    <row r="46" spans="1:60" x14ac:dyDescent="0.3">
      <c r="A46" t="s">
        <v>286</v>
      </c>
      <c r="B46" t="s">
        <v>295</v>
      </c>
      <c r="D46" t="s">
        <v>126</v>
      </c>
      <c r="E46" t="s">
        <v>127</v>
      </c>
      <c r="F46" t="s">
        <v>103</v>
      </c>
      <c r="G46" t="s">
        <v>104</v>
      </c>
      <c r="H46" t="s">
        <v>16</v>
      </c>
      <c r="I46" t="s">
        <v>130</v>
      </c>
      <c r="J46" t="s">
        <v>131</v>
      </c>
      <c r="K46">
        <v>154190517</v>
      </c>
      <c r="L46" t="s">
        <v>221</v>
      </c>
      <c r="M46" t="s">
        <v>159</v>
      </c>
      <c r="N46" t="s">
        <v>197</v>
      </c>
      <c r="O46" t="s">
        <v>155</v>
      </c>
      <c r="P46" s="1">
        <v>45976</v>
      </c>
      <c r="Q46" s="1">
        <v>46264</v>
      </c>
      <c r="R46" s="1">
        <v>46553</v>
      </c>
      <c r="S46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6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6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6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9</v>
      </c>
      <c r="W46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10</v>
      </c>
      <c r="X46">
        <f>Portefeuille_MNT_PPS_Access_26_28[[#This Row],[Délais PC1 et PC3]]+Portefeuille_MNT_PPS_Access_26_28[[#This Row],[Délais PC3 et PC5]]</f>
        <v>19</v>
      </c>
      <c r="Z46">
        <v>1</v>
      </c>
      <c r="AA46">
        <v>5</v>
      </c>
      <c r="AB46" t="s">
        <v>156</v>
      </c>
      <c r="AC46">
        <v>4.333333333333333</v>
      </c>
      <c r="AD46" s="2">
        <f>_xlfn.XLOOKUP(Portefeuille_MNT_PPS_Access_26_28[[#This Row],[Numéro projet]],Portefeuille_MNT_PPS_Access27[Numéro projet],Portefeuille_MNT_PPS_Access27[Critère Etat Infrastructure])</f>
        <v>3</v>
      </c>
      <c r="AE46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66.666666666666671</v>
      </c>
      <c r="AF46" s="221"/>
      <c r="AJ46"/>
      <c r="AK46">
        <v>130</v>
      </c>
      <c r="AM46">
        <v>125</v>
      </c>
      <c r="AO46">
        <v>100</v>
      </c>
      <c r="AQ46">
        <v>70</v>
      </c>
      <c r="AR46">
        <v>14000</v>
      </c>
      <c r="AS46">
        <v>55</v>
      </c>
      <c r="AT46">
        <v>16662</v>
      </c>
      <c r="BG46" s="14">
        <f>SUM(Portefeuille_MNT_PPS_Access_26_28[[#This Row],[AC ANT]:[TR 2035]])</f>
        <v>31142</v>
      </c>
      <c r="BH46" s="14"/>
    </row>
    <row r="47" spans="1:60" x14ac:dyDescent="0.3">
      <c r="A47" t="s">
        <v>286</v>
      </c>
      <c r="B47" t="s">
        <v>664</v>
      </c>
      <c r="D47" t="s">
        <v>101</v>
      </c>
      <c r="E47" t="s">
        <v>102</v>
      </c>
      <c r="F47" t="s">
        <v>128</v>
      </c>
      <c r="G47" t="s">
        <v>140</v>
      </c>
      <c r="H47" t="s">
        <v>16</v>
      </c>
      <c r="I47" t="s">
        <v>16</v>
      </c>
      <c r="J47" t="s">
        <v>105</v>
      </c>
      <c r="K47">
        <v>154160008</v>
      </c>
      <c r="L47" t="s">
        <v>142</v>
      </c>
      <c r="M47" t="s">
        <v>143</v>
      </c>
      <c r="N47" t="s">
        <v>109</v>
      </c>
      <c r="O47" t="s">
        <v>123</v>
      </c>
      <c r="P47" s="1">
        <v>42900</v>
      </c>
      <c r="Q47" s="1">
        <v>45323</v>
      </c>
      <c r="R47" s="1">
        <v>45889</v>
      </c>
      <c r="S47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7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47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7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80</v>
      </c>
      <c r="W47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18</v>
      </c>
      <c r="X47">
        <f>Portefeuille_MNT_PPS_Access_26_28[[#This Row],[Délais PC1 et PC3]]+Portefeuille_MNT_PPS_Access_26_28[[#This Row],[Délais PC3 et PC5]]</f>
        <v>98</v>
      </c>
      <c r="Y47">
        <v>1</v>
      </c>
      <c r="Z47">
        <v>5</v>
      </c>
      <c r="AA47">
        <v>5</v>
      </c>
      <c r="AB47" t="s">
        <v>125</v>
      </c>
      <c r="AC47">
        <v>4.333333333333333</v>
      </c>
      <c r="AD47" s="2">
        <f>_xlfn.XLOOKUP(Portefeuille_MNT_PPS_Access_26_28[[#This Row],[Numéro projet]],Portefeuille_MNT_PPS_Access27[Numéro projet],Portefeuille_MNT_PPS_Access27[Critère Etat Infrastructure])</f>
        <v>5</v>
      </c>
      <c r="AE47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96.666666666666671</v>
      </c>
      <c r="AF47" s="221"/>
      <c r="AG47">
        <v>61</v>
      </c>
      <c r="AJ47"/>
      <c r="AM47">
        <v>400</v>
      </c>
      <c r="AN47">
        <v>5399</v>
      </c>
      <c r="AT47"/>
      <c r="BG47" s="14">
        <f>SUM(Portefeuille_MNT_PPS_Access_26_28[[#This Row],[AC ANT]:[TR 2035]])</f>
        <v>5860</v>
      </c>
      <c r="BH47" s="14"/>
    </row>
    <row r="48" spans="1:60" x14ac:dyDescent="0.3">
      <c r="A48" t="s">
        <v>286</v>
      </c>
      <c r="B48" t="s">
        <v>664</v>
      </c>
      <c r="D48" t="s">
        <v>101</v>
      </c>
      <c r="E48" t="s">
        <v>102</v>
      </c>
      <c r="F48" t="s">
        <v>128</v>
      </c>
      <c r="G48" t="s">
        <v>129</v>
      </c>
      <c r="H48" t="s">
        <v>16</v>
      </c>
      <c r="I48" t="s">
        <v>20</v>
      </c>
      <c r="J48" t="s">
        <v>131</v>
      </c>
      <c r="K48">
        <v>154240034</v>
      </c>
      <c r="L48" t="s">
        <v>251</v>
      </c>
      <c r="M48" t="s">
        <v>214</v>
      </c>
      <c r="N48" t="s">
        <v>197</v>
      </c>
      <c r="O48" t="s">
        <v>110</v>
      </c>
      <c r="P48" s="1">
        <v>45490</v>
      </c>
      <c r="Q48" s="1"/>
      <c r="R48" s="1">
        <v>46447</v>
      </c>
      <c r="S48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48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48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48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-1494</v>
      </c>
      <c r="W48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1526</v>
      </c>
      <c r="X48">
        <f>Portefeuille_MNT_PPS_Access_26_28[[#This Row],[Délais PC1 et PC3]]+Portefeuille_MNT_PPS_Access_26_28[[#This Row],[Délais PC3 et PC5]]</f>
        <v>32</v>
      </c>
      <c r="Z48">
        <v>1</v>
      </c>
      <c r="AA48">
        <v>5</v>
      </c>
      <c r="AB48" t="s">
        <v>112</v>
      </c>
      <c r="AC48">
        <v>3</v>
      </c>
      <c r="AD48" s="2">
        <f>_xlfn.XLOOKUP(Portefeuille_MNT_PPS_Access_26_28[[#This Row],[Numéro projet]],Portefeuille_MNT_PPS_Access27[Numéro projet],Portefeuille_MNT_PPS_Access27[Critère Etat Infrastructure])</f>
        <v>4</v>
      </c>
      <c r="AE48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65</v>
      </c>
      <c r="AF48" s="221"/>
      <c r="AJ48"/>
      <c r="AK48">
        <v>37</v>
      </c>
      <c r="AM48">
        <v>10</v>
      </c>
      <c r="AO48">
        <v>12</v>
      </c>
      <c r="AQ48">
        <v>30</v>
      </c>
      <c r="AR48">
        <v>194</v>
      </c>
      <c r="AT48"/>
      <c r="BG48" s="14">
        <f>SUM(Portefeuille_MNT_PPS_Access_26_28[[#This Row],[AC ANT]:[TR 2035]])</f>
        <v>283</v>
      </c>
      <c r="BH48" s="14"/>
    </row>
    <row r="49" spans="1:60" x14ac:dyDescent="0.3">
      <c r="A49" t="s">
        <v>286</v>
      </c>
      <c r="B49" t="s">
        <v>662</v>
      </c>
      <c r="D49" t="s">
        <v>118</v>
      </c>
      <c r="E49" t="s">
        <v>102</v>
      </c>
      <c r="F49" t="s">
        <v>136</v>
      </c>
      <c r="G49" t="s">
        <v>104</v>
      </c>
      <c r="H49" t="s">
        <v>16</v>
      </c>
      <c r="I49" t="s">
        <v>20</v>
      </c>
      <c r="J49" t="s">
        <v>105</v>
      </c>
      <c r="K49">
        <v>154240757</v>
      </c>
      <c r="L49" t="s">
        <v>519</v>
      </c>
      <c r="M49" t="s">
        <v>143</v>
      </c>
      <c r="N49" t="s">
        <v>173</v>
      </c>
      <c r="O49" t="s">
        <v>155</v>
      </c>
      <c r="P49" s="1">
        <v>46127</v>
      </c>
      <c r="Q49" s="1"/>
      <c r="R49" s="1"/>
      <c r="S49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49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49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X</v>
      </c>
      <c r="V49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-1515</v>
      </c>
      <c r="W49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0</v>
      </c>
      <c r="X49">
        <f>Portefeuille_MNT_PPS_Access_26_28[[#This Row],[Délais PC1 et PC3]]+Portefeuille_MNT_PPS_Access_26_28[[#This Row],[Délais PC3 et PC5]]</f>
        <v>-1515</v>
      </c>
      <c r="Z49">
        <v>1</v>
      </c>
      <c r="AA49">
        <v>3</v>
      </c>
      <c r="AB49" t="s">
        <v>156</v>
      </c>
      <c r="AC49">
        <v>4.333333333333333</v>
      </c>
      <c r="AD49" s="2">
        <f>_xlfn.XLOOKUP(Portefeuille_MNT_PPS_Access_26_28[[#This Row],[Numéro projet]],Portefeuille_MNT_PPS_Access27[Numéro projet],Portefeuille_MNT_PPS_Access27[Critère Etat Infrastructure])</f>
        <v>5</v>
      </c>
      <c r="AE49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66.666666666666671</v>
      </c>
      <c r="AF49" s="221"/>
      <c r="AJ49"/>
      <c r="AK49">
        <v>25</v>
      </c>
      <c r="AM49">
        <v>25</v>
      </c>
      <c r="AP49">
        <v>150</v>
      </c>
      <c r="AT49"/>
      <c r="BG49" s="14">
        <f>SUM(Portefeuille_MNT_PPS_Access_26_28[[#This Row],[AC ANT]:[TR 2035]])</f>
        <v>200</v>
      </c>
      <c r="BH49" s="14"/>
    </row>
    <row r="50" spans="1:60" x14ac:dyDescent="0.3">
      <c r="A50" t="s">
        <v>286</v>
      </c>
      <c r="B50" t="s">
        <v>662</v>
      </c>
      <c r="D50" t="s">
        <v>118</v>
      </c>
      <c r="E50" t="s">
        <v>102</v>
      </c>
      <c r="F50" t="s">
        <v>136</v>
      </c>
      <c r="G50" t="s">
        <v>104</v>
      </c>
      <c r="H50" t="s">
        <v>16</v>
      </c>
      <c r="I50" t="s">
        <v>20</v>
      </c>
      <c r="J50" t="s">
        <v>105</v>
      </c>
      <c r="K50">
        <v>154240756</v>
      </c>
      <c r="L50" t="s">
        <v>517</v>
      </c>
      <c r="M50" t="s">
        <v>302</v>
      </c>
      <c r="N50" t="s">
        <v>109</v>
      </c>
      <c r="O50" t="s">
        <v>110</v>
      </c>
      <c r="P50" s="1">
        <v>45904</v>
      </c>
      <c r="Q50" s="1"/>
      <c r="R50" s="1">
        <v>46096</v>
      </c>
      <c r="S50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50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50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3.À risque</v>
      </c>
      <c r="V50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-1508</v>
      </c>
      <c r="W50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1514</v>
      </c>
      <c r="X50">
        <f>Portefeuille_MNT_PPS_Access_26_28[[#This Row],[Délais PC1 et PC3]]+Portefeuille_MNT_PPS_Access_26_28[[#This Row],[Délais PC3 et PC5]]</f>
        <v>6</v>
      </c>
      <c r="Y50">
        <v>1</v>
      </c>
      <c r="Z50">
        <v>1</v>
      </c>
      <c r="AA50">
        <v>3</v>
      </c>
      <c r="AB50" t="s">
        <v>112</v>
      </c>
      <c r="AC50">
        <v>4</v>
      </c>
      <c r="AD50" s="2">
        <f>_xlfn.XLOOKUP(Portefeuille_MNT_PPS_Access_26_28[[#This Row],[Numéro projet]],Portefeuille_MNT_PPS_Access27[Numéro projet],Portefeuille_MNT_PPS_Access27[Critère Etat Infrastructure])</f>
        <v>5</v>
      </c>
      <c r="AE50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65.000000000000014</v>
      </c>
      <c r="AF50" s="221"/>
      <c r="AJ50"/>
      <c r="AK50">
        <v>59</v>
      </c>
      <c r="AM50">
        <v>131</v>
      </c>
      <c r="AN50">
        <v>478</v>
      </c>
      <c r="AT50"/>
      <c r="BG50" s="14">
        <f>SUM(Portefeuille_MNT_PPS_Access_26_28[[#This Row],[AC ANT]:[TR 2035]])</f>
        <v>668</v>
      </c>
      <c r="BH50" s="14"/>
    </row>
    <row r="51" spans="1:60" x14ac:dyDescent="0.3">
      <c r="A51" t="s">
        <v>286</v>
      </c>
      <c r="B51" t="s">
        <v>662</v>
      </c>
      <c r="D51" t="s">
        <v>118</v>
      </c>
      <c r="E51" t="s">
        <v>102</v>
      </c>
      <c r="F51" t="s">
        <v>136</v>
      </c>
      <c r="G51" t="s">
        <v>104</v>
      </c>
      <c r="H51" t="s">
        <v>16</v>
      </c>
      <c r="I51" t="s">
        <v>20</v>
      </c>
      <c r="J51" t="s">
        <v>131</v>
      </c>
      <c r="K51">
        <v>154230792</v>
      </c>
      <c r="L51" t="s">
        <v>158</v>
      </c>
      <c r="M51" t="s">
        <v>159</v>
      </c>
      <c r="N51" t="s">
        <v>173</v>
      </c>
      <c r="O51" t="s">
        <v>155</v>
      </c>
      <c r="P51" s="1">
        <v>45991</v>
      </c>
      <c r="Q51" s="1"/>
      <c r="R51" s="1">
        <v>46249</v>
      </c>
      <c r="S51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1.Très à risque</v>
      </c>
      <c r="T51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51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51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-1510</v>
      </c>
      <c r="W51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1519</v>
      </c>
      <c r="X51">
        <f>Portefeuille_MNT_PPS_Access_26_28[[#This Row],[Délais PC1 et PC3]]+Portefeuille_MNT_PPS_Access_26_28[[#This Row],[Délais PC3 et PC5]]</f>
        <v>9</v>
      </c>
      <c r="Z51">
        <v>1</v>
      </c>
      <c r="AA51">
        <v>3</v>
      </c>
      <c r="AB51" t="s">
        <v>156</v>
      </c>
      <c r="AC51">
        <v>4.333333333333333</v>
      </c>
      <c r="AD51" s="2">
        <f>_xlfn.XLOOKUP(Portefeuille_MNT_PPS_Access_26_28[[#This Row],[Numéro projet]],Portefeuille_MNT_PPS_Access27[Numéro projet],Portefeuille_MNT_PPS_Access27[Critère Etat Infrastructure])</f>
        <v>3</v>
      </c>
      <c r="AE51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56.666666666666664</v>
      </c>
      <c r="AF51" s="221"/>
      <c r="AJ51"/>
      <c r="AK51">
        <v>75</v>
      </c>
      <c r="AM51">
        <v>75</v>
      </c>
      <c r="AO51">
        <v>150</v>
      </c>
      <c r="AP51">
        <v>650</v>
      </c>
      <c r="AT51"/>
      <c r="BG51" s="14">
        <f>SUM(Portefeuille_MNT_PPS_Access_26_28[[#This Row],[AC ANT]:[TR 2035]])</f>
        <v>950</v>
      </c>
      <c r="BH51" s="14"/>
    </row>
    <row r="52" spans="1:60" x14ac:dyDescent="0.3">
      <c r="A52" t="s">
        <v>286</v>
      </c>
      <c r="B52" t="s">
        <v>663</v>
      </c>
      <c r="D52" t="s">
        <v>101</v>
      </c>
      <c r="E52" t="s">
        <v>102</v>
      </c>
      <c r="F52" t="s">
        <v>103</v>
      </c>
      <c r="G52" t="s">
        <v>140</v>
      </c>
      <c r="H52" t="s">
        <v>16</v>
      </c>
      <c r="I52" t="s">
        <v>20</v>
      </c>
      <c r="J52" t="s">
        <v>131</v>
      </c>
      <c r="K52">
        <v>154210528</v>
      </c>
      <c r="L52" t="s">
        <v>515</v>
      </c>
      <c r="M52" t="s">
        <v>180</v>
      </c>
      <c r="N52" t="s">
        <v>173</v>
      </c>
      <c r="O52" t="s">
        <v>110</v>
      </c>
      <c r="P52" s="1">
        <v>45679</v>
      </c>
      <c r="Q52" s="1">
        <v>46096</v>
      </c>
      <c r="R52" s="1">
        <v>46371</v>
      </c>
      <c r="S52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3.À risque</v>
      </c>
      <c r="T52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52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52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14</v>
      </c>
      <c r="W52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9</v>
      </c>
      <c r="X52">
        <f>Portefeuille_MNT_PPS_Access_26_28[[#This Row],[Délais PC1 et PC3]]+Portefeuille_MNT_PPS_Access_26_28[[#This Row],[Délais PC3 et PC5]]</f>
        <v>23</v>
      </c>
      <c r="Z52">
        <v>1</v>
      </c>
      <c r="AA52">
        <v>3</v>
      </c>
      <c r="AB52" t="s">
        <v>112</v>
      </c>
      <c r="AC52">
        <v>1.8333333333333335</v>
      </c>
      <c r="AD52" s="2">
        <f>_xlfn.XLOOKUP(Portefeuille_MNT_PPS_Access_26_28[[#This Row],[Numéro projet]],Portefeuille_MNT_PPS_Access27[Numéro projet],Portefeuille_MNT_PPS_Access27[Critère Etat Infrastructure])</f>
        <v>5</v>
      </c>
      <c r="AE52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54.166666666666671</v>
      </c>
      <c r="AF52" s="221"/>
      <c r="AJ52"/>
      <c r="AK52">
        <v>130</v>
      </c>
      <c r="AM52">
        <v>60</v>
      </c>
      <c r="AO52">
        <v>283</v>
      </c>
      <c r="AP52">
        <v>3902</v>
      </c>
      <c r="AT52"/>
      <c r="BG52" s="14">
        <f>SUM(Portefeuille_MNT_PPS_Access_26_28[[#This Row],[AC ANT]:[TR 2035]])</f>
        <v>4375</v>
      </c>
      <c r="BH52" s="14"/>
    </row>
    <row r="53" spans="1:60" x14ac:dyDescent="0.3">
      <c r="A53" t="s">
        <v>286</v>
      </c>
      <c r="B53" t="s">
        <v>662</v>
      </c>
      <c r="D53" t="s">
        <v>118</v>
      </c>
      <c r="E53" t="s">
        <v>102</v>
      </c>
      <c r="F53" t="s">
        <v>136</v>
      </c>
      <c r="G53" t="s">
        <v>252</v>
      </c>
      <c r="H53" t="s">
        <v>16</v>
      </c>
      <c r="I53" t="s">
        <v>16</v>
      </c>
      <c r="J53" t="s">
        <v>131</v>
      </c>
      <c r="K53">
        <v>154240497</v>
      </c>
      <c r="L53" t="s">
        <v>529</v>
      </c>
      <c r="M53" t="s">
        <v>209</v>
      </c>
      <c r="N53" t="s">
        <v>109</v>
      </c>
      <c r="O53" t="s">
        <v>291</v>
      </c>
      <c r="P53" s="1"/>
      <c r="Q53" s="1"/>
      <c r="R53" s="1">
        <v>46006</v>
      </c>
      <c r="S53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X</v>
      </c>
      <c r="T53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X</v>
      </c>
      <c r="U53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53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0</v>
      </c>
      <c r="W53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1511</v>
      </c>
      <c r="X53">
        <f>Portefeuille_MNT_PPS_Access_26_28[[#This Row],[Délais PC1 et PC3]]+Portefeuille_MNT_PPS_Access_26_28[[#This Row],[Délais PC3 et PC5]]</f>
        <v>1511</v>
      </c>
      <c r="Y53">
        <v>1</v>
      </c>
      <c r="Z53">
        <v>1</v>
      </c>
      <c r="AA53">
        <v>5</v>
      </c>
      <c r="AB53" t="s">
        <v>311</v>
      </c>
      <c r="AC53">
        <v>3.3333333333333335</v>
      </c>
      <c r="AD53" s="2">
        <f>_xlfn.XLOOKUP(Portefeuille_MNT_PPS_Access_26_28[[#This Row],[Numéro projet]],Portefeuille_MNT_PPS_Access27[Numéro projet],Portefeuille_MNT_PPS_Access27[Critère Etat Infrastructure])</f>
        <v>4</v>
      </c>
      <c r="AE53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66.666666666666671</v>
      </c>
      <c r="AF53" s="221"/>
      <c r="AJ53"/>
      <c r="AK53">
        <v>60</v>
      </c>
      <c r="AM53">
        <v>20</v>
      </c>
      <c r="AN53">
        <v>540</v>
      </c>
      <c r="AT53"/>
      <c r="BG53" s="14">
        <f>SUM(Portefeuille_MNT_PPS_Access_26_28[[#This Row],[AC ANT]:[TR 2035]])</f>
        <v>620</v>
      </c>
      <c r="BH53" s="14"/>
    </row>
    <row r="54" spans="1:60" x14ac:dyDescent="0.3">
      <c r="A54" t="s">
        <v>286</v>
      </c>
      <c r="B54" t="s">
        <v>662</v>
      </c>
      <c r="D54" t="s">
        <v>118</v>
      </c>
      <c r="E54" t="s">
        <v>102</v>
      </c>
      <c r="F54" t="s">
        <v>242</v>
      </c>
      <c r="G54" t="s">
        <v>129</v>
      </c>
      <c r="H54" t="s">
        <v>16</v>
      </c>
      <c r="I54" t="s">
        <v>20</v>
      </c>
      <c r="J54" t="s">
        <v>131</v>
      </c>
      <c r="K54">
        <v>154180774</v>
      </c>
      <c r="L54" t="s">
        <v>386</v>
      </c>
      <c r="M54" t="s">
        <v>134</v>
      </c>
      <c r="N54" t="s">
        <v>197</v>
      </c>
      <c r="O54" t="s">
        <v>155</v>
      </c>
      <c r="P54" s="1">
        <v>45960</v>
      </c>
      <c r="Q54" s="1">
        <v>46395</v>
      </c>
      <c r="R54" s="1">
        <v>46631</v>
      </c>
      <c r="S54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54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3.À risque</v>
      </c>
      <c r="U54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54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15</v>
      </c>
      <c r="W54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8</v>
      </c>
      <c r="X54">
        <f>Portefeuille_MNT_PPS_Access_26_28[[#This Row],[Délais PC1 et PC3]]+Portefeuille_MNT_PPS_Access_26_28[[#This Row],[Délais PC3 et PC5]]</f>
        <v>23</v>
      </c>
      <c r="Z54">
        <v>1</v>
      </c>
      <c r="AA54">
        <v>5</v>
      </c>
      <c r="AB54" t="s">
        <v>156</v>
      </c>
      <c r="AC54">
        <v>1.3333333333333333</v>
      </c>
      <c r="AD54" s="2">
        <f>_xlfn.XLOOKUP(Portefeuille_MNT_PPS_Access_26_28[[#This Row],[Numéro projet]],Portefeuille_MNT_PPS_Access27[Numéro projet],Portefeuille_MNT_PPS_Access27[Critère Etat Infrastructure])</f>
        <v>4</v>
      </c>
      <c r="AE54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56.666666666666679</v>
      </c>
      <c r="AF54" s="221"/>
      <c r="AJ54"/>
      <c r="AK54">
        <v>20</v>
      </c>
      <c r="AM54">
        <v>50</v>
      </c>
      <c r="AO54">
        <v>50</v>
      </c>
      <c r="AQ54">
        <v>200</v>
      </c>
      <c r="AR54">
        <v>2000</v>
      </c>
      <c r="AT54"/>
      <c r="BG54" s="14">
        <f>SUM(Portefeuille_MNT_PPS_Access_26_28[[#This Row],[AC ANT]:[TR 2035]])</f>
        <v>2320</v>
      </c>
      <c r="BH54" s="14"/>
    </row>
    <row r="55" spans="1:60" x14ac:dyDescent="0.3">
      <c r="A55" t="s">
        <v>286</v>
      </c>
      <c r="B55" t="s">
        <v>662</v>
      </c>
      <c r="D55" t="s">
        <v>118</v>
      </c>
      <c r="E55" t="s">
        <v>102</v>
      </c>
      <c r="F55" t="s">
        <v>242</v>
      </c>
      <c r="G55" t="s">
        <v>113</v>
      </c>
      <c r="H55" t="s">
        <v>16</v>
      </c>
      <c r="I55" t="s">
        <v>20</v>
      </c>
      <c r="J55" t="s">
        <v>131</v>
      </c>
      <c r="K55">
        <v>154210524</v>
      </c>
      <c r="L55" t="s">
        <v>244</v>
      </c>
      <c r="M55" t="s">
        <v>245</v>
      </c>
      <c r="N55" t="s">
        <v>197</v>
      </c>
      <c r="O55" t="s">
        <v>155</v>
      </c>
      <c r="P55" s="1">
        <v>45976</v>
      </c>
      <c r="Q55" s="1">
        <v>46280</v>
      </c>
      <c r="R55" s="1">
        <v>46433</v>
      </c>
      <c r="S55" s="1" t="str">
        <f xml:space="preserve"> IF(Portefeuille_MNT_PPS_Access_26_28[[#This Row],[PC-1]] = "", "X",IF(Portefeuille_MNT_PPS_Access_26_28[[#This Row],[PC-1]] &lt;= DATE(Portefeuille_MNT_PPS_Access_26_28[[#This Row],[Année DÉBUT Travaux prévu]]- 3, 12, 15),"5.Respect OPC",IF(Portefeuille_MNT_PPS_Access_26_28[[#This Row],[PC-1]] &lt;= DATE(Portefeuille_MNT_PPS_Access_26_28[[#This Row],[Année DÉBUT Travaux prévu]]-2, 4, 1),"3.À risque","1.Très à risque")))</f>
        <v>5.Respect OPC</v>
      </c>
      <c r="T55" s="1" t="str">
        <f xml:space="preserve"> IF(Portefeuille_MNT_PPS_Access_26_28[[#This Row],[PC-3]] = "", "X",IF(Portefeuille_MNT_PPS_Access_26_28[[#This Row],[PC-3]] &lt;= DATE(Portefeuille_MNT_PPS_Access_26_28[[#This Row],[Année DÉBUT Travaux prévu]]- 2, 12, 15),"5.Respect OPC",IF(Portefeuille_MNT_PPS_Access_26_28[[#This Row],[PC-3]] &lt;= DATE(Portefeuille_MNT_PPS_Access_26_28[[#This Row],[Année DÉBUT Travaux prévu]]-1, 4, 1),"3.À risque","1.Très à risque")))</f>
        <v>5.Respect OPC</v>
      </c>
      <c r="U55" s="1" t="str">
        <f xml:space="preserve"> IF(Portefeuille_MNT_PPS_Access_26_28[[#This Row],[PC-5]] = "", "X",IF(Portefeuille_MNT_PPS_Access_26_28[[#This Row],[PC-5]] &lt;= DATE(Portefeuille_MNT_PPS_Access_26_28[[#This Row],[Année DÉBUT Travaux prévu]]- 1, 12, 15),"5.Respect OPC",IF(Portefeuille_MNT_PPS_Access_26_28[[#This Row],[PC-5]] &lt;= DATE(Portefeuille_MNT_PPS_Access_26_28[[#This Row],[Année DÉBUT Travaux prévu]], 4, 1),"3.À risque","1.Très à risque")))</f>
        <v>5.Respect OPC</v>
      </c>
      <c r="V55">
        <f xml:space="preserve"> (YEAR(Portefeuille_MNT_PPS_Access_26_28[[#This Row],[PC-3]]) - YEAR(Portefeuille_MNT_PPS_Access_26_28[[#This Row],[PC-1]])) * 12 + MONTH(Portefeuille_MNT_PPS_Access_26_28[[#This Row],[PC-3]]) - MONTH(Portefeuille_MNT_PPS_Access_26_28[[#This Row],[PC-1]])</f>
        <v>10</v>
      </c>
      <c r="W55">
        <f xml:space="preserve"> (YEAR(Portefeuille_MNT_PPS_Access_26_28[[#This Row],[PC-5]]) - YEAR(Portefeuille_MNT_PPS_Access_26_28[[#This Row],[PC-3]])) * 12 + MONTH(Portefeuille_MNT_PPS_Access_26_28[[#This Row],[PC-5]]) - MONTH(Portefeuille_MNT_PPS_Access_26_28[[#This Row],[PC-3]])</f>
        <v>5</v>
      </c>
      <c r="X55">
        <f>Portefeuille_MNT_PPS_Access_26_28[[#This Row],[Délais PC1 et PC3]]+Portefeuille_MNT_PPS_Access_26_28[[#This Row],[Délais PC3 et PC5]]</f>
        <v>15</v>
      </c>
      <c r="Z55">
        <v>1</v>
      </c>
      <c r="AA55">
        <v>5</v>
      </c>
      <c r="AB55" t="s">
        <v>156</v>
      </c>
      <c r="AC55">
        <v>1.6666666666666667</v>
      </c>
      <c r="AD55" s="2">
        <f>_xlfn.XLOOKUP(Portefeuille_MNT_PPS_Access_26_28[[#This Row],[Numéro projet]],Portefeuille_MNT_PPS_Access27[Numéro projet],Portefeuille_MNT_PPS_Access27[Critère Etat Infrastructure])</f>
        <v>4</v>
      </c>
      <c r="AE55" s="12">
        <f>IF(Portefeuille_MNT_PPS_Access_26_28[[#This Row],[IND_PARA_25-26]]=5,100, SUM(IF(Portefeuille_MNT_PPS_Access_26_28[[#This Row],[INDICE OPC]]="",Portefeuille_MNT_PPS_Access_26_28[[#This Row],[IND_Etat_avancement]]*$AD$8/5,Portefeuille_MNT_PPS_Access_26_28[[#This Row],[INDICE OPC]]*$AD$8/5),Portefeuille_MNT_PPS_Access_26_28[[#This Row],[Critère Etat Infrastructure]]* $AD$10/5,Portefeuille_MNT_PPS_Access_26_28[[#This Row],[IND_SITE_PRIO_2024]]* $AD$9/5,Portefeuille_MNT_PPS_Access_26_28[[#This Row],[IND_PROJT_ANNONCE_25-27]]* $AD$7/5)*100)</f>
        <v>58.333333333333336</v>
      </c>
      <c r="AF55" s="221"/>
      <c r="AJ55"/>
      <c r="AK55">
        <v>50</v>
      </c>
      <c r="AM55">
        <v>150</v>
      </c>
      <c r="AO55">
        <v>150</v>
      </c>
      <c r="AR55">
        <v>2000</v>
      </c>
      <c r="AT55"/>
      <c r="BG55" s="14">
        <f>SUM(Portefeuille_MNT_PPS_Access_26_28[[#This Row],[AC ANT]:[TR 2035]])</f>
        <v>2350</v>
      </c>
      <c r="BH55" s="14"/>
    </row>
    <row r="56" spans="1:60" x14ac:dyDescent="0.3">
      <c r="K56">
        <f>SUBTOTAL(103,Portefeuille_MNT_PPS_Access_26_28[Numéro projet])</f>
        <v>37</v>
      </c>
      <c r="AF56" s="25"/>
      <c r="AG56" s="14">
        <f>SUBTOTAL(109,Portefeuille_MNT_PPS_Access_26_28[AC ANT])</f>
        <v>7967</v>
      </c>
      <c r="AH56" s="14">
        <f>SUBTOTAL(109,Portefeuille_MNT_PPS_Access_26_28[TR ANT])</f>
        <v>28205</v>
      </c>
      <c r="AI56" s="14">
        <f>SUBTOTAL(109,Portefeuille_MNT_PPS_Access_26_28[AC 2024])</f>
        <v>1514</v>
      </c>
      <c r="AJ56" s="14">
        <f>SUBTOTAL(109,Portefeuille_MNT_PPS_Access_26_28[TR 2024])</f>
        <v>891</v>
      </c>
      <c r="AK56" s="14">
        <f>SUBTOTAL(109,Portefeuille_MNT_PPS_Access_26_28[AC 2025])</f>
        <v>7991</v>
      </c>
      <c r="AL56" s="14">
        <f>SUBTOTAL(109,Portefeuille_MNT_PPS_Access_26_28[TR 2025])</f>
        <v>67</v>
      </c>
      <c r="AM56" s="14">
        <f>SUBTOTAL(109,Portefeuille_MNT_PPS_Access_26_28[AC 2026])</f>
        <v>10981</v>
      </c>
      <c r="AN56" s="14">
        <f>SUBTOTAL(109,Portefeuille_MNT_PPS_Access_26_28[TR 2026])</f>
        <v>68290</v>
      </c>
      <c r="AO56" s="14">
        <f>SUBTOTAL(109,Portefeuille_MNT_PPS_Access_26_28[AC 2027])</f>
        <v>10406</v>
      </c>
      <c r="AP56" s="14">
        <f>SUBTOTAL(109,Portefeuille_MNT_PPS_Access_26_28[TR 2027])</f>
        <v>59351</v>
      </c>
      <c r="AQ56" s="14">
        <f>SUBTOTAL(109,Portefeuille_MNT_PPS_Access_26_28[AC 2028])</f>
        <v>6115</v>
      </c>
      <c r="AR56" s="14">
        <f>SUBTOTAL(109,Portefeuille_MNT_PPS_Access_26_28[TR 2028])</f>
        <v>66548</v>
      </c>
      <c r="AS56" s="14">
        <f>SUBTOTAL(109,Portefeuille_MNT_PPS_Access_26_28[AC 2029])</f>
        <v>3062</v>
      </c>
      <c r="AT56" s="14">
        <f>SUBTOTAL(109,Portefeuille_MNT_PPS_Access_26_28[TR 2029])</f>
        <v>55251</v>
      </c>
      <c r="AU56" s="14">
        <f>SUBTOTAL(109,Portefeuille_MNT_PPS_Access_26_28[AC 2030])</f>
        <v>2395</v>
      </c>
      <c r="AV56" s="14">
        <f>SUBTOTAL(109,Portefeuille_MNT_PPS_Access_26_28[TR 2030])</f>
        <v>36208</v>
      </c>
      <c r="AW56" s="14">
        <f>SUBTOTAL(109,Portefeuille_MNT_PPS_Access_26_28[AC 2031])</f>
        <v>1918</v>
      </c>
      <c r="AX56" s="14">
        <f>SUBTOTAL(109,Portefeuille_MNT_PPS_Access_26_28[TR 2031])</f>
        <v>41119</v>
      </c>
      <c r="AY56" s="14">
        <f>SUBTOTAL(109,Portefeuille_MNT_PPS_Access_26_28[AC 2032])</f>
        <v>0</v>
      </c>
      <c r="AZ56" s="14">
        <f>SUBTOTAL(109,Portefeuille_MNT_PPS_Access_26_28[TR 2032])</f>
        <v>0</v>
      </c>
      <c r="BA56" s="14">
        <f>SUBTOTAL(109,Portefeuille_MNT_PPS_Access_26_28[AC 2033])</f>
        <v>0</v>
      </c>
      <c r="BB56" s="14">
        <f>SUBTOTAL(109,Portefeuille_MNT_PPS_Access_26_28[TR 2033])</f>
        <v>0</v>
      </c>
      <c r="BC56" s="14">
        <f>SUBTOTAL(109,Portefeuille_MNT_PPS_Access_26_28[AC 2034])</f>
        <v>0</v>
      </c>
      <c r="BD56" s="14">
        <f>SUBTOTAL(109,Portefeuille_MNT_PPS_Access_26_28[TR 2034])</f>
        <v>0</v>
      </c>
      <c r="BE56" s="14">
        <f>SUBTOTAL(109,Portefeuille_MNT_PPS_Access_26_28[AC 2035])</f>
        <v>0</v>
      </c>
      <c r="BF56" s="14">
        <f>SUBTOTAL(109,Portefeuille_MNT_PPS_Access_26_28[TR 2035])</f>
        <v>0</v>
      </c>
      <c r="BG56" s="14">
        <f>SUBTOTAL(109,Portefeuille_MNT_PPS_Access_26_28[Total Projet])</f>
        <v>408279</v>
      </c>
      <c r="BH56" s="14"/>
    </row>
    <row r="57" spans="1:60" x14ac:dyDescent="0.3">
      <c r="BH57" s="14"/>
    </row>
    <row r="58" spans="1:60" x14ac:dyDescent="0.3"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14"/>
    </row>
    <row r="59" spans="1:60" x14ac:dyDescent="0.3">
      <c r="BH59" s="14"/>
    </row>
    <row r="60" spans="1:60" x14ac:dyDescent="0.3">
      <c r="BH60" s="14"/>
    </row>
    <row r="61" spans="1:60" x14ac:dyDescent="0.3">
      <c r="BH61" s="14"/>
    </row>
    <row r="62" spans="1:60" x14ac:dyDescent="0.3">
      <c r="BH62" s="14"/>
    </row>
    <row r="63" spans="1:60" x14ac:dyDescent="0.3">
      <c r="BH63" s="14"/>
    </row>
    <row r="64" spans="1:60" x14ac:dyDescent="0.3">
      <c r="BH64" s="14"/>
    </row>
    <row r="65" spans="60:60" x14ac:dyDescent="0.3">
      <c r="BH65" s="14"/>
    </row>
    <row r="66" spans="60:60" x14ac:dyDescent="0.3">
      <c r="BH66" s="14"/>
    </row>
    <row r="67" spans="60:60" x14ac:dyDescent="0.3">
      <c r="BH67" s="14"/>
    </row>
    <row r="68" spans="60:60" x14ac:dyDescent="0.3">
      <c r="BH68" s="14"/>
    </row>
    <row r="69" spans="60:60" x14ac:dyDescent="0.3">
      <c r="BH69" s="14"/>
    </row>
    <row r="70" spans="60:60" x14ac:dyDescent="0.3">
      <c r="BH70" s="14"/>
    </row>
    <row r="71" spans="60:60" x14ac:dyDescent="0.3">
      <c r="BH71" s="14"/>
    </row>
    <row r="72" spans="60:60" x14ac:dyDescent="0.3">
      <c r="BH72" s="14"/>
    </row>
    <row r="73" spans="60:60" x14ac:dyDescent="0.3">
      <c r="BH73" s="14"/>
    </row>
    <row r="74" spans="60:60" x14ac:dyDescent="0.3">
      <c r="BH74" s="14"/>
    </row>
    <row r="75" spans="60:60" x14ac:dyDescent="0.3">
      <c r="BH75" s="14"/>
    </row>
    <row r="76" spans="60:60" x14ac:dyDescent="0.3">
      <c r="BH76" s="14"/>
    </row>
    <row r="77" spans="60:60" x14ac:dyDescent="0.3">
      <c r="BH77" s="14"/>
    </row>
    <row r="78" spans="60:60" x14ac:dyDescent="0.3">
      <c r="BH78" s="14"/>
    </row>
    <row r="79" spans="60:60" x14ac:dyDescent="0.3">
      <c r="BH79" s="14"/>
    </row>
    <row r="80" spans="60:60" x14ac:dyDescent="0.3">
      <c r="BH80" s="14"/>
    </row>
    <row r="81" spans="60:60" x14ac:dyDescent="0.3">
      <c r="BH81" s="14"/>
    </row>
    <row r="82" spans="60:60" x14ac:dyDescent="0.3">
      <c r="BH82" s="14"/>
    </row>
    <row r="83" spans="60:60" x14ac:dyDescent="0.3">
      <c r="BH83" s="14"/>
    </row>
    <row r="84" spans="60:60" x14ac:dyDescent="0.3">
      <c r="BH84" s="14"/>
    </row>
    <row r="85" spans="60:60" x14ac:dyDescent="0.3">
      <c r="BH85" s="14"/>
    </row>
    <row r="86" spans="60:60" x14ac:dyDescent="0.3">
      <c r="BH86" s="14"/>
    </row>
    <row r="87" spans="60:60" x14ac:dyDescent="0.3">
      <c r="BH87" s="14"/>
    </row>
    <row r="88" spans="60:60" x14ac:dyDescent="0.3">
      <c r="BH88" s="14"/>
    </row>
    <row r="89" spans="60:60" x14ac:dyDescent="0.3">
      <c r="BH89" s="14"/>
    </row>
    <row r="90" spans="60:60" x14ac:dyDescent="0.3">
      <c r="BH90" s="14"/>
    </row>
    <row r="91" spans="60:60" x14ac:dyDescent="0.3">
      <c r="BH91" s="14"/>
    </row>
    <row r="92" spans="60:60" x14ac:dyDescent="0.3">
      <c r="BH92" s="14"/>
    </row>
    <row r="93" spans="60:60" x14ac:dyDescent="0.3">
      <c r="BH93" s="14"/>
    </row>
    <row r="94" spans="60:60" x14ac:dyDescent="0.3">
      <c r="BH94" s="14"/>
    </row>
    <row r="95" spans="60:60" x14ac:dyDescent="0.3">
      <c r="BH95" s="14"/>
    </row>
    <row r="96" spans="60:60" x14ac:dyDescent="0.3">
      <c r="BH96" s="14"/>
    </row>
    <row r="97" spans="60:60" x14ac:dyDescent="0.3">
      <c r="BH97" s="14"/>
    </row>
    <row r="98" spans="60:60" x14ac:dyDescent="0.3">
      <c r="BH98" s="14"/>
    </row>
    <row r="99" spans="60:60" x14ac:dyDescent="0.3">
      <c r="BH99" s="14"/>
    </row>
    <row r="100" spans="60:60" x14ac:dyDescent="0.3">
      <c r="BH100" s="14"/>
    </row>
    <row r="101" spans="60:60" x14ac:dyDescent="0.3">
      <c r="BH101" s="14"/>
    </row>
    <row r="102" spans="60:60" x14ac:dyDescent="0.3">
      <c r="BH102" s="14"/>
    </row>
    <row r="103" spans="60:60" x14ac:dyDescent="0.3">
      <c r="BH103" s="14"/>
    </row>
    <row r="104" spans="60:60" x14ac:dyDescent="0.3">
      <c r="BH104" s="14"/>
    </row>
    <row r="105" spans="60:60" x14ac:dyDescent="0.3">
      <c r="BH105" s="14"/>
    </row>
    <row r="106" spans="60:60" x14ac:dyDescent="0.3">
      <c r="BH106" s="14"/>
    </row>
    <row r="107" spans="60:60" x14ac:dyDescent="0.3">
      <c r="BH107" s="14"/>
    </row>
    <row r="108" spans="60:60" x14ac:dyDescent="0.3">
      <c r="BH108" s="14"/>
    </row>
    <row r="109" spans="60:60" x14ac:dyDescent="0.3">
      <c r="BH109" s="14"/>
    </row>
    <row r="110" spans="60:60" x14ac:dyDescent="0.3">
      <c r="BH110" s="14"/>
    </row>
    <row r="111" spans="60:60" x14ac:dyDescent="0.3">
      <c r="BH111" s="14"/>
    </row>
    <row r="112" spans="60:60" x14ac:dyDescent="0.3">
      <c r="BH112" s="14"/>
    </row>
    <row r="113" spans="60:60" x14ac:dyDescent="0.3">
      <c r="BH113" s="14"/>
    </row>
    <row r="114" spans="60:60" x14ac:dyDescent="0.3">
      <c r="BH114" s="14"/>
    </row>
    <row r="115" spans="60:60" x14ac:dyDescent="0.3">
      <c r="BH115" s="14"/>
    </row>
    <row r="116" spans="60:60" x14ac:dyDescent="0.3">
      <c r="BH116" s="14"/>
    </row>
    <row r="117" spans="60:60" x14ac:dyDescent="0.3">
      <c r="BH117" s="14"/>
    </row>
    <row r="118" spans="60:60" x14ac:dyDescent="0.3">
      <c r="BH118" s="14"/>
    </row>
    <row r="119" spans="60:60" x14ac:dyDescent="0.3">
      <c r="BH119" s="14"/>
    </row>
    <row r="120" spans="60:60" x14ac:dyDescent="0.3">
      <c r="BH120" s="14"/>
    </row>
    <row r="121" spans="60:60" x14ac:dyDescent="0.3">
      <c r="BH121" s="14"/>
    </row>
    <row r="122" spans="60:60" x14ac:dyDescent="0.3">
      <c r="BH122" s="14"/>
    </row>
    <row r="123" spans="60:60" x14ac:dyDescent="0.3">
      <c r="BH123" s="14"/>
    </row>
    <row r="124" spans="60:60" x14ac:dyDescent="0.3">
      <c r="BH124" s="14"/>
    </row>
    <row r="125" spans="60:60" x14ac:dyDescent="0.3">
      <c r="BH125" s="14"/>
    </row>
    <row r="126" spans="60:60" x14ac:dyDescent="0.3">
      <c r="BH126" s="14"/>
    </row>
    <row r="127" spans="60:60" x14ac:dyDescent="0.3">
      <c r="BH127" s="14"/>
    </row>
    <row r="128" spans="60:60" x14ac:dyDescent="0.3">
      <c r="BH128" s="14"/>
    </row>
    <row r="129" spans="60:60" x14ac:dyDescent="0.3">
      <c r="BH129" s="14"/>
    </row>
    <row r="130" spans="60:60" x14ac:dyDescent="0.3">
      <c r="BH130" s="14"/>
    </row>
    <row r="131" spans="60:60" x14ac:dyDescent="0.3">
      <c r="BH131" s="14"/>
    </row>
    <row r="132" spans="60:60" x14ac:dyDescent="0.3">
      <c r="BH132" s="14"/>
    </row>
    <row r="133" spans="60:60" x14ac:dyDescent="0.3">
      <c r="BH133" s="14"/>
    </row>
    <row r="134" spans="60:60" x14ac:dyDescent="0.3">
      <c r="BH134" s="14"/>
    </row>
    <row r="135" spans="60:60" x14ac:dyDescent="0.3">
      <c r="BH135" s="14"/>
    </row>
    <row r="136" spans="60:60" x14ac:dyDescent="0.3">
      <c r="BH136" s="14"/>
    </row>
    <row r="137" spans="60:60" x14ac:dyDescent="0.3">
      <c r="BH137" s="14"/>
    </row>
    <row r="138" spans="60:60" x14ac:dyDescent="0.3">
      <c r="BH138" s="14"/>
    </row>
    <row r="139" spans="60:60" x14ac:dyDescent="0.3">
      <c r="BH139" s="14"/>
    </row>
    <row r="140" spans="60:60" x14ac:dyDescent="0.3">
      <c r="BH140" s="14"/>
    </row>
    <row r="141" spans="60:60" x14ac:dyDescent="0.3">
      <c r="BH141" s="14"/>
    </row>
    <row r="142" spans="60:60" x14ac:dyDescent="0.3">
      <c r="BH142" s="14"/>
    </row>
    <row r="143" spans="60:60" x14ac:dyDescent="0.3">
      <c r="BH143" s="14"/>
    </row>
    <row r="144" spans="60:60" x14ac:dyDescent="0.3">
      <c r="BH144" s="14"/>
    </row>
    <row r="145" spans="60:62" x14ac:dyDescent="0.3">
      <c r="BH145" s="14"/>
    </row>
    <row r="146" spans="60:62" x14ac:dyDescent="0.3">
      <c r="BH146" s="14"/>
    </row>
    <row r="147" spans="60:62" x14ac:dyDescent="0.3">
      <c r="BH147" s="14"/>
    </row>
    <row r="148" spans="60:62" x14ac:dyDescent="0.3">
      <c r="BH148" s="14"/>
      <c r="BI148" s="57"/>
      <c r="BJ148" s="57"/>
    </row>
    <row r="149" spans="60:62" x14ac:dyDescent="0.3">
      <c r="BH149" s="14"/>
    </row>
    <row r="150" spans="60:62" x14ac:dyDescent="0.3">
      <c r="BH150" s="14"/>
    </row>
    <row r="151" spans="60:62" x14ac:dyDescent="0.3">
      <c r="BH151" s="14"/>
    </row>
    <row r="152" spans="60:62" x14ac:dyDescent="0.3">
      <c r="BH152" s="14"/>
      <c r="BI152" s="57"/>
      <c r="BJ152" s="57"/>
    </row>
    <row r="153" spans="60:62" x14ac:dyDescent="0.3">
      <c r="BH153" s="14"/>
    </row>
    <row r="154" spans="60:62" x14ac:dyDescent="0.3">
      <c r="BH154" s="14"/>
    </row>
    <row r="155" spans="60:62" x14ac:dyDescent="0.3">
      <c r="BH155" s="14"/>
    </row>
    <row r="156" spans="60:62" x14ac:dyDescent="0.3">
      <c r="BH156" s="14"/>
    </row>
    <row r="157" spans="60:62" x14ac:dyDescent="0.3">
      <c r="BH157" s="14"/>
    </row>
    <row r="158" spans="60:62" x14ac:dyDescent="0.3">
      <c r="BH158" s="14"/>
    </row>
    <row r="159" spans="60:62" x14ac:dyDescent="0.3">
      <c r="BH159" s="14"/>
      <c r="BI159" s="57"/>
      <c r="BJ159" s="57"/>
    </row>
    <row r="160" spans="60:62" x14ac:dyDescent="0.3">
      <c r="BH160" s="14"/>
    </row>
    <row r="161" spans="60:63" x14ac:dyDescent="0.3">
      <c r="BH161" s="14"/>
    </row>
    <row r="162" spans="60:63" x14ac:dyDescent="0.3">
      <c r="BH162" s="14"/>
    </row>
    <row r="163" spans="60:63" x14ac:dyDescent="0.3">
      <c r="BH163" s="14"/>
    </row>
    <row r="164" spans="60:63" x14ac:dyDescent="0.3">
      <c r="BH164" s="14"/>
    </row>
    <row r="165" spans="60:63" x14ac:dyDescent="0.3">
      <c r="BH165" s="14"/>
    </row>
    <row r="167" spans="60:63" x14ac:dyDescent="0.3">
      <c r="BH167" s="57"/>
    </row>
    <row r="169" spans="60:63" x14ac:dyDescent="0.3">
      <c r="BI169" s="57"/>
      <c r="BJ169" s="57"/>
      <c r="BK169" s="57"/>
    </row>
  </sheetData>
  <mergeCells count="187">
    <mergeCell ref="AU3:AV3"/>
    <mergeCell ref="AW3:AX3"/>
    <mergeCell ref="AY3:AZ3"/>
    <mergeCell ref="BA3:BB3"/>
    <mergeCell ref="BC3:BD3"/>
    <mergeCell ref="BE3:BF3"/>
    <mergeCell ref="J3:K3"/>
    <mergeCell ref="AE3:AF3"/>
    <mergeCell ref="AG3:AH3"/>
    <mergeCell ref="AI3:AJ3"/>
    <mergeCell ref="AK3:AL3"/>
    <mergeCell ref="AM3:AN3"/>
    <mergeCell ref="AO3:AP3"/>
    <mergeCell ref="AQ3:AR3"/>
    <mergeCell ref="AS3:AT3"/>
    <mergeCell ref="BE4:BF4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AY5:AZ5"/>
    <mergeCell ref="BA5:BB5"/>
    <mergeCell ref="AQ7:AR7"/>
    <mergeCell ref="AS7:AT7"/>
    <mergeCell ref="AU7:AV7"/>
    <mergeCell ref="AW7:AX7"/>
    <mergeCell ref="BC5:BD5"/>
    <mergeCell ref="BE5:BF5"/>
    <mergeCell ref="AG6:AH6"/>
    <mergeCell ref="AI6:AJ6"/>
    <mergeCell ref="AK6:AL6"/>
    <mergeCell ref="AM6:AN6"/>
    <mergeCell ref="AO6:AP6"/>
    <mergeCell ref="AQ6:AR6"/>
    <mergeCell ref="BE6:BF6"/>
    <mergeCell ref="AS6:AT6"/>
    <mergeCell ref="AU6:AV6"/>
    <mergeCell ref="AW6:AX6"/>
    <mergeCell ref="AY6:AZ6"/>
    <mergeCell ref="BA6:BB6"/>
    <mergeCell ref="BC6:BD6"/>
    <mergeCell ref="AU9:AV9"/>
    <mergeCell ref="AW9:AX9"/>
    <mergeCell ref="AY7:AZ7"/>
    <mergeCell ref="BA7:BB7"/>
    <mergeCell ref="BC7:BD7"/>
    <mergeCell ref="BE7:BF7"/>
    <mergeCell ref="AG8:AH8"/>
    <mergeCell ref="AI8:AJ8"/>
    <mergeCell ref="AK8:AL8"/>
    <mergeCell ref="AM8:AN8"/>
    <mergeCell ref="AO8:AP8"/>
    <mergeCell ref="AQ8:AR8"/>
    <mergeCell ref="BE8:BF8"/>
    <mergeCell ref="AS8:AT8"/>
    <mergeCell ref="AU8:AV8"/>
    <mergeCell ref="AW8:AX8"/>
    <mergeCell ref="AY8:AZ8"/>
    <mergeCell ref="BA8:BB8"/>
    <mergeCell ref="BC8:BD8"/>
    <mergeCell ref="AG7:AH7"/>
    <mergeCell ref="AI7:AJ7"/>
    <mergeCell ref="AK7:AL7"/>
    <mergeCell ref="AM7:AN7"/>
    <mergeCell ref="AO7:AP7"/>
    <mergeCell ref="AY9:AZ9"/>
    <mergeCell ref="BA9:BB9"/>
    <mergeCell ref="BC9:BD9"/>
    <mergeCell ref="BE9:BF9"/>
    <mergeCell ref="AG10:AH10"/>
    <mergeCell ref="AI10:AJ10"/>
    <mergeCell ref="AK10:AL10"/>
    <mergeCell ref="AM10:AN10"/>
    <mergeCell ref="AO10:AP10"/>
    <mergeCell ref="AQ10:AR10"/>
    <mergeCell ref="BE10:BF10"/>
    <mergeCell ref="AS10:AT10"/>
    <mergeCell ref="AU10:AV10"/>
    <mergeCell ref="AW10:AX10"/>
    <mergeCell ref="AY10:AZ10"/>
    <mergeCell ref="BA10:BB10"/>
    <mergeCell ref="BC10:BD10"/>
    <mergeCell ref="AG9:AH9"/>
    <mergeCell ref="AI9:AJ9"/>
    <mergeCell ref="AK9:AL9"/>
    <mergeCell ref="AM9:AN9"/>
    <mergeCell ref="AO9:AP9"/>
    <mergeCell ref="AQ9:AR9"/>
    <mergeCell ref="AS9:AT9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Q12:AR12"/>
    <mergeCell ref="AS12:AT12"/>
    <mergeCell ref="AG12:AH12"/>
    <mergeCell ref="AI12:AJ12"/>
    <mergeCell ref="AK12:AL12"/>
    <mergeCell ref="AM12:AN12"/>
    <mergeCell ref="AO12:AP12"/>
    <mergeCell ref="AK14:AL14"/>
    <mergeCell ref="AM14:AN14"/>
    <mergeCell ref="AO14:AP14"/>
    <mergeCell ref="AQ14:AR14"/>
    <mergeCell ref="AU13:AV13"/>
    <mergeCell ref="AW13:AX13"/>
    <mergeCell ref="AY13:AZ13"/>
    <mergeCell ref="BA13:BB13"/>
    <mergeCell ref="BC13:BD13"/>
    <mergeCell ref="AG16:AH16"/>
    <mergeCell ref="AI16:AJ16"/>
    <mergeCell ref="AK16:AL16"/>
    <mergeCell ref="AM16:AN16"/>
    <mergeCell ref="AO16:AP16"/>
    <mergeCell ref="AQ16:AR16"/>
    <mergeCell ref="BE14:BF14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S14:AT14"/>
    <mergeCell ref="AU14:AV14"/>
    <mergeCell ref="AW14:AX14"/>
    <mergeCell ref="AY14:AZ14"/>
    <mergeCell ref="BA14:BB14"/>
    <mergeCell ref="BC14:BD14"/>
    <mergeCell ref="AG14:AH14"/>
    <mergeCell ref="AI14:AJ14"/>
    <mergeCell ref="BE16:BF16"/>
    <mergeCell ref="AM2:AX2"/>
    <mergeCell ref="AS16:AT16"/>
    <mergeCell ref="AU16:AV16"/>
    <mergeCell ref="AW16:AX16"/>
    <mergeCell ref="AY16:AZ16"/>
    <mergeCell ref="BA16:BB16"/>
    <mergeCell ref="BC16:BD16"/>
    <mergeCell ref="AY15:AZ15"/>
    <mergeCell ref="BA15:BB15"/>
    <mergeCell ref="BC15:BD15"/>
    <mergeCell ref="BE15:BF15"/>
    <mergeCell ref="BE13:BF13"/>
    <mergeCell ref="BC12:BD12"/>
    <mergeCell ref="BE12:BF12"/>
    <mergeCell ref="AU12:AV12"/>
    <mergeCell ref="AW12:AX12"/>
    <mergeCell ref="AY12:AZ12"/>
    <mergeCell ref="BA12:BB12"/>
    <mergeCell ref="AW11:AX11"/>
    <mergeCell ref="AY11:AZ11"/>
    <mergeCell ref="BA11:BB11"/>
    <mergeCell ref="BC11:BD11"/>
    <mergeCell ref="BE11:BF11"/>
  </mergeCells>
  <conditionalFormatting sqref="S19:Y55">
    <cfRule type="containsText" dxfId="78" priority="1" operator="containsText" text="1.Très à risque">
      <formula>NOT(ISERROR(SEARCH("1.Très à risque",S19)))</formula>
    </cfRule>
    <cfRule type="containsText" dxfId="77" priority="2" operator="containsText" text="3.À risque">
      <formula>NOT(ISERROR(SEARCH("3.À risque",S19)))</formula>
    </cfRule>
    <cfRule type="containsText" dxfId="76" priority="3" operator="containsText" text="5.Respect OPC">
      <formula>NOT(ISERROR(SEARCH("5.Respect OPC",S19)))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6" id="{6A6807EA-3EF7-441E-A291-ABEFF582E04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AD19:AF55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0193-05A9-4652-81CB-1F2C493E8F39}">
  <dimension ref="A1:B3"/>
  <sheetViews>
    <sheetView workbookViewId="0">
      <selection activeCell="C6" sqref="C6"/>
    </sheetView>
  </sheetViews>
  <sheetFormatPr baseColWidth="10" defaultRowHeight="14.4" x14ac:dyDescent="0.3"/>
  <cols>
    <col min="1" max="1" width="12" customWidth="1"/>
  </cols>
  <sheetData>
    <row r="1" spans="1:2" x14ac:dyDescent="0.3">
      <c r="A1" s="350" t="s">
        <v>727</v>
      </c>
      <c r="B1" s="350"/>
    </row>
    <row r="2" spans="1:2" x14ac:dyDescent="0.3">
      <c r="A2" s="60" t="s">
        <v>728</v>
      </c>
      <c r="B2" s="60" t="s">
        <v>729</v>
      </c>
    </row>
    <row r="3" spans="1:2" x14ac:dyDescent="0.3">
      <c r="A3">
        <v>2027</v>
      </c>
      <c r="B3">
        <f>Tableau34[[#This Row],[Début]]+10</f>
        <v>2037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0433-9D24-4E60-BB88-B2D71F43D8DA}">
  <dimension ref="A1:EM173"/>
  <sheetViews>
    <sheetView topLeftCell="E1" zoomScale="90" zoomScaleNormal="90" workbookViewId="0">
      <pane ySplit="18" topLeftCell="A19" activePane="bottomLeft" state="frozen"/>
      <selection activeCell="AA1" sqref="AA1"/>
      <selection pane="bottomLeft" activeCell="A18" sqref="A18:BJ120"/>
    </sheetView>
  </sheetViews>
  <sheetFormatPr baseColWidth="10" defaultColWidth="11.44140625" defaultRowHeight="14.4" outlineLevelCol="1" x14ac:dyDescent="0.3"/>
  <cols>
    <col min="1" max="1" width="19" hidden="1" customWidth="1" outlineLevel="1"/>
    <col min="2" max="2" width="17.6640625" hidden="1" customWidth="1" outlineLevel="1"/>
    <col min="3" max="3" width="8" hidden="1" customWidth="1" outlineLevel="1"/>
    <col min="4" max="4" width="13" hidden="1" customWidth="1" outlineLevel="1"/>
    <col min="5" max="5" width="14.33203125" customWidth="1" collapsed="1"/>
    <col min="6" max="6" width="12.88671875" customWidth="1"/>
    <col min="7" max="7" width="12.6640625" customWidth="1" collapsed="1"/>
    <col min="9" max="9" width="10" customWidth="1"/>
    <col min="10" max="10" width="23" customWidth="1"/>
    <col min="11" max="11" width="14.5546875" hidden="1" customWidth="1" outlineLevel="1"/>
    <col min="12" max="12" width="113.33203125" hidden="1" customWidth="1" outlineLevel="1"/>
    <col min="13" max="13" width="32.33203125" hidden="1" customWidth="1" outlineLevel="1"/>
    <col min="14" max="14" width="14" customWidth="1" collapsed="1"/>
    <col min="15" max="16" width="14.33203125" customWidth="1"/>
    <col min="17" max="18" width="15" hidden="1" customWidth="1" outlineLevel="1"/>
    <col min="19" max="19" width="12.33203125" hidden="1" customWidth="1" outlineLevel="1"/>
    <col min="20" max="21" width="11.44140625" hidden="1" customWidth="1" outlineLevel="1"/>
    <col min="22" max="22" width="11.33203125" hidden="1" customWidth="1" outlineLevel="1"/>
    <col min="23" max="29" width="11.44140625" hidden="1" customWidth="1" outlineLevel="1"/>
    <col min="30" max="30" width="14.6640625" hidden="1" customWidth="1" outlineLevel="1"/>
    <col min="31" max="31" width="13.88671875" hidden="1" customWidth="1" outlineLevel="1"/>
    <col min="32" max="32" width="13.5546875" customWidth="1" collapsed="1"/>
    <col min="33" max="33" width="12" customWidth="1"/>
    <col min="34" max="36" width="12" hidden="1" customWidth="1" outlineLevel="1"/>
    <col min="37" max="37" width="12.33203125" bestFit="1" customWidth="1" collapsed="1"/>
    <col min="38" max="39" width="12" customWidth="1" outlineLevel="1"/>
    <col min="40" max="40" width="12" style="25" customWidth="1" outlineLevel="1"/>
    <col min="41" max="44" width="12" customWidth="1" outlineLevel="1"/>
    <col min="45" max="85" width="9.88671875" customWidth="1" outlineLevel="1"/>
    <col min="86" max="89" width="7.6640625" customWidth="1" outlineLevel="1"/>
    <col min="90" max="92" width="13" customWidth="1" outlineLevel="1"/>
    <col min="93" max="108" width="9.88671875" customWidth="1" outlineLevel="1"/>
    <col min="109" max="109" width="11.109375" customWidth="1"/>
    <col min="110" max="110" width="12.33203125" customWidth="1"/>
    <col min="111" max="111" width="11" customWidth="1"/>
    <col min="112" max="115" width="9.88671875" customWidth="1"/>
    <col min="116" max="116" width="9.88671875" style="8" customWidth="1"/>
    <col min="117" max="128" width="9.88671875" customWidth="1"/>
    <col min="129" max="130" width="14.44140625" customWidth="1"/>
    <col min="131" max="131" width="12.6640625" bestFit="1" customWidth="1"/>
    <col min="132" max="134" width="9.88671875" customWidth="1"/>
    <col min="135" max="135" width="13.44140625" customWidth="1"/>
    <col min="136" max="136" width="13.5546875" customWidth="1"/>
    <col min="137" max="137" width="18" customWidth="1"/>
    <col min="138" max="138" width="17" customWidth="1"/>
    <col min="139" max="139" width="16.6640625" bestFit="1" customWidth="1"/>
    <col min="140" max="149" width="11.33203125" customWidth="1"/>
    <col min="150" max="150" width="12.5546875" customWidth="1"/>
    <col min="151" max="151" width="13.44140625" customWidth="1"/>
    <col min="152" max="152" width="13.109375" customWidth="1"/>
    <col min="153" max="153" width="14" customWidth="1"/>
    <col min="154" max="159" width="17.33203125" customWidth="1"/>
    <col min="160" max="160" width="18.109375" customWidth="1"/>
    <col min="161" max="161" width="17.5546875" customWidth="1"/>
  </cols>
  <sheetData>
    <row r="1" spans="1:143" ht="21" x14ac:dyDescent="0.4">
      <c r="A1" s="32"/>
      <c r="B1" s="32"/>
      <c r="C1" s="32"/>
      <c r="D1" s="32" t="s">
        <v>298</v>
      </c>
      <c r="E1" s="32"/>
      <c r="F1" s="32"/>
      <c r="G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7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85"/>
      <c r="EJ1" s="85"/>
      <c r="EK1" s="85"/>
      <c r="EL1" s="85"/>
      <c r="EM1" s="85"/>
    </row>
    <row r="2" spans="1:143" x14ac:dyDescent="0.3"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46" t="s">
        <v>698</v>
      </c>
      <c r="AI2" s="248"/>
      <c r="AJ2" s="248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/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6"/>
      <c r="BR2" s="246"/>
      <c r="BS2" s="246"/>
      <c r="BT2" s="246"/>
      <c r="BU2" s="246"/>
      <c r="BV2" s="246"/>
      <c r="BW2" s="246"/>
      <c r="BX2" s="246"/>
      <c r="BY2" s="246"/>
      <c r="BZ2" s="246"/>
      <c r="CA2" s="246"/>
      <c r="CB2" s="246"/>
      <c r="CC2" s="246"/>
      <c r="CD2" s="246"/>
      <c r="CE2" s="246"/>
      <c r="CF2" s="246"/>
      <c r="CG2" s="246"/>
      <c r="CH2" s="246"/>
      <c r="CI2" s="246"/>
      <c r="CJ2" s="246"/>
      <c r="CK2" s="246"/>
      <c r="CL2" s="246"/>
      <c r="CM2" s="246"/>
      <c r="CN2" s="246"/>
      <c r="CO2" s="246"/>
      <c r="CP2" s="246"/>
      <c r="CQ2" s="246"/>
      <c r="CR2" s="246"/>
      <c r="CS2" s="246"/>
      <c r="CT2" s="246"/>
      <c r="CU2" s="246"/>
      <c r="CV2" s="246"/>
      <c r="CW2" s="246"/>
      <c r="CX2" s="246"/>
      <c r="CY2" s="246"/>
      <c r="CZ2" s="246"/>
      <c r="DA2" s="246"/>
      <c r="DB2" s="246"/>
      <c r="DC2" s="246"/>
      <c r="DD2" s="246"/>
      <c r="DE2" s="246"/>
      <c r="DF2" s="246"/>
      <c r="DG2" s="246"/>
      <c r="DH2" s="246"/>
      <c r="DI2" s="246"/>
      <c r="DJ2" s="246"/>
      <c r="DK2" s="246"/>
      <c r="DL2" s="246"/>
      <c r="DM2" s="246"/>
      <c r="DN2" s="246"/>
      <c r="DO2" s="246"/>
      <c r="DP2" s="246"/>
      <c r="DQ2" s="246"/>
      <c r="DR2" s="246"/>
      <c r="DS2" s="246"/>
      <c r="DT2" s="246"/>
      <c r="DU2" s="246"/>
      <c r="DV2" s="246"/>
      <c r="DW2" s="246"/>
      <c r="DX2" s="246"/>
      <c r="DY2" s="246"/>
      <c r="DZ2" s="246"/>
      <c r="EA2" s="246"/>
    </row>
    <row r="3" spans="1:143" ht="26.4" customHeight="1" x14ac:dyDescent="0.3">
      <c r="D3" s="306" t="s">
        <v>2</v>
      </c>
      <c r="E3" s="307"/>
      <c r="I3" s="65"/>
      <c r="J3" s="65"/>
      <c r="K3" s="65"/>
      <c r="L3" s="65"/>
      <c r="M3" s="65"/>
      <c r="N3" s="65"/>
      <c r="O3" s="65"/>
      <c r="P3" s="65"/>
      <c r="Q3" s="65"/>
      <c r="AD3" s="4" t="s">
        <v>3</v>
      </c>
      <c r="AE3" s="80" t="s">
        <v>4</v>
      </c>
      <c r="AF3" s="342" t="s">
        <v>5</v>
      </c>
      <c r="AG3" s="342"/>
      <c r="AH3" s="265" t="s">
        <v>6</v>
      </c>
      <c r="AI3" s="264"/>
      <c r="AJ3" s="239">
        <v>2025</v>
      </c>
      <c r="AK3" s="240"/>
      <c r="AL3" s="239">
        <v>2026</v>
      </c>
      <c r="AM3" s="240"/>
      <c r="AN3" s="239">
        <v>2027</v>
      </c>
      <c r="AO3" s="240"/>
      <c r="AP3" s="239">
        <v>2028</v>
      </c>
      <c r="AQ3" s="240"/>
      <c r="AR3" s="239">
        <v>2029</v>
      </c>
      <c r="AS3" s="240"/>
      <c r="AT3" s="239">
        <v>2030</v>
      </c>
      <c r="AU3" s="240"/>
      <c r="AV3" s="239">
        <v>2031</v>
      </c>
      <c r="AW3" s="240"/>
      <c r="AX3" s="239">
        <v>2032</v>
      </c>
      <c r="AY3" s="240"/>
      <c r="AZ3" s="239">
        <v>2033</v>
      </c>
      <c r="BA3" s="240"/>
      <c r="BB3" s="239">
        <v>2034</v>
      </c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240"/>
      <c r="CF3" s="239">
        <v>2035</v>
      </c>
      <c r="CG3" s="240"/>
      <c r="CH3" s="80"/>
      <c r="CI3" s="80"/>
      <c r="CJ3" s="80"/>
      <c r="CK3" s="80"/>
      <c r="CL3" s="26" t="s">
        <v>560</v>
      </c>
      <c r="CM3" s="26" t="s">
        <v>699</v>
      </c>
      <c r="CN3" s="26" t="s">
        <v>595</v>
      </c>
      <c r="DL3"/>
    </row>
    <row r="4" spans="1:143" x14ac:dyDescent="0.3">
      <c r="D4" s="27" t="s">
        <v>9</v>
      </c>
      <c r="E4" s="28" t="s">
        <v>10</v>
      </c>
      <c r="I4" s="65"/>
      <c r="J4" s="65"/>
      <c r="K4" s="65"/>
      <c r="L4" s="65"/>
      <c r="M4" s="65"/>
      <c r="N4" s="65"/>
      <c r="O4" s="65"/>
      <c r="P4" s="65"/>
      <c r="Q4" s="65"/>
      <c r="AD4" s="66"/>
      <c r="AE4" s="138"/>
      <c r="AG4" s="104" t="s">
        <v>11</v>
      </c>
      <c r="AH4" s="78"/>
      <c r="AI4" s="78"/>
      <c r="AJ4" s="78" t="e">
        <f>SUMIFS(#REF!,PROGRAMMATION[DES_COMPL_NATR_COMPB],"=Fonctionnement")+SUMIFS(#REF!,PROGRAMMATION[DES_COMPL_NATR_COMPB],"=Fonctionnement")</f>
        <v>#REF!</v>
      </c>
      <c r="AK4" s="78"/>
      <c r="AL4" s="78">
        <f>SUMIFS(PROGRAMMATION[AC 2026],PROGRAMMATION[DES_COMPL_NATR_COMPB],"=Fonctionnement")+SUMIFS(PROGRAMMATION[TR 2026],PROGRAMMATION[DES_COMPL_NATR_COMPB],"=Fonctionnement")</f>
        <v>160</v>
      </c>
      <c r="AM4" s="78"/>
      <c r="AN4" s="78">
        <f>SUMIFS(PROGRAMMATION[AC 2027],PROGRAMMATION[DES_COMPL_NATR_COMPB],"=Fonctionnement")+SUMIFS(PROGRAMMATION[TR 2027],PROGRAMMATION[DES_COMPL_NATR_COMPB],"=Fonctionnement")</f>
        <v>510</v>
      </c>
      <c r="AO4" s="78"/>
      <c r="AP4" s="78">
        <f>SUMIFS(PROGRAMMATION[AC 2028],PROGRAMMATION[DES_COMPL_NATR_COMPB],"=Fonctionnement")+SUMIFS(PROGRAMMATION[TR 2028],PROGRAMMATION[DES_COMPL_NATR_COMPB],"=Fonctionnement")</f>
        <v>0</v>
      </c>
      <c r="AQ4" s="78"/>
      <c r="AR4" s="78">
        <f>SUMIFS(PROGRAMMATION[AC 2029],PROGRAMMATION[DES_COMPL_NATR_COMPB],"=Fonctionnement")+SUMIFS(PROGRAMMATION[TR 2029],PROGRAMMATION[DES_COMPL_NATR_COMPB],"=Fonctionnement")</f>
        <v>0</v>
      </c>
      <c r="AS4" s="78"/>
      <c r="AT4" s="78">
        <f>SUMIFS(PROGRAMMATION[AC 2030],PROGRAMMATION[DES_COMPL_NATR_COMPB],"=Fonctionnement")+SUMIFS(PROGRAMMATION[TR 2030],PROGRAMMATION[DES_COMPL_NATR_COMPB],"=Fonctionnement")</f>
        <v>0</v>
      </c>
      <c r="AU4" s="78"/>
      <c r="AV4" s="78">
        <f>SUMIFS(PROGRAMMATION[AC 2031],PROGRAMMATION[DES_COMPL_NATR_COMPB],"=Fonctionnement")+SUMIFS(PROGRAMMATION[TR 2031],PROGRAMMATION[DES_COMPL_NATR_COMPB],"=Fonctionnement")</f>
        <v>0</v>
      </c>
      <c r="AW4" s="78"/>
      <c r="AX4" s="78">
        <f>SUMIFS(PROGRAMMATION[AC 2032],PROGRAMMATION[DES_COMPL_NATR_COMPB],"=Fonctionnement")+SUMIFS(PROGRAMMATION[TR 2032],PROGRAMMATION[DES_COMPL_NATR_COMPB],"=Fonctionnement")</f>
        <v>0</v>
      </c>
      <c r="AY4" s="78"/>
      <c r="AZ4" s="78" t="e">
        <f>SUMIFS(#REF!,PROGRAMMATION[DES_COMPL_NATR_COMPB],"=Fonctionnement")+SUMIFS(#REF!,PROGRAMMATION[DES_COMPL_NATR_COMPB],"=Fonctionnement")</f>
        <v>#REF!</v>
      </c>
      <c r="BA4" s="78"/>
      <c r="BB4" s="78" t="e">
        <f>SUMIFS(#REF!,PROGRAMMATION[DES_COMPL_NATR_COMPB],"=Fonctionnement")+SUMIFS(#REF!,PROGRAMMATION[DES_COMPL_NATR_COMPB],"=Fonctionnement")</f>
        <v>#REF!</v>
      </c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 t="e">
        <f>SUMIFS(#REF!,PROGRAMMATION[DES_COMPL_NATR_COMPB],"=Fonctionnement")+SUMIFS(#REF!,PROGRAMMATION[DES_COMPL_NATR_COMPB],"=Fonctionnement")</f>
        <v>#REF!</v>
      </c>
      <c r="CG4" s="78"/>
      <c r="CH4" s="78"/>
      <c r="CI4" s="78"/>
      <c r="CJ4" s="78"/>
      <c r="CK4" s="78"/>
      <c r="CL4" s="16">
        <f>SUM(AL4:AU4)</f>
        <v>670</v>
      </c>
      <c r="CM4" s="16" t="e">
        <f>SUM(AV4:CG4)</f>
        <v>#REF!</v>
      </c>
      <c r="CN4" s="16" t="e">
        <f>SUM(AL4:CG4)</f>
        <v>#REF!</v>
      </c>
      <c r="DL4"/>
    </row>
    <row r="5" spans="1:143" x14ac:dyDescent="0.3">
      <c r="D5" s="27" t="s">
        <v>12</v>
      </c>
      <c r="E5" s="28" t="s">
        <v>13</v>
      </c>
      <c r="AD5" s="67"/>
      <c r="AE5" s="139" t="s">
        <v>299</v>
      </c>
      <c r="AG5" s="104" t="s">
        <v>15</v>
      </c>
      <c r="AH5" s="78" t="e">
        <f>SUMIFS(PROGRAMMATION[AC ANT],#REF!,"=PR")</f>
        <v>#REF!</v>
      </c>
      <c r="AI5" s="78"/>
      <c r="AJ5" s="78" t="e">
        <f>SUMIFS(#REF!,#REF!,"=PR")</f>
        <v>#REF!</v>
      </c>
      <c r="AK5" s="78"/>
      <c r="AL5" s="78" t="e">
        <f>SUMIFS(PROGRAMMATION[AC 2026],#REF!,"=PR")</f>
        <v>#REF!</v>
      </c>
      <c r="AM5" s="78"/>
      <c r="AN5" s="78" t="e">
        <f>SUMIFS(PROGRAMMATION[AC 2027],#REF!,"=PR")</f>
        <v>#REF!</v>
      </c>
      <c r="AO5" s="78"/>
      <c r="AP5" s="78" t="e">
        <f>SUMIFS(PROGRAMMATION[AC 2028],#REF!,"=PR")</f>
        <v>#REF!</v>
      </c>
      <c r="AQ5" s="78"/>
      <c r="AR5" s="78" t="e">
        <f>SUMIFS(PROGRAMMATION[AC 2029],#REF!,"=PR")</f>
        <v>#REF!</v>
      </c>
      <c r="AS5" s="78"/>
      <c r="AT5" s="78" t="e">
        <f>SUMIFS(PROGRAMMATION[AC 2030],#REF!,"=PR")</f>
        <v>#REF!</v>
      </c>
      <c r="AU5" s="78"/>
      <c r="AV5" s="78" t="e">
        <f>SUMIFS(PROGRAMMATION[AC 2031],#REF!,"=PR")</f>
        <v>#REF!</v>
      </c>
      <c r="AW5" s="78"/>
      <c r="AX5" s="78" t="e">
        <f>SUMIFS(PROGRAMMATION[AC 2032],#REF!,"=PR")</f>
        <v>#REF!</v>
      </c>
      <c r="AY5" s="78"/>
      <c r="AZ5" s="78" t="e">
        <f>SUMIFS(#REF!,#REF!,"=PR")</f>
        <v>#REF!</v>
      </c>
      <c r="BA5" s="78"/>
      <c r="BB5" s="78" t="e">
        <f>SUMIFS(#REF!,#REF!,"=PR")</f>
        <v>#REF!</v>
      </c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 t="e">
        <f>SUMIFS(#REF!,#REF!,"=PR")</f>
        <v>#REF!</v>
      </c>
      <c r="CG5" s="78"/>
      <c r="CH5" s="78"/>
      <c r="CI5" s="78"/>
      <c r="CJ5" s="78"/>
      <c r="CK5" s="78"/>
      <c r="CL5" s="16" t="e">
        <f>SUM(AL5:AU5)</f>
        <v>#REF!</v>
      </c>
      <c r="CM5" s="16" t="e">
        <f>SUM(AV5:CG5)</f>
        <v>#REF!</v>
      </c>
      <c r="CN5" s="16" t="e">
        <f>SUM(AL5:CG5)</f>
        <v>#REF!</v>
      </c>
      <c r="DL5"/>
    </row>
    <row r="6" spans="1:143" x14ac:dyDescent="0.3">
      <c r="D6" s="29" t="s">
        <v>16</v>
      </c>
      <c r="E6" s="28" t="s">
        <v>17</v>
      </c>
      <c r="AD6" s="35" t="s">
        <v>18</v>
      </c>
      <c r="AE6" s="140">
        <v>1</v>
      </c>
      <c r="AG6" s="83" t="s">
        <v>19</v>
      </c>
      <c r="AH6" s="78" t="e">
        <f>SUMIFS(PROGRAMMATION[TR ANT],#REF!,"=PR")</f>
        <v>#REF!</v>
      </c>
      <c r="AI6" s="78"/>
      <c r="AJ6" s="78" t="e">
        <f>SUMIFS(#REF!,#REF!,"=PR")</f>
        <v>#REF!</v>
      </c>
      <c r="AK6" s="78"/>
      <c r="AL6" s="78" t="e">
        <f>SUMIFS(PROGRAMMATION[TR 2026],#REF!,"=PR")</f>
        <v>#REF!</v>
      </c>
      <c r="AM6" s="78"/>
      <c r="AN6" s="78" t="e">
        <f>SUMIFS(PROGRAMMATION[TR 2027],#REF!,"=PR")</f>
        <v>#REF!</v>
      </c>
      <c r="AO6" s="78"/>
      <c r="AP6" s="78" t="e">
        <f>SUMIFS(PROGRAMMATION[TR 2028],#REF!,"=PR")</f>
        <v>#REF!</v>
      </c>
      <c r="AQ6" s="78"/>
      <c r="AR6" s="78" t="e">
        <f>SUMIFS(PROGRAMMATION[TR 2029],#REF!,"=PR")</f>
        <v>#REF!</v>
      </c>
      <c r="AS6" s="78"/>
      <c r="AT6" s="78" t="e">
        <f>SUMIFS(PROGRAMMATION[TR 2030],#REF!,"=PR")</f>
        <v>#REF!</v>
      </c>
      <c r="AU6" s="78"/>
      <c r="AV6" s="78" t="e">
        <f>SUMIFS(PROGRAMMATION[TR 2031],#REF!,"=PR")</f>
        <v>#REF!</v>
      </c>
      <c r="AW6" s="78"/>
      <c r="AX6" s="78" t="e">
        <f>SUMIFS(PROGRAMMATION[TR 2032],#REF!,"=PR")</f>
        <v>#REF!</v>
      </c>
      <c r="AY6" s="78"/>
      <c r="AZ6" s="78" t="e">
        <f>SUMIFS(#REF!,#REF!,"=PR")</f>
        <v>#REF!</v>
      </c>
      <c r="BA6" s="78"/>
      <c r="BB6" s="78" t="e">
        <f>SUMIFS(#REF!,#REF!,"=PR")</f>
        <v>#REF!</v>
      </c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 t="e">
        <f>SUMIFS(#REF!,#REF!,"=PR")</f>
        <v>#REF!</v>
      </c>
      <c r="CG6" s="78"/>
      <c r="CH6" s="78"/>
      <c r="CI6" s="78"/>
      <c r="CJ6" s="78"/>
      <c r="CK6" s="78"/>
      <c r="CL6" s="16" t="e">
        <f>SUM(AL6:AU6)</f>
        <v>#REF!</v>
      </c>
      <c r="CM6" s="16" t="e">
        <f>SUM(AV6:CG6)</f>
        <v>#REF!</v>
      </c>
      <c r="CN6" s="16" t="e">
        <f>SUM(AL6:CG6)</f>
        <v>#REF!</v>
      </c>
      <c r="DL6"/>
    </row>
    <row r="7" spans="1:143" x14ac:dyDescent="0.3">
      <c r="D7" s="30" t="s">
        <v>20</v>
      </c>
      <c r="E7" s="31" t="s">
        <v>21</v>
      </c>
      <c r="AD7" s="35" t="s">
        <v>22</v>
      </c>
      <c r="AE7" s="140">
        <v>0.1</v>
      </c>
      <c r="AG7" s="83" t="s">
        <v>23</v>
      </c>
      <c r="AH7" s="20" t="e">
        <f>AH5+AH6</f>
        <v>#REF!</v>
      </c>
      <c r="AI7" s="20"/>
      <c r="AJ7" s="20" t="e">
        <f>AJ5+AJ6</f>
        <v>#REF!</v>
      </c>
      <c r="AK7" s="20"/>
      <c r="AL7" s="20" t="e">
        <f>AL5+AL6</f>
        <v>#REF!</v>
      </c>
      <c r="AM7" s="20"/>
      <c r="AN7" s="20" t="e">
        <f>AN5+AN6</f>
        <v>#REF!</v>
      </c>
      <c r="AO7" s="20"/>
      <c r="AP7" s="20" t="e">
        <f>AP5+AP6</f>
        <v>#REF!</v>
      </c>
      <c r="AQ7" s="20"/>
      <c r="AR7" s="20" t="e">
        <f>AR5+AR6</f>
        <v>#REF!</v>
      </c>
      <c r="AS7" s="20"/>
      <c r="AT7" s="20" t="e">
        <f>AT5+AT6</f>
        <v>#REF!</v>
      </c>
      <c r="AU7" s="20"/>
      <c r="AV7" s="20" t="e">
        <f>AV5+AV6</f>
        <v>#REF!</v>
      </c>
      <c r="AW7" s="20"/>
      <c r="AX7" s="20" t="e">
        <f>AX5+AX6</f>
        <v>#REF!</v>
      </c>
      <c r="AY7" s="20"/>
      <c r="AZ7" s="20" t="e">
        <f>AZ5+AZ6</f>
        <v>#REF!</v>
      </c>
      <c r="BA7" s="20"/>
      <c r="BB7" s="20" t="e">
        <f>BB5+BB6</f>
        <v>#REF!</v>
      </c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 t="e">
        <f>CF5+CF6</f>
        <v>#REF!</v>
      </c>
      <c r="CG7" s="20"/>
      <c r="CH7" s="20"/>
      <c r="CI7" s="20"/>
      <c r="CJ7" s="20"/>
      <c r="CK7" s="20"/>
      <c r="CL7" s="20" t="e">
        <f>CL6+CL5</f>
        <v>#REF!</v>
      </c>
      <c r="CM7" s="20" t="e">
        <f>CM6+CM5</f>
        <v>#REF!</v>
      </c>
      <c r="CN7" s="20" t="e">
        <f>CN6+CN5</f>
        <v>#REF!</v>
      </c>
      <c r="DL7"/>
    </row>
    <row r="8" spans="1:143" x14ac:dyDescent="0.3">
      <c r="D8" s="131"/>
      <c r="E8" s="28" t="s">
        <v>270</v>
      </c>
      <c r="AD8" s="35" t="s">
        <v>24</v>
      </c>
      <c r="AE8" s="140">
        <v>0.25</v>
      </c>
      <c r="AG8" s="83" t="s">
        <v>25</v>
      </c>
      <c r="AH8" s="78" t="e">
        <f>SUMIFS(PROGRAMMATION[AC ANT],#REF!,"&lt;&gt;PR")</f>
        <v>#REF!</v>
      </c>
      <c r="AI8" s="78"/>
      <c r="AJ8" s="78" t="e">
        <f>SUMIFS(#REF!,#REF!,"&lt;&gt;PR")</f>
        <v>#REF!</v>
      </c>
      <c r="AK8" s="78"/>
      <c r="AL8" s="78" t="e">
        <f>SUMIFS(PROGRAMMATION[AC 2026],#REF!,"&lt;&gt;PR")</f>
        <v>#REF!</v>
      </c>
      <c r="AM8" s="78"/>
      <c r="AN8" s="78" t="e">
        <f>SUMIFS(PROGRAMMATION[AC 2027],#REF!,"&lt;&gt;PR")</f>
        <v>#REF!</v>
      </c>
      <c r="AO8" s="78"/>
      <c r="AP8" s="78" t="e">
        <f>SUMIFS(PROGRAMMATION[AC 2028],#REF!,"&lt;&gt;PR")</f>
        <v>#REF!</v>
      </c>
      <c r="AQ8" s="78"/>
      <c r="AR8" s="78" t="e">
        <f>SUMIFS(PROGRAMMATION[AC 2029],#REF!,"&lt;&gt;PR")</f>
        <v>#REF!</v>
      </c>
      <c r="AS8" s="78"/>
      <c r="AT8" s="78" t="e">
        <f>SUMIFS(PROGRAMMATION[AC 2030],#REF!,"&lt;&gt;PR")</f>
        <v>#REF!</v>
      </c>
      <c r="AU8" s="78"/>
      <c r="AV8" s="78" t="e">
        <f>SUMIFS(PROGRAMMATION[AC 2031],#REF!,"&lt;&gt;PR")</f>
        <v>#REF!</v>
      </c>
      <c r="AW8" s="78"/>
      <c r="AX8" s="78" t="e">
        <f>SUMIFS(PROGRAMMATION[AC 2032],#REF!,"&lt;&gt;PR")</f>
        <v>#REF!</v>
      </c>
      <c r="AY8" s="78"/>
      <c r="AZ8" s="78" t="e">
        <f>SUMIFS(#REF!,#REF!,"&lt;&gt;PR")</f>
        <v>#REF!</v>
      </c>
      <c r="BA8" s="78"/>
      <c r="BB8" s="78" t="e">
        <f>SUMIFS(#REF!,#REF!,"&lt;&gt;PR")</f>
        <v>#REF!</v>
      </c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 t="e">
        <f>SUMIFS(#REF!,#REF!,"&lt;&gt;PR")</f>
        <v>#REF!</v>
      </c>
      <c r="CG8" s="78"/>
      <c r="CH8" s="78"/>
      <c r="CI8" s="78"/>
      <c r="CJ8" s="78"/>
      <c r="CK8" s="78"/>
      <c r="CL8" s="16" t="e">
        <f>SUM(AL8:AU8)</f>
        <v>#REF!</v>
      </c>
      <c r="CM8" s="16" t="e">
        <f>SUM(AV8:CG8)</f>
        <v>#REF!</v>
      </c>
      <c r="CN8" s="16" t="e">
        <f>SUM(AL8:CG8)</f>
        <v>#REF!</v>
      </c>
      <c r="DL8"/>
    </row>
    <row r="9" spans="1:143" x14ac:dyDescent="0.3">
      <c r="D9" s="176"/>
      <c r="E9" s="28" t="s">
        <v>271</v>
      </c>
      <c r="AD9" s="35" t="s">
        <v>26</v>
      </c>
      <c r="AE9" s="140">
        <v>0.25</v>
      </c>
      <c r="AG9" s="83" t="s">
        <v>27</v>
      </c>
      <c r="AH9" s="78" t="e">
        <f>SUMIFS(PROGRAMMATION[TR ANT],#REF!,"&lt;&gt;PR")</f>
        <v>#REF!</v>
      </c>
      <c r="AI9" s="78"/>
      <c r="AJ9" s="78" t="e">
        <f>SUMIFS(#REF!,#REF!,"&lt;&gt;PR")</f>
        <v>#REF!</v>
      </c>
      <c r="AK9" s="78"/>
      <c r="AL9" s="78" t="e">
        <f>SUMIFS(PROGRAMMATION[TR 2026],#REF!,"&lt;&gt;PR")</f>
        <v>#REF!</v>
      </c>
      <c r="AM9" s="78"/>
      <c r="AN9" s="78" t="e">
        <f>SUMIFS(PROGRAMMATION[TR 2027],#REF!,"&lt;&gt;PR")</f>
        <v>#REF!</v>
      </c>
      <c r="AO9" s="78"/>
      <c r="AP9" s="78" t="e">
        <f>SUMIFS(PROGRAMMATION[TR 2028],#REF!,"&lt;&gt;PR")</f>
        <v>#REF!</v>
      </c>
      <c r="AQ9" s="78"/>
      <c r="AR9" s="78" t="e">
        <f>SUMIFS(PROGRAMMATION[TR 2029],#REF!,"&lt;&gt;PR")</f>
        <v>#REF!</v>
      </c>
      <c r="AS9" s="78"/>
      <c r="AT9" s="78" t="e">
        <f>SUMIFS(PROGRAMMATION[TR 2030],#REF!,"&lt;&gt;PR")</f>
        <v>#REF!</v>
      </c>
      <c r="AU9" s="78"/>
      <c r="AV9" s="78" t="e">
        <f>SUMIFS(PROGRAMMATION[TR 2031],#REF!,"&lt;&gt;PR")</f>
        <v>#REF!</v>
      </c>
      <c r="AW9" s="78"/>
      <c r="AX9" s="78" t="e">
        <f>SUMIFS(PROGRAMMATION[TR 2032],#REF!,"&lt;&gt;PR")</f>
        <v>#REF!</v>
      </c>
      <c r="AY9" s="78"/>
      <c r="AZ9" s="78" t="e">
        <f>SUMIFS(#REF!,#REF!,"&lt;&gt;PR")</f>
        <v>#REF!</v>
      </c>
      <c r="BA9" s="78"/>
      <c r="BB9" s="78" t="e">
        <f>SUMIFS(#REF!,#REF!,"&lt;&gt;PR")</f>
        <v>#REF!</v>
      </c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 t="e">
        <f>SUMIFS(#REF!,#REF!,"&lt;&gt;PR")</f>
        <v>#REF!</v>
      </c>
      <c r="CG9" s="78"/>
      <c r="CH9" s="78"/>
      <c r="CI9" s="78"/>
      <c r="CJ9" s="78"/>
      <c r="CK9" s="78"/>
      <c r="CL9" s="16" t="e">
        <f>SUM(AL9:AU9)</f>
        <v>#REF!</v>
      </c>
      <c r="CM9" s="16" t="e">
        <f>SUM(AV9:CG9)</f>
        <v>#REF!</v>
      </c>
      <c r="CN9" s="16" t="e">
        <f>SUM(AL9:CG9)</f>
        <v>#REF!</v>
      </c>
      <c r="DL9"/>
    </row>
    <row r="10" spans="1:143" x14ac:dyDescent="0.3">
      <c r="D10" s="175"/>
      <c r="E10" s="31" t="s">
        <v>521</v>
      </c>
      <c r="AD10" s="35" t="s">
        <v>28</v>
      </c>
      <c r="AE10" s="140">
        <v>0.4</v>
      </c>
      <c r="AG10" s="83" t="s">
        <v>29</v>
      </c>
      <c r="AH10" s="20" t="e">
        <f>AH8+AH9</f>
        <v>#REF!</v>
      </c>
      <c r="AI10" s="20"/>
      <c r="AJ10" s="20" t="e">
        <f>AJ8+AJ9</f>
        <v>#REF!</v>
      </c>
      <c r="AK10" s="20"/>
      <c r="AL10" s="20" t="e">
        <f>AL8+AL9</f>
        <v>#REF!</v>
      </c>
      <c r="AM10" s="20"/>
      <c r="AN10" s="20" t="e">
        <f>AN8+AN9</f>
        <v>#REF!</v>
      </c>
      <c r="AO10" s="20"/>
      <c r="AP10" s="20" t="e">
        <f>AP8+AP9</f>
        <v>#REF!</v>
      </c>
      <c r="AQ10" s="20"/>
      <c r="AR10" s="20" t="e">
        <f>AR8+AR9</f>
        <v>#REF!</v>
      </c>
      <c r="AS10" s="20"/>
      <c r="AT10" s="20" t="e">
        <f>AT8+AT9</f>
        <v>#REF!</v>
      </c>
      <c r="AU10" s="20"/>
      <c r="AV10" s="20" t="e">
        <f>AV8+AV9</f>
        <v>#REF!</v>
      </c>
      <c r="AW10" s="20"/>
      <c r="AX10" s="20" t="e">
        <f>AX8+AX9</f>
        <v>#REF!</v>
      </c>
      <c r="AY10" s="20"/>
      <c r="AZ10" s="20" t="e">
        <f>AZ8+AZ9</f>
        <v>#REF!</v>
      </c>
      <c r="BA10" s="20"/>
      <c r="BB10" s="20" t="e">
        <f>BB8+BB9</f>
        <v>#REF!</v>
      </c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 t="e">
        <f>CF8+CF9</f>
        <v>#REF!</v>
      </c>
      <c r="CG10" s="20"/>
      <c r="CH10" s="20"/>
      <c r="CI10" s="20"/>
      <c r="CJ10" s="20"/>
      <c r="CK10" s="20"/>
      <c r="CL10" s="20" t="e">
        <f>CL9+CL8</f>
        <v>#REF!</v>
      </c>
      <c r="CM10" s="20" t="e">
        <f>CM9+CM8</f>
        <v>#REF!</v>
      </c>
      <c r="CN10" s="20" t="e">
        <f>CN9+CN8</f>
        <v>#REF!</v>
      </c>
      <c r="DL10"/>
    </row>
    <row r="11" spans="1:143" ht="15.6" x14ac:dyDescent="0.3">
      <c r="AD11" s="24" t="s">
        <v>30</v>
      </c>
      <c r="AE11" s="212">
        <f>SUM(AE7:AE10)</f>
        <v>1</v>
      </c>
      <c r="AF11" s="343" t="s">
        <v>31</v>
      </c>
      <c r="AG11" s="344"/>
      <c r="AH11" s="247" t="e">
        <f>AH10+AH7</f>
        <v>#REF!</v>
      </c>
      <c r="AI11" s="64"/>
      <c r="AJ11" s="21" t="e">
        <f>AJ10+AJ7</f>
        <v>#REF!</v>
      </c>
      <c r="AK11" s="64"/>
      <c r="AL11" s="21" t="e">
        <f>AL10+AL7</f>
        <v>#REF!</v>
      </c>
      <c r="AM11" s="64"/>
      <c r="AN11" s="21" t="e">
        <f>AN10+AN7</f>
        <v>#REF!</v>
      </c>
      <c r="AO11" s="64"/>
      <c r="AP11" s="21" t="e">
        <f>AP10+AP7</f>
        <v>#REF!</v>
      </c>
      <c r="AQ11" s="64"/>
      <c r="AR11" s="21" t="e">
        <f>AR10+AR7</f>
        <v>#REF!</v>
      </c>
      <c r="AS11" s="64"/>
      <c r="AT11" s="21" t="e">
        <f>AT10+AT7</f>
        <v>#REF!</v>
      </c>
      <c r="AU11" s="64"/>
      <c r="AV11" s="21" t="e">
        <f t="shared" ref="AV11" si="0">AV10+AV7</f>
        <v>#REF!</v>
      </c>
      <c r="AW11" s="64"/>
      <c r="AX11" s="21" t="e">
        <f t="shared" ref="AX11" si="1">AX10+AX7</f>
        <v>#REF!</v>
      </c>
      <c r="AY11" s="64"/>
      <c r="AZ11" s="21" t="e">
        <f t="shared" ref="AZ11" si="2">AZ10+AZ7</f>
        <v>#REF!</v>
      </c>
      <c r="BA11" s="64"/>
      <c r="BB11" s="21" t="e">
        <f t="shared" ref="BB11" si="3">BB10+BB7</f>
        <v>#REF!</v>
      </c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64"/>
      <c r="CF11" s="21" t="e">
        <f>CF10+CF7</f>
        <v>#REF!</v>
      </c>
      <c r="CG11" s="64"/>
      <c r="CH11" s="167"/>
      <c r="CI11" s="167"/>
      <c r="CJ11" s="167"/>
      <c r="CK11" s="167"/>
      <c r="CL11" s="21" t="e">
        <f>CL7+CL10</f>
        <v>#REF!</v>
      </c>
      <c r="CM11" s="21" t="e">
        <f>CM7+CM10</f>
        <v>#REF!</v>
      </c>
      <c r="CN11" s="21" t="e">
        <f>CN7+CN10</f>
        <v>#REF!</v>
      </c>
      <c r="DL11"/>
    </row>
    <row r="12" spans="1:143" ht="15.6" x14ac:dyDescent="0.3">
      <c r="AF12" s="209"/>
      <c r="AG12" s="83" t="s">
        <v>700</v>
      </c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>
        <v>0</v>
      </c>
      <c r="AW12" s="78"/>
      <c r="AX12" s="78">
        <v>0</v>
      </c>
      <c r="AY12" s="78"/>
      <c r="AZ12" s="78">
        <v>0</v>
      </c>
      <c r="BA12" s="78"/>
      <c r="BB12" s="78">
        <v>0</v>
      </c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>
        <v>0</v>
      </c>
      <c r="CG12" s="78"/>
      <c r="CH12" s="78"/>
      <c r="CI12" s="78"/>
      <c r="CJ12" s="78"/>
      <c r="CK12" s="78"/>
      <c r="CL12" s="76">
        <f>SUM(AL12:AU12)</f>
        <v>0</v>
      </c>
      <c r="CM12" s="76">
        <f>SUM(AV12:CG12)</f>
        <v>0</v>
      </c>
      <c r="CN12" s="76">
        <f>SUM(AL12:CG12)</f>
        <v>0</v>
      </c>
      <c r="DL12"/>
    </row>
    <row r="13" spans="1:143" ht="15.6" x14ac:dyDescent="0.3">
      <c r="AF13" s="345" t="s">
        <v>592</v>
      </c>
      <c r="AG13" s="346"/>
      <c r="AH13" s="21" t="e">
        <f>AH12+AH11</f>
        <v>#REF!</v>
      </c>
      <c r="AI13" s="64"/>
      <c r="AJ13" s="21" t="e">
        <f>AJ12+AJ11</f>
        <v>#REF!</v>
      </c>
      <c r="AK13" s="64"/>
      <c r="AL13" s="21" t="e">
        <f>AL12+AL11</f>
        <v>#REF!</v>
      </c>
      <c r="AM13" s="64"/>
      <c r="AN13" s="21" t="e">
        <f>AN12+AN11</f>
        <v>#REF!</v>
      </c>
      <c r="AO13" s="64"/>
      <c r="AP13" s="21" t="e">
        <f>AP12+AP11</f>
        <v>#REF!</v>
      </c>
      <c r="AQ13" s="64"/>
      <c r="AR13" s="21" t="e">
        <f>AR12+AR11</f>
        <v>#REF!</v>
      </c>
      <c r="AS13" s="64"/>
      <c r="AT13" s="21" t="e">
        <f>AT12+AT11</f>
        <v>#REF!</v>
      </c>
      <c r="AU13" s="64"/>
      <c r="AV13" s="21" t="e">
        <f>AV12+AV11</f>
        <v>#REF!</v>
      </c>
      <c r="AW13" s="64"/>
      <c r="AX13" s="21" t="e">
        <f>AX12+AX11</f>
        <v>#REF!</v>
      </c>
      <c r="AY13" s="64"/>
      <c r="AZ13" s="21" t="e">
        <f>AZ12+AZ11</f>
        <v>#REF!</v>
      </c>
      <c r="BA13" s="64"/>
      <c r="BB13" s="21" t="e">
        <f>BB12+BB11</f>
        <v>#REF!</v>
      </c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64"/>
      <c r="CF13" s="21" t="e">
        <f>CF12+CF11</f>
        <v>#REF!</v>
      </c>
      <c r="CG13" s="64"/>
      <c r="CH13" s="167"/>
      <c r="CI13" s="167"/>
      <c r="CJ13" s="167"/>
      <c r="CK13" s="167"/>
      <c r="CL13" s="21" t="e">
        <f>CL12+CL11</f>
        <v>#REF!</v>
      </c>
      <c r="CM13" s="21" t="e">
        <f>CM12+CM11</f>
        <v>#REF!</v>
      </c>
      <c r="CN13" s="21" t="e">
        <f>CN12+CN11</f>
        <v>#REF!</v>
      </c>
      <c r="DL13"/>
    </row>
    <row r="14" spans="1:143" ht="15.6" x14ac:dyDescent="0.3">
      <c r="AF14" s="210"/>
      <c r="AG14" s="144" t="s">
        <v>692</v>
      </c>
      <c r="AH14" s="241"/>
      <c r="AI14" s="242"/>
      <c r="AJ14" s="241">
        <v>71000</v>
      </c>
      <c r="AK14" s="242"/>
      <c r="AL14" s="241">
        <v>75500</v>
      </c>
      <c r="AM14" s="242"/>
      <c r="AN14" s="241">
        <v>80500</v>
      </c>
      <c r="AO14" s="242"/>
      <c r="AP14" s="241">
        <v>80500</v>
      </c>
      <c r="AQ14" s="242"/>
      <c r="AR14" s="241">
        <v>80500</v>
      </c>
      <c r="AS14" s="242"/>
      <c r="AT14" s="241">
        <v>80500</v>
      </c>
      <c r="AU14" s="242"/>
      <c r="AV14" s="241">
        <v>100500</v>
      </c>
      <c r="AW14" s="242"/>
      <c r="AX14" s="241">
        <v>100500</v>
      </c>
      <c r="AY14" s="242"/>
      <c r="AZ14" s="241">
        <v>100500</v>
      </c>
      <c r="BA14" s="242"/>
      <c r="BB14" s="241">
        <v>100500</v>
      </c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242"/>
      <c r="CF14" s="241">
        <v>100500</v>
      </c>
      <c r="CG14" s="242"/>
      <c r="CH14" s="81"/>
      <c r="CI14" s="81"/>
      <c r="CJ14" s="81"/>
      <c r="CK14" s="81"/>
      <c r="CL14" s="17">
        <f>SUM(AL14:AU14)</f>
        <v>397500</v>
      </c>
      <c r="CM14" s="17">
        <f>SUM(AV14:CG14)</f>
        <v>502500</v>
      </c>
      <c r="CN14" s="17">
        <f>SUM(AL14:CG14)</f>
        <v>900000</v>
      </c>
      <c r="DL14"/>
    </row>
    <row r="15" spans="1:143" ht="15.6" x14ac:dyDescent="0.3">
      <c r="AF15" s="210"/>
      <c r="AG15" s="84" t="s">
        <v>690</v>
      </c>
      <c r="AH15" s="23" t="e">
        <f>AH14-AH13</f>
        <v>#REF!</v>
      </c>
      <c r="AI15" s="245"/>
      <c r="AJ15" s="23" t="e">
        <f>AJ14-AJ13</f>
        <v>#REF!</v>
      </c>
      <c r="AK15" s="79"/>
      <c r="AL15" s="23" t="e">
        <f>AL14-AL13</f>
        <v>#REF!</v>
      </c>
      <c r="AM15" s="79"/>
      <c r="AN15" s="23" t="e">
        <f t="shared" ref="AN15" si="4">AN14-AN13</f>
        <v>#REF!</v>
      </c>
      <c r="AO15" s="79"/>
      <c r="AP15" s="23" t="e">
        <f t="shared" ref="AP15" si="5">AP14-AP13</f>
        <v>#REF!</v>
      </c>
      <c r="AQ15" s="79"/>
      <c r="AR15" s="23" t="e">
        <f t="shared" ref="AR15" si="6">AR14-AR13</f>
        <v>#REF!</v>
      </c>
      <c r="AS15" s="79"/>
      <c r="AT15" s="23" t="e">
        <f t="shared" ref="AT15" si="7">AT14-AT13</f>
        <v>#REF!</v>
      </c>
      <c r="AU15" s="79"/>
      <c r="AV15" s="23" t="e">
        <f t="shared" ref="AV15" si="8">AV14-AV13</f>
        <v>#REF!</v>
      </c>
      <c r="AW15" s="79"/>
      <c r="AX15" s="23" t="e">
        <f t="shared" ref="AX15" si="9">AX14-AX13</f>
        <v>#REF!</v>
      </c>
      <c r="AY15" s="79"/>
      <c r="AZ15" s="23" t="e">
        <f>AZ14-AZ13</f>
        <v>#REF!</v>
      </c>
      <c r="BA15" s="79"/>
      <c r="BB15" s="23" t="e">
        <f>BB14-BB13</f>
        <v>#REF!</v>
      </c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23" t="e">
        <f>CF14-CF13</f>
        <v>#REF!</v>
      </c>
      <c r="CG15" s="79"/>
      <c r="CH15" s="79"/>
      <c r="CI15" s="79"/>
      <c r="CJ15" s="79"/>
      <c r="CK15" s="79"/>
      <c r="CL15" s="23" t="e">
        <f>CL14-CL13</f>
        <v>#REF!</v>
      </c>
      <c r="CM15" s="23" t="e">
        <f>CM14-CM13</f>
        <v>#REF!</v>
      </c>
      <c r="CN15" s="23" t="e">
        <f>CN14-CN13</f>
        <v>#REF!</v>
      </c>
      <c r="DL15"/>
    </row>
    <row r="16" spans="1:143" ht="15.6" x14ac:dyDescent="0.3">
      <c r="AF16" s="211"/>
      <c r="AG16" s="145" t="s">
        <v>691</v>
      </c>
      <c r="AH16" s="243"/>
      <c r="AI16" s="244"/>
      <c r="AJ16" s="243" t="e">
        <f>AJ13/AJ14</f>
        <v>#REF!</v>
      </c>
      <c r="AK16" s="22"/>
      <c r="AL16" s="243" t="e">
        <f>(AL14-AL13)/AL14</f>
        <v>#REF!</v>
      </c>
      <c r="AM16" s="22"/>
      <c r="AN16" s="243" t="e">
        <f t="shared" ref="AN16" si="10">(AN14-AN13)/AN14</f>
        <v>#REF!</v>
      </c>
      <c r="AO16" s="22"/>
      <c r="AP16" s="243" t="e">
        <f t="shared" ref="AP16" si="11">(AP14-AP13)/AP14</f>
        <v>#REF!</v>
      </c>
      <c r="AQ16" s="22"/>
      <c r="AR16" s="243" t="e">
        <f t="shared" ref="AR16" si="12">(AR14-AR13)/AR14</f>
        <v>#REF!</v>
      </c>
      <c r="AS16" s="22"/>
      <c r="AT16" s="243" t="e">
        <f t="shared" ref="AT16" si="13">(AT14-AT13)/AT14</f>
        <v>#REF!</v>
      </c>
      <c r="AU16" s="22"/>
      <c r="AV16" s="243" t="e">
        <f t="shared" ref="AV16" si="14">(AV14-AV13)/AV14</f>
        <v>#REF!</v>
      </c>
      <c r="AW16" s="22"/>
      <c r="AX16" s="243" t="e">
        <f t="shared" ref="AX16" si="15">(AX14-AX13)/AX14</f>
        <v>#REF!</v>
      </c>
      <c r="AY16" s="22"/>
      <c r="AZ16" s="243" t="e">
        <f>(AZ14-AZ13)/AZ14</f>
        <v>#REF!</v>
      </c>
      <c r="BA16" s="22"/>
      <c r="BB16" s="243" t="e">
        <f>(BB14-BB13)/BB14</f>
        <v>#REF!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43" t="e">
        <f>(CF14-CF13)/CF14</f>
        <v>#REF!</v>
      </c>
      <c r="CG16" s="22"/>
      <c r="CH16" s="22"/>
      <c r="CI16" s="22"/>
      <c r="CJ16" s="22"/>
      <c r="CK16" s="22"/>
      <c r="CL16" s="22" t="e">
        <f>(CL14-CL13)/CL14</f>
        <v>#REF!</v>
      </c>
      <c r="CM16" s="22" t="e">
        <f>(CM14-CM13)/CM14</f>
        <v>#REF!</v>
      </c>
      <c r="CN16" s="22" t="e">
        <f>(CN14-CN13)/CN14</f>
        <v>#REF!</v>
      </c>
      <c r="DL16"/>
    </row>
    <row r="17" spans="1:116" ht="13.95" customHeight="1" x14ac:dyDescent="0.3">
      <c r="AL17" s="8"/>
      <c r="AN17"/>
      <c r="DL17"/>
    </row>
    <row r="18" spans="1:116" s="11" customFormat="1" ht="75.599999999999994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724</v>
      </c>
      <c r="Q18" s="11" t="s">
        <v>50</v>
      </c>
      <c r="R18" s="11" t="s">
        <v>51</v>
      </c>
      <c r="S18" s="11" t="s">
        <v>52</v>
      </c>
      <c r="T18" s="11" t="s">
        <v>548</v>
      </c>
      <c r="U18" s="11" t="s">
        <v>538</v>
      </c>
      <c r="V18" s="11" t="s">
        <v>537</v>
      </c>
      <c r="W18" s="11" t="s">
        <v>535</v>
      </c>
      <c r="X18" s="11" t="s">
        <v>534</v>
      </c>
      <c r="Y18" s="11" t="s">
        <v>536</v>
      </c>
      <c r="Z18" s="11" t="s">
        <v>723</v>
      </c>
      <c r="AA18" s="11" t="s">
        <v>53</v>
      </c>
      <c r="AB18" s="11" t="s">
        <v>659</v>
      </c>
      <c r="AC18" s="11" t="s">
        <v>69</v>
      </c>
      <c r="AD18" s="11" t="s">
        <v>660</v>
      </c>
      <c r="AE18" s="11" t="s">
        <v>73</v>
      </c>
      <c r="AF18" s="11" t="s">
        <v>74</v>
      </c>
      <c r="AG18" s="11" t="s">
        <v>75</v>
      </c>
      <c r="AH18" s="11" t="s">
        <v>76</v>
      </c>
      <c r="AI18" s="11" t="s">
        <v>77</v>
      </c>
      <c r="AJ18" s="11" t="s">
        <v>82</v>
      </c>
      <c r="AK18" s="11" t="s">
        <v>83</v>
      </c>
      <c r="AL18" s="11" t="s">
        <v>84</v>
      </c>
      <c r="AM18" s="11" t="s">
        <v>85</v>
      </c>
      <c r="AN18" s="11" t="s">
        <v>86</v>
      </c>
      <c r="AO18" s="11" t="s">
        <v>87</v>
      </c>
      <c r="AP18" s="11" t="s">
        <v>88</v>
      </c>
      <c r="AQ18" s="11" t="s">
        <v>89</v>
      </c>
      <c r="AR18" s="11" t="s">
        <v>90</v>
      </c>
      <c r="AS18" s="11" t="s">
        <v>91</v>
      </c>
      <c r="AT18" s="11" t="s">
        <v>92</v>
      </c>
      <c r="AU18" s="11" t="s">
        <v>93</v>
      </c>
      <c r="AV18" s="11" t="s">
        <v>94</v>
      </c>
      <c r="AW18" s="11" t="s">
        <v>95</v>
      </c>
      <c r="AX18" t="s">
        <v>96</v>
      </c>
      <c r="AY18" t="s">
        <v>97</v>
      </c>
      <c r="AZ18" t="s">
        <v>98</v>
      </c>
      <c r="BA18" t="s">
        <v>99</v>
      </c>
      <c r="BB18" t="s">
        <v>593</v>
      </c>
      <c r="BC18" t="s">
        <v>594</v>
      </c>
      <c r="BD18" t="s">
        <v>743</v>
      </c>
      <c r="BE18" t="s">
        <v>744</v>
      </c>
      <c r="BF18" t="s">
        <v>741</v>
      </c>
      <c r="BG18" t="s">
        <v>742</v>
      </c>
      <c r="BH18" s="11" t="s">
        <v>100</v>
      </c>
      <c r="BI18" t="s">
        <v>730</v>
      </c>
      <c r="BJ18" t="s">
        <v>731</v>
      </c>
    </row>
    <row r="19" spans="1:116" hidden="1" x14ac:dyDescent="0.3">
      <c r="A19" t="s">
        <v>286</v>
      </c>
      <c r="B19" t="s">
        <v>663</v>
      </c>
      <c r="C19" t="s">
        <v>732</v>
      </c>
      <c r="D19" t="s">
        <v>101</v>
      </c>
      <c r="E19" t="s">
        <v>102</v>
      </c>
      <c r="F19" t="s">
        <v>119</v>
      </c>
      <c r="G19" t="s">
        <v>129</v>
      </c>
      <c r="H19" t="s">
        <v>20</v>
      </c>
      <c r="I19" t="s">
        <v>20</v>
      </c>
      <c r="J19" t="s">
        <v>131</v>
      </c>
      <c r="K19" t="s">
        <v>440</v>
      </c>
      <c r="L19" t="s">
        <v>441</v>
      </c>
      <c r="M19" t="s">
        <v>152</v>
      </c>
      <c r="N19">
        <v>2026</v>
      </c>
      <c r="O19" t="s">
        <v>155</v>
      </c>
      <c r="P19" s="1"/>
      <c r="Q19" s="1">
        <v>45992</v>
      </c>
      <c r="R19" s="1"/>
      <c r="S19" s="1">
        <v>45992</v>
      </c>
      <c r="T19" s="1" t="e">
        <f xml:space="preserve"> IF(#REF! = "", "X",IF(#REF! &lt;= DATE(#REF!- 3, 12, 15),"5.Respect OPC",IF(#REF! &lt;= DATE(#REF!-2, 4, 1),"3.À risque","1.Très à risque")))</f>
        <v>#REF!</v>
      </c>
      <c r="U19" s="1" t="e">
        <f xml:space="preserve"> IF(#REF! = "", "X",IF(#REF! &lt;= DATE(#REF!- 2, 12, 15),"5.Respect OPC",IF(#REF! &lt;= DATE(#REF!-1, 4, 1),"3.À risque","1.Très à risque")))</f>
        <v>#REF!</v>
      </c>
      <c r="V19" s="1" t="e">
        <f xml:space="preserve"> IF(#REF! = "", "X",IF(#REF! &lt;= DATE(#REF!- 1, 12, 15),"5.Respect OPC",IF(#REF! &lt;= DATE(#REF!, 4, 1),"3.À risque","1.Très à risque")))</f>
        <v>#REF!</v>
      </c>
      <c r="W19" s="1" t="e">
        <f xml:space="preserve"> (YEAR(#REF!) - YEAR(#REF!)) * 12 + MONTH(#REF!) - MONTH(#REF!)</f>
        <v>#REF!</v>
      </c>
      <c r="X19" s="1" t="e">
        <f xml:space="preserve"> (YEAR(#REF!) - YEAR(#REF!)) * 12 + MONTH(#REF!) - MONTH(#REF!)</f>
        <v>#REF!</v>
      </c>
      <c r="Y19" s="1" t="e">
        <f>#REF!+#REF!</f>
        <v>#REF!</v>
      </c>
      <c r="Z19">
        <v>5</v>
      </c>
      <c r="AA19">
        <v>1</v>
      </c>
      <c r="AC19" t="s">
        <v>156</v>
      </c>
      <c r="AD19">
        <v>3.3333333333333335</v>
      </c>
      <c r="AE19" s="2" t="e">
        <f>_xlfn.XLOOKUP(#REF!,Portefeuille_MNT_PPS_Access27[Numéro projet],Portefeuille_MNT_PPS_Access27[Critère Etat Infrastructure])</f>
        <v>#REF!</v>
      </c>
      <c r="AF19" s="12" t="e">
        <f>IF(#REF!=5,100, SUM(IF(#REF!="",#REF!*$AE$8/5,#REF!*$AE$8/5),#REF!* $AE$10/5,#REF!* $AE$9/5,#REF!* $AE$7/5)*100)</f>
        <v>#REF!</v>
      </c>
      <c r="AG19" s="221"/>
      <c r="AH19">
        <v>0</v>
      </c>
      <c r="AI19">
        <v>0</v>
      </c>
      <c r="AJ19">
        <v>55</v>
      </c>
      <c r="AK19">
        <v>543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598</v>
      </c>
      <c r="DL19"/>
    </row>
    <row r="20" spans="1:116" hidden="1" x14ac:dyDescent="0.3">
      <c r="A20" t="s">
        <v>286</v>
      </c>
      <c r="B20" t="s">
        <v>662</v>
      </c>
      <c r="C20" t="s">
        <v>733</v>
      </c>
      <c r="D20" t="s">
        <v>118</v>
      </c>
      <c r="E20" t="s">
        <v>102</v>
      </c>
      <c r="F20" t="s">
        <v>103</v>
      </c>
      <c r="G20" t="s">
        <v>149</v>
      </c>
      <c r="H20" t="s">
        <v>20</v>
      </c>
      <c r="I20" t="s">
        <v>20</v>
      </c>
      <c r="J20" t="s">
        <v>131</v>
      </c>
      <c r="K20" t="s">
        <v>396</v>
      </c>
      <c r="L20" t="s">
        <v>397</v>
      </c>
      <c r="M20" t="s">
        <v>194</v>
      </c>
      <c r="N20">
        <v>2029</v>
      </c>
      <c r="O20" t="s">
        <v>155</v>
      </c>
      <c r="P20" s="1">
        <v>46068</v>
      </c>
      <c r="Q20" s="1">
        <v>46371</v>
      </c>
      <c r="R20" s="1">
        <v>46736</v>
      </c>
      <c r="S20" s="1">
        <v>47102</v>
      </c>
      <c r="T20" s="1" t="e">
        <f xml:space="preserve"> IF(#REF! = "", "X",IF(#REF! &lt;= DATE(#REF!- 3, 12, 15),"5.Respect OPC",IF(#REF! &lt;= DATE(#REF!-2, 4, 1),"3.À risque","1.Très à risque")))</f>
        <v>#REF!</v>
      </c>
      <c r="U20" s="1" t="e">
        <f xml:space="preserve"> IF(#REF! = "", "X",IF(#REF! &lt;= DATE(#REF!- 2, 12, 15),"5.Respect OPC",IF(#REF! &lt;= DATE(#REF!-1, 4, 1),"3.À risque","1.Très à risque")))</f>
        <v>#REF!</v>
      </c>
      <c r="V20" s="1" t="e">
        <f xml:space="preserve"> IF(#REF! = "", "X",IF(#REF! &lt;= DATE(#REF!- 1, 12, 15),"5.Respect OPC",IF(#REF! &lt;= DATE(#REF!, 4, 1),"3.À risque","1.Très à risque")))</f>
        <v>#REF!</v>
      </c>
      <c r="W20" s="1" t="e">
        <f xml:space="preserve"> (YEAR(#REF!) - YEAR(#REF!)) * 12 + MONTH(#REF!) - MONTH(#REF!)</f>
        <v>#REF!</v>
      </c>
      <c r="X20" s="1" t="e">
        <f xml:space="preserve"> (YEAR(#REF!) - YEAR(#REF!)) * 12 + MONTH(#REF!) - MONTH(#REF!)</f>
        <v>#REF!</v>
      </c>
      <c r="Y20" s="1" t="e">
        <f>#REF!+#REF!</f>
        <v>#REF!</v>
      </c>
      <c r="Z20">
        <v>5</v>
      </c>
      <c r="AA20">
        <v>1</v>
      </c>
      <c r="AB20">
        <v>5</v>
      </c>
      <c r="AC20" t="s">
        <v>156</v>
      </c>
      <c r="AD20">
        <v>3.3333333333333335</v>
      </c>
      <c r="AE20" s="2" t="e">
        <f>_xlfn.XLOOKUP(#REF!,Portefeuille_MNT_PPS_Access27[Numéro projet],Portefeuille_MNT_PPS_Access27[Critère Etat Infrastructure])</f>
        <v>#REF!</v>
      </c>
      <c r="AF20" s="12" t="e">
        <f>IF(#REF!=5,100, SUM(IF(#REF!="",#REF!*$AE$8/5,#REF!*$AE$8/5),#REF!* $AE$10/5,#REF!* $AE$9/5,#REF!* $AE$7/5)*100)</f>
        <v>#REF!</v>
      </c>
      <c r="AG20" s="221"/>
      <c r="AH20">
        <v>0</v>
      </c>
      <c r="AI20">
        <v>0</v>
      </c>
      <c r="AJ20">
        <v>0</v>
      </c>
      <c r="AK20">
        <v>0</v>
      </c>
      <c r="AL20">
        <v>75</v>
      </c>
      <c r="AM20">
        <v>0</v>
      </c>
      <c r="AN20">
        <v>250</v>
      </c>
      <c r="AO20">
        <v>0</v>
      </c>
      <c r="AP20">
        <v>675</v>
      </c>
      <c r="AQ20">
        <v>10500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11500</v>
      </c>
      <c r="BI20">
        <v>11500</v>
      </c>
      <c r="BJ20">
        <v>11500</v>
      </c>
      <c r="DL20"/>
    </row>
    <row r="21" spans="1:116" hidden="1" x14ac:dyDescent="0.3">
      <c r="A21" t="s">
        <v>11</v>
      </c>
      <c r="B21" t="s">
        <v>662</v>
      </c>
      <c r="C21" t="s">
        <v>733</v>
      </c>
      <c r="D21" t="s">
        <v>118</v>
      </c>
      <c r="E21" t="s">
        <v>102</v>
      </c>
      <c r="F21" t="s">
        <v>177</v>
      </c>
      <c r="G21" t="s">
        <v>252</v>
      </c>
      <c r="H21" t="s">
        <v>20</v>
      </c>
      <c r="I21" t="s">
        <v>20</v>
      </c>
      <c r="J21" t="s">
        <v>131</v>
      </c>
      <c r="K21" t="s">
        <v>448</v>
      </c>
      <c r="L21" t="s">
        <v>449</v>
      </c>
      <c r="M21" t="s">
        <v>159</v>
      </c>
      <c r="N21">
        <v>2027</v>
      </c>
      <c r="O21" t="s">
        <v>291</v>
      </c>
      <c r="P21" s="1"/>
      <c r="Q21" s="1"/>
      <c r="R21" s="1"/>
      <c r="S21" s="1"/>
      <c r="T21" s="1" t="e">
        <f xml:space="preserve"> IF(#REF! = "", "X",IF(#REF! &lt;= DATE(#REF!- 3, 12, 15),"5.Respect OPC",IF(#REF! &lt;= DATE(#REF!-2, 4, 1),"3.À risque","1.Très à risque")))</f>
        <v>#REF!</v>
      </c>
      <c r="U21" s="1" t="e">
        <f xml:space="preserve"> IF(#REF! = "", "X",IF(#REF! &lt;= DATE(#REF!- 2, 12, 15),"5.Respect OPC",IF(#REF! &lt;= DATE(#REF!-1, 4, 1),"3.À risque","1.Très à risque")))</f>
        <v>#REF!</v>
      </c>
      <c r="V21" s="1" t="e">
        <f xml:space="preserve"> IF(#REF! = "", "X",IF(#REF! &lt;= DATE(#REF!- 1, 12, 15),"5.Respect OPC",IF(#REF! &lt;= DATE(#REF!, 4, 1),"3.À risque","1.Très à risque")))</f>
        <v>#REF!</v>
      </c>
      <c r="W21" s="1" t="e">
        <f xml:space="preserve"> (YEAR(#REF!) - YEAR(#REF!)) * 12 + MONTH(#REF!) - MONTH(#REF!)</f>
        <v>#REF!</v>
      </c>
      <c r="X21" s="1" t="e">
        <f xml:space="preserve"> (YEAR(#REF!) - YEAR(#REF!)) * 12 + MONTH(#REF!) - MONTH(#REF!)</f>
        <v>#REF!</v>
      </c>
      <c r="Y21" s="1" t="e">
        <f>#REF!+#REF!</f>
        <v>#REF!</v>
      </c>
      <c r="Z21">
        <v>5</v>
      </c>
      <c r="AA21">
        <v>1</v>
      </c>
      <c r="AB21">
        <v>3</v>
      </c>
      <c r="AC21" t="s">
        <v>311</v>
      </c>
      <c r="AD21">
        <v>4.333333333333333</v>
      </c>
      <c r="AE21" s="2" t="e">
        <f>_xlfn.XLOOKUP(#REF!,Portefeuille_MNT_PPS_Access27[Numéro projet],Portefeuille_MNT_PPS_Access27[Critère Etat Infrastructure])</f>
        <v>#REF!</v>
      </c>
      <c r="AF21" s="12" t="e">
        <f>IF(#REF!=5,100, SUM(IF(#REF!="",#REF!*$AE$8/5,#REF!*$AE$8/5),#REF!* $AE$10/5,#REF!* $AE$9/5,#REF!* $AE$7/5)*100)</f>
        <v>#REF!</v>
      </c>
      <c r="AG21" s="221"/>
      <c r="AH21">
        <v>0</v>
      </c>
      <c r="AI21">
        <v>0</v>
      </c>
      <c r="AJ21">
        <v>0</v>
      </c>
      <c r="AK21">
        <v>0</v>
      </c>
      <c r="AL21">
        <v>0</v>
      </c>
      <c r="AM21">
        <v>100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100</v>
      </c>
      <c r="BI21">
        <v>100</v>
      </c>
      <c r="BJ21">
        <v>100</v>
      </c>
      <c r="DL21"/>
    </row>
    <row r="22" spans="1:116" hidden="1" x14ac:dyDescent="0.3">
      <c r="A22" t="s">
        <v>286</v>
      </c>
      <c r="B22" t="s">
        <v>663</v>
      </c>
      <c r="C22" t="s">
        <v>733</v>
      </c>
      <c r="D22" t="s">
        <v>101</v>
      </c>
      <c r="E22" t="s">
        <v>102</v>
      </c>
      <c r="F22" t="s">
        <v>119</v>
      </c>
      <c r="G22" t="s">
        <v>129</v>
      </c>
      <c r="H22" t="s">
        <v>16</v>
      </c>
      <c r="I22" t="s">
        <v>16</v>
      </c>
      <c r="J22" t="s">
        <v>131</v>
      </c>
      <c r="K22" t="s">
        <v>153</v>
      </c>
      <c r="L22" t="s">
        <v>154</v>
      </c>
      <c r="M22" t="s">
        <v>134</v>
      </c>
      <c r="N22">
        <v>2026</v>
      </c>
      <c r="O22" t="s">
        <v>123</v>
      </c>
      <c r="P22" s="1"/>
      <c r="Q22" s="1">
        <v>45601</v>
      </c>
      <c r="R22" s="1">
        <v>45731</v>
      </c>
      <c r="S22" s="1">
        <v>45976</v>
      </c>
      <c r="T22" s="1" t="e">
        <f xml:space="preserve"> IF(#REF! = "", "X",IF(#REF! &lt;= DATE(#REF!- 3, 12, 15),"5.Respect OPC",IF(#REF! &lt;= DATE(#REF!-2, 4, 1),"3.À risque","1.Très à risque")))</f>
        <v>#REF!</v>
      </c>
      <c r="U22" s="1" t="e">
        <f xml:space="preserve"> IF(#REF! = "", "X",IF(#REF! &lt;= DATE(#REF!- 2, 12, 15),"5.Respect OPC",IF(#REF! &lt;= DATE(#REF!-1, 4, 1),"3.À risque","1.Très à risque")))</f>
        <v>#REF!</v>
      </c>
      <c r="V22" s="1" t="e">
        <f xml:space="preserve"> IF(#REF! = "", "X",IF(#REF! &lt;= DATE(#REF!- 1, 12, 15),"5.Respect OPC",IF(#REF! &lt;= DATE(#REF!, 4, 1),"3.À risque","1.Très à risque")))</f>
        <v>#REF!</v>
      </c>
      <c r="W22" s="1" t="e">
        <f xml:space="preserve"> (YEAR(#REF!) - YEAR(#REF!)) * 12 + MONTH(#REF!) - MONTH(#REF!)</f>
        <v>#REF!</v>
      </c>
      <c r="X22" s="1" t="e">
        <f xml:space="preserve"> (YEAR(#REF!) - YEAR(#REF!)) * 12 + MONTH(#REF!) - MONTH(#REF!)</f>
        <v>#REF!</v>
      </c>
      <c r="Y22" s="1" t="e">
        <f>#REF!+#REF!</f>
        <v>#REF!</v>
      </c>
      <c r="Z22">
        <v>5</v>
      </c>
      <c r="AA22">
        <v>5</v>
      </c>
      <c r="AC22" t="s">
        <v>125</v>
      </c>
      <c r="AD22">
        <v>2.3333333333333335</v>
      </c>
      <c r="AE22" s="2" t="e">
        <f>_xlfn.XLOOKUP(#REF!,Portefeuille_MNT_PPS_Access27[Numéro projet],Portefeuille_MNT_PPS_Access27[Critère Etat Infrastructure])</f>
        <v>#REF!</v>
      </c>
      <c r="AF22" s="12" t="e">
        <f>IF(#REF!=5,100, SUM(IF(#REF!="",#REF!*$AE$8/5,#REF!*$AE$8/5),#REF!* $AE$10/5,#REF!* $AE$9/5,#REF!* $AE$7/5)*100)</f>
        <v>#REF!</v>
      </c>
      <c r="AG22" s="221"/>
      <c r="AH22">
        <v>20</v>
      </c>
      <c r="AI22">
        <v>0</v>
      </c>
      <c r="AJ22">
        <v>55</v>
      </c>
      <c r="AK22">
        <v>543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618</v>
      </c>
      <c r="DL22"/>
    </row>
    <row r="23" spans="1:116" hidden="1" x14ac:dyDescent="0.3">
      <c r="A23" t="s">
        <v>286</v>
      </c>
      <c r="B23" t="s">
        <v>664</v>
      </c>
      <c r="C23" t="s">
        <v>733</v>
      </c>
      <c r="D23" t="s">
        <v>101</v>
      </c>
      <c r="E23" t="s">
        <v>102</v>
      </c>
      <c r="F23" t="s">
        <v>103</v>
      </c>
      <c r="G23" t="s">
        <v>129</v>
      </c>
      <c r="H23" t="s">
        <v>20</v>
      </c>
      <c r="I23" t="s">
        <v>20</v>
      </c>
      <c r="J23" t="s">
        <v>131</v>
      </c>
      <c r="K23" t="s">
        <v>653</v>
      </c>
      <c r="L23" t="s">
        <v>654</v>
      </c>
      <c r="M23" t="s">
        <v>134</v>
      </c>
      <c r="N23">
        <v>2029</v>
      </c>
      <c r="O23" t="s">
        <v>291</v>
      </c>
      <c r="P23" s="1"/>
      <c r="Q23" s="1"/>
      <c r="R23" s="1"/>
      <c r="S23" s="1"/>
      <c r="T23" s="1" t="e">
        <f xml:space="preserve"> IF(#REF! = "", "X",IF(#REF! &lt;= DATE(#REF!- 3, 12, 15),"5.Respect OPC",IF(#REF! &lt;= DATE(#REF!-2, 4, 1),"3.À risque","1.Très à risque")))</f>
        <v>#REF!</v>
      </c>
      <c r="U23" s="1" t="e">
        <f xml:space="preserve"> IF(#REF! = "", "X",IF(#REF! &lt;= DATE(#REF!- 2, 12, 15),"5.Respect OPC",IF(#REF! &lt;= DATE(#REF!-1, 4, 1),"3.À risque","1.Très à risque")))</f>
        <v>#REF!</v>
      </c>
      <c r="V23" s="1" t="e">
        <f xml:space="preserve"> IF(#REF! = "", "X",IF(#REF! &lt;= DATE(#REF!- 1, 12, 15),"5.Respect OPC",IF(#REF! &lt;= DATE(#REF!, 4, 1),"3.À risque","1.Très à risque")))</f>
        <v>#REF!</v>
      </c>
      <c r="W23" s="1" t="e">
        <f xml:space="preserve"> (YEAR(#REF!) - YEAR(#REF!)) * 12 + MONTH(#REF!) - MONTH(#REF!)</f>
        <v>#REF!</v>
      </c>
      <c r="X23" s="1" t="e">
        <f xml:space="preserve"> (YEAR(#REF!) - YEAR(#REF!)) * 12 + MONTH(#REF!) - MONTH(#REF!)</f>
        <v>#REF!</v>
      </c>
      <c r="Y23" s="1" t="e">
        <f>#REF!+#REF!</f>
        <v>#REF!</v>
      </c>
      <c r="Z23">
        <v>5</v>
      </c>
      <c r="AA23">
        <v>1</v>
      </c>
      <c r="AB23">
        <v>3</v>
      </c>
      <c r="AC23" t="s">
        <v>311</v>
      </c>
      <c r="AD23">
        <v>1.3333333333333333</v>
      </c>
      <c r="AE23" s="2" t="e">
        <f>_xlfn.XLOOKUP(#REF!,Portefeuille_MNT_PPS_Access27[Numéro projet],Portefeuille_MNT_PPS_Access27[Critère Etat Infrastructure])</f>
        <v>#REF!</v>
      </c>
      <c r="AF23" s="12" t="e">
        <f>IF(#REF!=5,100, SUM(IF(#REF!="",#REF!*$AE$8/5,#REF!*$AE$8/5),#REF!* $AE$10/5,#REF!* $AE$9/5,#REF!* $AE$7/5)*100)</f>
        <v>#REF!</v>
      </c>
      <c r="AG23" s="221"/>
      <c r="AH23">
        <v>0</v>
      </c>
      <c r="AI23">
        <v>0</v>
      </c>
      <c r="AJ23">
        <v>0</v>
      </c>
      <c r="AK23">
        <v>0</v>
      </c>
      <c r="AL23">
        <v>125</v>
      </c>
      <c r="AM23">
        <v>0</v>
      </c>
      <c r="AN23">
        <v>125</v>
      </c>
      <c r="AO23">
        <v>0</v>
      </c>
      <c r="AP23">
        <v>250</v>
      </c>
      <c r="AQ23">
        <v>1000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1500</v>
      </c>
      <c r="BI23">
        <v>1500</v>
      </c>
      <c r="BJ23">
        <v>1500</v>
      </c>
      <c r="DL23"/>
    </row>
    <row r="24" spans="1:116" hidden="1" x14ac:dyDescent="0.3">
      <c r="A24" t="s">
        <v>286</v>
      </c>
      <c r="B24" t="s">
        <v>662</v>
      </c>
      <c r="C24" t="s">
        <v>125</v>
      </c>
      <c r="D24" t="s">
        <v>118</v>
      </c>
      <c r="E24" t="s">
        <v>102</v>
      </c>
      <c r="F24" t="s">
        <v>136</v>
      </c>
      <c r="G24" t="s">
        <v>104</v>
      </c>
      <c r="H24" t="s">
        <v>16</v>
      </c>
      <c r="I24" t="s">
        <v>20</v>
      </c>
      <c r="J24" t="s">
        <v>131</v>
      </c>
      <c r="K24" t="s">
        <v>157</v>
      </c>
      <c r="L24" t="s">
        <v>158</v>
      </c>
      <c r="M24" t="s">
        <v>159</v>
      </c>
      <c r="N24">
        <v>2026</v>
      </c>
      <c r="O24" t="s">
        <v>155</v>
      </c>
      <c r="P24" s="1"/>
      <c r="Q24" s="1">
        <v>45991</v>
      </c>
      <c r="R24" s="1"/>
      <c r="S24" s="1">
        <v>46249</v>
      </c>
      <c r="T24" s="1" t="e">
        <f xml:space="preserve"> IF(#REF! = "", "X",IF(#REF! &lt;= DATE(#REF!- 3, 12, 15),"5.Respect OPC",IF(#REF! &lt;= DATE(#REF!-2, 4, 1),"3.À risque","1.Très à risque")))</f>
        <v>#REF!</v>
      </c>
      <c r="U24" s="1" t="e">
        <f xml:space="preserve"> IF(#REF! = "", "X",IF(#REF! &lt;= DATE(#REF!- 2, 12, 15),"5.Respect OPC",IF(#REF! &lt;= DATE(#REF!-1, 4, 1),"3.À risque","1.Très à risque")))</f>
        <v>#REF!</v>
      </c>
      <c r="V24" s="1" t="e">
        <f xml:space="preserve"> IF(#REF! = "", "X",IF(#REF! &lt;= DATE(#REF!- 1, 12, 15),"5.Respect OPC",IF(#REF! &lt;= DATE(#REF!, 4, 1),"3.À risque","1.Très à risque")))</f>
        <v>#REF!</v>
      </c>
      <c r="W24" s="1" t="e">
        <f xml:space="preserve"> (YEAR(#REF!) - YEAR(#REF!)) * 12 + MONTH(#REF!) - MONTH(#REF!)</f>
        <v>#REF!</v>
      </c>
      <c r="X24" s="1" t="e">
        <f xml:space="preserve"> (YEAR(#REF!) - YEAR(#REF!)) * 12 + MONTH(#REF!) - MONTH(#REF!)</f>
        <v>#REF!</v>
      </c>
      <c r="Y24" s="1" t="e">
        <f>#REF!+#REF!</f>
        <v>#REF!</v>
      </c>
      <c r="Z24">
        <v>5</v>
      </c>
      <c r="AA24">
        <v>1</v>
      </c>
      <c r="AC24" t="s">
        <v>156</v>
      </c>
      <c r="AD24">
        <v>4.333333333333333</v>
      </c>
      <c r="AE24" s="2" t="e">
        <f>_xlfn.XLOOKUP(#REF!,Portefeuille_MNT_PPS_Access27[Numéro projet],Portefeuille_MNT_PPS_Access27[Critère Etat Infrastructure])</f>
        <v>#REF!</v>
      </c>
      <c r="AF24" s="12" t="e">
        <f>IF(#REF!=5,100, SUM(IF(#REF!="",#REF!*$AE$8/5,#REF!*$AE$8/5),#REF!* $AE$10/5,#REF!* $AE$9/5,#REF!* $AE$7/5)*100)</f>
        <v>#REF!</v>
      </c>
      <c r="AG24" s="221"/>
      <c r="AH24">
        <v>75</v>
      </c>
      <c r="AI24">
        <v>0</v>
      </c>
      <c r="AJ24">
        <v>75</v>
      </c>
      <c r="AK24">
        <v>600</v>
      </c>
      <c r="AL24">
        <v>150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950</v>
      </c>
      <c r="BI24">
        <v>200</v>
      </c>
      <c r="BJ24">
        <v>200</v>
      </c>
      <c r="DL24"/>
    </row>
    <row r="25" spans="1:116" hidden="1" x14ac:dyDescent="0.3">
      <c r="A25" t="s">
        <v>286</v>
      </c>
      <c r="B25" t="s">
        <v>295</v>
      </c>
      <c r="C25" t="s">
        <v>733</v>
      </c>
      <c r="D25" t="s">
        <v>126</v>
      </c>
      <c r="E25" t="s">
        <v>127</v>
      </c>
      <c r="F25" t="s">
        <v>128</v>
      </c>
      <c r="G25" t="s">
        <v>252</v>
      </c>
      <c r="H25" t="s">
        <v>16</v>
      </c>
      <c r="I25" t="s">
        <v>16</v>
      </c>
      <c r="J25" t="s">
        <v>131</v>
      </c>
      <c r="K25" t="s">
        <v>253</v>
      </c>
      <c r="L25" t="s">
        <v>254</v>
      </c>
      <c r="M25" t="s">
        <v>147</v>
      </c>
      <c r="N25">
        <v>2026</v>
      </c>
      <c r="O25" t="s">
        <v>291</v>
      </c>
      <c r="P25" s="1"/>
      <c r="Q25" s="1"/>
      <c r="R25" s="1"/>
      <c r="S25" s="1"/>
      <c r="T25" s="1" t="e">
        <f xml:space="preserve"> IF(#REF! = "", "X",IF(#REF! &lt;= DATE(#REF!- 3, 12, 15),"5.Respect OPC",IF(#REF! &lt;= DATE(#REF!-2, 4, 1),"3.À risque","1.Très à risque")))</f>
        <v>#REF!</v>
      </c>
      <c r="U25" s="1" t="e">
        <f xml:space="preserve"> IF(#REF! = "", "X",IF(#REF! &lt;= DATE(#REF!- 2, 12, 15),"5.Respect OPC",IF(#REF! &lt;= DATE(#REF!-1, 4, 1),"3.À risque","1.Très à risque")))</f>
        <v>#REF!</v>
      </c>
      <c r="V25" s="1" t="e">
        <f xml:space="preserve"> IF(#REF! = "", "X",IF(#REF! &lt;= DATE(#REF!- 1, 12, 15),"5.Respect OPC",IF(#REF! &lt;= DATE(#REF!, 4, 1),"3.À risque","1.Très à risque")))</f>
        <v>#REF!</v>
      </c>
      <c r="W25" s="1" t="e">
        <f xml:space="preserve"> (YEAR(#REF!) - YEAR(#REF!)) * 12 + MONTH(#REF!) - MONTH(#REF!)</f>
        <v>#REF!</v>
      </c>
      <c r="X25" s="1" t="e">
        <f xml:space="preserve"> (YEAR(#REF!) - YEAR(#REF!)) * 12 + MONTH(#REF!) - MONTH(#REF!)</f>
        <v>#REF!</v>
      </c>
      <c r="Y25" s="1" t="e">
        <f>#REF!+#REF!</f>
        <v>#REF!</v>
      </c>
      <c r="Z25">
        <v>5</v>
      </c>
      <c r="AA25">
        <v>1</v>
      </c>
      <c r="AC25" t="s">
        <v>311</v>
      </c>
      <c r="AD25">
        <v>2.6666666666666665</v>
      </c>
      <c r="AE25" s="2" t="e">
        <f>_xlfn.XLOOKUP(#REF!,Portefeuille_MNT_PPS_Access27[Numéro projet],Portefeuille_MNT_PPS_Access27[Critère Etat Infrastructure])</f>
        <v>#REF!</v>
      </c>
      <c r="AF25" s="12" t="e">
        <f>IF(#REF!=5,100, SUM(IF(#REF!="",#REF!*$AE$8/5,#REF!*$AE$8/5),#REF!* $AE$10/5,#REF!* $AE$9/5,#REF!* $AE$7/5)*100)</f>
        <v>#REF!</v>
      </c>
      <c r="AG25" s="221"/>
      <c r="AH25">
        <v>0</v>
      </c>
      <c r="AI25">
        <v>0</v>
      </c>
      <c r="AJ25">
        <v>10</v>
      </c>
      <c r="AK25">
        <v>39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49</v>
      </c>
      <c r="DL25"/>
    </row>
    <row r="26" spans="1:116" hidden="1" x14ac:dyDescent="0.3">
      <c r="A26" t="s">
        <v>286</v>
      </c>
      <c r="B26" t="s">
        <v>663</v>
      </c>
      <c r="C26" t="s">
        <v>735</v>
      </c>
      <c r="D26" t="s">
        <v>101</v>
      </c>
      <c r="E26" t="s">
        <v>102</v>
      </c>
      <c r="F26" t="s">
        <v>103</v>
      </c>
      <c r="G26" t="s">
        <v>140</v>
      </c>
      <c r="H26" t="s">
        <v>16</v>
      </c>
      <c r="I26" t="s">
        <v>20</v>
      </c>
      <c r="K26" t="s">
        <v>246</v>
      </c>
      <c r="L26" t="s">
        <v>515</v>
      </c>
      <c r="M26" t="s">
        <v>725</v>
      </c>
      <c r="N26">
        <v>2027</v>
      </c>
      <c r="O26" t="s">
        <v>110</v>
      </c>
      <c r="P26" s="1"/>
      <c r="Q26" s="1">
        <v>45679</v>
      </c>
      <c r="R26" s="1">
        <v>46096</v>
      </c>
      <c r="S26" s="1">
        <v>46371</v>
      </c>
      <c r="T26" s="1" t="e">
        <f xml:space="preserve"> IF(#REF! = "", "X",IF(#REF! &lt;= DATE(#REF!- 3, 12, 15),"5.Respect OPC",IF(#REF! &lt;= DATE(#REF!-2, 4, 1),"3.À risque","1.Très à risque")))</f>
        <v>#REF!</v>
      </c>
      <c r="U26" s="1" t="e">
        <f xml:space="preserve"> IF(#REF! = "", "X",IF(#REF! &lt;= DATE(#REF!- 2, 12, 15),"5.Respect OPC",IF(#REF! &lt;= DATE(#REF!-1, 4, 1),"3.À risque","1.Très à risque")))</f>
        <v>#REF!</v>
      </c>
      <c r="V26" s="1" t="e">
        <f xml:space="preserve"> IF(#REF! = "", "X",IF(#REF! &lt;= DATE(#REF!- 1, 12, 15),"5.Respect OPC",IF(#REF! &lt;= DATE(#REF!, 4, 1),"3.À risque","1.Très à risque")))</f>
        <v>#REF!</v>
      </c>
      <c r="W26" s="1" t="e">
        <f xml:space="preserve"> (YEAR(#REF!) - YEAR(#REF!)) * 12 + MONTH(#REF!) - MONTH(#REF!)</f>
        <v>#REF!</v>
      </c>
      <c r="X26" s="1" t="e">
        <f xml:space="preserve"> (YEAR(#REF!) - YEAR(#REF!)) * 12 + MONTH(#REF!) - MONTH(#REF!)</f>
        <v>#REF!</v>
      </c>
      <c r="Y26" s="1" t="e">
        <f>#REF!+#REF!</f>
        <v>#REF!</v>
      </c>
      <c r="Z26">
        <v>5</v>
      </c>
      <c r="AA26">
        <v>1</v>
      </c>
      <c r="AB26">
        <v>5</v>
      </c>
      <c r="AC26" t="s">
        <v>112</v>
      </c>
      <c r="AD26">
        <v>1.8333333333333335</v>
      </c>
      <c r="AE26" s="2" t="e">
        <f>_xlfn.XLOOKUP(#REF!,Portefeuille_MNT_PPS_Access27[Numéro projet],Portefeuille_MNT_PPS_Access27[Critère Etat Infrastructure])</f>
        <v>#REF!</v>
      </c>
      <c r="AF26" s="12" t="e">
        <f>IF(#REF!=5,100, SUM(IF(#REF!="",#REF!*$AE$8/5,#REF!*$AE$8/5),#REF!* $AE$10/5,#REF!* $AE$9/5,#REF!* $AE$7/5)*100)</f>
        <v>#REF!</v>
      </c>
      <c r="AG26" s="221"/>
      <c r="AH26">
        <v>200</v>
      </c>
      <c r="AI26">
        <v>0</v>
      </c>
      <c r="AJ26">
        <v>110</v>
      </c>
      <c r="AK26">
        <v>0</v>
      </c>
      <c r="AL26">
        <v>82</v>
      </c>
      <c r="AM26">
        <v>3475</v>
      </c>
      <c r="AN26">
        <v>81</v>
      </c>
      <c r="AO26">
        <v>427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4375</v>
      </c>
      <c r="BI26">
        <v>4065</v>
      </c>
      <c r="BJ26">
        <v>4065</v>
      </c>
      <c r="DL26"/>
    </row>
    <row r="27" spans="1:116" hidden="1" x14ac:dyDescent="0.3">
      <c r="A27" t="s">
        <v>286</v>
      </c>
      <c r="B27" t="s">
        <v>664</v>
      </c>
      <c r="C27" t="s">
        <v>733</v>
      </c>
      <c r="D27" t="s">
        <v>101</v>
      </c>
      <c r="E27" t="s">
        <v>102</v>
      </c>
      <c r="F27" t="s">
        <v>128</v>
      </c>
      <c r="G27" t="s">
        <v>129</v>
      </c>
      <c r="H27" t="s">
        <v>16</v>
      </c>
      <c r="I27" t="s">
        <v>20</v>
      </c>
      <c r="J27" t="s">
        <v>131</v>
      </c>
      <c r="K27" t="s">
        <v>250</v>
      </c>
      <c r="L27" t="s">
        <v>251</v>
      </c>
      <c r="M27" t="s">
        <v>214</v>
      </c>
      <c r="N27">
        <v>2028</v>
      </c>
      <c r="O27" t="s">
        <v>110</v>
      </c>
      <c r="P27" s="1"/>
      <c r="Q27" s="1">
        <v>45490</v>
      </c>
      <c r="R27" s="1"/>
      <c r="S27" s="1">
        <v>46447</v>
      </c>
      <c r="T27" s="1" t="e">
        <f xml:space="preserve"> IF(#REF! = "", "X",IF(#REF! &lt;= DATE(#REF!- 3, 12, 15),"5.Respect OPC",IF(#REF! &lt;= DATE(#REF!-2, 4, 1),"3.À risque","1.Très à risque")))</f>
        <v>#REF!</v>
      </c>
      <c r="U27" s="1" t="e">
        <f xml:space="preserve"> IF(#REF! = "", "X",IF(#REF! &lt;= DATE(#REF!- 2, 12, 15),"5.Respect OPC",IF(#REF! &lt;= DATE(#REF!-1, 4, 1),"3.À risque","1.Très à risque")))</f>
        <v>#REF!</v>
      </c>
      <c r="V27" s="1" t="e">
        <f xml:space="preserve"> IF(#REF! = "", "X",IF(#REF! &lt;= DATE(#REF!- 1, 12, 15),"5.Respect OPC",IF(#REF! &lt;= DATE(#REF!, 4, 1),"3.À risque","1.Très à risque")))</f>
        <v>#REF!</v>
      </c>
      <c r="W27" s="1" t="e">
        <f xml:space="preserve"> (YEAR(#REF!) - YEAR(#REF!)) * 12 + MONTH(#REF!) - MONTH(#REF!)</f>
        <v>#REF!</v>
      </c>
      <c r="X27" s="1" t="e">
        <f xml:space="preserve"> (YEAR(#REF!) - YEAR(#REF!)) * 12 + MONTH(#REF!) - MONTH(#REF!)</f>
        <v>#REF!</v>
      </c>
      <c r="Y27" s="1" t="e">
        <f>#REF!+#REF!</f>
        <v>#REF!</v>
      </c>
      <c r="Z27">
        <v>5</v>
      </c>
      <c r="AA27">
        <v>1</v>
      </c>
      <c r="AB27">
        <v>3</v>
      </c>
      <c r="AC27" t="s">
        <v>112</v>
      </c>
      <c r="AD27">
        <v>3</v>
      </c>
      <c r="AE27" s="2" t="e">
        <f>_xlfn.XLOOKUP(#REF!,Portefeuille_MNT_PPS_Access27[Numéro projet],Portefeuille_MNT_PPS_Access27[Critère Etat Infrastructure])</f>
        <v>#REF!</v>
      </c>
      <c r="AF27" s="12" t="e">
        <f>IF(#REF!=5,100, SUM(IF(#REF!="",#REF!*$AE$8/5,#REF!*$AE$8/5),#REF!* $AE$10/5,#REF!* $AE$9/5,#REF!* $AE$7/5)*100)</f>
        <v>#REF!</v>
      </c>
      <c r="AG27" s="221"/>
      <c r="AH27">
        <v>37</v>
      </c>
      <c r="AI27">
        <v>0</v>
      </c>
      <c r="AJ27">
        <v>10</v>
      </c>
      <c r="AK27">
        <v>0</v>
      </c>
      <c r="AL27">
        <v>12</v>
      </c>
      <c r="AM27">
        <v>0</v>
      </c>
      <c r="AN27">
        <v>30</v>
      </c>
      <c r="AO27">
        <v>194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283</v>
      </c>
      <c r="BI27">
        <v>236</v>
      </c>
      <c r="BJ27">
        <v>236</v>
      </c>
      <c r="DL27"/>
    </row>
    <row r="28" spans="1:116" hidden="1" x14ac:dyDescent="0.3">
      <c r="A28" t="s">
        <v>286</v>
      </c>
      <c r="B28" t="s">
        <v>662</v>
      </c>
      <c r="C28" t="s">
        <v>112</v>
      </c>
      <c r="D28" t="s">
        <v>118</v>
      </c>
      <c r="E28" t="s">
        <v>102</v>
      </c>
      <c r="F28" t="s">
        <v>177</v>
      </c>
      <c r="G28" t="s">
        <v>113</v>
      </c>
      <c r="H28" t="s">
        <v>16</v>
      </c>
      <c r="I28" t="s">
        <v>20</v>
      </c>
      <c r="J28" t="s">
        <v>131</v>
      </c>
      <c r="K28" t="s">
        <v>240</v>
      </c>
      <c r="L28" t="s">
        <v>241</v>
      </c>
      <c r="M28" t="s">
        <v>187</v>
      </c>
      <c r="N28">
        <v>2027</v>
      </c>
      <c r="O28" t="s">
        <v>110</v>
      </c>
      <c r="P28" s="1"/>
      <c r="Q28" s="1">
        <v>45708</v>
      </c>
      <c r="R28" s="1">
        <v>45923</v>
      </c>
      <c r="S28" s="1">
        <v>46296</v>
      </c>
      <c r="T28" s="1" t="e">
        <f xml:space="preserve"> IF(#REF! = "", "X",IF(#REF! &lt;= DATE(#REF!- 3, 12, 15),"5.Respect OPC",IF(#REF! &lt;= DATE(#REF!-2, 4, 1),"3.À risque","1.Très à risque")))</f>
        <v>#REF!</v>
      </c>
      <c r="U28" s="1" t="e">
        <f xml:space="preserve"> IF(#REF! = "", "X",IF(#REF! &lt;= DATE(#REF!- 2, 12, 15),"5.Respect OPC",IF(#REF! &lt;= DATE(#REF!-1, 4, 1),"3.À risque","1.Très à risque")))</f>
        <v>#REF!</v>
      </c>
      <c r="V28" s="1" t="e">
        <f xml:space="preserve"> IF(#REF! = "", "X",IF(#REF! &lt;= DATE(#REF!- 1, 12, 15),"5.Respect OPC",IF(#REF! &lt;= DATE(#REF!, 4, 1),"3.À risque","1.Très à risque")))</f>
        <v>#REF!</v>
      </c>
      <c r="W28" s="1" t="e">
        <f xml:space="preserve"> (YEAR(#REF!) - YEAR(#REF!)) * 12 + MONTH(#REF!) - MONTH(#REF!)</f>
        <v>#REF!</v>
      </c>
      <c r="X28" s="1" t="e">
        <f xml:space="preserve"> (YEAR(#REF!) - YEAR(#REF!)) * 12 + MONTH(#REF!) - MONTH(#REF!)</f>
        <v>#REF!</v>
      </c>
      <c r="Y28" s="1" t="e">
        <f>#REF!+#REF!</f>
        <v>#REF!</v>
      </c>
      <c r="Z28">
        <v>5</v>
      </c>
      <c r="AA28">
        <v>1</v>
      </c>
      <c r="AB28">
        <v>5</v>
      </c>
      <c r="AC28" t="s">
        <v>112</v>
      </c>
      <c r="AD28">
        <v>3</v>
      </c>
      <c r="AE28" s="2" t="e">
        <f>_xlfn.XLOOKUP(#REF!,Portefeuille_MNT_PPS_Access27[Numéro projet],Portefeuille_MNT_PPS_Access27[Critère Etat Infrastructure])</f>
        <v>#REF!</v>
      </c>
      <c r="AF28" s="12" t="e">
        <f>IF(#REF!=5,100, SUM(IF(#REF!="",#REF!*$AE$8/5,#REF!*$AE$8/5),#REF!* $AE$10/5,#REF!* $AE$9/5,#REF!* $AE$7/5)*100)</f>
        <v>#REF!</v>
      </c>
      <c r="AG28" s="221"/>
      <c r="AH28">
        <v>217</v>
      </c>
      <c r="AI28">
        <v>0</v>
      </c>
      <c r="AJ28">
        <v>72</v>
      </c>
      <c r="AK28">
        <v>0</v>
      </c>
      <c r="AL28">
        <v>295</v>
      </c>
      <c r="AM28">
        <v>5162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5746</v>
      </c>
      <c r="BI28">
        <v>5457</v>
      </c>
      <c r="BJ28">
        <v>5457</v>
      </c>
      <c r="DL28"/>
    </row>
    <row r="29" spans="1:116" hidden="1" x14ac:dyDescent="0.3">
      <c r="A29" t="s">
        <v>286</v>
      </c>
      <c r="B29" t="s">
        <v>662</v>
      </c>
      <c r="C29" t="s">
        <v>733</v>
      </c>
      <c r="D29" t="s">
        <v>118</v>
      </c>
      <c r="E29" t="s">
        <v>102</v>
      </c>
      <c r="F29" t="s">
        <v>136</v>
      </c>
      <c r="G29" t="s">
        <v>252</v>
      </c>
      <c r="H29" t="s">
        <v>16</v>
      </c>
      <c r="I29" t="s">
        <v>16</v>
      </c>
      <c r="J29" t="s">
        <v>131</v>
      </c>
      <c r="K29" t="s">
        <v>255</v>
      </c>
      <c r="L29" t="s">
        <v>529</v>
      </c>
      <c r="M29" t="s">
        <v>209</v>
      </c>
      <c r="N29">
        <v>2026</v>
      </c>
      <c r="O29" t="s">
        <v>291</v>
      </c>
      <c r="P29" s="1"/>
      <c r="Q29" s="1"/>
      <c r="R29" s="1"/>
      <c r="S29" s="1">
        <v>46006</v>
      </c>
      <c r="T29" s="1" t="e">
        <f xml:space="preserve"> IF(#REF! = "", "X",IF(#REF! &lt;= DATE(#REF!- 3, 12, 15),"5.Respect OPC",IF(#REF! &lt;= DATE(#REF!-2, 4, 1),"3.À risque","1.Très à risque")))</f>
        <v>#REF!</v>
      </c>
      <c r="U29" s="1" t="e">
        <f xml:space="preserve"> IF(#REF! = "", "X",IF(#REF! &lt;= DATE(#REF!- 2, 12, 15),"5.Respect OPC",IF(#REF! &lt;= DATE(#REF!-1, 4, 1),"3.À risque","1.Très à risque")))</f>
        <v>#REF!</v>
      </c>
      <c r="V29" s="1" t="e">
        <f xml:space="preserve"> IF(#REF! = "", "X",IF(#REF! &lt;= DATE(#REF!- 1, 12, 15),"5.Respect OPC",IF(#REF! &lt;= DATE(#REF!, 4, 1),"3.À risque","1.Très à risque")))</f>
        <v>#REF!</v>
      </c>
      <c r="W29" s="1" t="e">
        <f xml:space="preserve"> (YEAR(#REF!) - YEAR(#REF!)) * 12 + MONTH(#REF!) - MONTH(#REF!)</f>
        <v>#REF!</v>
      </c>
      <c r="X29" s="1" t="e">
        <f xml:space="preserve"> (YEAR(#REF!) - YEAR(#REF!)) * 12 + MONTH(#REF!) - MONTH(#REF!)</f>
        <v>#REF!</v>
      </c>
      <c r="Y29" s="1" t="e">
        <f>#REF!+#REF!</f>
        <v>#REF!</v>
      </c>
      <c r="Z29">
        <v>5</v>
      </c>
      <c r="AA29">
        <v>1</v>
      </c>
      <c r="AC29" t="s">
        <v>311</v>
      </c>
      <c r="AD29">
        <v>3.3333333333333335</v>
      </c>
      <c r="AE29" s="2" t="e">
        <f>_xlfn.XLOOKUP(#REF!,Portefeuille_MNT_PPS_Access27[Numéro projet],Portefeuille_MNT_PPS_Access27[Critère Etat Infrastructure])</f>
        <v>#REF!</v>
      </c>
      <c r="AF29" s="12" t="e">
        <f>IF(#REF!=5,100, SUM(IF(#REF!="",#REF!*$AE$8/5,#REF!*$AE$8/5),#REF!* $AE$10/5,#REF!* $AE$9/5,#REF!* $AE$7/5)*100)</f>
        <v>#REF!</v>
      </c>
      <c r="AG29" s="221"/>
      <c r="AH29">
        <v>60</v>
      </c>
      <c r="AI29">
        <v>0</v>
      </c>
      <c r="AJ29">
        <v>20</v>
      </c>
      <c r="AK29">
        <v>540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620</v>
      </c>
      <c r="DL29"/>
    </row>
    <row r="30" spans="1:116" hidden="1" x14ac:dyDescent="0.3">
      <c r="A30" t="s">
        <v>286</v>
      </c>
      <c r="B30" t="s">
        <v>662</v>
      </c>
      <c r="C30" t="s">
        <v>733</v>
      </c>
      <c r="D30" t="s">
        <v>118</v>
      </c>
      <c r="E30" t="s">
        <v>102</v>
      </c>
      <c r="F30" t="s">
        <v>103</v>
      </c>
      <c r="G30" t="s">
        <v>129</v>
      </c>
      <c r="H30" t="s">
        <v>20</v>
      </c>
      <c r="I30" t="s">
        <v>20</v>
      </c>
      <c r="J30" t="s">
        <v>131</v>
      </c>
      <c r="K30" t="s">
        <v>403</v>
      </c>
      <c r="L30" t="s">
        <v>643</v>
      </c>
      <c r="M30" t="s">
        <v>214</v>
      </c>
      <c r="N30">
        <v>2030</v>
      </c>
      <c r="O30" t="s">
        <v>155</v>
      </c>
      <c r="P30" s="1">
        <v>46006</v>
      </c>
      <c r="Q30" s="1">
        <v>46218</v>
      </c>
      <c r="R30" s="1">
        <v>46722</v>
      </c>
      <c r="S30" s="1">
        <v>47011</v>
      </c>
      <c r="T30" s="1" t="e">
        <f xml:space="preserve"> IF(#REF! = "", "X",IF(#REF! &lt;= DATE(#REF!- 3, 12, 15),"5.Respect OPC",IF(#REF! &lt;= DATE(#REF!-2, 4, 1),"3.À risque","1.Très à risque")))</f>
        <v>#REF!</v>
      </c>
      <c r="U30" s="1" t="e">
        <f xml:space="preserve"> IF(#REF! = "", "X",IF(#REF! &lt;= DATE(#REF!- 2, 12, 15),"5.Respect OPC",IF(#REF! &lt;= DATE(#REF!-1, 4, 1),"3.À risque","1.Très à risque")))</f>
        <v>#REF!</v>
      </c>
      <c r="V30" s="1" t="e">
        <f xml:space="preserve"> IF(#REF! = "", "X",IF(#REF! &lt;= DATE(#REF!- 1, 12, 15),"5.Respect OPC",IF(#REF! &lt;= DATE(#REF!, 4, 1),"3.À risque","1.Très à risque")))</f>
        <v>#REF!</v>
      </c>
      <c r="W30" s="1" t="e">
        <f xml:space="preserve"> (YEAR(#REF!) - YEAR(#REF!)) * 12 + MONTH(#REF!) - MONTH(#REF!)</f>
        <v>#REF!</v>
      </c>
      <c r="X30" s="1" t="e">
        <f xml:space="preserve"> (YEAR(#REF!) - YEAR(#REF!)) * 12 + MONTH(#REF!) - MONTH(#REF!)</f>
        <v>#REF!</v>
      </c>
      <c r="Y30" s="1" t="e">
        <f>#REF!+#REF!</f>
        <v>#REF!</v>
      </c>
      <c r="Z30">
        <v>5</v>
      </c>
      <c r="AA30">
        <v>1</v>
      </c>
      <c r="AC30" t="s">
        <v>156</v>
      </c>
      <c r="AD30">
        <v>3</v>
      </c>
      <c r="AE30" s="2" t="e">
        <f>_xlfn.XLOOKUP(#REF!,Portefeuille_MNT_PPS_Access27[Numéro projet],Portefeuille_MNT_PPS_Access27[Critère Etat Infrastructure])</f>
        <v>#REF!</v>
      </c>
      <c r="AF30" s="12" t="e">
        <f>IF(#REF!=5,100, SUM(IF(#REF!="",#REF!*$AE$8/5,#REF!*$AE$8/5),#REF!* $AE$10/5,#REF!* $AE$9/5,#REF!* $AE$7/5)*100)</f>
        <v>#REF!</v>
      </c>
      <c r="AG30" s="221"/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100</v>
      </c>
      <c r="AO30">
        <v>0</v>
      </c>
      <c r="AP30">
        <v>200</v>
      </c>
      <c r="AQ30">
        <v>0</v>
      </c>
      <c r="AR30">
        <v>200</v>
      </c>
      <c r="AS30">
        <v>10500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11000</v>
      </c>
      <c r="BI30">
        <v>11000</v>
      </c>
      <c r="BJ30">
        <v>11000</v>
      </c>
      <c r="DL30"/>
    </row>
    <row r="31" spans="1:116" hidden="1" x14ac:dyDescent="0.3">
      <c r="A31" t="s">
        <v>286</v>
      </c>
      <c r="B31" t="s">
        <v>664</v>
      </c>
      <c r="C31" t="s">
        <v>733</v>
      </c>
      <c r="D31" t="s">
        <v>101</v>
      </c>
      <c r="E31" t="s">
        <v>102</v>
      </c>
      <c r="F31" t="s">
        <v>128</v>
      </c>
      <c r="G31" t="s">
        <v>149</v>
      </c>
      <c r="H31" t="s">
        <v>16</v>
      </c>
      <c r="I31" t="s">
        <v>16</v>
      </c>
      <c r="J31" t="s">
        <v>131</v>
      </c>
      <c r="K31" t="s">
        <v>150</v>
      </c>
      <c r="L31" t="s">
        <v>721</v>
      </c>
      <c r="M31" t="s">
        <v>152</v>
      </c>
      <c r="N31">
        <v>2026</v>
      </c>
      <c r="O31" t="s">
        <v>123</v>
      </c>
      <c r="P31" s="1"/>
      <c r="Q31" s="1">
        <v>45079</v>
      </c>
      <c r="R31" s="1">
        <v>45685</v>
      </c>
      <c r="S31" s="1">
        <v>46142</v>
      </c>
      <c r="T31" s="1" t="e">
        <f xml:space="preserve"> IF(#REF! = "", "X",IF(#REF! &lt;= DATE(#REF!- 3, 12, 15),"5.Respect OPC",IF(#REF! &lt;= DATE(#REF!-2, 4, 1),"3.À risque","1.Très à risque")))</f>
        <v>#REF!</v>
      </c>
      <c r="U31" s="1" t="e">
        <f xml:space="preserve"> IF(#REF! = "", "X",IF(#REF! &lt;= DATE(#REF!- 2, 12, 15),"5.Respect OPC",IF(#REF! &lt;= DATE(#REF!-1, 4, 1),"3.À risque","1.Très à risque")))</f>
        <v>#REF!</v>
      </c>
      <c r="V31" s="1" t="e">
        <f xml:space="preserve"> IF(#REF! = "", "X",IF(#REF! &lt;= DATE(#REF!- 1, 12, 15),"5.Respect OPC",IF(#REF! &lt;= DATE(#REF!, 4, 1),"3.À risque","1.Très à risque")))</f>
        <v>#REF!</v>
      </c>
      <c r="W31" s="1" t="e">
        <f xml:space="preserve"> (YEAR(#REF!) - YEAR(#REF!)) * 12 + MONTH(#REF!) - MONTH(#REF!)</f>
        <v>#REF!</v>
      </c>
      <c r="X31" s="1" t="e">
        <f xml:space="preserve"> (YEAR(#REF!) - YEAR(#REF!)) * 12 + MONTH(#REF!) - MONTH(#REF!)</f>
        <v>#REF!</v>
      </c>
      <c r="Y31" s="1" t="e">
        <f>#REF!+#REF!</f>
        <v>#REF!</v>
      </c>
      <c r="Z31">
        <v>5</v>
      </c>
      <c r="AA31">
        <v>1</v>
      </c>
      <c r="AC31" t="s">
        <v>125</v>
      </c>
      <c r="AD31">
        <v>3.3333333333333335</v>
      </c>
      <c r="AE31" s="2" t="e">
        <f>_xlfn.XLOOKUP(#REF!,Portefeuille_MNT_PPS_Access27[Numéro projet],Portefeuille_MNT_PPS_Access27[Critère Etat Infrastructure])</f>
        <v>#REF!</v>
      </c>
      <c r="AF31" s="12" t="e">
        <f>IF(#REF!=5,100, SUM(IF(#REF!="",#REF!*$AE$8/5,#REF!*$AE$8/5),#REF!* $AE$10/5,#REF!* $AE$9/5,#REF!* $AE$7/5)*100)</f>
        <v>#REF!</v>
      </c>
      <c r="AG31" s="221"/>
      <c r="AH31">
        <v>295</v>
      </c>
      <c r="AI31">
        <v>0</v>
      </c>
      <c r="AJ31">
        <v>172</v>
      </c>
      <c r="AK31">
        <v>6837</v>
      </c>
      <c r="AL31">
        <v>150</v>
      </c>
      <c r="AM31">
        <v>1523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8977</v>
      </c>
      <c r="BI31">
        <v>1673</v>
      </c>
      <c r="BJ31">
        <v>1673</v>
      </c>
      <c r="DL31"/>
    </row>
    <row r="32" spans="1:116" hidden="1" x14ac:dyDescent="0.3">
      <c r="A32" t="s">
        <v>286</v>
      </c>
      <c r="B32" t="s">
        <v>663</v>
      </c>
      <c r="C32" t="s">
        <v>737</v>
      </c>
      <c r="D32" t="s">
        <v>101</v>
      </c>
      <c r="E32" t="s">
        <v>102</v>
      </c>
      <c r="F32" t="s">
        <v>136</v>
      </c>
      <c r="G32" t="s">
        <v>104</v>
      </c>
      <c r="H32" t="s">
        <v>130</v>
      </c>
      <c r="I32" t="s">
        <v>130</v>
      </c>
      <c r="J32" t="s">
        <v>105</v>
      </c>
      <c r="K32" t="s">
        <v>407</v>
      </c>
      <c r="L32" t="s">
        <v>514</v>
      </c>
      <c r="M32" t="s">
        <v>108</v>
      </c>
      <c r="N32">
        <v>2028</v>
      </c>
      <c r="O32" t="s">
        <v>155</v>
      </c>
      <c r="P32" s="1"/>
      <c r="Q32" s="1">
        <v>46127</v>
      </c>
      <c r="R32" s="1">
        <v>46492</v>
      </c>
      <c r="S32" s="1">
        <v>46706</v>
      </c>
      <c r="T32" s="1" t="e">
        <f xml:space="preserve"> IF(#REF! = "", "X",IF(#REF! &lt;= DATE(#REF!- 3, 12, 15),"5.Respect OPC",IF(#REF! &lt;= DATE(#REF!-2, 4, 1),"3.À risque","1.Très à risque")))</f>
        <v>#REF!</v>
      </c>
      <c r="U32" s="1" t="e">
        <f xml:space="preserve"> IF(#REF! = "", "X",IF(#REF! &lt;= DATE(#REF!- 2, 12, 15),"5.Respect OPC",IF(#REF! &lt;= DATE(#REF!-1, 4, 1),"3.À risque","1.Très à risque")))</f>
        <v>#REF!</v>
      </c>
      <c r="V32" s="1" t="e">
        <f xml:space="preserve"> IF(#REF! = "", "X",IF(#REF! &lt;= DATE(#REF!- 1, 12, 15),"5.Respect OPC",IF(#REF! &lt;= DATE(#REF!, 4, 1),"3.À risque","1.Très à risque")))</f>
        <v>#REF!</v>
      </c>
      <c r="W32" s="1" t="e">
        <f xml:space="preserve"> (YEAR(#REF!) - YEAR(#REF!)) * 12 + MONTH(#REF!) - MONTH(#REF!)</f>
        <v>#REF!</v>
      </c>
      <c r="X32" s="1" t="e">
        <f xml:space="preserve"> (YEAR(#REF!) - YEAR(#REF!)) * 12 + MONTH(#REF!) - MONTH(#REF!)</f>
        <v>#REF!</v>
      </c>
      <c r="Y32" s="1" t="e">
        <f>#REF!+#REF!</f>
        <v>#REF!</v>
      </c>
      <c r="Z32">
        <v>5</v>
      </c>
      <c r="AA32">
        <v>5</v>
      </c>
      <c r="AB32">
        <v>1</v>
      </c>
      <c r="AC32" t="s">
        <v>156</v>
      </c>
      <c r="AD32">
        <v>4</v>
      </c>
      <c r="AE32" s="2" t="e">
        <f>_xlfn.XLOOKUP(#REF!,Portefeuille_MNT_PPS_Access27[Numéro projet],Portefeuille_MNT_PPS_Access27[Critère Etat Infrastructure])</f>
        <v>#REF!</v>
      </c>
      <c r="AF32" s="12" t="e">
        <f>IF(#REF!=5,100, SUM(IF(#REF!="",#REF!*$AE$8/5,#REF!*$AE$8/5),#REF!* $AE$10/5,#REF!* $AE$9/5,#REF!* $AE$7/5)*100)</f>
        <v>#REF!</v>
      </c>
      <c r="AG32" s="221"/>
      <c r="AH32">
        <v>0</v>
      </c>
      <c r="AI32">
        <v>0</v>
      </c>
      <c r="AJ32">
        <v>150</v>
      </c>
      <c r="AK32">
        <v>0</v>
      </c>
      <c r="AL32">
        <v>150</v>
      </c>
      <c r="AM32">
        <v>0</v>
      </c>
      <c r="AN32">
        <v>550</v>
      </c>
      <c r="AO32">
        <v>4000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4850</v>
      </c>
      <c r="BI32">
        <v>4700</v>
      </c>
      <c r="BJ32">
        <v>4700</v>
      </c>
      <c r="DL32"/>
    </row>
    <row r="33" spans="1:116" hidden="1" x14ac:dyDescent="0.3">
      <c r="A33" t="s">
        <v>286</v>
      </c>
      <c r="B33" t="s">
        <v>295</v>
      </c>
      <c r="C33" t="s">
        <v>733</v>
      </c>
      <c r="D33" t="s">
        <v>126</v>
      </c>
      <c r="E33" t="s">
        <v>127</v>
      </c>
      <c r="F33" t="s">
        <v>128</v>
      </c>
      <c r="G33" t="s">
        <v>252</v>
      </c>
      <c r="H33" t="s">
        <v>16</v>
      </c>
      <c r="I33" t="s">
        <v>16</v>
      </c>
      <c r="J33" t="s">
        <v>131</v>
      </c>
      <c r="K33" t="s">
        <v>259</v>
      </c>
      <c r="L33" t="s">
        <v>260</v>
      </c>
      <c r="M33" t="s">
        <v>159</v>
      </c>
      <c r="N33">
        <v>2026</v>
      </c>
      <c r="O33" t="s">
        <v>291</v>
      </c>
      <c r="P33" s="1"/>
      <c r="Q33" s="1"/>
      <c r="R33" s="1"/>
      <c r="S33" s="1"/>
      <c r="T33" s="1" t="e">
        <f xml:space="preserve"> IF(#REF! = "", "X",IF(#REF! &lt;= DATE(#REF!- 3, 12, 15),"5.Respect OPC",IF(#REF! &lt;= DATE(#REF!-2, 4, 1),"3.À risque","1.Très à risque")))</f>
        <v>#REF!</v>
      </c>
      <c r="U33" s="1" t="e">
        <f xml:space="preserve"> IF(#REF! = "", "X",IF(#REF! &lt;= DATE(#REF!- 2, 12, 15),"5.Respect OPC",IF(#REF! &lt;= DATE(#REF!-1, 4, 1),"3.À risque","1.Très à risque")))</f>
        <v>#REF!</v>
      </c>
      <c r="V33" s="1" t="e">
        <f xml:space="preserve"> IF(#REF! = "", "X",IF(#REF! &lt;= DATE(#REF!- 1, 12, 15),"5.Respect OPC",IF(#REF! &lt;= DATE(#REF!, 4, 1),"3.À risque","1.Très à risque")))</f>
        <v>#REF!</v>
      </c>
      <c r="W33" s="1" t="e">
        <f xml:space="preserve"> (YEAR(#REF!) - YEAR(#REF!)) * 12 + MONTH(#REF!) - MONTH(#REF!)</f>
        <v>#REF!</v>
      </c>
      <c r="X33" s="1" t="e">
        <f xml:space="preserve"> (YEAR(#REF!) - YEAR(#REF!)) * 12 + MONTH(#REF!) - MONTH(#REF!)</f>
        <v>#REF!</v>
      </c>
      <c r="Y33" s="1" t="e">
        <f>#REF!+#REF!</f>
        <v>#REF!</v>
      </c>
      <c r="Z33">
        <v>5</v>
      </c>
      <c r="AA33">
        <v>5</v>
      </c>
      <c r="AC33" t="s">
        <v>311</v>
      </c>
      <c r="AD33">
        <v>4.333333333333333</v>
      </c>
      <c r="AE33" s="2" t="e">
        <f>_xlfn.XLOOKUP(#REF!,Portefeuille_MNT_PPS_Access27[Numéro projet],Portefeuille_MNT_PPS_Access27[Critère Etat Infrastructure])</f>
        <v>#REF!</v>
      </c>
      <c r="AF33" s="12" t="e">
        <f>IF(#REF!=5,100, SUM(IF(#REF!="",#REF!*$AE$8/5,#REF!*$AE$8/5),#REF!* $AE$10/5,#REF!* $AE$9/5,#REF!* $AE$7/5)*100)</f>
        <v>#REF!</v>
      </c>
      <c r="AG33" s="221"/>
      <c r="AH33">
        <v>0</v>
      </c>
      <c r="AI33">
        <v>0</v>
      </c>
      <c r="AJ33">
        <v>15</v>
      </c>
      <c r="AK33">
        <v>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100</v>
      </c>
      <c r="DL33"/>
    </row>
    <row r="34" spans="1:116" hidden="1" x14ac:dyDescent="0.3">
      <c r="A34" t="s">
        <v>286</v>
      </c>
      <c r="B34" t="s">
        <v>295</v>
      </c>
      <c r="C34" t="s">
        <v>736</v>
      </c>
      <c r="D34" t="s">
        <v>126</v>
      </c>
      <c r="E34" t="s">
        <v>127</v>
      </c>
      <c r="F34" t="s">
        <v>200</v>
      </c>
      <c r="G34" t="s">
        <v>252</v>
      </c>
      <c r="H34" t="s">
        <v>20</v>
      </c>
      <c r="I34" t="s">
        <v>20</v>
      </c>
      <c r="J34" t="s">
        <v>131</v>
      </c>
      <c r="K34" t="s">
        <v>651</v>
      </c>
      <c r="L34" t="s">
        <v>652</v>
      </c>
      <c r="M34" t="s">
        <v>139</v>
      </c>
      <c r="N34">
        <v>2026</v>
      </c>
      <c r="O34" t="s">
        <v>291</v>
      </c>
      <c r="P34" s="1"/>
      <c r="Q34" s="1"/>
      <c r="R34" s="1"/>
      <c r="S34" s="1"/>
      <c r="T34" s="1" t="e">
        <f xml:space="preserve"> IF(#REF! = "", "X",IF(#REF! &lt;= DATE(#REF!- 3, 12, 15),"5.Respect OPC",IF(#REF! &lt;= DATE(#REF!-2, 4, 1),"3.À risque","1.Très à risque")))</f>
        <v>#REF!</v>
      </c>
      <c r="U34" s="1" t="e">
        <f xml:space="preserve"> IF(#REF! = "", "X",IF(#REF! &lt;= DATE(#REF!- 2, 12, 15),"5.Respect OPC",IF(#REF! &lt;= DATE(#REF!-1, 4, 1),"3.À risque","1.Très à risque")))</f>
        <v>#REF!</v>
      </c>
      <c r="V34" s="1" t="e">
        <f xml:space="preserve"> IF(#REF! = "", "X",IF(#REF! &lt;= DATE(#REF!- 1, 12, 15),"5.Respect OPC",IF(#REF! &lt;= DATE(#REF!, 4, 1),"3.À risque","1.Très à risque")))</f>
        <v>#REF!</v>
      </c>
      <c r="W34" s="1" t="e">
        <f xml:space="preserve"> (YEAR(#REF!) - YEAR(#REF!)) * 12 + MONTH(#REF!) - MONTH(#REF!)</f>
        <v>#REF!</v>
      </c>
      <c r="X34" s="1" t="e">
        <f xml:space="preserve"> (YEAR(#REF!) - YEAR(#REF!)) * 12 + MONTH(#REF!) - MONTH(#REF!)</f>
        <v>#REF!</v>
      </c>
      <c r="Y34" s="1" t="e">
        <f>#REF!+#REF!</f>
        <v>#REF!</v>
      </c>
      <c r="Z34">
        <v>5</v>
      </c>
      <c r="AA34">
        <v>1</v>
      </c>
      <c r="AC34" t="s">
        <v>311</v>
      </c>
      <c r="AD34">
        <v>2</v>
      </c>
      <c r="AE34" s="2" t="e">
        <f>_xlfn.XLOOKUP(#REF!,Portefeuille_MNT_PPS_Access27[Numéro projet],Portefeuille_MNT_PPS_Access27[Critère Etat Infrastructure])</f>
        <v>#REF!</v>
      </c>
      <c r="AF34" s="12" t="e">
        <f>IF(#REF!=5,100, SUM(IF(#REF!="",#REF!*$AE$8/5,#REF!*$AE$8/5),#REF!* $AE$10/5,#REF!* $AE$9/5,#REF!* $AE$7/5)*100)</f>
        <v>#REF!</v>
      </c>
      <c r="AG34" s="221"/>
      <c r="AH34">
        <v>0</v>
      </c>
      <c r="AI34">
        <v>0</v>
      </c>
      <c r="AJ34">
        <v>0</v>
      </c>
      <c r="AK34">
        <v>15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15</v>
      </c>
      <c r="DL34"/>
    </row>
    <row r="35" spans="1:116" hidden="1" x14ac:dyDescent="0.3">
      <c r="A35" t="s">
        <v>11</v>
      </c>
      <c r="B35" t="s">
        <v>662</v>
      </c>
      <c r="C35" t="s">
        <v>734</v>
      </c>
      <c r="D35" t="s">
        <v>118</v>
      </c>
      <c r="E35" t="s">
        <v>102</v>
      </c>
      <c r="F35" t="s">
        <v>103</v>
      </c>
      <c r="G35" t="s">
        <v>252</v>
      </c>
      <c r="H35" t="s">
        <v>20</v>
      </c>
      <c r="I35" t="s">
        <v>20</v>
      </c>
      <c r="K35" t="s">
        <v>597</v>
      </c>
      <c r="L35" t="s">
        <v>598</v>
      </c>
      <c r="M35" t="s">
        <v>725</v>
      </c>
      <c r="N35">
        <v>2026</v>
      </c>
      <c r="O35" t="s">
        <v>291</v>
      </c>
      <c r="P35" s="1"/>
      <c r="Q35" s="1"/>
      <c r="R35" s="1"/>
      <c r="S35" s="1"/>
      <c r="T35" s="1" t="e">
        <f xml:space="preserve"> IF(#REF! = "", "X",IF(#REF! &lt;= DATE(#REF!- 3, 12, 15),"5.Respect OPC",IF(#REF! &lt;= DATE(#REF!-2, 4, 1),"3.À risque","1.Très à risque")))</f>
        <v>#REF!</v>
      </c>
      <c r="U35" s="1" t="e">
        <f xml:space="preserve"> IF(#REF! = "", "X",IF(#REF! &lt;= DATE(#REF!- 2, 12, 15),"5.Respect OPC",IF(#REF! &lt;= DATE(#REF!-1, 4, 1),"3.À risque","1.Très à risque")))</f>
        <v>#REF!</v>
      </c>
      <c r="V35" s="1" t="e">
        <f xml:space="preserve"> IF(#REF! = "", "X",IF(#REF! &lt;= DATE(#REF!- 1, 12, 15),"5.Respect OPC",IF(#REF! &lt;= DATE(#REF!, 4, 1),"3.À risque","1.Très à risque")))</f>
        <v>#REF!</v>
      </c>
      <c r="W35" s="1" t="e">
        <f xml:space="preserve"> (YEAR(#REF!) - YEAR(#REF!)) * 12 + MONTH(#REF!) - MONTH(#REF!)</f>
        <v>#REF!</v>
      </c>
      <c r="X35" s="1" t="e">
        <f xml:space="preserve"> (YEAR(#REF!) - YEAR(#REF!)) * 12 + MONTH(#REF!) - MONTH(#REF!)</f>
        <v>#REF!</v>
      </c>
      <c r="Y35" s="1" t="e">
        <f>#REF!+#REF!</f>
        <v>#REF!</v>
      </c>
      <c r="Z35">
        <v>5</v>
      </c>
      <c r="AA35">
        <v>1</v>
      </c>
      <c r="AC35" t="s">
        <v>311</v>
      </c>
      <c r="AD35">
        <v>2.8</v>
      </c>
      <c r="AE35" s="2" t="e">
        <f>_xlfn.XLOOKUP(#REF!,Portefeuille_MNT_PPS_Access27[Numéro projet],Portefeuille_MNT_PPS_Access27[Critère Etat Infrastructure])</f>
        <v>#REF!</v>
      </c>
      <c r="AF35" s="12" t="e">
        <f>IF(#REF!=5,100, SUM(IF(#REF!="",#REF!*$AE$8/5,#REF!*$AE$8/5),#REF!* $AE$10/5,#REF!* $AE$9/5,#REF!* $AE$7/5)*100)</f>
        <v>#REF!</v>
      </c>
      <c r="AG35" s="221"/>
      <c r="AH35">
        <v>0</v>
      </c>
      <c r="AI35">
        <v>0</v>
      </c>
      <c r="AJ35">
        <v>0</v>
      </c>
      <c r="AK35">
        <v>160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160</v>
      </c>
      <c r="DL35"/>
    </row>
    <row r="36" spans="1:116" hidden="1" x14ac:dyDescent="0.3">
      <c r="A36" t="s">
        <v>286</v>
      </c>
      <c r="B36" t="s">
        <v>662</v>
      </c>
      <c r="C36" t="s">
        <v>733</v>
      </c>
      <c r="D36" t="s">
        <v>118</v>
      </c>
      <c r="E36" t="s">
        <v>102</v>
      </c>
      <c r="F36" t="s">
        <v>103</v>
      </c>
      <c r="H36" t="s">
        <v>20</v>
      </c>
      <c r="I36" t="s">
        <v>20</v>
      </c>
      <c r="J36" t="s">
        <v>131</v>
      </c>
      <c r="K36" t="s">
        <v>418</v>
      </c>
      <c r="L36" t="s">
        <v>530</v>
      </c>
      <c r="M36" t="s">
        <v>420</v>
      </c>
      <c r="N36">
        <v>2032</v>
      </c>
      <c r="O36" t="s">
        <v>291</v>
      </c>
      <c r="P36" s="1"/>
      <c r="Q36" s="1"/>
      <c r="R36" s="1"/>
      <c r="S36" s="1"/>
      <c r="T36" s="1" t="e">
        <f xml:space="preserve"> IF(#REF! = "", "X",IF(#REF! &lt;= DATE(#REF!- 3, 12, 15),"5.Respect OPC",IF(#REF! &lt;= DATE(#REF!-2, 4, 1),"3.À risque","1.Très à risque")))</f>
        <v>#REF!</v>
      </c>
      <c r="U36" s="1" t="e">
        <f xml:space="preserve"> IF(#REF! = "", "X",IF(#REF! &lt;= DATE(#REF!- 2, 12, 15),"5.Respect OPC",IF(#REF! &lt;= DATE(#REF!-1, 4, 1),"3.À risque","1.Très à risque")))</f>
        <v>#REF!</v>
      </c>
      <c r="V36" s="1" t="e">
        <f xml:space="preserve"> IF(#REF! = "", "X",IF(#REF! &lt;= DATE(#REF!- 1, 12, 15),"5.Respect OPC",IF(#REF! &lt;= DATE(#REF!, 4, 1),"3.À risque","1.Très à risque")))</f>
        <v>#REF!</v>
      </c>
      <c r="W36" s="1" t="e">
        <f xml:space="preserve"> (YEAR(#REF!) - YEAR(#REF!)) * 12 + MONTH(#REF!) - MONTH(#REF!)</f>
        <v>#REF!</v>
      </c>
      <c r="X36" s="1" t="e">
        <f xml:space="preserve"> (YEAR(#REF!) - YEAR(#REF!)) * 12 + MONTH(#REF!) - MONTH(#REF!)</f>
        <v>#REF!</v>
      </c>
      <c r="Y36" s="1" t="e">
        <f>#REF!+#REF!</f>
        <v>#REF!</v>
      </c>
      <c r="Z36">
        <v>5</v>
      </c>
      <c r="AA36">
        <v>1</v>
      </c>
      <c r="AC36" t="s">
        <v>311</v>
      </c>
      <c r="AD36">
        <v>3.6666666666666665</v>
      </c>
      <c r="AE36" s="2" t="e">
        <f>_xlfn.XLOOKUP(#REF!,Portefeuille_MNT_PPS_Access27[Numéro projet],Portefeuille_MNT_PPS_Access27[Critère Etat Infrastructure])</f>
        <v>#REF!</v>
      </c>
      <c r="AF36" s="12" t="e">
        <f>IF(#REF!=5,100, SUM(IF(#REF!="",#REF!*$AE$8/5,#REF!*$AE$8/5),#REF!* $AE$10/5,#REF!* $AE$9/5,#REF!* $AE$7/5)*100)</f>
        <v>#REF!</v>
      </c>
      <c r="AG36" s="221"/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100</v>
      </c>
      <c r="AS36">
        <v>0</v>
      </c>
      <c r="AT36">
        <v>200</v>
      </c>
      <c r="AU36">
        <v>0</v>
      </c>
      <c r="AV36">
        <v>450</v>
      </c>
      <c r="AW36">
        <v>7500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8250</v>
      </c>
      <c r="BI36">
        <v>300</v>
      </c>
      <c r="BJ36">
        <v>8250</v>
      </c>
      <c r="DL36"/>
    </row>
    <row r="37" spans="1:116" hidden="1" x14ac:dyDescent="0.3">
      <c r="A37" t="s">
        <v>286</v>
      </c>
      <c r="B37" t="s">
        <v>662</v>
      </c>
      <c r="C37" t="s">
        <v>733</v>
      </c>
      <c r="D37" t="s">
        <v>118</v>
      </c>
      <c r="E37" t="s">
        <v>102</v>
      </c>
      <c r="F37" t="s">
        <v>103</v>
      </c>
      <c r="G37" t="s">
        <v>113</v>
      </c>
      <c r="H37" t="s">
        <v>20</v>
      </c>
      <c r="I37" t="s">
        <v>20</v>
      </c>
      <c r="J37" t="s">
        <v>131</v>
      </c>
      <c r="K37" t="s">
        <v>422</v>
      </c>
      <c r="L37" t="s">
        <v>423</v>
      </c>
      <c r="M37" t="s">
        <v>139</v>
      </c>
      <c r="N37">
        <v>2033</v>
      </c>
      <c r="O37" t="s">
        <v>291</v>
      </c>
      <c r="P37" s="1"/>
      <c r="Q37" s="1"/>
      <c r="R37" s="1"/>
      <c r="S37" s="1"/>
      <c r="T37" s="1" t="e">
        <f xml:space="preserve"> IF(#REF! = "", "X",IF(#REF! &lt;= DATE(#REF!- 3, 12, 15),"5.Respect OPC",IF(#REF! &lt;= DATE(#REF!-2, 4, 1),"3.À risque","1.Très à risque")))</f>
        <v>#REF!</v>
      </c>
      <c r="U37" s="1" t="e">
        <f xml:space="preserve"> IF(#REF! = "", "X",IF(#REF! &lt;= DATE(#REF!- 2, 12, 15),"5.Respect OPC",IF(#REF! &lt;= DATE(#REF!-1, 4, 1),"3.À risque","1.Très à risque")))</f>
        <v>#REF!</v>
      </c>
      <c r="V37" s="1" t="e">
        <f xml:space="preserve"> IF(#REF! = "", "X",IF(#REF! &lt;= DATE(#REF!- 1, 12, 15),"5.Respect OPC",IF(#REF! &lt;= DATE(#REF!, 4, 1),"3.À risque","1.Très à risque")))</f>
        <v>#REF!</v>
      </c>
      <c r="W37" s="1" t="e">
        <f xml:space="preserve"> (YEAR(#REF!) - YEAR(#REF!)) * 12 + MONTH(#REF!) - MONTH(#REF!)</f>
        <v>#REF!</v>
      </c>
      <c r="X37" s="1" t="e">
        <f xml:space="preserve"> (YEAR(#REF!) - YEAR(#REF!)) * 12 + MONTH(#REF!) - MONTH(#REF!)</f>
        <v>#REF!</v>
      </c>
      <c r="Y37" s="1" t="e">
        <f>#REF!+#REF!</f>
        <v>#REF!</v>
      </c>
      <c r="Z37">
        <v>5</v>
      </c>
      <c r="AA37">
        <v>1</v>
      </c>
      <c r="AC37" t="s">
        <v>311</v>
      </c>
      <c r="AD37">
        <v>2</v>
      </c>
      <c r="AE37" s="2" t="e">
        <f>_xlfn.XLOOKUP(#REF!,Portefeuille_MNT_PPS_Access27[Numéro projet],Portefeuille_MNT_PPS_Access27[Critère Etat Infrastructure])</f>
        <v>#REF!</v>
      </c>
      <c r="AF37" s="12" t="e">
        <f>IF(#REF!=5,100, SUM(IF(#REF!="",#REF!*$AE$8/5,#REF!*$AE$8/5),#REF!* $AE$10/5,#REF!* $AE$9/5,#REF!* $AE$7/5)*100)</f>
        <v>#REF!</v>
      </c>
      <c r="AG37" s="221"/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100</v>
      </c>
      <c r="AU37">
        <v>0</v>
      </c>
      <c r="AV37">
        <v>200</v>
      </c>
      <c r="AW37">
        <v>0</v>
      </c>
      <c r="AX37">
        <v>250</v>
      </c>
      <c r="AY37">
        <v>7500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8050</v>
      </c>
      <c r="BI37">
        <v>100</v>
      </c>
      <c r="BJ37">
        <v>8050</v>
      </c>
      <c r="DL37"/>
    </row>
    <row r="38" spans="1:116" hidden="1" x14ac:dyDescent="0.3">
      <c r="A38" t="s">
        <v>286</v>
      </c>
      <c r="B38" t="s">
        <v>664</v>
      </c>
      <c r="C38" t="s">
        <v>733</v>
      </c>
      <c r="D38" t="s">
        <v>101</v>
      </c>
      <c r="E38" t="s">
        <v>102</v>
      </c>
      <c r="F38" t="s">
        <v>389</v>
      </c>
      <c r="H38" t="s">
        <v>20</v>
      </c>
      <c r="I38" t="s">
        <v>20</v>
      </c>
      <c r="J38" t="s">
        <v>105</v>
      </c>
      <c r="K38" t="s">
        <v>428</v>
      </c>
      <c r="L38" t="s">
        <v>429</v>
      </c>
      <c r="M38" t="s">
        <v>302</v>
      </c>
      <c r="N38">
        <v>2033</v>
      </c>
      <c r="O38" t="s">
        <v>291</v>
      </c>
      <c r="P38" s="1"/>
      <c r="Q38" s="1"/>
      <c r="R38" s="1"/>
      <c r="S38" s="1"/>
      <c r="T38" s="1" t="e">
        <f xml:space="preserve"> IF(#REF! = "", "X",IF(#REF! &lt;= DATE(#REF!- 3, 12, 15),"5.Respect OPC",IF(#REF! &lt;= DATE(#REF!-2, 4, 1),"3.À risque","1.Très à risque")))</f>
        <v>#REF!</v>
      </c>
      <c r="U38" s="1" t="e">
        <f xml:space="preserve"> IF(#REF! = "", "X",IF(#REF! &lt;= DATE(#REF!- 2, 12, 15),"5.Respect OPC",IF(#REF! &lt;= DATE(#REF!-1, 4, 1),"3.À risque","1.Très à risque")))</f>
        <v>#REF!</v>
      </c>
      <c r="V38" s="1" t="e">
        <f xml:space="preserve"> IF(#REF! = "", "X",IF(#REF! &lt;= DATE(#REF!- 1, 12, 15),"5.Respect OPC",IF(#REF! &lt;= DATE(#REF!, 4, 1),"3.À risque","1.Très à risque")))</f>
        <v>#REF!</v>
      </c>
      <c r="W38" s="1" t="e">
        <f xml:space="preserve"> (YEAR(#REF!) - YEAR(#REF!)) * 12 + MONTH(#REF!) - MONTH(#REF!)</f>
        <v>#REF!</v>
      </c>
      <c r="X38" s="1" t="e">
        <f xml:space="preserve"> (YEAR(#REF!) - YEAR(#REF!)) * 12 + MONTH(#REF!) - MONTH(#REF!)</f>
        <v>#REF!</v>
      </c>
      <c r="Y38" s="1" t="e">
        <f>#REF!+#REF!</f>
        <v>#REF!</v>
      </c>
      <c r="Z38">
        <v>5</v>
      </c>
      <c r="AA38">
        <v>1</v>
      </c>
      <c r="AC38" t="s">
        <v>311</v>
      </c>
      <c r="AD38">
        <v>4</v>
      </c>
      <c r="AE38" s="2" t="e">
        <f>_xlfn.XLOOKUP(#REF!,Portefeuille_MNT_PPS_Access27[Numéro projet],Portefeuille_MNT_PPS_Access27[Critère Etat Infrastructure])</f>
        <v>#REF!</v>
      </c>
      <c r="AF38" s="12" t="e">
        <f>IF(#REF!=5,100, SUM(IF(#REF!="",#REF!*$AE$8/5,#REF!*$AE$8/5),#REF!* $AE$10/5,#REF!* $AE$9/5,#REF!* $AE$7/5)*100)</f>
        <v>#REF!</v>
      </c>
      <c r="AG38" s="221"/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100</v>
      </c>
      <c r="AW38">
        <v>0</v>
      </c>
      <c r="AX38">
        <v>200</v>
      </c>
      <c r="AY38">
        <v>5000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5300</v>
      </c>
      <c r="BJ38">
        <v>5300</v>
      </c>
      <c r="DL38"/>
    </row>
    <row r="39" spans="1:116" hidden="1" x14ac:dyDescent="0.3">
      <c r="A39" t="s">
        <v>286</v>
      </c>
      <c r="B39" t="s">
        <v>664</v>
      </c>
      <c r="C39" t="s">
        <v>733</v>
      </c>
      <c r="D39" t="s">
        <v>101</v>
      </c>
      <c r="E39" t="s">
        <v>102</v>
      </c>
      <c r="F39" t="s">
        <v>389</v>
      </c>
      <c r="H39" t="s">
        <v>20</v>
      </c>
      <c r="I39" t="s">
        <v>20</v>
      </c>
      <c r="J39" t="s">
        <v>105</v>
      </c>
      <c r="K39" t="s">
        <v>432</v>
      </c>
      <c r="L39" t="s">
        <v>433</v>
      </c>
      <c r="M39" t="s">
        <v>143</v>
      </c>
      <c r="N39">
        <v>2031</v>
      </c>
      <c r="O39" t="s">
        <v>291</v>
      </c>
      <c r="P39" s="1"/>
      <c r="Q39" s="1"/>
      <c r="R39" s="1"/>
      <c r="S39" s="1"/>
      <c r="T39" s="1" t="e">
        <f xml:space="preserve"> IF(#REF! = "", "X",IF(#REF! &lt;= DATE(#REF!- 3, 12, 15),"5.Respect OPC",IF(#REF! &lt;= DATE(#REF!-2, 4, 1),"3.À risque","1.Très à risque")))</f>
        <v>#REF!</v>
      </c>
      <c r="U39" s="1" t="e">
        <f xml:space="preserve"> IF(#REF! = "", "X",IF(#REF! &lt;= DATE(#REF!- 2, 12, 15),"5.Respect OPC",IF(#REF! &lt;= DATE(#REF!-1, 4, 1),"3.À risque","1.Très à risque")))</f>
        <v>#REF!</v>
      </c>
      <c r="V39" s="1" t="e">
        <f xml:space="preserve"> IF(#REF! = "", "X",IF(#REF! &lt;= DATE(#REF!- 1, 12, 15),"5.Respect OPC",IF(#REF! &lt;= DATE(#REF!, 4, 1),"3.À risque","1.Très à risque")))</f>
        <v>#REF!</v>
      </c>
      <c r="W39" s="1" t="e">
        <f xml:space="preserve"> (YEAR(#REF!) - YEAR(#REF!)) * 12 + MONTH(#REF!) - MONTH(#REF!)</f>
        <v>#REF!</v>
      </c>
      <c r="X39" s="1" t="e">
        <f xml:space="preserve"> (YEAR(#REF!) - YEAR(#REF!)) * 12 + MONTH(#REF!) - MONTH(#REF!)</f>
        <v>#REF!</v>
      </c>
      <c r="Y39" s="1" t="e">
        <f>#REF!+#REF!</f>
        <v>#REF!</v>
      </c>
      <c r="Z39">
        <v>5</v>
      </c>
      <c r="AA39">
        <v>1</v>
      </c>
      <c r="AC39" t="s">
        <v>311</v>
      </c>
      <c r="AD39">
        <v>4.333333333333333</v>
      </c>
      <c r="AE39" s="2" t="e">
        <f>_xlfn.XLOOKUP(#REF!,Portefeuille_MNT_PPS_Access27[Numéro projet],Portefeuille_MNT_PPS_Access27[Critère Etat Infrastructure])</f>
        <v>#REF!</v>
      </c>
      <c r="AF39" s="12" t="e">
        <f>IF(#REF!=5,100, SUM(IF(#REF!="",#REF!*$AE$8/5,#REF!*$AE$8/5),#REF!* $AE$10/5,#REF!* $AE$9/5,#REF!* $AE$7/5)*100)</f>
        <v>#REF!</v>
      </c>
      <c r="AG39" s="221"/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100</v>
      </c>
      <c r="AS39">
        <v>0</v>
      </c>
      <c r="AT39">
        <v>200</v>
      </c>
      <c r="AU39">
        <v>5000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5300</v>
      </c>
      <c r="BI39">
        <v>5300</v>
      </c>
      <c r="BJ39">
        <v>5300</v>
      </c>
      <c r="DL39"/>
    </row>
    <row r="40" spans="1:116" hidden="1" x14ac:dyDescent="0.3">
      <c r="A40" t="s">
        <v>286</v>
      </c>
      <c r="B40" t="s">
        <v>662</v>
      </c>
      <c r="C40" t="s">
        <v>733</v>
      </c>
      <c r="D40" t="s">
        <v>118</v>
      </c>
      <c r="E40" t="s">
        <v>102</v>
      </c>
      <c r="F40" t="s">
        <v>177</v>
      </c>
      <c r="H40" t="s">
        <v>20</v>
      </c>
      <c r="I40" t="s">
        <v>20</v>
      </c>
      <c r="J40" t="s">
        <v>131</v>
      </c>
      <c r="K40" t="s">
        <v>430</v>
      </c>
      <c r="L40" t="s">
        <v>639</v>
      </c>
      <c r="M40" t="s">
        <v>147</v>
      </c>
      <c r="N40">
        <v>2030</v>
      </c>
      <c r="O40" t="s">
        <v>291</v>
      </c>
      <c r="P40" s="1"/>
      <c r="Q40" s="1"/>
      <c r="R40" s="1"/>
      <c r="S40" s="1"/>
      <c r="T40" s="1" t="e">
        <f xml:space="preserve"> IF(#REF! = "", "X",IF(#REF! &lt;= DATE(#REF!- 3, 12, 15),"5.Respect OPC",IF(#REF! &lt;= DATE(#REF!-2, 4, 1),"3.À risque","1.Très à risque")))</f>
        <v>#REF!</v>
      </c>
      <c r="U40" s="1" t="e">
        <f xml:space="preserve"> IF(#REF! = "", "X",IF(#REF! &lt;= DATE(#REF!- 2, 12, 15),"5.Respect OPC",IF(#REF! &lt;= DATE(#REF!-1, 4, 1),"3.À risque","1.Très à risque")))</f>
        <v>#REF!</v>
      </c>
      <c r="V40" s="1" t="e">
        <f xml:space="preserve"> IF(#REF! = "", "X",IF(#REF! &lt;= DATE(#REF!- 1, 12, 15),"5.Respect OPC",IF(#REF! &lt;= DATE(#REF!, 4, 1),"3.À risque","1.Très à risque")))</f>
        <v>#REF!</v>
      </c>
      <c r="W40" s="1" t="e">
        <f xml:space="preserve"> (YEAR(#REF!) - YEAR(#REF!)) * 12 + MONTH(#REF!) - MONTH(#REF!)</f>
        <v>#REF!</v>
      </c>
      <c r="X40" s="1" t="e">
        <f xml:space="preserve"> (YEAR(#REF!) - YEAR(#REF!)) * 12 + MONTH(#REF!) - MONTH(#REF!)</f>
        <v>#REF!</v>
      </c>
      <c r="Y40" s="1" t="e">
        <f>#REF!+#REF!</f>
        <v>#REF!</v>
      </c>
      <c r="Z40">
        <v>5</v>
      </c>
      <c r="AA40">
        <v>1</v>
      </c>
      <c r="AC40" t="s">
        <v>311</v>
      </c>
      <c r="AD40">
        <v>2.6666666666666665</v>
      </c>
      <c r="AE40" s="2" t="e">
        <f>_xlfn.XLOOKUP(#REF!,Portefeuille_MNT_PPS_Access27[Numéro projet],Portefeuille_MNT_PPS_Access27[Critère Etat Infrastructure])</f>
        <v>#REF!</v>
      </c>
      <c r="AF40" s="12" t="e">
        <f>IF(#REF!=5,100, SUM(IF(#REF!="",#REF!*$AE$8/5,#REF!*$AE$8/5),#REF!* $AE$10/5,#REF!* $AE$9/5,#REF!* $AE$7/5)*100)</f>
        <v>#REF!</v>
      </c>
      <c r="AG40" s="221"/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50</v>
      </c>
      <c r="AO40">
        <v>0</v>
      </c>
      <c r="AP40">
        <v>50</v>
      </c>
      <c r="AQ40">
        <v>0</v>
      </c>
      <c r="AR40">
        <v>100</v>
      </c>
      <c r="AS40">
        <v>1000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1200</v>
      </c>
      <c r="BI40">
        <v>1200</v>
      </c>
      <c r="BJ40">
        <v>1200</v>
      </c>
      <c r="DL40"/>
    </row>
    <row r="41" spans="1:116" hidden="1" x14ac:dyDescent="0.3">
      <c r="A41" t="s">
        <v>286</v>
      </c>
      <c r="B41" t="s">
        <v>662</v>
      </c>
      <c r="C41" t="s">
        <v>737</v>
      </c>
      <c r="D41" t="s">
        <v>118</v>
      </c>
      <c r="E41" t="s">
        <v>102</v>
      </c>
      <c r="F41" t="s">
        <v>136</v>
      </c>
      <c r="G41" t="s">
        <v>113</v>
      </c>
      <c r="H41" t="s">
        <v>16</v>
      </c>
      <c r="I41" t="s">
        <v>20</v>
      </c>
      <c r="K41" t="s">
        <v>248</v>
      </c>
      <c r="L41" t="s">
        <v>722</v>
      </c>
      <c r="M41" t="s">
        <v>725</v>
      </c>
      <c r="N41">
        <v>2026</v>
      </c>
      <c r="O41" t="s">
        <v>110</v>
      </c>
      <c r="P41" s="1"/>
      <c r="Q41" s="1">
        <v>45476</v>
      </c>
      <c r="R41" s="1">
        <v>46006</v>
      </c>
      <c r="S41" s="1">
        <v>46006</v>
      </c>
      <c r="T41" s="1" t="e">
        <f xml:space="preserve"> IF(#REF! = "", "X",IF(#REF! &lt;= DATE(#REF!- 3, 12, 15),"5.Respect OPC",IF(#REF! &lt;= DATE(#REF!-2, 4, 1),"3.À risque","1.Très à risque")))</f>
        <v>#REF!</v>
      </c>
      <c r="U41" s="1" t="e">
        <f xml:space="preserve"> IF(#REF! = "", "X",IF(#REF! &lt;= DATE(#REF!- 2, 12, 15),"5.Respect OPC",IF(#REF! &lt;= DATE(#REF!-1, 4, 1),"3.À risque","1.Très à risque")))</f>
        <v>#REF!</v>
      </c>
      <c r="V41" s="1" t="e">
        <f xml:space="preserve"> IF(#REF! = "", "X",IF(#REF! &lt;= DATE(#REF!- 1, 12, 15),"5.Respect OPC",IF(#REF! &lt;= DATE(#REF!, 4, 1),"3.À risque","1.Très à risque")))</f>
        <v>#REF!</v>
      </c>
      <c r="W41" s="1" t="e">
        <f xml:space="preserve"> (YEAR(#REF!) - YEAR(#REF!)) * 12 + MONTH(#REF!) - MONTH(#REF!)</f>
        <v>#REF!</v>
      </c>
      <c r="X41" s="1" t="e">
        <f xml:space="preserve"> (YEAR(#REF!) - YEAR(#REF!)) * 12 + MONTH(#REF!) - MONTH(#REF!)</f>
        <v>#REF!</v>
      </c>
      <c r="Y41" s="1" t="e">
        <f>#REF!+#REF!</f>
        <v>#REF!</v>
      </c>
      <c r="Z41">
        <v>5</v>
      </c>
      <c r="AA41">
        <v>1</v>
      </c>
      <c r="AC41" t="s">
        <v>112</v>
      </c>
      <c r="AD41">
        <v>3.1333333333333333</v>
      </c>
      <c r="AE41" s="2" t="e">
        <f>_xlfn.XLOOKUP(#REF!,Portefeuille_MNT_PPS_Access27[Numéro projet],Portefeuille_MNT_PPS_Access27[Critère Etat Infrastructure])</f>
        <v>#REF!</v>
      </c>
      <c r="AF41" s="12" t="e">
        <f>IF(#REF!=5,100, SUM(IF(#REF!="",#REF!*$AE$8/5,#REF!*$AE$8/5),#REF!* $AE$10/5,#REF!* $AE$9/5,#REF!* $AE$7/5)*100)</f>
        <v>#REF!</v>
      </c>
      <c r="AG41" s="221"/>
      <c r="AH41">
        <v>35</v>
      </c>
      <c r="AI41">
        <v>0</v>
      </c>
      <c r="AJ41">
        <v>110</v>
      </c>
      <c r="AK41">
        <v>3307.0000000000005</v>
      </c>
      <c r="AL41">
        <v>175</v>
      </c>
      <c r="AM41">
        <v>138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3765.0000000000005</v>
      </c>
      <c r="BI41">
        <v>313</v>
      </c>
      <c r="BJ41">
        <v>313</v>
      </c>
      <c r="DL41"/>
    </row>
    <row r="42" spans="1:116" hidden="1" x14ac:dyDescent="0.3">
      <c r="A42" t="s">
        <v>11</v>
      </c>
      <c r="B42" t="s">
        <v>662</v>
      </c>
      <c r="C42" t="s">
        <v>733</v>
      </c>
      <c r="D42" t="s">
        <v>118</v>
      </c>
      <c r="E42" t="s">
        <v>102</v>
      </c>
      <c r="F42" t="s">
        <v>242</v>
      </c>
      <c r="G42" t="s">
        <v>252</v>
      </c>
      <c r="H42" t="s">
        <v>20</v>
      </c>
      <c r="I42" t="s">
        <v>20</v>
      </c>
      <c r="J42" t="s">
        <v>131</v>
      </c>
      <c r="K42" t="s">
        <v>649</v>
      </c>
      <c r="L42" t="s">
        <v>650</v>
      </c>
      <c r="M42" t="s">
        <v>414</v>
      </c>
      <c r="N42">
        <v>2027</v>
      </c>
      <c r="O42" t="s">
        <v>291</v>
      </c>
      <c r="P42" s="1"/>
      <c r="Q42" s="1"/>
      <c r="R42" s="1"/>
      <c r="S42" s="1"/>
      <c r="T42" s="1" t="e">
        <f xml:space="preserve"> IF(#REF! = "", "X",IF(#REF! &lt;= DATE(#REF!- 3, 12, 15),"5.Respect OPC",IF(#REF! &lt;= DATE(#REF!-2, 4, 1),"3.À risque","1.Très à risque")))</f>
        <v>#REF!</v>
      </c>
      <c r="U42" s="1" t="e">
        <f xml:space="preserve"> IF(#REF! = "", "X",IF(#REF! &lt;= DATE(#REF!- 2, 12, 15),"5.Respect OPC",IF(#REF! &lt;= DATE(#REF!-1, 4, 1),"3.À risque","1.Très à risque")))</f>
        <v>#REF!</v>
      </c>
      <c r="V42" s="1" t="e">
        <f xml:space="preserve"> IF(#REF! = "", "X",IF(#REF! &lt;= DATE(#REF!- 1, 12, 15),"5.Respect OPC",IF(#REF! &lt;= DATE(#REF!, 4, 1),"3.À risque","1.Très à risque")))</f>
        <v>#REF!</v>
      </c>
      <c r="W42" s="1" t="e">
        <f xml:space="preserve"> (YEAR(#REF!) - YEAR(#REF!)) * 12 + MONTH(#REF!) - MONTH(#REF!)</f>
        <v>#REF!</v>
      </c>
      <c r="X42" s="1" t="e">
        <f xml:space="preserve"> (YEAR(#REF!) - YEAR(#REF!)) * 12 + MONTH(#REF!) - MONTH(#REF!)</f>
        <v>#REF!</v>
      </c>
      <c r="Y42" s="1" t="e">
        <f>#REF!+#REF!</f>
        <v>#REF!</v>
      </c>
      <c r="Z42">
        <v>5</v>
      </c>
      <c r="AA42">
        <v>1</v>
      </c>
      <c r="AB42">
        <v>3</v>
      </c>
      <c r="AC42" t="s">
        <v>311</v>
      </c>
      <c r="AD42">
        <v>1</v>
      </c>
      <c r="AE42" s="2" t="e">
        <f>_xlfn.XLOOKUP(#REF!,Portefeuille_MNT_PPS_Access27[Numéro projet],Portefeuille_MNT_PPS_Access27[Critère Etat Infrastructure])</f>
        <v>#REF!</v>
      </c>
      <c r="AF42" s="12" t="e">
        <f>IF(#REF!=5,100, SUM(IF(#REF!="",#REF!*$AE$8/5,#REF!*$AE$8/5),#REF!* $AE$10/5,#REF!* $AE$9/5,#REF!* $AE$7/5)*100)</f>
        <v>#REF!</v>
      </c>
      <c r="AG42" s="221"/>
      <c r="AH42">
        <v>0</v>
      </c>
      <c r="AI42">
        <v>0</v>
      </c>
      <c r="AJ42">
        <v>0</v>
      </c>
      <c r="AK42">
        <v>0</v>
      </c>
      <c r="AL42">
        <v>0</v>
      </c>
      <c r="AM42">
        <v>100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100</v>
      </c>
      <c r="BI42">
        <v>100</v>
      </c>
      <c r="BJ42">
        <v>100</v>
      </c>
      <c r="DL42"/>
    </row>
    <row r="43" spans="1:116" hidden="1" x14ac:dyDescent="0.3">
      <c r="A43" t="s">
        <v>286</v>
      </c>
      <c r="B43" t="s">
        <v>663</v>
      </c>
      <c r="C43" t="s">
        <v>733</v>
      </c>
      <c r="D43" t="s">
        <v>101</v>
      </c>
      <c r="E43" t="s">
        <v>102</v>
      </c>
      <c r="F43" t="s">
        <v>177</v>
      </c>
      <c r="G43" t="s">
        <v>129</v>
      </c>
      <c r="H43" t="s">
        <v>20</v>
      </c>
      <c r="I43" t="s">
        <v>20</v>
      </c>
      <c r="K43" t="s">
        <v>438</v>
      </c>
      <c r="L43" t="s">
        <v>439</v>
      </c>
      <c r="M43" t="s">
        <v>725</v>
      </c>
      <c r="N43">
        <v>2030</v>
      </c>
      <c r="O43" t="s">
        <v>291</v>
      </c>
      <c r="P43" s="1"/>
      <c r="Q43" s="1"/>
      <c r="R43" s="1"/>
      <c r="S43" s="1"/>
      <c r="T43" s="1" t="e">
        <f xml:space="preserve"> IF(#REF! = "", "X",IF(#REF! &lt;= DATE(#REF!- 3, 12, 15),"5.Respect OPC",IF(#REF! &lt;= DATE(#REF!-2, 4, 1),"3.À risque","1.Très à risque")))</f>
        <v>#REF!</v>
      </c>
      <c r="U43" s="1" t="e">
        <f xml:space="preserve"> IF(#REF! = "", "X",IF(#REF! &lt;= DATE(#REF!- 2, 12, 15),"5.Respect OPC",IF(#REF! &lt;= DATE(#REF!-1, 4, 1),"3.À risque","1.Très à risque")))</f>
        <v>#REF!</v>
      </c>
      <c r="V43" s="1" t="e">
        <f xml:space="preserve"> IF(#REF! = "", "X",IF(#REF! &lt;= DATE(#REF!- 1, 12, 15),"5.Respect OPC",IF(#REF! &lt;= DATE(#REF!, 4, 1),"3.À risque","1.Très à risque")))</f>
        <v>#REF!</v>
      </c>
      <c r="W43" s="1" t="e">
        <f xml:space="preserve"> (YEAR(#REF!) - YEAR(#REF!)) * 12 + MONTH(#REF!) - MONTH(#REF!)</f>
        <v>#REF!</v>
      </c>
      <c r="X43" s="1" t="e">
        <f xml:space="preserve"> (YEAR(#REF!) - YEAR(#REF!)) * 12 + MONTH(#REF!) - MONTH(#REF!)</f>
        <v>#REF!</v>
      </c>
      <c r="Y43" s="1" t="e">
        <f>#REF!+#REF!</f>
        <v>#REF!</v>
      </c>
      <c r="Z43">
        <v>5</v>
      </c>
      <c r="AA43">
        <v>1</v>
      </c>
      <c r="AC43" t="s">
        <v>311</v>
      </c>
      <c r="AD43">
        <v>3.1428571428571428</v>
      </c>
      <c r="AE43" s="2" t="e">
        <f>_xlfn.XLOOKUP(#REF!,Portefeuille_MNT_PPS_Access27[Numéro projet],Portefeuille_MNT_PPS_Access27[Critère Etat Infrastructure])</f>
        <v>#REF!</v>
      </c>
      <c r="AF43" s="12" t="e">
        <f>IF(#REF!=5,100, SUM(IF(#REF!="",#REF!*$AE$8/5,#REF!*$AE$8/5),#REF!* $AE$10/5,#REF!* $AE$9/5,#REF!* $AE$7/5)*100)</f>
        <v>#REF!</v>
      </c>
      <c r="AG43" s="221"/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100</v>
      </c>
      <c r="AQ43">
        <v>0</v>
      </c>
      <c r="AR43">
        <v>175</v>
      </c>
      <c r="AS43">
        <v>1500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1775.0000000000002</v>
      </c>
      <c r="BI43">
        <v>1775.0000000000002</v>
      </c>
      <c r="BJ43">
        <v>1775.0000000000002</v>
      </c>
      <c r="DL43"/>
    </row>
    <row r="44" spans="1:116" hidden="1" x14ac:dyDescent="0.3">
      <c r="A44" t="s">
        <v>286</v>
      </c>
      <c r="B44" t="s">
        <v>662</v>
      </c>
      <c r="C44" t="s">
        <v>349</v>
      </c>
      <c r="D44" t="s">
        <v>118</v>
      </c>
      <c r="E44" t="s">
        <v>102</v>
      </c>
      <c r="F44" t="s">
        <v>136</v>
      </c>
      <c r="G44" t="s">
        <v>104</v>
      </c>
      <c r="H44" t="s">
        <v>16</v>
      </c>
      <c r="I44" t="s">
        <v>20</v>
      </c>
      <c r="J44" t="s">
        <v>105</v>
      </c>
      <c r="K44" t="s">
        <v>516</v>
      </c>
      <c r="L44" t="s">
        <v>517</v>
      </c>
      <c r="M44" t="s">
        <v>302</v>
      </c>
      <c r="N44">
        <v>2026</v>
      </c>
      <c r="O44" t="s">
        <v>110</v>
      </c>
      <c r="P44" s="1"/>
      <c r="Q44" s="1">
        <v>45904</v>
      </c>
      <c r="R44" s="1"/>
      <c r="S44" s="1">
        <v>46096</v>
      </c>
      <c r="T44" s="1" t="e">
        <f xml:space="preserve"> IF(#REF! = "", "X",IF(#REF! &lt;= DATE(#REF!- 3, 12, 15),"5.Respect OPC",IF(#REF! &lt;= DATE(#REF!-2, 4, 1),"3.À risque","1.Très à risque")))</f>
        <v>#REF!</v>
      </c>
      <c r="U44" s="1" t="e">
        <f xml:space="preserve"> IF(#REF! = "", "X",IF(#REF! &lt;= DATE(#REF!- 2, 12, 15),"5.Respect OPC",IF(#REF! &lt;= DATE(#REF!-1, 4, 1),"3.À risque","1.Très à risque")))</f>
        <v>#REF!</v>
      </c>
      <c r="V44" s="1" t="e">
        <f xml:space="preserve"> IF(#REF! = "", "X",IF(#REF! &lt;= DATE(#REF!- 1, 12, 15),"5.Respect OPC",IF(#REF! &lt;= DATE(#REF!, 4, 1),"3.À risque","1.Très à risque")))</f>
        <v>#REF!</v>
      </c>
      <c r="W44" s="1" t="e">
        <f xml:space="preserve"> (YEAR(#REF!) - YEAR(#REF!)) * 12 + MONTH(#REF!) - MONTH(#REF!)</f>
        <v>#REF!</v>
      </c>
      <c r="X44" s="1" t="e">
        <f xml:space="preserve"> (YEAR(#REF!) - YEAR(#REF!)) * 12 + MONTH(#REF!) - MONTH(#REF!)</f>
        <v>#REF!</v>
      </c>
      <c r="Y44" s="1" t="e">
        <f>#REF!+#REF!</f>
        <v>#REF!</v>
      </c>
      <c r="Z44">
        <v>5</v>
      </c>
      <c r="AA44">
        <v>1</v>
      </c>
      <c r="AC44" t="s">
        <v>112</v>
      </c>
      <c r="AD44">
        <v>4</v>
      </c>
      <c r="AE44" s="2" t="e">
        <f>_xlfn.XLOOKUP(#REF!,Portefeuille_MNT_PPS_Access27[Numéro projet],Portefeuille_MNT_PPS_Access27[Critère Etat Infrastructure])</f>
        <v>#REF!</v>
      </c>
      <c r="AF44" s="12" t="e">
        <f>IF(#REF!=5,100, SUM(IF(#REF!="",#REF!*$AE$8/5,#REF!*$AE$8/5),#REF!* $AE$10/5,#REF!* $AE$9/5,#REF!* $AE$7/5)*100)</f>
        <v>#REF!</v>
      </c>
      <c r="AG44" s="221"/>
      <c r="AH44">
        <v>59</v>
      </c>
      <c r="AI44">
        <v>0</v>
      </c>
      <c r="AJ44">
        <v>131</v>
      </c>
      <c r="AK44">
        <v>478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668</v>
      </c>
      <c r="DL44"/>
    </row>
    <row r="45" spans="1:116" hidden="1" x14ac:dyDescent="0.3">
      <c r="A45" t="s">
        <v>286</v>
      </c>
      <c r="B45" t="s">
        <v>662</v>
      </c>
      <c r="C45" t="s">
        <v>733</v>
      </c>
      <c r="D45" t="s">
        <v>118</v>
      </c>
      <c r="E45" t="s">
        <v>102</v>
      </c>
      <c r="F45" t="s">
        <v>136</v>
      </c>
      <c r="G45" t="s">
        <v>104</v>
      </c>
      <c r="H45" t="s">
        <v>16</v>
      </c>
      <c r="I45" t="s">
        <v>20</v>
      </c>
      <c r="J45" t="s">
        <v>105</v>
      </c>
      <c r="K45" t="s">
        <v>518</v>
      </c>
      <c r="L45" t="s">
        <v>519</v>
      </c>
      <c r="M45" t="s">
        <v>143</v>
      </c>
      <c r="N45">
        <v>2028</v>
      </c>
      <c r="O45" t="s">
        <v>155</v>
      </c>
      <c r="P45" s="1"/>
      <c r="Q45" s="1">
        <v>46127</v>
      </c>
      <c r="R45" s="1"/>
      <c r="S45" s="1"/>
      <c r="T45" s="1" t="e">
        <f xml:space="preserve"> IF(#REF! = "", "X",IF(#REF! &lt;= DATE(#REF!- 3, 12, 15),"5.Respect OPC",IF(#REF! &lt;= DATE(#REF!-2, 4, 1),"3.À risque","1.Très à risque")))</f>
        <v>#REF!</v>
      </c>
      <c r="U45" s="1" t="e">
        <f xml:space="preserve"> IF(#REF! = "", "X",IF(#REF! &lt;= DATE(#REF!- 2, 12, 15),"5.Respect OPC",IF(#REF! &lt;= DATE(#REF!-1, 4, 1),"3.À risque","1.Très à risque")))</f>
        <v>#REF!</v>
      </c>
      <c r="V45" s="1" t="e">
        <f xml:space="preserve"> IF(#REF! = "", "X",IF(#REF! &lt;= DATE(#REF!- 1, 12, 15),"5.Respect OPC",IF(#REF! &lt;= DATE(#REF!, 4, 1),"3.À risque","1.Très à risque")))</f>
        <v>#REF!</v>
      </c>
      <c r="W45" s="1" t="e">
        <f xml:space="preserve"> (YEAR(#REF!) - YEAR(#REF!)) * 12 + MONTH(#REF!) - MONTH(#REF!)</f>
        <v>#REF!</v>
      </c>
      <c r="X45" s="1" t="e">
        <f xml:space="preserve"> (YEAR(#REF!) - YEAR(#REF!)) * 12 + MONTH(#REF!) - MONTH(#REF!)</f>
        <v>#REF!</v>
      </c>
      <c r="Y45" s="1" t="e">
        <f>#REF!+#REF!</f>
        <v>#REF!</v>
      </c>
      <c r="Z45">
        <v>5</v>
      </c>
      <c r="AA45">
        <v>1</v>
      </c>
      <c r="AB45">
        <v>3</v>
      </c>
      <c r="AC45" t="s">
        <v>156</v>
      </c>
      <c r="AD45">
        <v>4.333333333333333</v>
      </c>
      <c r="AE45" s="2" t="e">
        <f>_xlfn.XLOOKUP(#REF!,Portefeuille_MNT_PPS_Access27[Numéro projet],Portefeuille_MNT_PPS_Access27[Critère Etat Infrastructure])</f>
        <v>#REF!</v>
      </c>
      <c r="AF45" s="12" t="e">
        <f>IF(#REF!=5,100, SUM(IF(#REF!="",#REF!*$AE$8/5,#REF!*$AE$8/5),#REF!* $AE$10/5,#REF!* $AE$9/5,#REF!* $AE$7/5)*100)</f>
        <v>#REF!</v>
      </c>
      <c r="AG45" s="221"/>
      <c r="AH45">
        <v>0</v>
      </c>
      <c r="AI45">
        <v>0</v>
      </c>
      <c r="AJ45">
        <v>10</v>
      </c>
      <c r="AK45">
        <v>0</v>
      </c>
      <c r="AL45">
        <v>15</v>
      </c>
      <c r="AM45">
        <v>0</v>
      </c>
      <c r="AN45">
        <v>25</v>
      </c>
      <c r="AO45">
        <v>250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300</v>
      </c>
      <c r="BI45">
        <v>290</v>
      </c>
      <c r="BJ45">
        <v>290</v>
      </c>
      <c r="DL45"/>
    </row>
    <row r="46" spans="1:116" hidden="1" x14ac:dyDescent="0.3">
      <c r="A46" t="s">
        <v>11</v>
      </c>
      <c r="B46" t="s">
        <v>662</v>
      </c>
      <c r="C46" t="s">
        <v>733</v>
      </c>
      <c r="D46" t="s">
        <v>118</v>
      </c>
      <c r="E46" t="s">
        <v>102</v>
      </c>
      <c r="F46" t="s">
        <v>103</v>
      </c>
      <c r="G46" t="s">
        <v>252</v>
      </c>
      <c r="H46" t="s">
        <v>20</v>
      </c>
      <c r="I46" t="s">
        <v>20</v>
      </c>
      <c r="J46" t="s">
        <v>131</v>
      </c>
      <c r="K46" t="s">
        <v>647</v>
      </c>
      <c r="L46" t="s">
        <v>648</v>
      </c>
      <c r="M46" t="s">
        <v>147</v>
      </c>
      <c r="N46">
        <v>2027</v>
      </c>
      <c r="O46" t="s">
        <v>291</v>
      </c>
      <c r="P46" s="1"/>
      <c r="Q46" s="1"/>
      <c r="R46" s="1"/>
      <c r="S46" s="1"/>
      <c r="T46" s="1" t="e">
        <f xml:space="preserve"> IF(#REF! = "", "X",IF(#REF! &lt;= DATE(#REF!- 3, 12, 15),"5.Respect OPC",IF(#REF! &lt;= DATE(#REF!-2, 4, 1),"3.À risque","1.Très à risque")))</f>
        <v>#REF!</v>
      </c>
      <c r="U46" s="1" t="e">
        <f xml:space="preserve"> IF(#REF! = "", "X",IF(#REF! &lt;= DATE(#REF!- 2, 12, 15),"5.Respect OPC",IF(#REF! &lt;= DATE(#REF!-1, 4, 1),"3.À risque","1.Très à risque")))</f>
        <v>#REF!</v>
      </c>
      <c r="V46" s="1" t="e">
        <f xml:space="preserve"> IF(#REF! = "", "X",IF(#REF! &lt;= DATE(#REF!- 1, 12, 15),"5.Respect OPC",IF(#REF! &lt;= DATE(#REF!, 4, 1),"3.À risque","1.Très à risque")))</f>
        <v>#REF!</v>
      </c>
      <c r="W46" s="1" t="e">
        <f xml:space="preserve"> (YEAR(#REF!) - YEAR(#REF!)) * 12 + MONTH(#REF!) - MONTH(#REF!)</f>
        <v>#REF!</v>
      </c>
      <c r="X46" s="1" t="e">
        <f xml:space="preserve"> (YEAR(#REF!) - YEAR(#REF!)) * 12 + MONTH(#REF!) - MONTH(#REF!)</f>
        <v>#REF!</v>
      </c>
      <c r="Y46" s="1" t="e">
        <f>#REF!+#REF!</f>
        <v>#REF!</v>
      </c>
      <c r="Z46">
        <v>5</v>
      </c>
      <c r="AA46">
        <v>1</v>
      </c>
      <c r="AB46">
        <v>3</v>
      </c>
      <c r="AC46" t="s">
        <v>311</v>
      </c>
      <c r="AD46">
        <v>2.6666666666666665</v>
      </c>
      <c r="AE46" s="2" t="e">
        <f>_xlfn.XLOOKUP(#REF!,Portefeuille_MNT_PPS_Access27[Numéro projet],Portefeuille_MNT_PPS_Access27[Critère Etat Infrastructure])</f>
        <v>#REF!</v>
      </c>
      <c r="AF46" s="12" t="e">
        <f>IF(#REF!=5,100, SUM(IF(#REF!="",#REF!*$AE$8/5,#REF!*$AE$8/5),#REF!* $AE$10/5,#REF!* $AE$9/5,#REF!* $AE$7/5)*100)</f>
        <v>#REF!</v>
      </c>
      <c r="AG46" s="221"/>
      <c r="AH46">
        <v>0</v>
      </c>
      <c r="AI46">
        <v>0</v>
      </c>
      <c r="AJ46">
        <v>0</v>
      </c>
      <c r="AK46">
        <v>0</v>
      </c>
      <c r="AL46">
        <v>0</v>
      </c>
      <c r="AM46">
        <v>10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10</v>
      </c>
      <c r="BI46">
        <v>10</v>
      </c>
      <c r="BJ46">
        <v>10</v>
      </c>
      <c r="DL46"/>
    </row>
    <row r="47" spans="1:116" hidden="1" x14ac:dyDescent="0.3">
      <c r="A47" t="s">
        <v>11</v>
      </c>
      <c r="B47" t="s">
        <v>662</v>
      </c>
      <c r="C47" t="s">
        <v>738</v>
      </c>
      <c r="D47" t="s">
        <v>118</v>
      </c>
      <c r="E47" t="s">
        <v>102</v>
      </c>
      <c r="F47" t="s">
        <v>103</v>
      </c>
      <c r="G47" t="s">
        <v>252</v>
      </c>
      <c r="H47" t="s">
        <v>20</v>
      </c>
      <c r="I47" t="s">
        <v>20</v>
      </c>
      <c r="K47" t="s">
        <v>606</v>
      </c>
      <c r="L47" t="s">
        <v>607</v>
      </c>
      <c r="M47" t="s">
        <v>725</v>
      </c>
      <c r="N47">
        <v>2027</v>
      </c>
      <c r="O47" t="s">
        <v>291</v>
      </c>
      <c r="P47" s="1"/>
      <c r="Q47" s="1"/>
      <c r="R47" s="1"/>
      <c r="S47" s="1"/>
      <c r="T47" s="1" t="e">
        <f xml:space="preserve"> IF(#REF! = "", "X",IF(#REF! &lt;= DATE(#REF!- 3, 12, 15),"5.Respect OPC",IF(#REF! &lt;= DATE(#REF!-2, 4, 1),"3.À risque","1.Très à risque")))</f>
        <v>#REF!</v>
      </c>
      <c r="U47" s="1" t="e">
        <f xml:space="preserve"> IF(#REF! = "", "X",IF(#REF! &lt;= DATE(#REF!- 2, 12, 15),"5.Respect OPC",IF(#REF! &lt;= DATE(#REF!-1, 4, 1),"3.À risque","1.Très à risque")))</f>
        <v>#REF!</v>
      </c>
      <c r="V47" s="1" t="e">
        <f xml:space="preserve"> IF(#REF! = "", "X",IF(#REF! &lt;= DATE(#REF!- 1, 12, 15),"5.Respect OPC",IF(#REF! &lt;= DATE(#REF!, 4, 1),"3.À risque","1.Très à risque")))</f>
        <v>#REF!</v>
      </c>
      <c r="W47" s="1" t="e">
        <f xml:space="preserve"> (YEAR(#REF!) - YEAR(#REF!)) * 12 + MONTH(#REF!) - MONTH(#REF!)</f>
        <v>#REF!</v>
      </c>
      <c r="X47" s="1" t="e">
        <f xml:space="preserve"> (YEAR(#REF!) - YEAR(#REF!)) * 12 + MONTH(#REF!) - MONTH(#REF!)</f>
        <v>#REF!</v>
      </c>
      <c r="Y47" s="1" t="e">
        <f>#REF!+#REF!</f>
        <v>#REF!</v>
      </c>
      <c r="Z47">
        <v>5</v>
      </c>
      <c r="AA47">
        <v>1</v>
      </c>
      <c r="AB47">
        <v>3</v>
      </c>
      <c r="AC47" t="s">
        <v>311</v>
      </c>
      <c r="AD47">
        <v>3</v>
      </c>
      <c r="AE47" s="2" t="e">
        <f>_xlfn.XLOOKUP(#REF!,Portefeuille_MNT_PPS_Access27[Numéro projet],Portefeuille_MNT_PPS_Access27[Critère Etat Infrastructure])</f>
        <v>#REF!</v>
      </c>
      <c r="AF47" s="12" t="e">
        <f>IF(#REF!=5,100, SUM(IF(#REF!="",#REF!*$AE$8/5,#REF!*$AE$8/5),#REF!* $AE$10/5,#REF!* $AE$9/5,#REF!* $AE$7/5)*100)</f>
        <v>#REF!</v>
      </c>
      <c r="AG47" s="221"/>
      <c r="AH47">
        <v>0</v>
      </c>
      <c r="AI47">
        <v>0</v>
      </c>
      <c r="AJ47">
        <v>0</v>
      </c>
      <c r="AK47">
        <v>0</v>
      </c>
      <c r="AL47">
        <v>0</v>
      </c>
      <c r="AM47">
        <v>300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300</v>
      </c>
      <c r="BI47">
        <v>300</v>
      </c>
      <c r="BJ47">
        <v>300</v>
      </c>
      <c r="DL47"/>
    </row>
    <row r="48" spans="1:116" hidden="1" x14ac:dyDescent="0.3">
      <c r="A48" t="s">
        <v>286</v>
      </c>
      <c r="B48" t="s">
        <v>662</v>
      </c>
      <c r="C48" t="s">
        <v>165</v>
      </c>
      <c r="D48" t="s">
        <v>118</v>
      </c>
      <c r="E48" t="s">
        <v>102</v>
      </c>
      <c r="F48" t="s">
        <v>136</v>
      </c>
      <c r="G48" t="s">
        <v>113</v>
      </c>
      <c r="H48" t="s">
        <v>20</v>
      </c>
      <c r="I48" t="s">
        <v>20</v>
      </c>
      <c r="J48" t="s">
        <v>131</v>
      </c>
      <c r="K48" t="s">
        <v>543</v>
      </c>
      <c r="L48" t="s">
        <v>544</v>
      </c>
      <c r="M48" t="s">
        <v>187</v>
      </c>
      <c r="N48">
        <v>2026</v>
      </c>
      <c r="O48" t="s">
        <v>123</v>
      </c>
      <c r="P48" s="1"/>
      <c r="Q48" s="1">
        <v>45762</v>
      </c>
      <c r="R48" s="1">
        <v>46096</v>
      </c>
      <c r="S48" s="1">
        <v>46096</v>
      </c>
      <c r="T48" s="1" t="e">
        <f xml:space="preserve"> IF(#REF! = "", "X",IF(#REF! &lt;= DATE(#REF!- 3, 12, 15),"5.Respect OPC",IF(#REF! &lt;= DATE(#REF!-2, 4, 1),"3.À risque","1.Très à risque")))</f>
        <v>#REF!</v>
      </c>
      <c r="U48" s="1" t="e">
        <f xml:space="preserve"> IF(#REF! = "", "X",IF(#REF! &lt;= DATE(#REF!- 2, 12, 15),"5.Respect OPC",IF(#REF! &lt;= DATE(#REF!-1, 4, 1),"3.À risque","1.Très à risque")))</f>
        <v>#REF!</v>
      </c>
      <c r="V48" s="1" t="e">
        <f xml:space="preserve"> IF(#REF! = "", "X",IF(#REF! &lt;= DATE(#REF!- 1, 12, 15),"5.Respect OPC",IF(#REF! &lt;= DATE(#REF!, 4, 1),"3.À risque","1.Très à risque")))</f>
        <v>#REF!</v>
      </c>
      <c r="W48" s="1" t="e">
        <f xml:space="preserve"> (YEAR(#REF!) - YEAR(#REF!)) * 12 + MONTH(#REF!) - MONTH(#REF!)</f>
        <v>#REF!</v>
      </c>
      <c r="X48" s="1" t="e">
        <f xml:space="preserve"> (YEAR(#REF!) - YEAR(#REF!)) * 12 + MONTH(#REF!) - MONTH(#REF!)</f>
        <v>#REF!</v>
      </c>
      <c r="Y48" s="1" t="e">
        <f>#REF!+#REF!</f>
        <v>#REF!</v>
      </c>
      <c r="Z48">
        <v>5</v>
      </c>
      <c r="AA48">
        <v>1</v>
      </c>
      <c r="AC48" t="s">
        <v>125</v>
      </c>
      <c r="AD48">
        <v>3</v>
      </c>
      <c r="AE48" s="2" t="e">
        <f>_xlfn.XLOOKUP(#REF!,Portefeuille_MNT_PPS_Access27[Numéro projet],Portefeuille_MNT_PPS_Access27[Critère Etat Infrastructure])</f>
        <v>#REF!</v>
      </c>
      <c r="AF48" s="12" t="e">
        <f>IF(#REF!=5,100, SUM(IF(#REF!="",#REF!*$AE$8/5,#REF!*$AE$8/5),#REF!* $AE$10/5,#REF!* $AE$9/5,#REF!* $AE$7/5)*100)</f>
        <v>#REF!</v>
      </c>
      <c r="AG48" s="221"/>
      <c r="AH48">
        <v>0</v>
      </c>
      <c r="AI48">
        <v>0</v>
      </c>
      <c r="AJ48">
        <v>1</v>
      </c>
      <c r="AK48">
        <v>82</v>
      </c>
      <c r="AL48">
        <v>1</v>
      </c>
      <c r="AM48">
        <v>82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166</v>
      </c>
      <c r="BI48">
        <v>83</v>
      </c>
      <c r="BJ48">
        <v>83</v>
      </c>
      <c r="DL48"/>
    </row>
    <row r="49" spans="1:116" hidden="1" x14ac:dyDescent="0.3">
      <c r="A49" t="s">
        <v>286</v>
      </c>
      <c r="B49" t="s">
        <v>662</v>
      </c>
      <c r="C49" t="s">
        <v>733</v>
      </c>
      <c r="D49" t="s">
        <v>118</v>
      </c>
      <c r="E49" t="s">
        <v>102</v>
      </c>
      <c r="F49" t="s">
        <v>103</v>
      </c>
      <c r="H49" t="s">
        <v>20</v>
      </c>
      <c r="I49" t="s">
        <v>20</v>
      </c>
      <c r="J49" t="s">
        <v>131</v>
      </c>
      <c r="K49" t="s">
        <v>531</v>
      </c>
      <c r="L49" t="s">
        <v>532</v>
      </c>
      <c r="M49" t="s">
        <v>187</v>
      </c>
      <c r="N49">
        <v>2034</v>
      </c>
      <c r="O49" t="s">
        <v>291</v>
      </c>
      <c r="P49" s="1"/>
      <c r="Q49" s="1"/>
      <c r="R49" s="1"/>
      <c r="S49" s="1"/>
      <c r="T49" s="1" t="e">
        <f xml:space="preserve"> IF(#REF! = "", "X",IF(#REF! &lt;= DATE(#REF!- 3, 12, 15),"5.Respect OPC",IF(#REF! &lt;= DATE(#REF!-2, 4, 1),"3.À risque","1.Très à risque")))</f>
        <v>#REF!</v>
      </c>
      <c r="U49" s="1" t="e">
        <f xml:space="preserve"> IF(#REF! = "", "X",IF(#REF! &lt;= DATE(#REF!- 2, 12, 15),"5.Respect OPC",IF(#REF! &lt;= DATE(#REF!-1, 4, 1),"3.À risque","1.Très à risque")))</f>
        <v>#REF!</v>
      </c>
      <c r="V49" s="1" t="e">
        <f xml:space="preserve"> IF(#REF! = "", "X",IF(#REF! &lt;= DATE(#REF!- 1, 12, 15),"5.Respect OPC",IF(#REF! &lt;= DATE(#REF!, 4, 1),"3.À risque","1.Très à risque")))</f>
        <v>#REF!</v>
      </c>
      <c r="W49" s="1" t="e">
        <f xml:space="preserve"> (YEAR(#REF!) - YEAR(#REF!)) * 12 + MONTH(#REF!) - MONTH(#REF!)</f>
        <v>#REF!</v>
      </c>
      <c r="X49" s="1" t="e">
        <f xml:space="preserve"> (YEAR(#REF!) - YEAR(#REF!)) * 12 + MONTH(#REF!) - MONTH(#REF!)</f>
        <v>#REF!</v>
      </c>
      <c r="Y49" s="1" t="e">
        <f>#REF!+#REF!</f>
        <v>#REF!</v>
      </c>
      <c r="Z49">
        <v>5</v>
      </c>
      <c r="AA49">
        <v>1</v>
      </c>
      <c r="AC49" t="s">
        <v>311</v>
      </c>
      <c r="AD49">
        <v>3</v>
      </c>
      <c r="AE49" s="2" t="e">
        <f>_xlfn.XLOOKUP(#REF!,Portefeuille_MNT_PPS_Access27[Numéro projet],Portefeuille_MNT_PPS_Access27[Critère Etat Infrastructure])</f>
        <v>#REF!</v>
      </c>
      <c r="AF49" s="12" t="e">
        <f>IF(#REF!=5,100, SUM(IF(#REF!="",#REF!*$AE$8/5,#REF!*$AE$8/5),#REF!* $AE$10/5,#REF!* $AE$9/5,#REF!* $AE$7/5)*100)</f>
        <v>#REF!</v>
      </c>
      <c r="AG49" s="221"/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150</v>
      </c>
      <c r="AW49">
        <v>0</v>
      </c>
      <c r="AX49">
        <v>150</v>
      </c>
      <c r="AY49">
        <v>0</v>
      </c>
      <c r="AZ49">
        <v>500</v>
      </c>
      <c r="BA49">
        <v>8000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8800</v>
      </c>
      <c r="BJ49">
        <v>8800</v>
      </c>
      <c r="DL49"/>
    </row>
    <row r="50" spans="1:116" hidden="1" x14ac:dyDescent="0.3">
      <c r="A50" t="s">
        <v>286</v>
      </c>
      <c r="B50" t="s">
        <v>662</v>
      </c>
      <c r="C50" t="s">
        <v>733</v>
      </c>
      <c r="D50" t="s">
        <v>118</v>
      </c>
      <c r="E50" t="s">
        <v>102</v>
      </c>
      <c r="F50" t="s">
        <v>177</v>
      </c>
      <c r="H50" t="s">
        <v>20</v>
      </c>
      <c r="I50" t="s">
        <v>20</v>
      </c>
      <c r="J50" t="s">
        <v>131</v>
      </c>
      <c r="K50" t="s">
        <v>522</v>
      </c>
      <c r="L50" t="s">
        <v>523</v>
      </c>
      <c r="M50" t="s">
        <v>187</v>
      </c>
      <c r="N50">
        <v>2030</v>
      </c>
      <c r="O50" t="s">
        <v>291</v>
      </c>
      <c r="P50" s="1"/>
      <c r="Q50" s="1"/>
      <c r="R50" s="1"/>
      <c r="S50" s="1"/>
      <c r="T50" s="1" t="e">
        <f xml:space="preserve"> IF(#REF! = "", "X",IF(#REF! &lt;= DATE(#REF!- 3, 12, 15),"5.Respect OPC",IF(#REF! &lt;= DATE(#REF!-2, 4, 1),"3.À risque","1.Très à risque")))</f>
        <v>#REF!</v>
      </c>
      <c r="U50" s="1" t="e">
        <f xml:space="preserve"> IF(#REF! = "", "X",IF(#REF! &lt;= DATE(#REF!- 2, 12, 15),"5.Respect OPC",IF(#REF! &lt;= DATE(#REF!-1, 4, 1),"3.À risque","1.Très à risque")))</f>
        <v>#REF!</v>
      </c>
      <c r="V50" s="1" t="e">
        <f xml:space="preserve"> IF(#REF! = "", "X",IF(#REF! &lt;= DATE(#REF!- 1, 12, 15),"5.Respect OPC",IF(#REF! &lt;= DATE(#REF!, 4, 1),"3.À risque","1.Très à risque")))</f>
        <v>#REF!</v>
      </c>
      <c r="W50" s="1" t="e">
        <f xml:space="preserve"> (YEAR(#REF!) - YEAR(#REF!)) * 12 + MONTH(#REF!) - MONTH(#REF!)</f>
        <v>#REF!</v>
      </c>
      <c r="X50" s="1" t="e">
        <f xml:space="preserve"> (YEAR(#REF!) - YEAR(#REF!)) * 12 + MONTH(#REF!) - MONTH(#REF!)</f>
        <v>#REF!</v>
      </c>
      <c r="Y50" s="1" t="e">
        <f>#REF!+#REF!</f>
        <v>#REF!</v>
      </c>
      <c r="Z50">
        <v>5</v>
      </c>
      <c r="AA50">
        <v>1</v>
      </c>
      <c r="AC50" t="s">
        <v>311</v>
      </c>
      <c r="AD50">
        <v>3</v>
      </c>
      <c r="AE50" s="2" t="e">
        <f>_xlfn.XLOOKUP(#REF!,Portefeuille_MNT_PPS_Access27[Numéro projet],Portefeuille_MNT_PPS_Access27[Critère Etat Infrastructure])</f>
        <v>#REF!</v>
      </c>
      <c r="AF50" s="12" t="e">
        <f>IF(#REF!=5,100, SUM(IF(#REF!="",#REF!*$AE$8/5,#REF!*$AE$8/5),#REF!* $AE$10/5,#REF!* $AE$9/5,#REF!* $AE$7/5)*100)</f>
        <v>#REF!</v>
      </c>
      <c r="AG50" s="221"/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50</v>
      </c>
      <c r="AO50">
        <v>0</v>
      </c>
      <c r="AP50">
        <v>100</v>
      </c>
      <c r="AQ50" s="8">
        <v>0</v>
      </c>
      <c r="AR50">
        <v>200</v>
      </c>
      <c r="AS50">
        <v>2000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2350</v>
      </c>
      <c r="BI50">
        <v>2350</v>
      </c>
      <c r="BJ50">
        <v>2350</v>
      </c>
      <c r="DL50"/>
    </row>
    <row r="51" spans="1:116" hidden="1" x14ac:dyDescent="0.3">
      <c r="A51" t="s">
        <v>286</v>
      </c>
      <c r="B51" t="s">
        <v>662</v>
      </c>
      <c r="C51" t="s">
        <v>733</v>
      </c>
      <c r="D51" t="s">
        <v>118</v>
      </c>
      <c r="E51" t="s">
        <v>102</v>
      </c>
      <c r="F51" t="s">
        <v>136</v>
      </c>
      <c r="H51" t="s">
        <v>20</v>
      </c>
      <c r="I51" t="s">
        <v>20</v>
      </c>
      <c r="J51" t="s">
        <v>131</v>
      </c>
      <c r="K51" t="s">
        <v>470</v>
      </c>
      <c r="L51" t="s">
        <v>471</v>
      </c>
      <c r="M51" t="s">
        <v>191</v>
      </c>
      <c r="N51">
        <v>2032</v>
      </c>
      <c r="O51" t="s">
        <v>291</v>
      </c>
      <c r="P51" s="1"/>
      <c r="Q51" s="1"/>
      <c r="R51" s="1"/>
      <c r="S51" s="1"/>
      <c r="T51" s="1" t="e">
        <f xml:space="preserve"> IF(#REF! = "", "X",IF(#REF! &lt;= DATE(#REF!- 3, 12, 15),"5.Respect OPC",IF(#REF! &lt;= DATE(#REF!-2, 4, 1),"3.À risque","1.Très à risque")))</f>
        <v>#REF!</v>
      </c>
      <c r="U51" s="1" t="e">
        <f xml:space="preserve"> IF(#REF! = "", "X",IF(#REF! &lt;= DATE(#REF!- 2, 12, 15),"5.Respect OPC",IF(#REF! &lt;= DATE(#REF!-1, 4, 1),"3.À risque","1.Très à risque")))</f>
        <v>#REF!</v>
      </c>
      <c r="V51" s="1" t="e">
        <f xml:space="preserve"> IF(#REF! = "", "X",IF(#REF! &lt;= DATE(#REF!- 1, 12, 15),"5.Respect OPC",IF(#REF! &lt;= DATE(#REF!, 4, 1),"3.À risque","1.Très à risque")))</f>
        <v>#REF!</v>
      </c>
      <c r="W51" s="1" t="e">
        <f xml:space="preserve"> (YEAR(#REF!) - YEAR(#REF!)) * 12 + MONTH(#REF!) - MONTH(#REF!)</f>
        <v>#REF!</v>
      </c>
      <c r="X51" s="1" t="e">
        <f xml:space="preserve"> (YEAR(#REF!) - YEAR(#REF!)) * 12 + MONTH(#REF!) - MONTH(#REF!)</f>
        <v>#REF!</v>
      </c>
      <c r="Y51" s="1" t="e">
        <f>#REF!+#REF!</f>
        <v>#REF!</v>
      </c>
      <c r="Z51">
        <v>5</v>
      </c>
      <c r="AA51">
        <v>1</v>
      </c>
      <c r="AC51" t="s">
        <v>311</v>
      </c>
      <c r="AD51">
        <v>1.6666666666666667</v>
      </c>
      <c r="AE51" s="2" t="e">
        <f>_xlfn.XLOOKUP(#REF!,Portefeuille_MNT_PPS_Access27[Numéro projet],Portefeuille_MNT_PPS_Access27[Critère Etat Infrastructure])</f>
        <v>#REF!</v>
      </c>
      <c r="AF51" s="12" t="e">
        <f>IF(#REF!=5,100, SUM(IF(#REF!="",#REF!*$AE$8/5,#REF!*$AE$8/5),#REF!* $AE$10/5,#REF!* $AE$9/5,#REF!* $AE$7/5)*100)</f>
        <v>#REF!</v>
      </c>
      <c r="AG51" s="221"/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100</v>
      </c>
      <c r="AQ51">
        <v>0</v>
      </c>
      <c r="AR51">
        <v>100</v>
      </c>
      <c r="AS51">
        <v>0</v>
      </c>
      <c r="AT51">
        <v>200</v>
      </c>
      <c r="AU51">
        <v>0</v>
      </c>
      <c r="AV51">
        <v>500</v>
      </c>
      <c r="AW51">
        <v>3000</v>
      </c>
      <c r="AX51">
        <v>500</v>
      </c>
      <c r="AY51">
        <v>3000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7400</v>
      </c>
      <c r="BI51">
        <v>400</v>
      </c>
      <c r="BJ51">
        <v>7400</v>
      </c>
      <c r="DL51"/>
    </row>
    <row r="52" spans="1:116" hidden="1" x14ac:dyDescent="0.3">
      <c r="A52" t="s">
        <v>286</v>
      </c>
      <c r="B52" t="s">
        <v>662</v>
      </c>
      <c r="C52" t="s">
        <v>733</v>
      </c>
      <c r="D52" t="s">
        <v>118</v>
      </c>
      <c r="E52" t="s">
        <v>102</v>
      </c>
      <c r="F52" t="s">
        <v>177</v>
      </c>
      <c r="G52" t="s">
        <v>113</v>
      </c>
      <c r="H52" t="s">
        <v>20</v>
      </c>
      <c r="I52" t="s">
        <v>20</v>
      </c>
      <c r="J52" t="s">
        <v>131</v>
      </c>
      <c r="K52" t="s">
        <v>511</v>
      </c>
      <c r="L52" t="s">
        <v>512</v>
      </c>
      <c r="M52" t="s">
        <v>187</v>
      </c>
      <c r="N52">
        <v>2028</v>
      </c>
      <c r="O52" t="s">
        <v>155</v>
      </c>
      <c r="P52" s="1"/>
      <c r="Q52" s="1">
        <v>46006</v>
      </c>
      <c r="R52" s="1">
        <v>46341</v>
      </c>
      <c r="S52" s="1">
        <v>46706</v>
      </c>
      <c r="T52" s="1" t="e">
        <f xml:space="preserve"> IF(#REF! = "", "X",IF(#REF! &lt;= DATE(#REF!- 3, 12, 15),"5.Respect OPC",IF(#REF! &lt;= DATE(#REF!-2, 4, 1),"3.À risque","1.Très à risque")))</f>
        <v>#REF!</v>
      </c>
      <c r="U52" s="1" t="e">
        <f xml:space="preserve"> IF(#REF! = "", "X",IF(#REF! &lt;= DATE(#REF!- 2, 12, 15),"5.Respect OPC",IF(#REF! &lt;= DATE(#REF!-1, 4, 1),"3.À risque","1.Très à risque")))</f>
        <v>#REF!</v>
      </c>
      <c r="V52" s="1" t="e">
        <f xml:space="preserve"> IF(#REF! = "", "X",IF(#REF! &lt;= DATE(#REF!- 1, 12, 15),"5.Respect OPC",IF(#REF! &lt;= DATE(#REF!, 4, 1),"3.À risque","1.Très à risque")))</f>
        <v>#REF!</v>
      </c>
      <c r="W52" s="1" t="e">
        <f xml:space="preserve"> (YEAR(#REF!) - YEAR(#REF!)) * 12 + MONTH(#REF!) - MONTH(#REF!)</f>
        <v>#REF!</v>
      </c>
      <c r="X52" s="1" t="e">
        <f xml:space="preserve"> (YEAR(#REF!) - YEAR(#REF!)) * 12 + MONTH(#REF!) - MONTH(#REF!)</f>
        <v>#REF!</v>
      </c>
      <c r="Y52" s="1" t="e">
        <f>#REF!+#REF!</f>
        <v>#REF!</v>
      </c>
      <c r="Z52">
        <v>5</v>
      </c>
      <c r="AA52">
        <v>1</v>
      </c>
      <c r="AB52">
        <v>5</v>
      </c>
      <c r="AC52" t="s">
        <v>156</v>
      </c>
      <c r="AD52">
        <v>3</v>
      </c>
      <c r="AE52" s="2" t="e">
        <f>_xlfn.XLOOKUP(#REF!,Portefeuille_MNT_PPS_Access27[Numéro projet],Portefeuille_MNT_PPS_Access27[Critère Etat Infrastructure])</f>
        <v>#REF!</v>
      </c>
      <c r="AF52" s="12" t="e">
        <f>IF(#REF!=5,100, SUM(IF(#REF!="",#REF!*$AE$8/5,#REF!*$AE$8/5),#REF!* $AE$10/5,#REF!* $AE$9/5,#REF!* $AE$7/5)*100)</f>
        <v>#REF!</v>
      </c>
      <c r="AG52" s="221"/>
      <c r="AH52">
        <v>0</v>
      </c>
      <c r="AI52">
        <v>0</v>
      </c>
      <c r="AJ52">
        <v>0</v>
      </c>
      <c r="AK52">
        <v>0</v>
      </c>
      <c r="AL52">
        <v>150</v>
      </c>
      <c r="AM52">
        <v>0</v>
      </c>
      <c r="AN52">
        <v>150</v>
      </c>
      <c r="AO52">
        <v>1000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1300</v>
      </c>
      <c r="BI52">
        <v>1300</v>
      </c>
      <c r="BJ52">
        <v>1300</v>
      </c>
      <c r="DL52"/>
    </row>
    <row r="53" spans="1:116" hidden="1" x14ac:dyDescent="0.3">
      <c r="A53" t="s">
        <v>286</v>
      </c>
      <c r="B53" t="s">
        <v>664</v>
      </c>
      <c r="C53" t="s">
        <v>733</v>
      </c>
      <c r="D53" t="s">
        <v>101</v>
      </c>
      <c r="E53" t="s">
        <v>102</v>
      </c>
      <c r="F53" t="s">
        <v>389</v>
      </c>
      <c r="H53" t="s">
        <v>20</v>
      </c>
      <c r="I53" t="s">
        <v>20</v>
      </c>
      <c r="J53" t="s">
        <v>105</v>
      </c>
      <c r="K53" t="s">
        <v>601</v>
      </c>
      <c r="L53" t="s">
        <v>602</v>
      </c>
      <c r="M53" t="s">
        <v>239</v>
      </c>
      <c r="N53">
        <v>2035</v>
      </c>
      <c r="O53" t="s">
        <v>291</v>
      </c>
      <c r="P53" s="1"/>
      <c r="Q53" s="1"/>
      <c r="R53" s="1"/>
      <c r="S53" s="1"/>
      <c r="T53" s="1" t="e">
        <f xml:space="preserve"> IF(#REF! = "", "X",IF(#REF! &lt;= DATE(#REF!- 3, 12, 15),"5.Respect OPC",IF(#REF! &lt;= DATE(#REF!-2, 4, 1),"3.À risque","1.Très à risque")))</f>
        <v>#REF!</v>
      </c>
      <c r="U53" s="1" t="e">
        <f xml:space="preserve"> IF(#REF! = "", "X",IF(#REF! &lt;= DATE(#REF!- 2, 12, 15),"5.Respect OPC",IF(#REF! &lt;= DATE(#REF!-1, 4, 1),"3.À risque","1.Très à risque")))</f>
        <v>#REF!</v>
      </c>
      <c r="V53" s="1" t="e">
        <f xml:space="preserve"> IF(#REF! = "", "X",IF(#REF! &lt;= DATE(#REF!- 1, 12, 15),"5.Respect OPC",IF(#REF! &lt;= DATE(#REF!, 4, 1),"3.À risque","1.Très à risque")))</f>
        <v>#REF!</v>
      </c>
      <c r="W53" s="1" t="e">
        <f xml:space="preserve"> (YEAR(#REF!) - YEAR(#REF!)) * 12 + MONTH(#REF!) - MONTH(#REF!)</f>
        <v>#REF!</v>
      </c>
      <c r="X53" s="1" t="e">
        <f xml:space="preserve"> (YEAR(#REF!) - YEAR(#REF!)) * 12 + MONTH(#REF!) - MONTH(#REF!)</f>
        <v>#REF!</v>
      </c>
      <c r="Y53" s="1" t="e">
        <f>#REF!+#REF!</f>
        <v>#REF!</v>
      </c>
      <c r="Z53">
        <v>5</v>
      </c>
      <c r="AA53">
        <v>1</v>
      </c>
      <c r="AC53" t="s">
        <v>311</v>
      </c>
      <c r="AD53">
        <v>3.3333333333333335</v>
      </c>
      <c r="AE53" s="2" t="e">
        <f>_xlfn.XLOOKUP(#REF!,Portefeuille_MNT_PPS_Access27[Numéro projet],Portefeuille_MNT_PPS_Access27[Critère Etat Infrastructure])</f>
        <v>#REF!</v>
      </c>
      <c r="AF53" s="12" t="e">
        <f>IF(#REF!=5,100, SUM(IF(#REF!="",#REF!*$AE$8/5,#REF!*$AE$8/5),#REF!* $AE$10/5,#REF!* $AE$9/5,#REF!* $AE$7/5)*100)</f>
        <v>#REF!</v>
      </c>
      <c r="AG53" s="221"/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100</v>
      </c>
      <c r="AY53">
        <v>0</v>
      </c>
      <c r="AZ53">
        <v>100</v>
      </c>
      <c r="BA53">
        <v>0</v>
      </c>
      <c r="BB53">
        <v>500</v>
      </c>
      <c r="BC53">
        <v>5000</v>
      </c>
      <c r="BD53">
        <v>0</v>
      </c>
      <c r="BE53">
        <v>0</v>
      </c>
      <c r="BF53">
        <v>0</v>
      </c>
      <c r="BG53">
        <v>0</v>
      </c>
      <c r="BH53">
        <v>5700</v>
      </c>
      <c r="BJ53">
        <v>5700</v>
      </c>
      <c r="DL53"/>
    </row>
    <row r="54" spans="1:116" hidden="1" x14ac:dyDescent="0.3">
      <c r="A54" t="s">
        <v>286</v>
      </c>
      <c r="B54" t="s">
        <v>664</v>
      </c>
      <c r="C54" t="s">
        <v>733</v>
      </c>
      <c r="D54" t="s">
        <v>101</v>
      </c>
      <c r="E54" t="s">
        <v>102</v>
      </c>
      <c r="F54" t="s">
        <v>103</v>
      </c>
      <c r="H54" t="s">
        <v>20</v>
      </c>
      <c r="I54" t="s">
        <v>20</v>
      </c>
      <c r="J54" t="s">
        <v>105</v>
      </c>
      <c r="K54" t="s">
        <v>393</v>
      </c>
      <c r="L54" t="s">
        <v>394</v>
      </c>
      <c r="M54" t="s">
        <v>122</v>
      </c>
      <c r="N54">
        <v>2035</v>
      </c>
      <c r="O54" t="s">
        <v>291</v>
      </c>
      <c r="P54" s="1"/>
      <c r="Q54" s="1"/>
      <c r="R54" s="1"/>
      <c r="S54" s="1"/>
      <c r="T54" s="1" t="e">
        <f xml:space="preserve"> IF(#REF! = "", "X",IF(#REF! &lt;= DATE(#REF!- 3, 12, 15),"5.Respect OPC",IF(#REF! &lt;= DATE(#REF!-2, 4, 1),"3.À risque","1.Très à risque")))</f>
        <v>#REF!</v>
      </c>
      <c r="U54" s="1" t="e">
        <f xml:space="preserve"> IF(#REF! = "", "X",IF(#REF! &lt;= DATE(#REF!- 2, 12, 15),"5.Respect OPC",IF(#REF! &lt;= DATE(#REF!-1, 4, 1),"3.À risque","1.Très à risque")))</f>
        <v>#REF!</v>
      </c>
      <c r="V54" s="1" t="e">
        <f xml:space="preserve"> IF(#REF! = "", "X",IF(#REF! &lt;= DATE(#REF!- 1, 12, 15),"5.Respect OPC",IF(#REF! &lt;= DATE(#REF!, 4, 1),"3.À risque","1.Très à risque")))</f>
        <v>#REF!</v>
      </c>
      <c r="W54" s="1" t="e">
        <f xml:space="preserve"> (YEAR(#REF!) - YEAR(#REF!)) * 12 + MONTH(#REF!) - MONTH(#REF!)</f>
        <v>#REF!</v>
      </c>
      <c r="X54" s="1" t="e">
        <f xml:space="preserve"> (YEAR(#REF!) - YEAR(#REF!)) * 12 + MONTH(#REF!) - MONTH(#REF!)</f>
        <v>#REF!</v>
      </c>
      <c r="Y54" s="1" t="e">
        <f>#REF!+#REF!</f>
        <v>#REF!</v>
      </c>
      <c r="Z54">
        <v>5</v>
      </c>
      <c r="AA54">
        <v>1</v>
      </c>
      <c r="AC54" t="s">
        <v>311</v>
      </c>
      <c r="AD54">
        <v>4</v>
      </c>
      <c r="AE54" s="2" t="e">
        <f>_xlfn.XLOOKUP(#REF!,Portefeuille_MNT_PPS_Access27[Numéro projet],Portefeuille_MNT_PPS_Access27[Critère Etat Infrastructure])</f>
        <v>#REF!</v>
      </c>
      <c r="AF54" s="12" t="e">
        <f>IF(#REF!=5,100, SUM(IF(#REF!="",#REF!*$AE$8/5,#REF!*$AE$8/5),#REF!* $AE$10/5,#REF!* $AE$9/5,#REF!* $AE$7/5)*100)</f>
        <v>#REF!</v>
      </c>
      <c r="AG54" s="221"/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</v>
      </c>
      <c r="AY54">
        <v>0</v>
      </c>
      <c r="AZ54">
        <v>100</v>
      </c>
      <c r="BA54">
        <v>0</v>
      </c>
      <c r="BB54">
        <v>500</v>
      </c>
      <c r="BC54">
        <v>12000</v>
      </c>
      <c r="BD54">
        <v>0</v>
      </c>
      <c r="BE54">
        <v>0</v>
      </c>
      <c r="BF54">
        <v>0</v>
      </c>
      <c r="BG54">
        <v>0</v>
      </c>
      <c r="BH54">
        <v>12700</v>
      </c>
      <c r="BJ54">
        <v>12700</v>
      </c>
      <c r="DL54"/>
    </row>
    <row r="55" spans="1:116" hidden="1" x14ac:dyDescent="0.3">
      <c r="A55" t="s">
        <v>286</v>
      </c>
      <c r="B55" t="s">
        <v>664</v>
      </c>
      <c r="C55" t="s">
        <v>733</v>
      </c>
      <c r="D55" t="s">
        <v>101</v>
      </c>
      <c r="E55" t="s">
        <v>102</v>
      </c>
      <c r="F55" t="s">
        <v>103</v>
      </c>
      <c r="H55" t="s">
        <v>20</v>
      </c>
      <c r="I55" t="s">
        <v>20</v>
      </c>
      <c r="J55" t="s">
        <v>105</v>
      </c>
      <c r="K55" t="s">
        <v>446</v>
      </c>
      <c r="L55" t="s">
        <v>447</v>
      </c>
      <c r="M55" t="s">
        <v>168</v>
      </c>
      <c r="N55">
        <v>2035</v>
      </c>
      <c r="O55" t="s">
        <v>291</v>
      </c>
      <c r="P55" s="1"/>
      <c r="Q55" s="1"/>
      <c r="R55" s="1"/>
      <c r="S55" s="1"/>
      <c r="T55" s="1" t="e">
        <f xml:space="preserve"> IF(#REF! = "", "X",IF(#REF! &lt;= DATE(#REF!- 3, 12, 15),"5.Respect OPC",IF(#REF! &lt;= DATE(#REF!-2, 4, 1),"3.À risque","1.Très à risque")))</f>
        <v>#REF!</v>
      </c>
      <c r="U55" s="1" t="e">
        <f xml:space="preserve"> IF(#REF! = "", "X",IF(#REF! &lt;= DATE(#REF!- 2, 12, 15),"5.Respect OPC",IF(#REF! &lt;= DATE(#REF!-1, 4, 1),"3.À risque","1.Très à risque")))</f>
        <v>#REF!</v>
      </c>
      <c r="V55" s="1" t="e">
        <f xml:space="preserve"> IF(#REF! = "", "X",IF(#REF! &lt;= DATE(#REF!- 1, 12, 15),"5.Respect OPC",IF(#REF! &lt;= DATE(#REF!, 4, 1),"3.À risque","1.Très à risque")))</f>
        <v>#REF!</v>
      </c>
      <c r="W55" s="1" t="e">
        <f xml:space="preserve"> (YEAR(#REF!) - YEAR(#REF!)) * 12 + MONTH(#REF!) - MONTH(#REF!)</f>
        <v>#REF!</v>
      </c>
      <c r="X55" s="1" t="e">
        <f xml:space="preserve"> (YEAR(#REF!) - YEAR(#REF!)) * 12 + MONTH(#REF!) - MONTH(#REF!)</f>
        <v>#REF!</v>
      </c>
      <c r="Y55" s="1" t="e">
        <f>#REF!+#REF!</f>
        <v>#REF!</v>
      </c>
      <c r="Z55">
        <v>5</v>
      </c>
      <c r="AA55">
        <v>1</v>
      </c>
      <c r="AC55" t="s">
        <v>311</v>
      </c>
      <c r="AD55">
        <v>3.3333333333333335</v>
      </c>
      <c r="AE55" s="2" t="e">
        <f>_xlfn.XLOOKUP(#REF!,Portefeuille_MNT_PPS_Access27[Numéro projet],Portefeuille_MNT_PPS_Access27[Critère Etat Infrastructure])</f>
        <v>#REF!</v>
      </c>
      <c r="AF55" s="12" t="e">
        <f>IF(#REF!=5,100, SUM(IF(#REF!="",#REF!*$AE$8/5,#REF!*$AE$8/5),#REF!* $AE$10/5,#REF!* $AE$9/5,#REF!* $AE$7/5)*100)</f>
        <v>#REF!</v>
      </c>
      <c r="AG55" s="221"/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150</v>
      </c>
      <c r="AY55">
        <v>0</v>
      </c>
      <c r="AZ55">
        <v>150</v>
      </c>
      <c r="BA55">
        <v>0</v>
      </c>
      <c r="BB55">
        <v>600</v>
      </c>
      <c r="BC55">
        <v>12000</v>
      </c>
      <c r="BD55">
        <v>0</v>
      </c>
      <c r="BE55">
        <v>0</v>
      </c>
      <c r="BF55">
        <v>0</v>
      </c>
      <c r="BG55">
        <v>0</v>
      </c>
      <c r="BH55">
        <v>12900</v>
      </c>
      <c r="BJ55">
        <v>12900</v>
      </c>
      <c r="DL55"/>
    </row>
    <row r="56" spans="1:116" hidden="1" x14ac:dyDescent="0.3">
      <c r="A56" t="s">
        <v>286</v>
      </c>
      <c r="B56" t="s">
        <v>664</v>
      </c>
      <c r="C56" t="s">
        <v>733</v>
      </c>
      <c r="D56" t="s">
        <v>101</v>
      </c>
      <c r="E56" t="s">
        <v>102</v>
      </c>
      <c r="F56" t="s">
        <v>103</v>
      </c>
      <c r="H56" t="s">
        <v>20</v>
      </c>
      <c r="I56" t="s">
        <v>20</v>
      </c>
      <c r="J56" t="s">
        <v>105</v>
      </c>
      <c r="K56" t="s">
        <v>444</v>
      </c>
      <c r="L56" t="s">
        <v>666</v>
      </c>
      <c r="M56" t="s">
        <v>302</v>
      </c>
      <c r="N56">
        <v>2032</v>
      </c>
      <c r="O56" t="s">
        <v>291</v>
      </c>
      <c r="P56" s="1"/>
      <c r="Q56" s="1"/>
      <c r="R56" s="1"/>
      <c r="S56" s="1"/>
      <c r="T56" s="1" t="e">
        <f xml:space="preserve"> IF(#REF! = "", "X",IF(#REF! &lt;= DATE(#REF!- 3, 12, 15),"5.Respect OPC",IF(#REF! &lt;= DATE(#REF!-2, 4, 1),"3.À risque","1.Très à risque")))</f>
        <v>#REF!</v>
      </c>
      <c r="U56" s="1" t="e">
        <f xml:space="preserve"> IF(#REF! = "", "X",IF(#REF! &lt;= DATE(#REF!- 2, 12, 15),"5.Respect OPC",IF(#REF! &lt;= DATE(#REF!-1, 4, 1),"3.À risque","1.Très à risque")))</f>
        <v>#REF!</v>
      </c>
      <c r="V56" s="1" t="e">
        <f xml:space="preserve"> IF(#REF! = "", "X",IF(#REF! &lt;= DATE(#REF!- 1, 12, 15),"5.Respect OPC",IF(#REF! &lt;= DATE(#REF!, 4, 1),"3.À risque","1.Très à risque")))</f>
        <v>#REF!</v>
      </c>
      <c r="W56" s="1" t="e">
        <f xml:space="preserve"> (YEAR(#REF!) - YEAR(#REF!)) * 12 + MONTH(#REF!) - MONTH(#REF!)</f>
        <v>#REF!</v>
      </c>
      <c r="X56" s="1" t="e">
        <f xml:space="preserve"> (YEAR(#REF!) - YEAR(#REF!)) * 12 + MONTH(#REF!) - MONTH(#REF!)</f>
        <v>#REF!</v>
      </c>
      <c r="Y56" s="1" t="e">
        <f>#REF!+#REF!</f>
        <v>#REF!</v>
      </c>
      <c r="Z56">
        <v>5</v>
      </c>
      <c r="AA56">
        <v>1</v>
      </c>
      <c r="AC56" t="s">
        <v>311</v>
      </c>
      <c r="AD56">
        <v>4</v>
      </c>
      <c r="AE56" s="2" t="e">
        <f>_xlfn.XLOOKUP(#REF!,Portefeuille_MNT_PPS_Access27[Numéro projet],Portefeuille_MNT_PPS_Access27[Critère Etat Infrastructure])</f>
        <v>#REF!</v>
      </c>
      <c r="AF56" s="12" t="e">
        <f>IF(#REF!=5,100, SUM(IF(#REF!="",#REF!*$AE$8/5,#REF!*$AE$8/5),#REF!* $AE$10/5,#REF!* $AE$9/5,#REF!* $AE$7/5)*100)</f>
        <v>#REF!</v>
      </c>
      <c r="AG56" s="221"/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150</v>
      </c>
      <c r="AS56">
        <v>0</v>
      </c>
      <c r="AT56">
        <v>150</v>
      </c>
      <c r="AU56">
        <v>0</v>
      </c>
      <c r="AV56">
        <v>600</v>
      </c>
      <c r="AW56">
        <v>12000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12900</v>
      </c>
      <c r="BI56">
        <v>300</v>
      </c>
      <c r="BJ56">
        <v>12900</v>
      </c>
      <c r="DL56"/>
    </row>
    <row r="57" spans="1:116" hidden="1" x14ac:dyDescent="0.3">
      <c r="A57" t="s">
        <v>286</v>
      </c>
      <c r="B57" t="s">
        <v>663</v>
      </c>
      <c r="C57" t="s">
        <v>733</v>
      </c>
      <c r="D57" t="s">
        <v>101</v>
      </c>
      <c r="E57" t="s">
        <v>102</v>
      </c>
      <c r="F57" t="s">
        <v>136</v>
      </c>
      <c r="H57" t="s">
        <v>20</v>
      </c>
      <c r="I57" t="s">
        <v>20</v>
      </c>
      <c r="J57" t="s">
        <v>105</v>
      </c>
      <c r="K57" t="s">
        <v>464</v>
      </c>
      <c r="L57" t="s">
        <v>465</v>
      </c>
      <c r="M57" t="s">
        <v>116</v>
      </c>
      <c r="N57">
        <v>2034</v>
      </c>
      <c r="O57" t="s">
        <v>291</v>
      </c>
      <c r="P57" s="1"/>
      <c r="Q57" s="1"/>
      <c r="R57" s="1"/>
      <c r="S57" s="1"/>
      <c r="T57" s="1" t="e">
        <f xml:space="preserve"> IF(#REF! = "", "X",IF(#REF! &lt;= DATE(#REF!- 3, 12, 15),"5.Respect OPC",IF(#REF! &lt;= DATE(#REF!-2, 4, 1),"3.À risque","1.Très à risque")))</f>
        <v>#REF!</v>
      </c>
      <c r="U57" s="1" t="e">
        <f xml:space="preserve"> IF(#REF! = "", "X",IF(#REF! &lt;= DATE(#REF!- 2, 12, 15),"5.Respect OPC",IF(#REF! &lt;= DATE(#REF!-1, 4, 1),"3.À risque","1.Très à risque")))</f>
        <v>#REF!</v>
      </c>
      <c r="V57" s="1" t="e">
        <f xml:space="preserve"> IF(#REF! = "", "X",IF(#REF! &lt;= DATE(#REF!- 1, 12, 15),"5.Respect OPC",IF(#REF! &lt;= DATE(#REF!, 4, 1),"3.À risque","1.Très à risque")))</f>
        <v>#REF!</v>
      </c>
      <c r="W57" s="1" t="e">
        <f xml:space="preserve"> (YEAR(#REF!) - YEAR(#REF!)) * 12 + MONTH(#REF!) - MONTH(#REF!)</f>
        <v>#REF!</v>
      </c>
      <c r="X57" s="1" t="e">
        <f xml:space="preserve"> (YEAR(#REF!) - YEAR(#REF!)) * 12 + MONTH(#REF!) - MONTH(#REF!)</f>
        <v>#REF!</v>
      </c>
      <c r="Y57" s="1" t="e">
        <f>#REF!+#REF!</f>
        <v>#REF!</v>
      </c>
      <c r="Z57">
        <v>5</v>
      </c>
      <c r="AA57">
        <v>1</v>
      </c>
      <c r="AC57" t="s">
        <v>311</v>
      </c>
      <c r="AD57">
        <v>3.3333333333333335</v>
      </c>
      <c r="AE57" s="2" t="e">
        <f>_xlfn.XLOOKUP(#REF!,Portefeuille_MNT_PPS_Access27[Numéro projet],Portefeuille_MNT_PPS_Access27[Critère Etat Infrastructure])</f>
        <v>#REF!</v>
      </c>
      <c r="AF57" s="12" t="e">
        <f>IF(#REF!=5,100, SUM(IF(#REF!="",#REF!*$AE$8/5,#REF!*$AE$8/5),#REF!* $AE$10/5,#REF!* $AE$9/5,#REF!* $AE$7/5)*100)</f>
        <v>#REF!</v>
      </c>
      <c r="AG57" s="221"/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150</v>
      </c>
      <c r="AU57">
        <v>0</v>
      </c>
      <c r="AV57">
        <v>150</v>
      </c>
      <c r="AW57">
        <v>0</v>
      </c>
      <c r="AX57">
        <v>150</v>
      </c>
      <c r="AY57">
        <v>0</v>
      </c>
      <c r="AZ57">
        <v>500</v>
      </c>
      <c r="BA57">
        <v>6800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7750</v>
      </c>
      <c r="BI57">
        <v>150</v>
      </c>
      <c r="BJ57">
        <v>7750</v>
      </c>
      <c r="DL57"/>
    </row>
    <row r="58" spans="1:116" hidden="1" x14ac:dyDescent="0.3">
      <c r="A58" t="s">
        <v>286</v>
      </c>
      <c r="B58" t="s">
        <v>663</v>
      </c>
      <c r="C58" t="s">
        <v>733</v>
      </c>
      <c r="D58" t="s">
        <v>101</v>
      </c>
      <c r="E58" t="s">
        <v>102</v>
      </c>
      <c r="F58" t="s">
        <v>136</v>
      </c>
      <c r="H58" t="s">
        <v>20</v>
      </c>
      <c r="I58" t="s">
        <v>20</v>
      </c>
      <c r="J58" t="s">
        <v>105</v>
      </c>
      <c r="K58" t="s">
        <v>462</v>
      </c>
      <c r="L58" t="s">
        <v>463</v>
      </c>
      <c r="M58" t="s">
        <v>230</v>
      </c>
      <c r="N58">
        <v>2033</v>
      </c>
      <c r="O58" t="s">
        <v>291</v>
      </c>
      <c r="P58" s="1"/>
      <c r="Q58" s="1"/>
      <c r="R58" s="1"/>
      <c r="S58" s="1"/>
      <c r="T58" s="1" t="e">
        <f xml:space="preserve"> IF(#REF! = "", "X",IF(#REF! &lt;= DATE(#REF!- 3, 12, 15),"5.Respect OPC",IF(#REF! &lt;= DATE(#REF!-2, 4, 1),"3.À risque","1.Très à risque")))</f>
        <v>#REF!</v>
      </c>
      <c r="U58" s="1" t="e">
        <f xml:space="preserve"> IF(#REF! = "", "X",IF(#REF! &lt;= DATE(#REF!- 2, 12, 15),"5.Respect OPC",IF(#REF! &lt;= DATE(#REF!-1, 4, 1),"3.À risque","1.Très à risque")))</f>
        <v>#REF!</v>
      </c>
      <c r="V58" s="1" t="e">
        <f xml:space="preserve"> IF(#REF! = "", "X",IF(#REF! &lt;= DATE(#REF!- 1, 12, 15),"5.Respect OPC",IF(#REF! &lt;= DATE(#REF!, 4, 1),"3.À risque","1.Très à risque")))</f>
        <v>#REF!</v>
      </c>
      <c r="W58" s="1" t="e">
        <f xml:space="preserve"> (YEAR(#REF!) - YEAR(#REF!)) * 12 + MONTH(#REF!) - MONTH(#REF!)</f>
        <v>#REF!</v>
      </c>
      <c r="X58" s="1" t="e">
        <f xml:space="preserve"> (YEAR(#REF!) - YEAR(#REF!)) * 12 + MONTH(#REF!) - MONTH(#REF!)</f>
        <v>#REF!</v>
      </c>
      <c r="Y58" s="1" t="e">
        <f>#REF!+#REF!</f>
        <v>#REF!</v>
      </c>
      <c r="Z58">
        <v>5</v>
      </c>
      <c r="AA58">
        <v>1</v>
      </c>
      <c r="AC58" t="s">
        <v>311</v>
      </c>
      <c r="AD58">
        <v>3</v>
      </c>
      <c r="AE58" s="2" t="e">
        <f>_xlfn.XLOOKUP(#REF!,Portefeuille_MNT_PPS_Access27[Numéro projet],Portefeuille_MNT_PPS_Access27[Critère Etat Infrastructure])</f>
        <v>#REF!</v>
      </c>
      <c r="AF58" s="12" t="e">
        <f>IF(#REF!=5,100, SUM(IF(#REF!="",#REF!*$AE$8/5,#REF!*$AE$8/5),#REF!* $AE$10/5,#REF!* $AE$9/5,#REF!* $AE$7/5)*100)</f>
        <v>#REF!</v>
      </c>
      <c r="AG58" s="221"/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150</v>
      </c>
      <c r="AU58">
        <v>0</v>
      </c>
      <c r="AV58">
        <v>150</v>
      </c>
      <c r="AW58">
        <v>0</v>
      </c>
      <c r="AX58">
        <v>500</v>
      </c>
      <c r="AY58">
        <v>6800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7600</v>
      </c>
      <c r="BI58">
        <v>150</v>
      </c>
      <c r="BJ58">
        <v>7600</v>
      </c>
      <c r="DL58"/>
    </row>
    <row r="59" spans="1:116" hidden="1" x14ac:dyDescent="0.3">
      <c r="A59" t="s">
        <v>286</v>
      </c>
      <c r="B59" t="s">
        <v>663</v>
      </c>
      <c r="C59" t="s">
        <v>733</v>
      </c>
      <c r="D59" t="s">
        <v>101</v>
      </c>
      <c r="E59" t="s">
        <v>102</v>
      </c>
      <c r="F59" t="s">
        <v>136</v>
      </c>
      <c r="H59" t="s">
        <v>20</v>
      </c>
      <c r="I59" t="s">
        <v>20</v>
      </c>
      <c r="J59" t="s">
        <v>105</v>
      </c>
      <c r="K59" t="s">
        <v>460</v>
      </c>
      <c r="L59" t="s">
        <v>461</v>
      </c>
      <c r="M59" t="s">
        <v>108</v>
      </c>
      <c r="N59">
        <v>2034</v>
      </c>
      <c r="O59" t="s">
        <v>291</v>
      </c>
      <c r="P59" s="1"/>
      <c r="Q59" s="1"/>
      <c r="R59" s="1"/>
      <c r="S59" s="1"/>
      <c r="T59" s="1" t="e">
        <f xml:space="preserve"> IF(#REF! = "", "X",IF(#REF! &lt;= DATE(#REF!- 3, 12, 15),"5.Respect OPC",IF(#REF! &lt;= DATE(#REF!-2, 4, 1),"3.À risque","1.Très à risque")))</f>
        <v>#REF!</v>
      </c>
      <c r="U59" s="1" t="e">
        <f xml:space="preserve"> IF(#REF! = "", "X",IF(#REF! &lt;= DATE(#REF!- 2, 12, 15),"5.Respect OPC",IF(#REF! &lt;= DATE(#REF!-1, 4, 1),"3.À risque","1.Très à risque")))</f>
        <v>#REF!</v>
      </c>
      <c r="V59" s="1" t="e">
        <f xml:space="preserve"> IF(#REF! = "", "X",IF(#REF! &lt;= DATE(#REF!- 1, 12, 15),"5.Respect OPC",IF(#REF! &lt;= DATE(#REF!, 4, 1),"3.À risque","1.Très à risque")))</f>
        <v>#REF!</v>
      </c>
      <c r="W59" s="1" t="e">
        <f xml:space="preserve"> (YEAR(#REF!) - YEAR(#REF!)) * 12 + MONTH(#REF!) - MONTH(#REF!)</f>
        <v>#REF!</v>
      </c>
      <c r="X59" s="1" t="e">
        <f xml:space="preserve"> (YEAR(#REF!) - YEAR(#REF!)) * 12 + MONTH(#REF!) - MONTH(#REF!)</f>
        <v>#REF!</v>
      </c>
      <c r="Y59" s="1" t="e">
        <f>#REF!+#REF!</f>
        <v>#REF!</v>
      </c>
      <c r="Z59">
        <v>5</v>
      </c>
      <c r="AA59">
        <v>1</v>
      </c>
      <c r="AC59" t="s">
        <v>311</v>
      </c>
      <c r="AD59">
        <v>4</v>
      </c>
      <c r="AE59" s="2" t="e">
        <f>_xlfn.XLOOKUP(#REF!,Portefeuille_MNT_PPS_Access27[Numéro projet],Portefeuille_MNT_PPS_Access27[Critère Etat Infrastructure])</f>
        <v>#REF!</v>
      </c>
      <c r="AF59" s="12" t="e">
        <f>IF(#REF!=5,100, SUM(IF(#REF!="",#REF!*$AE$8/5,#REF!*$AE$8/5),#REF!* $AE$10/5,#REF!* $AE$9/5,#REF!* $AE$7/5)*100)</f>
        <v>#REF!</v>
      </c>
      <c r="AG59" s="221"/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150</v>
      </c>
      <c r="AW59">
        <v>0</v>
      </c>
      <c r="AX59">
        <v>150</v>
      </c>
      <c r="AY59">
        <v>0</v>
      </c>
      <c r="AZ59">
        <v>500</v>
      </c>
      <c r="BA59">
        <v>7400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8200</v>
      </c>
      <c r="BJ59">
        <v>8200</v>
      </c>
      <c r="DL59"/>
    </row>
    <row r="60" spans="1:116" hidden="1" x14ac:dyDescent="0.3">
      <c r="A60" t="s">
        <v>286</v>
      </c>
      <c r="B60" t="s">
        <v>663</v>
      </c>
      <c r="C60" t="s">
        <v>733</v>
      </c>
      <c r="D60" t="s">
        <v>101</v>
      </c>
      <c r="E60" t="s">
        <v>102</v>
      </c>
      <c r="F60" t="s">
        <v>136</v>
      </c>
      <c r="H60" t="s">
        <v>20</v>
      </c>
      <c r="I60" t="s">
        <v>20</v>
      </c>
      <c r="J60" t="s">
        <v>105</v>
      </c>
      <c r="K60" t="s">
        <v>458</v>
      </c>
      <c r="L60" t="s">
        <v>459</v>
      </c>
      <c r="M60" t="s">
        <v>239</v>
      </c>
      <c r="N60">
        <v>2033</v>
      </c>
      <c r="O60" t="s">
        <v>291</v>
      </c>
      <c r="P60" s="1"/>
      <c r="Q60" s="1"/>
      <c r="R60" s="1"/>
      <c r="S60" s="1"/>
      <c r="T60" s="1" t="e">
        <f xml:space="preserve"> IF(#REF! = "", "X",IF(#REF! &lt;= DATE(#REF!- 3, 12, 15),"5.Respect OPC",IF(#REF! &lt;= DATE(#REF!-2, 4, 1),"3.À risque","1.Très à risque")))</f>
        <v>#REF!</v>
      </c>
      <c r="U60" s="1" t="e">
        <f xml:space="preserve"> IF(#REF! = "", "X",IF(#REF! &lt;= DATE(#REF!- 2, 12, 15),"5.Respect OPC",IF(#REF! &lt;= DATE(#REF!-1, 4, 1),"3.À risque","1.Très à risque")))</f>
        <v>#REF!</v>
      </c>
      <c r="V60" s="1" t="e">
        <f xml:space="preserve"> IF(#REF! = "", "X",IF(#REF! &lt;= DATE(#REF!- 1, 12, 15),"5.Respect OPC",IF(#REF! &lt;= DATE(#REF!, 4, 1),"3.À risque","1.Très à risque")))</f>
        <v>#REF!</v>
      </c>
      <c r="W60" s="1" t="e">
        <f xml:space="preserve"> (YEAR(#REF!) - YEAR(#REF!)) * 12 + MONTH(#REF!) - MONTH(#REF!)</f>
        <v>#REF!</v>
      </c>
      <c r="X60" s="1" t="e">
        <f xml:space="preserve"> (YEAR(#REF!) - YEAR(#REF!)) * 12 + MONTH(#REF!) - MONTH(#REF!)</f>
        <v>#REF!</v>
      </c>
      <c r="Y60" s="1" t="e">
        <f>#REF!+#REF!</f>
        <v>#REF!</v>
      </c>
      <c r="Z60">
        <v>5</v>
      </c>
      <c r="AA60">
        <v>1</v>
      </c>
      <c r="AC60" t="s">
        <v>311</v>
      </c>
      <c r="AD60">
        <v>3.3333333333333335</v>
      </c>
      <c r="AE60" s="2" t="e">
        <f>_xlfn.XLOOKUP(#REF!,Portefeuille_MNT_PPS_Access27[Numéro projet],Portefeuille_MNT_PPS_Access27[Critère Etat Infrastructure])</f>
        <v>#REF!</v>
      </c>
      <c r="AF60" s="12" t="e">
        <f>IF(#REF!=5,100, SUM(IF(#REF!="",#REF!*$AE$8/5,#REF!*$AE$8/5),#REF!* $AE$10/5,#REF!* $AE$9/5,#REF!* $AE$7/5)*100)</f>
        <v>#REF!</v>
      </c>
      <c r="AG60" s="221"/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150</v>
      </c>
      <c r="AU60">
        <v>0</v>
      </c>
      <c r="AV60">
        <v>150</v>
      </c>
      <c r="AW60">
        <v>0</v>
      </c>
      <c r="AX60">
        <v>500</v>
      </c>
      <c r="AY60">
        <v>6500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7300</v>
      </c>
      <c r="BI60">
        <v>150</v>
      </c>
      <c r="BJ60">
        <v>7300</v>
      </c>
      <c r="DL60"/>
    </row>
    <row r="61" spans="1:116" hidden="1" x14ac:dyDescent="0.3">
      <c r="A61" t="s">
        <v>286</v>
      </c>
      <c r="B61" t="s">
        <v>663</v>
      </c>
      <c r="C61" t="s">
        <v>733</v>
      </c>
      <c r="D61" t="s">
        <v>101</v>
      </c>
      <c r="E61" t="s">
        <v>102</v>
      </c>
      <c r="F61" t="s">
        <v>136</v>
      </c>
      <c r="H61" t="s">
        <v>20</v>
      </c>
      <c r="I61" t="s">
        <v>20</v>
      </c>
      <c r="J61" t="s">
        <v>105</v>
      </c>
      <c r="K61" t="s">
        <v>456</v>
      </c>
      <c r="L61" t="s">
        <v>457</v>
      </c>
      <c r="M61" t="s">
        <v>402</v>
      </c>
      <c r="N61">
        <v>2034</v>
      </c>
      <c r="O61" t="s">
        <v>291</v>
      </c>
      <c r="P61" s="1"/>
      <c r="Q61" s="1"/>
      <c r="R61" s="1"/>
      <c r="S61" s="1"/>
      <c r="T61" s="1" t="e">
        <f xml:space="preserve"> IF(#REF! = "", "X",IF(#REF! &lt;= DATE(#REF!- 3, 12, 15),"5.Respect OPC",IF(#REF! &lt;= DATE(#REF!-2, 4, 1),"3.À risque","1.Très à risque")))</f>
        <v>#REF!</v>
      </c>
      <c r="U61" s="1" t="e">
        <f xml:space="preserve"> IF(#REF! = "", "X",IF(#REF! &lt;= DATE(#REF!- 2, 12, 15),"5.Respect OPC",IF(#REF! &lt;= DATE(#REF!-1, 4, 1),"3.À risque","1.Très à risque")))</f>
        <v>#REF!</v>
      </c>
      <c r="V61" s="1" t="e">
        <f xml:space="preserve"> IF(#REF! = "", "X",IF(#REF! &lt;= DATE(#REF!- 1, 12, 15),"5.Respect OPC",IF(#REF! &lt;= DATE(#REF!, 4, 1),"3.À risque","1.Très à risque")))</f>
        <v>#REF!</v>
      </c>
      <c r="W61" s="1" t="e">
        <f xml:space="preserve"> (YEAR(#REF!) - YEAR(#REF!)) * 12 + MONTH(#REF!) - MONTH(#REF!)</f>
        <v>#REF!</v>
      </c>
      <c r="X61" s="1" t="e">
        <f xml:space="preserve"> (YEAR(#REF!) - YEAR(#REF!)) * 12 + MONTH(#REF!) - MONTH(#REF!)</f>
        <v>#REF!</v>
      </c>
      <c r="Y61" s="1" t="e">
        <f>#REF!+#REF!</f>
        <v>#REF!</v>
      </c>
      <c r="Z61">
        <v>5</v>
      </c>
      <c r="AA61">
        <v>1</v>
      </c>
      <c r="AC61" t="s">
        <v>311</v>
      </c>
      <c r="AD61">
        <v>2.6666666666666665</v>
      </c>
      <c r="AE61" s="2" t="e">
        <f>_xlfn.XLOOKUP(#REF!,Portefeuille_MNT_PPS_Access27[Numéro projet],Portefeuille_MNT_PPS_Access27[Critère Etat Infrastructure])</f>
        <v>#REF!</v>
      </c>
      <c r="AF61" s="12" t="e">
        <f>IF(#REF!=5,100, SUM(IF(#REF!="",#REF!*$AE$8/5,#REF!*$AE$8/5),#REF!* $AE$10/5,#REF!* $AE$9/5,#REF!* $AE$7/5)*100)</f>
        <v>#REF!</v>
      </c>
      <c r="AG61" s="221"/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150</v>
      </c>
      <c r="AW61">
        <v>0</v>
      </c>
      <c r="AX61">
        <v>150</v>
      </c>
      <c r="AY61">
        <v>0</v>
      </c>
      <c r="AZ61">
        <v>500</v>
      </c>
      <c r="BA61">
        <v>6800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7600</v>
      </c>
      <c r="BJ61">
        <v>7600</v>
      </c>
      <c r="DL61"/>
    </row>
    <row r="62" spans="1:116" hidden="1" x14ac:dyDescent="0.3">
      <c r="A62" t="s">
        <v>286</v>
      </c>
      <c r="B62" t="s">
        <v>663</v>
      </c>
      <c r="C62" t="s">
        <v>733</v>
      </c>
      <c r="D62" t="s">
        <v>101</v>
      </c>
      <c r="E62" t="s">
        <v>102</v>
      </c>
      <c r="F62" t="s">
        <v>136</v>
      </c>
      <c r="H62" t="s">
        <v>20</v>
      </c>
      <c r="I62" t="s">
        <v>20</v>
      </c>
      <c r="J62" t="s">
        <v>105</v>
      </c>
      <c r="K62" t="s">
        <v>454</v>
      </c>
      <c r="L62" t="s">
        <v>455</v>
      </c>
      <c r="M62" t="s">
        <v>143</v>
      </c>
      <c r="N62">
        <v>2032</v>
      </c>
      <c r="O62" t="s">
        <v>291</v>
      </c>
      <c r="P62" s="1"/>
      <c r="Q62" s="1"/>
      <c r="R62" s="1"/>
      <c r="S62" s="1"/>
      <c r="T62" s="1" t="e">
        <f xml:space="preserve"> IF(#REF! = "", "X",IF(#REF! &lt;= DATE(#REF!- 3, 12, 15),"5.Respect OPC",IF(#REF! &lt;= DATE(#REF!-2, 4, 1),"3.À risque","1.Très à risque")))</f>
        <v>#REF!</v>
      </c>
      <c r="U62" s="1" t="e">
        <f xml:space="preserve"> IF(#REF! = "", "X",IF(#REF! &lt;= DATE(#REF!- 2, 12, 15),"5.Respect OPC",IF(#REF! &lt;= DATE(#REF!-1, 4, 1),"3.À risque","1.Très à risque")))</f>
        <v>#REF!</v>
      </c>
      <c r="V62" s="1" t="e">
        <f xml:space="preserve"> IF(#REF! = "", "X",IF(#REF! &lt;= DATE(#REF!- 1, 12, 15),"5.Respect OPC",IF(#REF! &lt;= DATE(#REF!, 4, 1),"3.À risque","1.Très à risque")))</f>
        <v>#REF!</v>
      </c>
      <c r="W62" s="1" t="e">
        <f xml:space="preserve"> (YEAR(#REF!) - YEAR(#REF!)) * 12 + MONTH(#REF!) - MONTH(#REF!)</f>
        <v>#REF!</v>
      </c>
      <c r="X62" s="1" t="e">
        <f xml:space="preserve"> (YEAR(#REF!) - YEAR(#REF!)) * 12 + MONTH(#REF!) - MONTH(#REF!)</f>
        <v>#REF!</v>
      </c>
      <c r="Y62" s="1" t="e">
        <f>#REF!+#REF!</f>
        <v>#REF!</v>
      </c>
      <c r="Z62">
        <v>5</v>
      </c>
      <c r="AA62">
        <v>1</v>
      </c>
      <c r="AC62" t="s">
        <v>311</v>
      </c>
      <c r="AD62">
        <v>4.333333333333333</v>
      </c>
      <c r="AE62" s="2" t="e">
        <f>_xlfn.XLOOKUP(#REF!,Portefeuille_MNT_PPS_Access27[Numéro projet],Portefeuille_MNT_PPS_Access27[Critère Etat Infrastructure])</f>
        <v>#REF!</v>
      </c>
      <c r="AF62" s="12" t="e">
        <f>IF(#REF!=5,100, SUM(IF(#REF!="",#REF!*$AE$8/5,#REF!*$AE$8/5),#REF!* $AE$10/5,#REF!* $AE$9/5,#REF!* $AE$7/5)*100)</f>
        <v>#REF!</v>
      </c>
      <c r="AG62" s="221"/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150</v>
      </c>
      <c r="AQ62">
        <v>0</v>
      </c>
      <c r="AR62">
        <v>150</v>
      </c>
      <c r="AS62">
        <v>0</v>
      </c>
      <c r="AT62">
        <v>500</v>
      </c>
      <c r="AU62">
        <v>0</v>
      </c>
      <c r="AV62">
        <v>500</v>
      </c>
      <c r="AW62">
        <v>5000</v>
      </c>
      <c r="AX62">
        <v>500</v>
      </c>
      <c r="AY62">
        <v>5000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11800</v>
      </c>
      <c r="BI62">
        <v>800</v>
      </c>
      <c r="BJ62">
        <v>11800</v>
      </c>
      <c r="DL62"/>
    </row>
    <row r="63" spans="1:116" hidden="1" x14ac:dyDescent="0.3">
      <c r="A63" t="s">
        <v>286</v>
      </c>
      <c r="B63" t="s">
        <v>295</v>
      </c>
      <c r="C63" t="s">
        <v>733</v>
      </c>
      <c r="D63" t="s">
        <v>126</v>
      </c>
      <c r="E63" t="s">
        <v>127</v>
      </c>
      <c r="F63" t="s">
        <v>103</v>
      </c>
      <c r="H63" t="s">
        <v>20</v>
      </c>
      <c r="I63" t="s">
        <v>20</v>
      </c>
      <c r="J63" t="s">
        <v>105</v>
      </c>
      <c r="K63" t="s">
        <v>474</v>
      </c>
      <c r="L63" t="s">
        <v>637</v>
      </c>
      <c r="M63" t="s">
        <v>108</v>
      </c>
      <c r="N63">
        <v>2034</v>
      </c>
      <c r="O63" t="s">
        <v>291</v>
      </c>
      <c r="P63" s="1"/>
      <c r="Q63" s="1"/>
      <c r="R63" s="1"/>
      <c r="S63" s="1"/>
      <c r="T63" s="1" t="e">
        <f xml:space="preserve"> IF(#REF! = "", "X",IF(#REF! &lt;= DATE(#REF!- 3, 12, 15),"5.Respect OPC",IF(#REF! &lt;= DATE(#REF!-2, 4, 1),"3.À risque","1.Très à risque")))</f>
        <v>#REF!</v>
      </c>
      <c r="U63" s="1" t="e">
        <f xml:space="preserve"> IF(#REF! = "", "X",IF(#REF! &lt;= DATE(#REF!- 2, 12, 15),"5.Respect OPC",IF(#REF! &lt;= DATE(#REF!-1, 4, 1),"3.À risque","1.Très à risque")))</f>
        <v>#REF!</v>
      </c>
      <c r="V63" s="1" t="e">
        <f xml:space="preserve"> IF(#REF! = "", "X",IF(#REF! &lt;= DATE(#REF!- 1, 12, 15),"5.Respect OPC",IF(#REF! &lt;= DATE(#REF!, 4, 1),"3.À risque","1.Très à risque")))</f>
        <v>#REF!</v>
      </c>
      <c r="W63" s="1" t="e">
        <f xml:space="preserve"> (YEAR(#REF!) - YEAR(#REF!)) * 12 + MONTH(#REF!) - MONTH(#REF!)</f>
        <v>#REF!</v>
      </c>
      <c r="X63" s="1" t="e">
        <f xml:space="preserve"> (YEAR(#REF!) - YEAR(#REF!)) * 12 + MONTH(#REF!) - MONTH(#REF!)</f>
        <v>#REF!</v>
      </c>
      <c r="Y63" s="1" t="e">
        <f>#REF!+#REF!</f>
        <v>#REF!</v>
      </c>
      <c r="Z63">
        <v>5</v>
      </c>
      <c r="AA63">
        <v>1</v>
      </c>
      <c r="AC63" t="s">
        <v>311</v>
      </c>
      <c r="AD63">
        <v>4</v>
      </c>
      <c r="AE63" s="2" t="e">
        <f>_xlfn.XLOOKUP(#REF!,Portefeuille_MNT_PPS_Access27[Numéro projet],Portefeuille_MNT_PPS_Access27[Critère Etat Infrastructure])</f>
        <v>#REF!</v>
      </c>
      <c r="AF63" s="12" t="e">
        <f>IF(#REF!=5,100, SUM(IF(#REF!="",#REF!*$AE$8/5,#REF!*$AE$8/5),#REF!* $AE$10/5,#REF!* $AE$9/5,#REF!* $AE$7/5)*100)</f>
        <v>#REF!</v>
      </c>
      <c r="AG63" s="221"/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375</v>
      </c>
      <c r="AU63">
        <v>0</v>
      </c>
      <c r="AV63">
        <v>750</v>
      </c>
      <c r="AW63">
        <v>0</v>
      </c>
      <c r="AX63">
        <v>1125</v>
      </c>
      <c r="AY63">
        <v>0</v>
      </c>
      <c r="AZ63">
        <v>875</v>
      </c>
      <c r="BA63">
        <v>18236</v>
      </c>
      <c r="BB63">
        <v>1250</v>
      </c>
      <c r="BC63">
        <v>63764</v>
      </c>
      <c r="BD63">
        <v>0</v>
      </c>
      <c r="BE63">
        <v>0</v>
      </c>
      <c r="BF63">
        <v>0</v>
      </c>
      <c r="BG63">
        <v>0</v>
      </c>
      <c r="BH63">
        <v>86375</v>
      </c>
      <c r="BI63">
        <v>375</v>
      </c>
      <c r="BJ63">
        <v>86375</v>
      </c>
      <c r="DL63"/>
    </row>
    <row r="64" spans="1:116" hidden="1" x14ac:dyDescent="0.3">
      <c r="A64" t="s">
        <v>286</v>
      </c>
      <c r="B64" t="s">
        <v>295</v>
      </c>
      <c r="C64" t="s">
        <v>733</v>
      </c>
      <c r="D64" t="s">
        <v>126</v>
      </c>
      <c r="E64" t="s">
        <v>127</v>
      </c>
      <c r="F64" t="s">
        <v>103</v>
      </c>
      <c r="G64" t="s">
        <v>140</v>
      </c>
      <c r="H64" t="s">
        <v>20</v>
      </c>
      <c r="I64" t="s">
        <v>20</v>
      </c>
      <c r="J64" t="s">
        <v>105</v>
      </c>
      <c r="K64" t="s">
        <v>635</v>
      </c>
      <c r="L64" t="s">
        <v>636</v>
      </c>
      <c r="M64" t="s">
        <v>143</v>
      </c>
      <c r="N64">
        <v>2031</v>
      </c>
      <c r="O64" t="s">
        <v>155</v>
      </c>
      <c r="P64" s="1"/>
      <c r="Q64" s="1">
        <v>46266</v>
      </c>
      <c r="R64" s="1">
        <v>46631</v>
      </c>
      <c r="S64" s="1">
        <v>46997</v>
      </c>
      <c r="T64" s="1" t="e">
        <f xml:space="preserve"> IF(#REF! = "", "X",IF(#REF! &lt;= DATE(#REF!- 3, 12, 15),"5.Respect OPC",IF(#REF! &lt;= DATE(#REF!-2, 4, 1),"3.À risque","1.Très à risque")))</f>
        <v>#REF!</v>
      </c>
      <c r="U64" s="1" t="e">
        <f xml:space="preserve"> IF(#REF! = "", "X",IF(#REF! &lt;= DATE(#REF!- 2, 12, 15),"5.Respect OPC",IF(#REF! &lt;= DATE(#REF!-1, 4, 1),"3.À risque","1.Très à risque")))</f>
        <v>#REF!</v>
      </c>
      <c r="V64" s="1" t="e">
        <f xml:space="preserve"> IF(#REF! = "", "X",IF(#REF! &lt;= DATE(#REF!- 1, 12, 15),"5.Respect OPC",IF(#REF! &lt;= DATE(#REF!, 4, 1),"3.À risque","1.Très à risque")))</f>
        <v>#REF!</v>
      </c>
      <c r="W64" s="1" t="e">
        <f xml:space="preserve"> (YEAR(#REF!) - YEAR(#REF!)) * 12 + MONTH(#REF!) - MONTH(#REF!)</f>
        <v>#REF!</v>
      </c>
      <c r="X64" s="1" t="e">
        <f xml:space="preserve"> (YEAR(#REF!) - YEAR(#REF!)) * 12 + MONTH(#REF!) - MONTH(#REF!)</f>
        <v>#REF!</v>
      </c>
      <c r="Y64" s="1" t="e">
        <f>#REF!+#REF!</f>
        <v>#REF!</v>
      </c>
      <c r="Z64">
        <v>5</v>
      </c>
      <c r="AA64">
        <v>1</v>
      </c>
      <c r="AC64" t="s">
        <v>156</v>
      </c>
      <c r="AD64">
        <v>4.333333333333333</v>
      </c>
      <c r="AE64" s="2" t="e">
        <f>_xlfn.XLOOKUP(#REF!,Portefeuille_MNT_PPS_Access27[Numéro projet],Portefeuille_MNT_PPS_Access27[Critère Etat Infrastructure])</f>
        <v>#REF!</v>
      </c>
      <c r="AF64" s="12" t="e">
        <f>IF(#REF!=5,100, SUM(IF(#REF!="",#REF!*$AE$8/5,#REF!*$AE$8/5),#REF!* $AE$10/5,#REF!* $AE$9/5,#REF!* $AE$7/5)*100)</f>
        <v>#REF!</v>
      </c>
      <c r="AG64" s="221"/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375</v>
      </c>
      <c r="AO64">
        <v>0</v>
      </c>
      <c r="AP64">
        <v>375</v>
      </c>
      <c r="AQ64">
        <v>0</v>
      </c>
      <c r="AR64">
        <v>750</v>
      </c>
      <c r="AS64">
        <v>0</v>
      </c>
      <c r="AT64">
        <v>875</v>
      </c>
      <c r="AU64">
        <v>5136</v>
      </c>
      <c r="AV64">
        <v>1250</v>
      </c>
      <c r="AW64">
        <v>34450</v>
      </c>
      <c r="AX64">
        <v>500</v>
      </c>
      <c r="AY64">
        <v>28275</v>
      </c>
      <c r="AZ64">
        <v>1000</v>
      </c>
      <c r="BA64">
        <v>42000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114986</v>
      </c>
      <c r="BI64">
        <v>7511</v>
      </c>
      <c r="BJ64">
        <v>114986</v>
      </c>
      <c r="DL64"/>
    </row>
    <row r="65" spans="1:116" hidden="1" x14ac:dyDescent="0.3">
      <c r="A65" t="s">
        <v>286</v>
      </c>
      <c r="B65" t="s">
        <v>295</v>
      </c>
      <c r="C65" t="s">
        <v>733</v>
      </c>
      <c r="D65" t="s">
        <v>126</v>
      </c>
      <c r="E65" t="s">
        <v>127</v>
      </c>
      <c r="F65" t="s">
        <v>103</v>
      </c>
      <c r="G65" t="s">
        <v>113</v>
      </c>
      <c r="H65" t="s">
        <v>20</v>
      </c>
      <c r="I65" t="s">
        <v>20</v>
      </c>
      <c r="J65" t="s">
        <v>105</v>
      </c>
      <c r="K65" t="s">
        <v>442</v>
      </c>
      <c r="L65" t="s">
        <v>526</v>
      </c>
      <c r="M65" t="s">
        <v>168</v>
      </c>
      <c r="N65">
        <v>2032</v>
      </c>
      <c r="O65" t="s">
        <v>291</v>
      </c>
      <c r="P65" s="1"/>
      <c r="Q65" s="1"/>
      <c r="R65" s="1"/>
      <c r="S65" s="1"/>
      <c r="T65" s="1" t="e">
        <f xml:space="preserve"> IF(#REF! = "", "X",IF(#REF! &lt;= DATE(#REF!- 3, 12, 15),"5.Respect OPC",IF(#REF! &lt;= DATE(#REF!-2, 4, 1),"3.À risque","1.Très à risque")))</f>
        <v>#REF!</v>
      </c>
      <c r="U65" s="1" t="e">
        <f xml:space="preserve"> IF(#REF! = "", "X",IF(#REF! &lt;= DATE(#REF!- 2, 12, 15),"5.Respect OPC",IF(#REF! &lt;= DATE(#REF!-1, 4, 1),"3.À risque","1.Très à risque")))</f>
        <v>#REF!</v>
      </c>
      <c r="V65" s="1" t="e">
        <f xml:space="preserve"> IF(#REF! = "", "X",IF(#REF! &lt;= DATE(#REF!- 1, 12, 15),"5.Respect OPC",IF(#REF! &lt;= DATE(#REF!, 4, 1),"3.À risque","1.Très à risque")))</f>
        <v>#REF!</v>
      </c>
      <c r="W65" s="1" t="e">
        <f xml:space="preserve"> (YEAR(#REF!) - YEAR(#REF!)) * 12 + MONTH(#REF!) - MONTH(#REF!)</f>
        <v>#REF!</v>
      </c>
      <c r="X65" s="1" t="e">
        <f xml:space="preserve"> (YEAR(#REF!) - YEAR(#REF!)) * 12 + MONTH(#REF!) - MONTH(#REF!)</f>
        <v>#REF!</v>
      </c>
      <c r="Y65" s="1" t="e">
        <f>#REF!+#REF!</f>
        <v>#REF!</v>
      </c>
      <c r="Z65">
        <v>5</v>
      </c>
      <c r="AA65">
        <v>1</v>
      </c>
      <c r="AC65" t="s">
        <v>311</v>
      </c>
      <c r="AD65">
        <v>3.3333333333333335</v>
      </c>
      <c r="AE65" s="2" t="e">
        <f>_xlfn.XLOOKUP(#REF!,Portefeuille_MNT_PPS_Access27[Numéro projet],Portefeuille_MNT_PPS_Access27[Critère Etat Infrastructure])</f>
        <v>#REF!</v>
      </c>
      <c r="AF65" s="12" t="e">
        <f>IF(#REF!=5,100, SUM(IF(#REF!="",#REF!*$AE$8/5,#REF!*$AE$8/5),#REF!* $AE$10/5,#REF!* $AE$9/5,#REF!* $AE$7/5)*100)</f>
        <v>#REF!</v>
      </c>
      <c r="AG65" s="221"/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200</v>
      </c>
      <c r="AS65">
        <v>0</v>
      </c>
      <c r="AT65">
        <v>200</v>
      </c>
      <c r="AU65">
        <v>0</v>
      </c>
      <c r="AV65">
        <v>500</v>
      </c>
      <c r="AW65">
        <v>7500</v>
      </c>
      <c r="AX65">
        <v>500</v>
      </c>
      <c r="AY65">
        <v>7500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16400</v>
      </c>
      <c r="BI65">
        <v>400</v>
      </c>
      <c r="BJ65">
        <v>16400</v>
      </c>
      <c r="DL65"/>
    </row>
    <row r="66" spans="1:116" hidden="1" x14ac:dyDescent="0.3">
      <c r="A66" t="s">
        <v>286</v>
      </c>
      <c r="B66" t="s">
        <v>662</v>
      </c>
      <c r="C66" t="s">
        <v>733</v>
      </c>
      <c r="D66" t="s">
        <v>101</v>
      </c>
      <c r="E66" t="s">
        <v>102</v>
      </c>
      <c r="F66" t="s">
        <v>242</v>
      </c>
      <c r="G66" t="s">
        <v>129</v>
      </c>
      <c r="H66" t="s">
        <v>20</v>
      </c>
      <c r="I66" t="s">
        <v>20</v>
      </c>
      <c r="J66" t="s">
        <v>131</v>
      </c>
      <c r="K66" t="s">
        <v>415</v>
      </c>
      <c r="L66" t="s">
        <v>416</v>
      </c>
      <c r="M66" t="s">
        <v>417</v>
      </c>
      <c r="N66">
        <v>2029</v>
      </c>
      <c r="O66" t="s">
        <v>155</v>
      </c>
      <c r="P66" s="1"/>
      <c r="Q66" s="1">
        <v>46143</v>
      </c>
      <c r="R66" s="1">
        <v>46508</v>
      </c>
      <c r="S66" s="1">
        <v>46874</v>
      </c>
      <c r="T66" s="1" t="e">
        <f xml:space="preserve"> IF(#REF! = "", "X",IF(#REF! &lt;= DATE(#REF!- 3, 12, 15),"5.Respect OPC",IF(#REF! &lt;= DATE(#REF!-2, 4, 1),"3.À risque","1.Très à risque")))</f>
        <v>#REF!</v>
      </c>
      <c r="U66" s="1" t="e">
        <f xml:space="preserve"> IF(#REF! = "", "X",IF(#REF! &lt;= DATE(#REF!- 2, 12, 15),"5.Respect OPC",IF(#REF! &lt;= DATE(#REF!-1, 4, 1),"3.À risque","1.Très à risque")))</f>
        <v>#REF!</v>
      </c>
      <c r="V66" s="1" t="e">
        <f xml:space="preserve"> IF(#REF! = "", "X",IF(#REF! &lt;= DATE(#REF!- 1, 12, 15),"5.Respect OPC",IF(#REF! &lt;= DATE(#REF!, 4, 1),"3.À risque","1.Très à risque")))</f>
        <v>#REF!</v>
      </c>
      <c r="W66" s="1" t="e">
        <f xml:space="preserve"> (YEAR(#REF!) - YEAR(#REF!)) * 12 + MONTH(#REF!) - MONTH(#REF!)</f>
        <v>#REF!</v>
      </c>
      <c r="X66" s="1" t="e">
        <f xml:space="preserve"> (YEAR(#REF!) - YEAR(#REF!)) * 12 + MONTH(#REF!) - MONTH(#REF!)</f>
        <v>#REF!</v>
      </c>
      <c r="Y66" s="1" t="e">
        <f>#REF!+#REF!</f>
        <v>#REF!</v>
      </c>
      <c r="Z66">
        <v>5</v>
      </c>
      <c r="AA66">
        <v>1</v>
      </c>
      <c r="AB66">
        <v>5</v>
      </c>
      <c r="AC66" t="s">
        <v>156</v>
      </c>
      <c r="AD66">
        <v>1.3333333333333333</v>
      </c>
      <c r="AE66" s="2" t="e">
        <f>_xlfn.XLOOKUP(#REF!,Portefeuille_MNT_PPS_Access27[Numéro projet],Portefeuille_MNT_PPS_Access27[Critère Etat Infrastructure])</f>
        <v>#REF!</v>
      </c>
      <c r="AF66" s="12" t="e">
        <f>IF(#REF!=5,100, SUM(IF(#REF!="",#REF!*$AE$8/5,#REF!*$AE$8/5),#REF!* $AE$10/5,#REF!* $AE$9/5,#REF!* $AE$7/5)*100)</f>
        <v>#REF!</v>
      </c>
      <c r="AG66" s="221"/>
      <c r="AH66">
        <v>0</v>
      </c>
      <c r="AI66">
        <v>0</v>
      </c>
      <c r="AJ66">
        <v>0</v>
      </c>
      <c r="AK66">
        <v>0</v>
      </c>
      <c r="AL66">
        <v>50</v>
      </c>
      <c r="AM66">
        <v>0</v>
      </c>
      <c r="AN66">
        <v>50</v>
      </c>
      <c r="AO66">
        <v>0</v>
      </c>
      <c r="AP66">
        <v>200</v>
      </c>
      <c r="AQ66">
        <v>1000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1300</v>
      </c>
      <c r="BI66">
        <v>1300</v>
      </c>
      <c r="BJ66">
        <v>1300</v>
      </c>
      <c r="DL66"/>
    </row>
    <row r="67" spans="1:116" hidden="1" x14ac:dyDescent="0.3">
      <c r="A67" t="s">
        <v>286</v>
      </c>
      <c r="B67" t="s">
        <v>662</v>
      </c>
      <c r="C67" t="s">
        <v>733</v>
      </c>
      <c r="D67" t="s">
        <v>101</v>
      </c>
      <c r="E67" t="s">
        <v>102</v>
      </c>
      <c r="F67" t="s">
        <v>242</v>
      </c>
      <c r="G67" t="s">
        <v>129</v>
      </c>
      <c r="H67" t="s">
        <v>20</v>
      </c>
      <c r="I67" t="s">
        <v>20</v>
      </c>
      <c r="J67" t="s">
        <v>131</v>
      </c>
      <c r="K67" t="s">
        <v>409</v>
      </c>
      <c r="L67" t="s">
        <v>410</v>
      </c>
      <c r="M67" t="s">
        <v>411</v>
      </c>
      <c r="N67">
        <v>2029</v>
      </c>
      <c r="O67" t="s">
        <v>155</v>
      </c>
      <c r="P67" s="1"/>
      <c r="Q67" s="1">
        <v>46143</v>
      </c>
      <c r="R67" s="1">
        <v>46508</v>
      </c>
      <c r="S67" s="1">
        <v>46874</v>
      </c>
      <c r="T67" s="1" t="e">
        <f xml:space="preserve"> IF(#REF! = "", "X",IF(#REF! &lt;= DATE(#REF!- 3, 12, 15),"5.Respect OPC",IF(#REF! &lt;= DATE(#REF!-2, 4, 1),"3.À risque","1.Très à risque")))</f>
        <v>#REF!</v>
      </c>
      <c r="U67" s="1" t="e">
        <f xml:space="preserve"> IF(#REF! = "", "X",IF(#REF! &lt;= DATE(#REF!- 2, 12, 15),"5.Respect OPC",IF(#REF! &lt;= DATE(#REF!-1, 4, 1),"3.À risque","1.Très à risque")))</f>
        <v>#REF!</v>
      </c>
      <c r="V67" s="1" t="e">
        <f xml:space="preserve"> IF(#REF! = "", "X",IF(#REF! &lt;= DATE(#REF!- 1, 12, 15),"5.Respect OPC",IF(#REF! &lt;= DATE(#REF!, 4, 1),"3.À risque","1.Très à risque")))</f>
        <v>#REF!</v>
      </c>
      <c r="W67" s="1" t="e">
        <f xml:space="preserve"> (YEAR(#REF!) - YEAR(#REF!)) * 12 + MONTH(#REF!) - MONTH(#REF!)</f>
        <v>#REF!</v>
      </c>
      <c r="X67" s="1" t="e">
        <f xml:space="preserve"> (YEAR(#REF!) - YEAR(#REF!)) * 12 + MONTH(#REF!) - MONTH(#REF!)</f>
        <v>#REF!</v>
      </c>
      <c r="Y67" s="1" t="e">
        <f>#REF!+#REF!</f>
        <v>#REF!</v>
      </c>
      <c r="Z67">
        <v>5</v>
      </c>
      <c r="AA67">
        <v>1</v>
      </c>
      <c r="AB67">
        <v>5</v>
      </c>
      <c r="AC67" t="s">
        <v>156</v>
      </c>
      <c r="AD67">
        <v>1.3333333333333333</v>
      </c>
      <c r="AE67" s="2" t="e">
        <f>_xlfn.XLOOKUP(#REF!,Portefeuille_MNT_PPS_Access27[Numéro projet],Portefeuille_MNT_PPS_Access27[Critère Etat Infrastructure])</f>
        <v>#REF!</v>
      </c>
      <c r="AF67" s="12" t="e">
        <f>IF(#REF!=5,100, SUM(IF(#REF!="",#REF!*$AE$8/5,#REF!*$AE$8/5),#REF!* $AE$10/5,#REF!* $AE$9/5,#REF!* $AE$7/5)*100)</f>
        <v>#REF!</v>
      </c>
      <c r="AG67" s="221"/>
      <c r="AH67">
        <v>0</v>
      </c>
      <c r="AI67">
        <v>0</v>
      </c>
      <c r="AJ67">
        <v>0</v>
      </c>
      <c r="AK67">
        <v>0</v>
      </c>
      <c r="AL67">
        <v>50</v>
      </c>
      <c r="AM67">
        <v>0</v>
      </c>
      <c r="AN67">
        <v>50</v>
      </c>
      <c r="AO67">
        <v>0</v>
      </c>
      <c r="AP67">
        <v>200</v>
      </c>
      <c r="AQ67">
        <v>1000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1300</v>
      </c>
      <c r="BI67">
        <v>1300</v>
      </c>
      <c r="BJ67">
        <v>1300</v>
      </c>
      <c r="DL67"/>
    </row>
    <row r="68" spans="1:116" hidden="1" x14ac:dyDescent="0.3">
      <c r="A68" t="s">
        <v>286</v>
      </c>
      <c r="B68" t="s">
        <v>664</v>
      </c>
      <c r="C68" t="s">
        <v>125</v>
      </c>
      <c r="D68" t="s">
        <v>101</v>
      </c>
      <c r="E68" t="s">
        <v>102</v>
      </c>
      <c r="F68" t="s">
        <v>136</v>
      </c>
      <c r="G68" t="s">
        <v>129</v>
      </c>
      <c r="H68" t="s">
        <v>130</v>
      </c>
      <c r="I68" t="s">
        <v>20</v>
      </c>
      <c r="J68" t="s">
        <v>131</v>
      </c>
      <c r="K68" t="s">
        <v>405</v>
      </c>
      <c r="L68" t="s">
        <v>406</v>
      </c>
      <c r="M68" t="s">
        <v>152</v>
      </c>
      <c r="N68">
        <v>2030</v>
      </c>
      <c r="O68" t="s">
        <v>155</v>
      </c>
      <c r="P68" s="1">
        <v>45763</v>
      </c>
      <c r="Q68" s="1">
        <v>46054</v>
      </c>
      <c r="R68" s="1">
        <v>46427</v>
      </c>
      <c r="S68" s="1">
        <v>46813</v>
      </c>
      <c r="T68" s="1" t="e">
        <f xml:space="preserve"> IF(#REF! = "", "X",IF(#REF! &lt;= DATE(#REF!- 3, 12, 15),"5.Respect OPC",IF(#REF! &lt;= DATE(#REF!-2, 4, 1),"3.À risque","1.Très à risque")))</f>
        <v>#REF!</v>
      </c>
      <c r="U68" s="1" t="e">
        <f xml:space="preserve"> IF(#REF! = "", "X",IF(#REF! &lt;= DATE(#REF!- 2, 12, 15),"5.Respect OPC",IF(#REF! &lt;= DATE(#REF!-1, 4, 1),"3.À risque","1.Très à risque")))</f>
        <v>#REF!</v>
      </c>
      <c r="V68" s="1" t="e">
        <f xml:space="preserve"> IF(#REF! = "", "X",IF(#REF! &lt;= DATE(#REF!- 1, 12, 15),"5.Respect OPC",IF(#REF! &lt;= DATE(#REF!, 4, 1),"3.À risque","1.Très à risque")))</f>
        <v>#REF!</v>
      </c>
      <c r="W68" s="1" t="e">
        <f xml:space="preserve"> (YEAR(#REF!) - YEAR(#REF!)) * 12 + MONTH(#REF!) - MONTH(#REF!)</f>
        <v>#REF!</v>
      </c>
      <c r="X68" s="1" t="e">
        <f xml:space="preserve"> (YEAR(#REF!) - YEAR(#REF!)) * 12 + MONTH(#REF!) - MONTH(#REF!)</f>
        <v>#REF!</v>
      </c>
      <c r="Y68" s="1" t="e">
        <f>#REF!+#REF!</f>
        <v>#REF!</v>
      </c>
      <c r="Z68">
        <v>5</v>
      </c>
      <c r="AA68">
        <v>1</v>
      </c>
      <c r="AC68" t="s">
        <v>156</v>
      </c>
      <c r="AD68">
        <v>3.3333333333333335</v>
      </c>
      <c r="AE68" s="2" t="e">
        <f>_xlfn.XLOOKUP(#REF!,Portefeuille_MNT_PPS_Access27[Numéro projet],Portefeuille_MNT_PPS_Access27[Critère Etat Infrastructure])</f>
        <v>#REF!</v>
      </c>
      <c r="AF68" s="12" t="e">
        <f>IF(#REF!=5,100, SUM(IF(#REF!="",#REF!*$AE$8/5,#REF!*$AE$8/5),#REF!* $AE$10/5,#REF!* $AE$9/5,#REF!* $AE$7/5)*100)</f>
        <v>#REF!</v>
      </c>
      <c r="AG68" s="221"/>
      <c r="AH68">
        <v>0</v>
      </c>
      <c r="AI68">
        <v>0</v>
      </c>
      <c r="AJ68">
        <v>100</v>
      </c>
      <c r="AK68">
        <v>0</v>
      </c>
      <c r="AL68">
        <v>250</v>
      </c>
      <c r="AM68">
        <v>0</v>
      </c>
      <c r="AN68">
        <v>350</v>
      </c>
      <c r="AO68">
        <v>0</v>
      </c>
      <c r="AP68">
        <v>200</v>
      </c>
      <c r="AQ68">
        <v>0</v>
      </c>
      <c r="AR68">
        <v>600</v>
      </c>
      <c r="AS68">
        <v>5500</v>
      </c>
      <c r="AT68">
        <v>600</v>
      </c>
      <c r="AU68">
        <v>5500</v>
      </c>
      <c r="AV68">
        <v>600</v>
      </c>
      <c r="AW68">
        <v>6000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19700</v>
      </c>
      <c r="BI68">
        <v>13000</v>
      </c>
      <c r="BJ68">
        <v>19600</v>
      </c>
      <c r="DL68"/>
    </row>
    <row r="69" spans="1:116" hidden="1" x14ac:dyDescent="0.3">
      <c r="A69" t="s">
        <v>286</v>
      </c>
      <c r="B69" t="s">
        <v>663</v>
      </c>
      <c r="C69" t="s">
        <v>733</v>
      </c>
      <c r="D69" t="s">
        <v>101</v>
      </c>
      <c r="E69" t="s">
        <v>102</v>
      </c>
      <c r="F69" t="s">
        <v>136</v>
      </c>
      <c r="G69" t="s">
        <v>149</v>
      </c>
      <c r="H69" t="s">
        <v>20</v>
      </c>
      <c r="I69" t="s">
        <v>20</v>
      </c>
      <c r="J69" t="s">
        <v>131</v>
      </c>
      <c r="K69" t="s">
        <v>381</v>
      </c>
      <c r="L69" t="s">
        <v>382</v>
      </c>
      <c r="M69" t="s">
        <v>194</v>
      </c>
      <c r="N69">
        <v>2027</v>
      </c>
      <c r="O69" t="s">
        <v>291</v>
      </c>
      <c r="P69" s="1"/>
      <c r="Q69" s="1"/>
      <c r="R69" s="1"/>
      <c r="S69" s="1"/>
      <c r="T69" s="1" t="e">
        <f xml:space="preserve"> IF(#REF! = "", "X",IF(#REF! &lt;= DATE(#REF!- 3, 12, 15),"5.Respect OPC",IF(#REF! &lt;= DATE(#REF!-2, 4, 1),"3.À risque","1.Très à risque")))</f>
        <v>#REF!</v>
      </c>
      <c r="U69" s="1" t="e">
        <f xml:space="preserve"> IF(#REF! = "", "X",IF(#REF! &lt;= DATE(#REF!- 2, 12, 15),"5.Respect OPC",IF(#REF! &lt;= DATE(#REF!-1, 4, 1),"3.À risque","1.Très à risque")))</f>
        <v>#REF!</v>
      </c>
      <c r="V69" s="1" t="e">
        <f xml:space="preserve"> IF(#REF! = "", "X",IF(#REF! &lt;= DATE(#REF!- 1, 12, 15),"5.Respect OPC",IF(#REF! &lt;= DATE(#REF!, 4, 1),"3.À risque","1.Très à risque")))</f>
        <v>#REF!</v>
      </c>
      <c r="W69" s="1" t="e">
        <f xml:space="preserve"> (YEAR(#REF!) - YEAR(#REF!)) * 12 + MONTH(#REF!) - MONTH(#REF!)</f>
        <v>#REF!</v>
      </c>
      <c r="X69" s="1" t="e">
        <f xml:space="preserve"> (YEAR(#REF!) - YEAR(#REF!)) * 12 + MONTH(#REF!) - MONTH(#REF!)</f>
        <v>#REF!</v>
      </c>
      <c r="Y69" s="1" t="e">
        <f>#REF!+#REF!</f>
        <v>#REF!</v>
      </c>
      <c r="Z69">
        <v>5</v>
      </c>
      <c r="AA69">
        <v>1</v>
      </c>
      <c r="AB69">
        <v>3</v>
      </c>
      <c r="AC69" t="s">
        <v>311</v>
      </c>
      <c r="AD69">
        <v>3.3333333333333335</v>
      </c>
      <c r="AE69" s="2" t="e">
        <f>_xlfn.XLOOKUP(#REF!,Portefeuille_MNT_PPS_Access27[Numéro projet],Portefeuille_MNT_PPS_Access27[Critère Etat Infrastructure])</f>
        <v>#REF!</v>
      </c>
      <c r="AF69" s="12" t="e">
        <f>IF(#REF!=5,100, SUM(IF(#REF!="",#REF!*$AE$8/5,#REF!*$AE$8/5),#REF!* $AE$10/5,#REF!* $AE$9/5,#REF!* $AE$7/5)*100)</f>
        <v>#REF!</v>
      </c>
      <c r="AG69" s="221"/>
      <c r="AH69">
        <v>0</v>
      </c>
      <c r="AI69">
        <v>0</v>
      </c>
      <c r="AJ69">
        <v>0</v>
      </c>
      <c r="AK69">
        <v>0</v>
      </c>
      <c r="AL69">
        <v>50</v>
      </c>
      <c r="AM69">
        <v>250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300</v>
      </c>
      <c r="BI69">
        <v>300</v>
      </c>
      <c r="BJ69">
        <v>300</v>
      </c>
      <c r="DL69"/>
    </row>
    <row r="70" spans="1:116" hidden="1" x14ac:dyDescent="0.3">
      <c r="A70" t="s">
        <v>286</v>
      </c>
      <c r="B70" t="s">
        <v>662</v>
      </c>
      <c r="C70" t="s">
        <v>733</v>
      </c>
      <c r="D70" t="s">
        <v>118</v>
      </c>
      <c r="E70" t="s">
        <v>102</v>
      </c>
      <c r="F70" t="s">
        <v>389</v>
      </c>
      <c r="H70" t="s">
        <v>20</v>
      </c>
      <c r="I70" t="s">
        <v>20</v>
      </c>
      <c r="J70" t="s">
        <v>105</v>
      </c>
      <c r="K70" t="s">
        <v>424</v>
      </c>
      <c r="L70" t="s">
        <v>425</v>
      </c>
      <c r="M70" t="s">
        <v>205</v>
      </c>
      <c r="N70">
        <v>2033</v>
      </c>
      <c r="O70" t="s">
        <v>291</v>
      </c>
      <c r="P70" s="1"/>
      <c r="Q70" s="1"/>
      <c r="R70" s="1"/>
      <c r="S70" s="1"/>
      <c r="T70" s="1" t="e">
        <f xml:space="preserve"> IF(#REF! = "", "X",IF(#REF! &lt;= DATE(#REF!- 3, 12, 15),"5.Respect OPC",IF(#REF! &lt;= DATE(#REF!-2, 4, 1),"3.À risque","1.Très à risque")))</f>
        <v>#REF!</v>
      </c>
      <c r="U70" s="1" t="e">
        <f xml:space="preserve"> IF(#REF! = "", "X",IF(#REF! &lt;= DATE(#REF!- 2, 12, 15),"5.Respect OPC",IF(#REF! &lt;= DATE(#REF!-1, 4, 1),"3.À risque","1.Très à risque")))</f>
        <v>#REF!</v>
      </c>
      <c r="V70" s="1" t="e">
        <f xml:space="preserve"> IF(#REF! = "", "X",IF(#REF! &lt;= DATE(#REF!- 1, 12, 15),"5.Respect OPC",IF(#REF! &lt;= DATE(#REF!, 4, 1),"3.À risque","1.Très à risque")))</f>
        <v>#REF!</v>
      </c>
      <c r="W70" s="1" t="e">
        <f xml:space="preserve"> (YEAR(#REF!) - YEAR(#REF!)) * 12 + MONTH(#REF!) - MONTH(#REF!)</f>
        <v>#REF!</v>
      </c>
      <c r="X70" s="1" t="e">
        <f xml:space="preserve"> (YEAR(#REF!) - YEAR(#REF!)) * 12 + MONTH(#REF!) - MONTH(#REF!)</f>
        <v>#REF!</v>
      </c>
      <c r="Y70" s="1" t="e">
        <f>#REF!+#REF!</f>
        <v>#REF!</v>
      </c>
      <c r="Z70">
        <v>5</v>
      </c>
      <c r="AA70">
        <v>1</v>
      </c>
      <c r="AC70" t="s">
        <v>311</v>
      </c>
      <c r="AD70">
        <v>3</v>
      </c>
      <c r="AE70" s="2" t="e">
        <f>_xlfn.XLOOKUP(#REF!,Portefeuille_MNT_PPS_Access27[Numéro projet],Portefeuille_MNT_PPS_Access27[Critère Etat Infrastructure])</f>
        <v>#REF!</v>
      </c>
      <c r="AF70" s="12" t="e">
        <f>IF(#REF!=5,100, SUM(IF(#REF!="",#REF!*$AE$8/5,#REF!*$AE$8/5),#REF!* $AE$10/5,#REF!* $AE$9/5,#REF!* $AE$7/5)*100)</f>
        <v>#REF!</v>
      </c>
      <c r="AG70" s="221"/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0</v>
      </c>
      <c r="AV70">
        <v>100</v>
      </c>
      <c r="AW70">
        <v>0</v>
      </c>
      <c r="AX70">
        <v>200</v>
      </c>
      <c r="AY70">
        <v>5000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5400</v>
      </c>
      <c r="BI70">
        <v>100</v>
      </c>
      <c r="BJ70">
        <v>5400</v>
      </c>
      <c r="DL70"/>
    </row>
    <row r="71" spans="1:116" hidden="1" x14ac:dyDescent="0.3">
      <c r="A71" t="s">
        <v>286</v>
      </c>
      <c r="B71" t="s">
        <v>662</v>
      </c>
      <c r="C71" t="s">
        <v>733</v>
      </c>
      <c r="D71" t="s">
        <v>118</v>
      </c>
      <c r="E71" t="s">
        <v>102</v>
      </c>
      <c r="F71" t="s">
        <v>103</v>
      </c>
      <c r="G71" t="s">
        <v>113</v>
      </c>
      <c r="H71" t="s">
        <v>20</v>
      </c>
      <c r="I71" t="s">
        <v>20</v>
      </c>
      <c r="J71" t="s">
        <v>105</v>
      </c>
      <c r="K71" t="s">
        <v>426</v>
      </c>
      <c r="L71" t="s">
        <v>527</v>
      </c>
      <c r="M71" t="s">
        <v>122</v>
      </c>
      <c r="N71">
        <v>2029</v>
      </c>
      <c r="O71" t="s">
        <v>155</v>
      </c>
      <c r="P71" s="1">
        <v>45827</v>
      </c>
      <c r="Q71" s="1">
        <v>46249</v>
      </c>
      <c r="R71" s="1">
        <v>46675</v>
      </c>
      <c r="S71" s="1">
        <v>47041</v>
      </c>
      <c r="T71" s="1" t="e">
        <f xml:space="preserve"> IF(#REF! = "", "X",IF(#REF! &lt;= DATE(#REF!- 3, 12, 15),"5.Respect OPC",IF(#REF! &lt;= DATE(#REF!-2, 4, 1),"3.À risque","1.Très à risque")))</f>
        <v>#REF!</v>
      </c>
      <c r="U71" s="1" t="e">
        <f xml:space="preserve"> IF(#REF! = "", "X",IF(#REF! &lt;= DATE(#REF!- 2, 12, 15),"5.Respect OPC",IF(#REF! &lt;= DATE(#REF!-1, 4, 1),"3.À risque","1.Très à risque")))</f>
        <v>#REF!</v>
      </c>
      <c r="V71" s="1" t="e">
        <f xml:space="preserve"> IF(#REF! = "", "X",IF(#REF! &lt;= DATE(#REF!- 1, 12, 15),"5.Respect OPC",IF(#REF! &lt;= DATE(#REF!, 4, 1),"3.À risque","1.Très à risque")))</f>
        <v>#REF!</v>
      </c>
      <c r="W71" s="1" t="e">
        <f xml:space="preserve"> (YEAR(#REF!) - YEAR(#REF!)) * 12 + MONTH(#REF!) - MONTH(#REF!)</f>
        <v>#REF!</v>
      </c>
      <c r="X71" s="1" t="e">
        <f xml:space="preserve"> (YEAR(#REF!) - YEAR(#REF!)) * 12 + MONTH(#REF!) - MONTH(#REF!)</f>
        <v>#REF!</v>
      </c>
      <c r="Y71" s="1" t="e">
        <f>#REF!+#REF!</f>
        <v>#REF!</v>
      </c>
      <c r="Z71">
        <v>5</v>
      </c>
      <c r="AA71">
        <v>1</v>
      </c>
      <c r="AB71">
        <v>5</v>
      </c>
      <c r="AC71" t="s">
        <v>156</v>
      </c>
      <c r="AD71">
        <v>4</v>
      </c>
      <c r="AE71" s="2" t="e">
        <f>_xlfn.XLOOKUP(#REF!,Portefeuille_MNT_PPS_Access27[Numéro projet],Portefeuille_MNT_PPS_Access27[Critère Etat Infrastructure])</f>
        <v>#REF!</v>
      </c>
      <c r="AF71" s="12" t="e">
        <f>IF(#REF!=5,100, SUM(IF(#REF!="",#REF!*$AE$8/5,#REF!*$AE$8/5),#REF!* $AE$10/5,#REF!* $AE$9/5,#REF!* $AE$7/5)*100)</f>
        <v>#REF!</v>
      </c>
      <c r="AG71" s="221"/>
      <c r="AH71">
        <v>0</v>
      </c>
      <c r="AI71">
        <v>0</v>
      </c>
      <c r="AJ71">
        <v>0</v>
      </c>
      <c r="AK71">
        <v>0</v>
      </c>
      <c r="AL71">
        <v>100</v>
      </c>
      <c r="AM71">
        <v>0</v>
      </c>
      <c r="AN71">
        <v>150</v>
      </c>
      <c r="AO71">
        <v>0</v>
      </c>
      <c r="AP71">
        <v>500</v>
      </c>
      <c r="AQ71">
        <v>7000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7750</v>
      </c>
      <c r="BI71">
        <v>7750</v>
      </c>
      <c r="BJ71">
        <v>7750</v>
      </c>
      <c r="BK71" s="14" t="e">
        <f>#REF!+#REF!</f>
        <v>#REF!</v>
      </c>
      <c r="BL71" s="14"/>
      <c r="BM71" s="14" t="e">
        <f>#REF!+#REF!</f>
        <v>#REF!</v>
      </c>
      <c r="BN71" s="14"/>
      <c r="DL71"/>
    </row>
    <row r="72" spans="1:116" hidden="1" x14ac:dyDescent="0.3">
      <c r="A72" t="s">
        <v>286</v>
      </c>
      <c r="B72" t="s">
        <v>664</v>
      </c>
      <c r="C72" t="s">
        <v>349</v>
      </c>
      <c r="D72" t="s">
        <v>101</v>
      </c>
      <c r="E72" t="s">
        <v>102</v>
      </c>
      <c r="F72" t="s">
        <v>200</v>
      </c>
      <c r="G72" t="s">
        <v>113</v>
      </c>
      <c r="H72" t="s">
        <v>20</v>
      </c>
      <c r="I72" t="s">
        <v>20</v>
      </c>
      <c r="J72" t="s">
        <v>131</v>
      </c>
      <c r="K72" t="s">
        <v>436</v>
      </c>
      <c r="L72" t="s">
        <v>437</v>
      </c>
      <c r="M72" t="s">
        <v>139</v>
      </c>
      <c r="N72">
        <v>2029</v>
      </c>
      <c r="O72" t="s">
        <v>291</v>
      </c>
      <c r="P72" s="1"/>
      <c r="Q72" s="1"/>
      <c r="R72" s="1"/>
      <c r="S72" s="1"/>
      <c r="T72" s="1" t="e">
        <f xml:space="preserve"> IF(#REF! = "", "X",IF(#REF! &lt;= DATE(#REF!- 3, 12, 15),"5.Respect OPC",IF(#REF! &lt;= DATE(#REF!-2, 4, 1),"3.À risque","1.Très à risque")))</f>
        <v>#REF!</v>
      </c>
      <c r="U72" s="1" t="e">
        <f xml:space="preserve"> IF(#REF! = "", "X",IF(#REF! &lt;= DATE(#REF!- 2, 12, 15),"5.Respect OPC",IF(#REF! &lt;= DATE(#REF!-1, 4, 1),"3.À risque","1.Très à risque")))</f>
        <v>#REF!</v>
      </c>
      <c r="V72" s="1" t="e">
        <f xml:space="preserve"> IF(#REF! = "", "X",IF(#REF! &lt;= DATE(#REF!- 1, 12, 15),"5.Respect OPC",IF(#REF! &lt;= DATE(#REF!, 4, 1),"3.À risque","1.Très à risque")))</f>
        <v>#REF!</v>
      </c>
      <c r="W72" s="1" t="e">
        <f xml:space="preserve"> (YEAR(#REF!) - YEAR(#REF!)) * 12 + MONTH(#REF!) - MONTH(#REF!)</f>
        <v>#REF!</v>
      </c>
      <c r="X72" s="1" t="e">
        <f xml:space="preserve"> (YEAR(#REF!) - YEAR(#REF!)) * 12 + MONTH(#REF!) - MONTH(#REF!)</f>
        <v>#REF!</v>
      </c>
      <c r="Y72" s="1" t="e">
        <f>#REF!+#REF!</f>
        <v>#REF!</v>
      </c>
      <c r="Z72">
        <v>5</v>
      </c>
      <c r="AA72">
        <v>1</v>
      </c>
      <c r="AB72">
        <v>3</v>
      </c>
      <c r="AC72" t="s">
        <v>311</v>
      </c>
      <c r="AD72">
        <v>2</v>
      </c>
      <c r="AE72" s="2" t="e">
        <f>_xlfn.XLOOKUP(#REF!,Portefeuille_MNT_PPS_Access27[Numéro projet],Portefeuille_MNT_PPS_Access27[Critère Etat Infrastructure])</f>
        <v>#REF!</v>
      </c>
      <c r="AF72" s="12" t="e">
        <f>IF(#REF!=5,100, SUM(IF(#REF!="",#REF!*$AE$8/5,#REF!*$AE$8/5),#REF!* $AE$10/5,#REF!* $AE$9/5,#REF!* $AE$7/5)*100)</f>
        <v>#REF!</v>
      </c>
      <c r="AG72" s="221"/>
      <c r="AH72">
        <v>0</v>
      </c>
      <c r="AI72">
        <v>0</v>
      </c>
      <c r="AJ72">
        <v>50</v>
      </c>
      <c r="AK72">
        <v>0</v>
      </c>
      <c r="AL72">
        <v>50</v>
      </c>
      <c r="AM72">
        <v>0</v>
      </c>
      <c r="AN72">
        <v>150</v>
      </c>
      <c r="AO72">
        <v>0</v>
      </c>
      <c r="AP72">
        <v>300</v>
      </c>
      <c r="AQ72">
        <v>3000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3550</v>
      </c>
      <c r="BI72">
        <v>3500</v>
      </c>
      <c r="BJ72">
        <v>3500</v>
      </c>
      <c r="DL72"/>
    </row>
    <row r="73" spans="1:116" hidden="1" x14ac:dyDescent="0.3">
      <c r="A73" t="s">
        <v>286</v>
      </c>
      <c r="B73" t="s">
        <v>662</v>
      </c>
      <c r="C73" t="s">
        <v>733</v>
      </c>
      <c r="D73" t="s">
        <v>101</v>
      </c>
      <c r="E73" t="s">
        <v>102</v>
      </c>
      <c r="F73" t="s">
        <v>200</v>
      </c>
      <c r="G73" t="s">
        <v>129</v>
      </c>
      <c r="H73" t="s">
        <v>20</v>
      </c>
      <c r="I73" t="s">
        <v>20</v>
      </c>
      <c r="J73" t="s">
        <v>131</v>
      </c>
      <c r="K73" t="s">
        <v>412</v>
      </c>
      <c r="L73" t="s">
        <v>644</v>
      </c>
      <c r="M73" t="s">
        <v>414</v>
      </c>
      <c r="N73">
        <v>2030</v>
      </c>
      <c r="O73" t="s">
        <v>291</v>
      </c>
      <c r="P73" s="1"/>
      <c r="Q73" s="1"/>
      <c r="R73" s="1"/>
      <c r="S73" s="1"/>
      <c r="T73" s="1" t="e">
        <f xml:space="preserve"> IF(#REF! = "", "X",IF(#REF! &lt;= DATE(#REF!- 3, 12, 15),"5.Respect OPC",IF(#REF! &lt;= DATE(#REF!-2, 4, 1),"3.À risque","1.Très à risque")))</f>
        <v>#REF!</v>
      </c>
      <c r="U73" s="1" t="e">
        <f xml:space="preserve"> IF(#REF! = "", "X",IF(#REF! &lt;= DATE(#REF!- 2, 12, 15),"5.Respect OPC",IF(#REF! &lt;= DATE(#REF!-1, 4, 1),"3.À risque","1.Très à risque")))</f>
        <v>#REF!</v>
      </c>
      <c r="V73" s="1" t="e">
        <f xml:space="preserve"> IF(#REF! = "", "X",IF(#REF! &lt;= DATE(#REF!- 1, 12, 15),"5.Respect OPC",IF(#REF! &lt;= DATE(#REF!, 4, 1),"3.À risque","1.Très à risque")))</f>
        <v>#REF!</v>
      </c>
      <c r="W73" s="1" t="e">
        <f xml:space="preserve"> (YEAR(#REF!) - YEAR(#REF!)) * 12 + MONTH(#REF!) - MONTH(#REF!)</f>
        <v>#REF!</v>
      </c>
      <c r="X73" s="1" t="e">
        <f xml:space="preserve"> (YEAR(#REF!) - YEAR(#REF!)) * 12 + MONTH(#REF!) - MONTH(#REF!)</f>
        <v>#REF!</v>
      </c>
      <c r="Y73" s="1" t="e">
        <f>#REF!+#REF!</f>
        <v>#REF!</v>
      </c>
      <c r="Z73">
        <v>5</v>
      </c>
      <c r="AA73">
        <v>1</v>
      </c>
      <c r="AC73" t="s">
        <v>311</v>
      </c>
      <c r="AD73">
        <v>1</v>
      </c>
      <c r="AE73" s="2" t="e">
        <f>_xlfn.XLOOKUP(#REF!,Portefeuille_MNT_PPS_Access27[Numéro projet],Portefeuille_MNT_PPS_Access27[Critère Etat Infrastructure])</f>
        <v>#REF!</v>
      </c>
      <c r="AF73" s="12" t="e">
        <f>IF(#REF!=5,100, SUM(IF(#REF!="",#REF!*$AE$8/5,#REF!*$AE$8/5),#REF!* $AE$10/5,#REF!* $AE$9/5,#REF!* $AE$7/5)*100)</f>
        <v>#REF!</v>
      </c>
      <c r="AG73" s="221"/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40</v>
      </c>
      <c r="AO73">
        <v>0</v>
      </c>
      <c r="AP73">
        <v>40</v>
      </c>
      <c r="AQ73">
        <v>0</v>
      </c>
      <c r="AR73">
        <v>120</v>
      </c>
      <c r="AS73">
        <v>1300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1500</v>
      </c>
      <c r="BI73">
        <v>1500</v>
      </c>
      <c r="BJ73">
        <v>1500</v>
      </c>
      <c r="DL73"/>
    </row>
    <row r="74" spans="1:116" hidden="1" x14ac:dyDescent="0.3">
      <c r="A74" t="s">
        <v>286</v>
      </c>
      <c r="B74" t="s">
        <v>662</v>
      </c>
      <c r="C74" t="s">
        <v>733</v>
      </c>
      <c r="D74" t="s">
        <v>101</v>
      </c>
      <c r="E74" t="s">
        <v>102</v>
      </c>
      <c r="F74" t="s">
        <v>200</v>
      </c>
      <c r="G74" t="s">
        <v>113</v>
      </c>
      <c r="H74" t="s">
        <v>16</v>
      </c>
      <c r="I74" t="s">
        <v>20</v>
      </c>
      <c r="J74" t="s">
        <v>131</v>
      </c>
      <c r="K74" t="s">
        <v>243</v>
      </c>
      <c r="L74" t="s">
        <v>739</v>
      </c>
      <c r="M74" t="s">
        <v>245</v>
      </c>
      <c r="N74">
        <v>2028</v>
      </c>
      <c r="O74" t="s">
        <v>155</v>
      </c>
      <c r="P74" s="1">
        <v>45588</v>
      </c>
      <c r="Q74" s="1">
        <v>45976</v>
      </c>
      <c r="R74" s="1">
        <v>46280</v>
      </c>
      <c r="S74" s="1">
        <v>46433</v>
      </c>
      <c r="T74" s="1" t="e">
        <f xml:space="preserve"> IF(#REF! = "", "X",IF(#REF! &lt;= DATE(#REF!- 3, 12, 15),"5.Respect OPC",IF(#REF! &lt;= DATE(#REF!-2, 4, 1),"3.À risque","1.Très à risque")))</f>
        <v>#REF!</v>
      </c>
      <c r="U74" s="1" t="e">
        <f xml:space="preserve"> IF(#REF! = "", "X",IF(#REF! &lt;= DATE(#REF!- 2, 12, 15),"5.Respect OPC",IF(#REF! &lt;= DATE(#REF!-1, 4, 1),"3.À risque","1.Très à risque")))</f>
        <v>#REF!</v>
      </c>
      <c r="V74" s="1" t="e">
        <f xml:space="preserve"> IF(#REF! = "", "X",IF(#REF! &lt;= DATE(#REF!- 1, 12, 15),"5.Respect OPC",IF(#REF! &lt;= DATE(#REF!, 4, 1),"3.À risque","1.Très à risque")))</f>
        <v>#REF!</v>
      </c>
      <c r="W74" s="1" t="e">
        <f xml:space="preserve"> (YEAR(#REF!) - YEAR(#REF!)) * 12 + MONTH(#REF!) - MONTH(#REF!)</f>
        <v>#REF!</v>
      </c>
      <c r="X74" s="1" t="e">
        <f xml:space="preserve"> (YEAR(#REF!) - YEAR(#REF!)) * 12 + MONTH(#REF!) - MONTH(#REF!)</f>
        <v>#REF!</v>
      </c>
      <c r="Y74" s="1" t="e">
        <f>#REF!+#REF!</f>
        <v>#REF!</v>
      </c>
      <c r="Z74">
        <v>5</v>
      </c>
      <c r="AA74">
        <v>1</v>
      </c>
      <c r="AB74">
        <v>5</v>
      </c>
      <c r="AC74" t="s">
        <v>156</v>
      </c>
      <c r="AD74">
        <v>1.6666666666666667</v>
      </c>
      <c r="AE74" s="2" t="e">
        <f>_xlfn.XLOOKUP(#REF!,Portefeuille_MNT_PPS_Access27[Numéro projet],Portefeuille_MNT_PPS_Access27[Critère Etat Infrastructure])</f>
        <v>#REF!</v>
      </c>
      <c r="AF74" s="12" t="e">
        <f>IF(#REF!=5,100, SUM(IF(#REF!="",#REF!*$AE$8/5,#REF!*$AE$8/5),#REF!* $AE$10/5,#REF!* $AE$9/5,#REF!* $AE$7/5)*100)</f>
        <v>#REF!</v>
      </c>
      <c r="AG74" s="221"/>
      <c r="AH74">
        <v>3</v>
      </c>
      <c r="AI74">
        <v>0</v>
      </c>
      <c r="AJ74">
        <v>33</v>
      </c>
      <c r="AK74">
        <v>0</v>
      </c>
      <c r="AL74">
        <v>32</v>
      </c>
      <c r="AM74">
        <v>0</v>
      </c>
      <c r="AN74">
        <v>86</v>
      </c>
      <c r="AO74">
        <v>1260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1414</v>
      </c>
      <c r="BI74">
        <v>1378</v>
      </c>
      <c r="BJ74">
        <v>1378</v>
      </c>
      <c r="DL74"/>
    </row>
    <row r="75" spans="1:116" hidden="1" x14ac:dyDescent="0.3">
      <c r="A75" t="s">
        <v>286</v>
      </c>
      <c r="B75" t="s">
        <v>662</v>
      </c>
      <c r="C75" t="s">
        <v>733</v>
      </c>
      <c r="D75" t="s">
        <v>118</v>
      </c>
      <c r="E75" t="s">
        <v>102</v>
      </c>
      <c r="F75" t="s">
        <v>136</v>
      </c>
      <c r="G75" t="s">
        <v>104</v>
      </c>
      <c r="H75" t="s">
        <v>130</v>
      </c>
      <c r="I75" t="s">
        <v>20</v>
      </c>
      <c r="J75" t="s">
        <v>105</v>
      </c>
      <c r="K75" t="s">
        <v>364</v>
      </c>
      <c r="L75" t="s">
        <v>365</v>
      </c>
      <c r="M75" t="s">
        <v>205</v>
      </c>
      <c r="N75">
        <v>2031</v>
      </c>
      <c r="O75" t="s">
        <v>291</v>
      </c>
      <c r="P75" s="1"/>
      <c r="Q75" s="1"/>
      <c r="R75" s="1"/>
      <c r="S75" s="1"/>
      <c r="T75" s="1" t="e">
        <f xml:space="preserve"> IF(#REF! = "", "X",IF(#REF! &lt;= DATE(#REF!- 3, 12, 15),"5.Respect OPC",IF(#REF! &lt;= DATE(#REF!-2, 4, 1),"3.À risque","1.Très à risque")))</f>
        <v>#REF!</v>
      </c>
      <c r="U75" s="1" t="e">
        <f xml:space="preserve"> IF(#REF! = "", "X",IF(#REF! &lt;= DATE(#REF!- 2, 12, 15),"5.Respect OPC",IF(#REF! &lt;= DATE(#REF!-1, 4, 1),"3.À risque","1.Très à risque")))</f>
        <v>#REF!</v>
      </c>
      <c r="V75" s="1" t="e">
        <f xml:space="preserve"> IF(#REF! = "", "X",IF(#REF! &lt;= DATE(#REF!- 1, 12, 15),"5.Respect OPC",IF(#REF! &lt;= DATE(#REF!, 4, 1),"3.À risque","1.Très à risque")))</f>
        <v>#REF!</v>
      </c>
      <c r="W75" s="1" t="e">
        <f xml:space="preserve"> (YEAR(#REF!) - YEAR(#REF!)) * 12 + MONTH(#REF!) - MONTH(#REF!)</f>
        <v>#REF!</v>
      </c>
      <c r="X75" s="1" t="e">
        <f xml:space="preserve"> (YEAR(#REF!) - YEAR(#REF!)) * 12 + MONTH(#REF!) - MONTH(#REF!)</f>
        <v>#REF!</v>
      </c>
      <c r="Y75" s="1" t="e">
        <f>#REF!+#REF!</f>
        <v>#REF!</v>
      </c>
      <c r="Z75">
        <v>5</v>
      </c>
      <c r="AA75">
        <v>1</v>
      </c>
      <c r="AC75" t="s">
        <v>311</v>
      </c>
      <c r="AD75">
        <v>3</v>
      </c>
      <c r="AE75" s="2" t="e">
        <f>_xlfn.XLOOKUP(#REF!,Portefeuille_MNT_PPS_Access27[Numéro projet],Portefeuille_MNT_PPS_Access27[Critère Etat Infrastructure])</f>
        <v>#REF!</v>
      </c>
      <c r="AF75" s="12" t="e">
        <f>IF(#REF!=5,100, SUM(IF(#REF!="",#REF!*$AE$8/5,#REF!*$AE$8/5),#REF!* $AE$10/5,#REF!* $AE$9/5,#REF!* $AE$7/5)*100)</f>
        <v>#REF!</v>
      </c>
      <c r="AG75" s="221"/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200</v>
      </c>
      <c r="AO75">
        <v>0</v>
      </c>
      <c r="AP75">
        <v>200</v>
      </c>
      <c r="AQ75">
        <v>0</v>
      </c>
      <c r="AR75">
        <v>400</v>
      </c>
      <c r="AS75">
        <v>0</v>
      </c>
      <c r="AT75">
        <v>400</v>
      </c>
      <c r="AU75">
        <v>4500</v>
      </c>
      <c r="AV75">
        <v>400</v>
      </c>
      <c r="AW75">
        <v>7000</v>
      </c>
      <c r="AX75">
        <v>400</v>
      </c>
      <c r="AY75">
        <v>7000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20500</v>
      </c>
      <c r="BI75">
        <v>5700</v>
      </c>
      <c r="BJ75">
        <v>20500</v>
      </c>
      <c r="DL75"/>
    </row>
    <row r="76" spans="1:116" hidden="1" x14ac:dyDescent="0.3">
      <c r="A76" t="s">
        <v>286</v>
      </c>
      <c r="B76" t="s">
        <v>663</v>
      </c>
      <c r="C76" t="s">
        <v>733</v>
      </c>
      <c r="D76" t="s">
        <v>101</v>
      </c>
      <c r="E76" t="s">
        <v>102</v>
      </c>
      <c r="F76" t="s">
        <v>136</v>
      </c>
      <c r="G76" t="s">
        <v>149</v>
      </c>
      <c r="H76" t="s">
        <v>130</v>
      </c>
      <c r="I76" t="s">
        <v>20</v>
      </c>
      <c r="J76" t="s">
        <v>105</v>
      </c>
      <c r="K76" t="s">
        <v>366</v>
      </c>
      <c r="L76" t="s">
        <v>367</v>
      </c>
      <c r="M76" t="s">
        <v>316</v>
      </c>
      <c r="N76">
        <v>2030</v>
      </c>
      <c r="O76" t="s">
        <v>155</v>
      </c>
      <c r="P76" s="1">
        <v>46006</v>
      </c>
      <c r="Q76" s="1">
        <v>46157</v>
      </c>
      <c r="R76" s="1">
        <v>46645</v>
      </c>
      <c r="S76" s="1">
        <v>47011</v>
      </c>
      <c r="T76" s="1" t="e">
        <f xml:space="preserve"> IF(#REF! = "", "X",IF(#REF! &lt;= DATE(#REF!- 3, 12, 15),"5.Respect OPC",IF(#REF! &lt;= DATE(#REF!-2, 4, 1),"3.À risque","1.Très à risque")))</f>
        <v>#REF!</v>
      </c>
      <c r="U76" s="1" t="e">
        <f xml:space="preserve"> IF(#REF! = "", "X",IF(#REF! &lt;= DATE(#REF!- 2, 12, 15),"5.Respect OPC",IF(#REF! &lt;= DATE(#REF!-1, 4, 1),"3.À risque","1.Très à risque")))</f>
        <v>#REF!</v>
      </c>
      <c r="V76" s="1" t="e">
        <f xml:space="preserve"> IF(#REF! = "", "X",IF(#REF! &lt;= DATE(#REF!- 1, 12, 15),"5.Respect OPC",IF(#REF! &lt;= DATE(#REF!, 4, 1),"3.À risque","1.Très à risque")))</f>
        <v>#REF!</v>
      </c>
      <c r="W76" s="1" t="e">
        <f xml:space="preserve"> (YEAR(#REF!) - YEAR(#REF!)) * 12 + MONTH(#REF!) - MONTH(#REF!)</f>
        <v>#REF!</v>
      </c>
      <c r="X76" s="1" t="e">
        <f xml:space="preserve"> (YEAR(#REF!) - YEAR(#REF!)) * 12 + MONTH(#REF!) - MONTH(#REF!)</f>
        <v>#REF!</v>
      </c>
      <c r="Y76" s="1" t="e">
        <f>#REF!+#REF!</f>
        <v>#REF!</v>
      </c>
      <c r="Z76">
        <v>5</v>
      </c>
      <c r="AA76">
        <v>1</v>
      </c>
      <c r="AC76" t="s">
        <v>156</v>
      </c>
      <c r="AD76">
        <v>3</v>
      </c>
      <c r="AE76" s="2" t="e">
        <f>_xlfn.XLOOKUP(#REF!,Portefeuille_MNT_PPS_Access27[Numéro projet],Portefeuille_MNT_PPS_Access27[Critère Etat Infrastructure])</f>
        <v>#REF!</v>
      </c>
      <c r="AF76" s="12" t="e">
        <f>IF(#REF!=5,100, SUM(IF(#REF!="",#REF!*$AE$8/5,#REF!*$AE$8/5),#REF!* $AE$10/5,#REF!* $AE$9/5,#REF!* $AE$7/5)*100)</f>
        <v>#REF!</v>
      </c>
      <c r="AG76" s="221"/>
      <c r="AH76">
        <v>0</v>
      </c>
      <c r="AI76">
        <v>0</v>
      </c>
      <c r="AJ76">
        <v>0</v>
      </c>
      <c r="AK76">
        <v>0</v>
      </c>
      <c r="AL76">
        <v>430</v>
      </c>
      <c r="AM76">
        <v>0</v>
      </c>
      <c r="AN76">
        <v>600</v>
      </c>
      <c r="AO76">
        <v>0</v>
      </c>
      <c r="AP76">
        <v>670</v>
      </c>
      <c r="AQ76">
        <v>0</v>
      </c>
      <c r="AR76">
        <v>600</v>
      </c>
      <c r="AS76">
        <v>5000</v>
      </c>
      <c r="AT76">
        <v>0</v>
      </c>
      <c r="AU76">
        <v>0</v>
      </c>
      <c r="AV76">
        <v>500</v>
      </c>
      <c r="AW76">
        <v>4700</v>
      </c>
      <c r="AX76">
        <v>600</v>
      </c>
      <c r="AY76">
        <v>5000</v>
      </c>
      <c r="AZ76">
        <v>600</v>
      </c>
      <c r="BA76">
        <v>5000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23700</v>
      </c>
      <c r="BI76">
        <v>7300</v>
      </c>
      <c r="BJ76">
        <v>23700</v>
      </c>
      <c r="DL76"/>
    </row>
    <row r="77" spans="1:116" hidden="1" x14ac:dyDescent="0.3">
      <c r="A77" t="s">
        <v>286</v>
      </c>
      <c r="B77" t="s">
        <v>295</v>
      </c>
      <c r="C77" t="s">
        <v>733</v>
      </c>
      <c r="D77" t="s">
        <v>126</v>
      </c>
      <c r="E77" t="s">
        <v>127</v>
      </c>
      <c r="F77" t="s">
        <v>136</v>
      </c>
      <c r="G77" t="s">
        <v>104</v>
      </c>
      <c r="H77" t="s">
        <v>16</v>
      </c>
      <c r="I77" t="s">
        <v>16</v>
      </c>
      <c r="J77" t="s">
        <v>105</v>
      </c>
      <c r="K77" t="s">
        <v>162</v>
      </c>
      <c r="L77" t="s">
        <v>163</v>
      </c>
      <c r="M77" t="s">
        <v>122</v>
      </c>
      <c r="N77">
        <v>2025</v>
      </c>
      <c r="O77" t="s">
        <v>164</v>
      </c>
      <c r="P77" s="1"/>
      <c r="Q77" s="1"/>
      <c r="R77" s="1"/>
      <c r="S77" s="1"/>
      <c r="T77" s="1" t="e">
        <f xml:space="preserve"> IF(#REF! = "", "X",IF(#REF! &lt;= DATE(#REF!- 3, 12, 15),"5.Respect OPC",IF(#REF! &lt;= DATE(#REF!-2, 4, 1),"3.À risque","1.Très à risque")))</f>
        <v>#REF!</v>
      </c>
      <c r="U77" s="1" t="e">
        <f xml:space="preserve"> IF(#REF! = "", "X",IF(#REF! &lt;= DATE(#REF!- 2, 12, 15),"5.Respect OPC",IF(#REF! &lt;= DATE(#REF!-1, 4, 1),"3.À risque","1.Très à risque")))</f>
        <v>#REF!</v>
      </c>
      <c r="V77" s="1" t="e">
        <f xml:space="preserve"> IF(#REF! = "", "X",IF(#REF! &lt;= DATE(#REF!- 1, 12, 15),"5.Respect OPC",IF(#REF! &lt;= DATE(#REF!, 4, 1),"3.À risque","1.Très à risque")))</f>
        <v>#REF!</v>
      </c>
      <c r="W77" s="1" t="e">
        <f xml:space="preserve"> (YEAR(#REF!) - YEAR(#REF!)) * 12 + MONTH(#REF!) - MONTH(#REF!)</f>
        <v>#REF!</v>
      </c>
      <c r="X77" s="1" t="e">
        <f xml:space="preserve"> (YEAR(#REF!) - YEAR(#REF!)) * 12 + MONTH(#REF!) - MONTH(#REF!)</f>
        <v>#REF!</v>
      </c>
      <c r="Y77" s="1" t="e">
        <f>#REF!+#REF!</f>
        <v>#REF!</v>
      </c>
      <c r="Z77">
        <v>5</v>
      </c>
      <c r="AA77">
        <v>1</v>
      </c>
      <c r="AC77" t="s">
        <v>165</v>
      </c>
      <c r="AD77">
        <v>4</v>
      </c>
      <c r="AE77" s="2" t="e">
        <f>_xlfn.XLOOKUP(#REF!,Portefeuille_MNT_PPS_Access27[Numéro projet],Portefeuille_MNT_PPS_Access27[Critère Etat Infrastructure])</f>
        <v>#REF!</v>
      </c>
      <c r="AF77" s="12" t="e">
        <f>IF(#REF!=5,100, SUM(IF(#REF!="",#REF!*$AE$8/5,#REF!*$AE$8/5),#REF!* $AE$10/5,#REF!* $AE$9/5,#REF!* $AE$7/5)*100)</f>
        <v>#REF!</v>
      </c>
      <c r="AG77" s="221"/>
      <c r="AH77">
        <v>5553</v>
      </c>
      <c r="AI77">
        <v>29198</v>
      </c>
      <c r="AJ77">
        <v>45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34796</v>
      </c>
      <c r="DL77"/>
    </row>
    <row r="78" spans="1:116" hidden="1" x14ac:dyDescent="0.3">
      <c r="A78" t="s">
        <v>286</v>
      </c>
      <c r="B78" t="s">
        <v>663</v>
      </c>
      <c r="C78" t="s">
        <v>733</v>
      </c>
      <c r="D78" t="s">
        <v>101</v>
      </c>
      <c r="E78" t="s">
        <v>102</v>
      </c>
      <c r="F78" t="s">
        <v>136</v>
      </c>
      <c r="G78" t="s">
        <v>113</v>
      </c>
      <c r="H78" t="s">
        <v>16</v>
      </c>
      <c r="I78" t="s">
        <v>20</v>
      </c>
      <c r="J78" t="s">
        <v>105</v>
      </c>
      <c r="K78" t="s">
        <v>166</v>
      </c>
      <c r="L78" t="s">
        <v>167</v>
      </c>
      <c r="M78" t="s">
        <v>168</v>
      </c>
      <c r="N78">
        <v>2029</v>
      </c>
      <c r="O78" t="s">
        <v>155</v>
      </c>
      <c r="P78" s="1">
        <v>42499</v>
      </c>
      <c r="Q78" s="1">
        <v>45976</v>
      </c>
      <c r="R78" s="1">
        <v>46402</v>
      </c>
      <c r="S78" s="1">
        <v>46980</v>
      </c>
      <c r="T78" s="1" t="e">
        <f xml:space="preserve"> IF(#REF! = "", "X",IF(#REF! &lt;= DATE(#REF!- 3, 12, 15),"5.Respect OPC",IF(#REF! &lt;= DATE(#REF!-2, 4, 1),"3.À risque","1.Très à risque")))</f>
        <v>#REF!</v>
      </c>
      <c r="U78" s="1" t="e">
        <f xml:space="preserve"> IF(#REF! = "", "X",IF(#REF! &lt;= DATE(#REF!- 2, 12, 15),"5.Respect OPC",IF(#REF! &lt;= DATE(#REF!-1, 4, 1),"3.À risque","1.Très à risque")))</f>
        <v>#REF!</v>
      </c>
      <c r="V78" s="1" t="e">
        <f xml:space="preserve"> IF(#REF! = "", "X",IF(#REF! &lt;= DATE(#REF!- 1, 12, 15),"5.Respect OPC",IF(#REF! &lt;= DATE(#REF!, 4, 1),"3.À risque","1.Très à risque")))</f>
        <v>#REF!</v>
      </c>
      <c r="W78" s="1" t="e">
        <f xml:space="preserve"> (YEAR(#REF!) - YEAR(#REF!)) * 12 + MONTH(#REF!) - MONTH(#REF!)</f>
        <v>#REF!</v>
      </c>
      <c r="X78" s="1" t="e">
        <f xml:space="preserve"> (YEAR(#REF!) - YEAR(#REF!)) * 12 + MONTH(#REF!) - MONTH(#REF!)</f>
        <v>#REF!</v>
      </c>
      <c r="Y78" s="1" t="e">
        <f>#REF!+#REF!</f>
        <v>#REF!</v>
      </c>
      <c r="Z78">
        <v>5</v>
      </c>
      <c r="AA78">
        <v>1</v>
      </c>
      <c r="AB78">
        <v>5</v>
      </c>
      <c r="AC78" t="s">
        <v>156</v>
      </c>
      <c r="AD78">
        <v>3.3333333333333335</v>
      </c>
      <c r="AE78" s="2" t="e">
        <f>_xlfn.XLOOKUP(#REF!,Portefeuille_MNT_PPS_Access27[Numéro projet],Portefeuille_MNT_PPS_Access27[Critère Etat Infrastructure])</f>
        <v>#REF!</v>
      </c>
      <c r="AF78" s="12" t="e">
        <f>IF(#REF!=5,100, SUM(IF(#REF!="",#REF!*$AE$8/5,#REF!*$AE$8/5),#REF!* $AE$10/5,#REF!* $AE$9/5,#REF!* $AE$7/5)*100)</f>
        <v>#REF!</v>
      </c>
      <c r="AG78" s="221"/>
      <c r="AH78">
        <v>82</v>
      </c>
      <c r="AI78">
        <v>0</v>
      </c>
      <c r="AJ78">
        <v>210</v>
      </c>
      <c r="AK78">
        <v>0</v>
      </c>
      <c r="AL78">
        <v>310</v>
      </c>
      <c r="AM78">
        <v>0</v>
      </c>
      <c r="AN78">
        <v>310</v>
      </c>
      <c r="AO78">
        <v>0</v>
      </c>
      <c r="AP78">
        <v>395</v>
      </c>
      <c r="AQ78">
        <v>2000</v>
      </c>
      <c r="AR78">
        <v>395</v>
      </c>
      <c r="AS78">
        <v>3275</v>
      </c>
      <c r="AT78">
        <v>509</v>
      </c>
      <c r="AU78">
        <v>16319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23805</v>
      </c>
      <c r="BI78">
        <v>23513</v>
      </c>
      <c r="BJ78">
        <v>23513</v>
      </c>
      <c r="DL78"/>
    </row>
    <row r="79" spans="1:116" hidden="1" x14ac:dyDescent="0.3">
      <c r="A79" t="s">
        <v>286</v>
      </c>
      <c r="B79" t="s">
        <v>663</v>
      </c>
      <c r="C79" t="s">
        <v>156</v>
      </c>
      <c r="D79" t="s">
        <v>101</v>
      </c>
      <c r="E79" t="s">
        <v>102</v>
      </c>
      <c r="F79" t="s">
        <v>136</v>
      </c>
      <c r="G79" t="s">
        <v>104</v>
      </c>
      <c r="H79" t="s">
        <v>16</v>
      </c>
      <c r="I79" t="s">
        <v>130</v>
      </c>
      <c r="J79" t="s">
        <v>105</v>
      </c>
      <c r="K79" t="s">
        <v>170</v>
      </c>
      <c r="L79" t="s">
        <v>171</v>
      </c>
      <c r="M79" t="s">
        <v>172</v>
      </c>
      <c r="N79">
        <v>2027</v>
      </c>
      <c r="O79" t="s">
        <v>110</v>
      </c>
      <c r="P79" s="1"/>
      <c r="Q79" s="1">
        <v>44833</v>
      </c>
      <c r="R79" s="1">
        <v>45976</v>
      </c>
      <c r="S79" s="1">
        <v>46310</v>
      </c>
      <c r="T79" s="1" t="e">
        <f xml:space="preserve"> IF(#REF! = "", "X",IF(#REF! &lt;= DATE(#REF!- 3, 12, 15),"5.Respect OPC",IF(#REF! &lt;= DATE(#REF!-2, 4, 1),"3.À risque","1.Très à risque")))</f>
        <v>#REF!</v>
      </c>
      <c r="U79" s="1" t="e">
        <f xml:space="preserve"> IF(#REF! = "", "X",IF(#REF! &lt;= DATE(#REF!- 2, 12, 15),"5.Respect OPC",IF(#REF! &lt;= DATE(#REF!-1, 4, 1),"3.À risque","1.Très à risque")))</f>
        <v>#REF!</v>
      </c>
      <c r="V79" s="1" t="e">
        <f xml:space="preserve"> IF(#REF! = "", "X",IF(#REF! &lt;= DATE(#REF!- 1, 12, 15),"5.Respect OPC",IF(#REF! &lt;= DATE(#REF!, 4, 1),"3.À risque","1.Très à risque")))</f>
        <v>#REF!</v>
      </c>
      <c r="W79" s="1" t="e">
        <f xml:space="preserve"> (YEAR(#REF!) - YEAR(#REF!)) * 12 + MONTH(#REF!) - MONTH(#REF!)</f>
        <v>#REF!</v>
      </c>
      <c r="X79" s="1" t="e">
        <f xml:space="preserve"> (YEAR(#REF!) - YEAR(#REF!)) * 12 + MONTH(#REF!) - MONTH(#REF!)</f>
        <v>#REF!</v>
      </c>
      <c r="Y79" s="1" t="e">
        <f>#REF!+#REF!</f>
        <v>#REF!</v>
      </c>
      <c r="Z79">
        <v>5</v>
      </c>
      <c r="AA79">
        <v>1</v>
      </c>
      <c r="AB79">
        <v>5</v>
      </c>
      <c r="AC79" t="s">
        <v>112</v>
      </c>
      <c r="AD79">
        <v>3.6666666666666665</v>
      </c>
      <c r="AE79" s="2" t="e">
        <f>_xlfn.XLOOKUP(#REF!,Portefeuille_MNT_PPS_Access27[Numéro projet],Portefeuille_MNT_PPS_Access27[Critère Etat Infrastructure])</f>
        <v>#REF!</v>
      </c>
      <c r="AF79" s="12" t="e">
        <f>IF(#REF!=5,100, SUM(IF(#REF!="",#REF!*$AE$8/5,#REF!*$AE$8/5),#REF!* $AE$10/5,#REF!* $AE$9/5,#REF!* $AE$7/5)*100)</f>
        <v>#REF!</v>
      </c>
      <c r="AG79" s="221"/>
      <c r="AH79">
        <v>1909</v>
      </c>
      <c r="AI79">
        <v>8</v>
      </c>
      <c r="AJ79">
        <v>1008</v>
      </c>
      <c r="AK79">
        <v>0</v>
      </c>
      <c r="AL79">
        <v>842</v>
      </c>
      <c r="AM79">
        <v>12159</v>
      </c>
      <c r="AN79">
        <v>982</v>
      </c>
      <c r="AO79">
        <v>3252</v>
      </c>
      <c r="AP79">
        <v>635</v>
      </c>
      <c r="AQ79">
        <v>4326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25121</v>
      </c>
      <c r="BI79">
        <v>22196</v>
      </c>
      <c r="BJ79">
        <v>22196</v>
      </c>
      <c r="DL79"/>
    </row>
    <row r="80" spans="1:116" hidden="1" x14ac:dyDescent="0.3">
      <c r="A80" t="s">
        <v>286</v>
      </c>
      <c r="B80" t="s">
        <v>663</v>
      </c>
      <c r="C80" t="s">
        <v>733</v>
      </c>
      <c r="D80" t="s">
        <v>101</v>
      </c>
      <c r="E80" t="s">
        <v>102</v>
      </c>
      <c r="F80" t="s">
        <v>136</v>
      </c>
      <c r="G80" t="s">
        <v>113</v>
      </c>
      <c r="H80" t="s">
        <v>16</v>
      </c>
      <c r="I80" t="s">
        <v>16</v>
      </c>
      <c r="J80" t="s">
        <v>131</v>
      </c>
      <c r="K80" t="s">
        <v>137</v>
      </c>
      <c r="L80" t="s">
        <v>138</v>
      </c>
      <c r="M80" t="s">
        <v>139</v>
      </c>
      <c r="N80">
        <v>2026</v>
      </c>
      <c r="O80" t="s">
        <v>123</v>
      </c>
      <c r="P80" s="1"/>
      <c r="Q80" s="1">
        <v>45062</v>
      </c>
      <c r="R80" s="1">
        <v>45754</v>
      </c>
      <c r="S80" s="1">
        <v>45945</v>
      </c>
      <c r="T80" s="1" t="e">
        <f xml:space="preserve"> IF(#REF! = "", "X",IF(#REF! &lt;= DATE(#REF!- 3, 12, 15),"5.Respect OPC",IF(#REF! &lt;= DATE(#REF!-2, 4, 1),"3.À risque","1.Très à risque")))</f>
        <v>#REF!</v>
      </c>
      <c r="U80" s="1" t="e">
        <f xml:space="preserve"> IF(#REF! = "", "X",IF(#REF! &lt;= DATE(#REF!- 2, 12, 15),"5.Respect OPC",IF(#REF! &lt;= DATE(#REF!-1, 4, 1),"3.À risque","1.Très à risque")))</f>
        <v>#REF!</v>
      </c>
      <c r="V80" s="1" t="e">
        <f xml:space="preserve"> IF(#REF! = "", "X",IF(#REF! &lt;= DATE(#REF!- 1, 12, 15),"5.Respect OPC",IF(#REF! &lt;= DATE(#REF!, 4, 1),"3.À risque","1.Très à risque")))</f>
        <v>#REF!</v>
      </c>
      <c r="W80" s="1" t="e">
        <f xml:space="preserve"> (YEAR(#REF!) - YEAR(#REF!)) * 12 + MONTH(#REF!) - MONTH(#REF!)</f>
        <v>#REF!</v>
      </c>
      <c r="X80" s="1" t="e">
        <f xml:space="preserve"> (YEAR(#REF!) - YEAR(#REF!)) * 12 + MONTH(#REF!) - MONTH(#REF!)</f>
        <v>#REF!</v>
      </c>
      <c r="Y80" s="1" t="e">
        <f>#REF!+#REF!</f>
        <v>#REF!</v>
      </c>
      <c r="Z80">
        <v>5</v>
      </c>
      <c r="AA80">
        <v>1</v>
      </c>
      <c r="AC80" t="s">
        <v>125</v>
      </c>
      <c r="AD80">
        <v>2</v>
      </c>
      <c r="AE80" s="2" t="e">
        <f>_xlfn.XLOOKUP(#REF!,Portefeuille_MNT_PPS_Access27[Numéro projet],Portefeuille_MNT_PPS_Access27[Critère Etat Infrastructure])</f>
        <v>#REF!</v>
      </c>
      <c r="AF80" s="12" t="e">
        <f>IF(#REF!=5,100, SUM(IF(#REF!="",#REF!*$AE$8/5,#REF!*$AE$8/5),#REF!* $AE$10/5,#REF!* $AE$9/5,#REF!* $AE$7/5)*100)</f>
        <v>#REF!</v>
      </c>
      <c r="AG80" s="221"/>
      <c r="AH80">
        <v>1027</v>
      </c>
      <c r="AI80">
        <v>41</v>
      </c>
      <c r="AJ80">
        <v>907</v>
      </c>
      <c r="AK80">
        <v>5500</v>
      </c>
      <c r="AL80">
        <v>99</v>
      </c>
      <c r="AM80">
        <v>370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7944</v>
      </c>
      <c r="BI80">
        <v>469</v>
      </c>
      <c r="BJ80">
        <v>469</v>
      </c>
      <c r="DL80"/>
    </row>
    <row r="81" spans="1:116" hidden="1" x14ac:dyDescent="0.3">
      <c r="A81" t="s">
        <v>286</v>
      </c>
      <c r="B81" t="s">
        <v>664</v>
      </c>
      <c r="C81" t="s">
        <v>733</v>
      </c>
      <c r="D81" t="s">
        <v>101</v>
      </c>
      <c r="E81" t="s">
        <v>102</v>
      </c>
      <c r="F81" t="s">
        <v>103</v>
      </c>
      <c r="G81" t="s">
        <v>104</v>
      </c>
      <c r="H81" t="s">
        <v>16</v>
      </c>
      <c r="I81" t="s">
        <v>16</v>
      </c>
      <c r="J81" t="s">
        <v>105</v>
      </c>
      <c r="K81" t="s">
        <v>106</v>
      </c>
      <c r="L81" t="s">
        <v>107</v>
      </c>
      <c r="M81" t="s">
        <v>108</v>
      </c>
      <c r="N81">
        <v>2026</v>
      </c>
      <c r="O81" t="s">
        <v>123</v>
      </c>
      <c r="P81" s="1"/>
      <c r="Q81" s="1">
        <v>45014</v>
      </c>
      <c r="R81" s="1">
        <v>45799</v>
      </c>
      <c r="S81" s="1">
        <v>46006</v>
      </c>
      <c r="T81" s="1" t="e">
        <f xml:space="preserve"> IF(#REF! = "", "X",IF(#REF! &lt;= DATE(#REF!- 3, 12, 15),"5.Respect OPC",IF(#REF! &lt;= DATE(#REF!-2, 4, 1),"3.À risque","1.Très à risque")))</f>
        <v>#REF!</v>
      </c>
      <c r="U81" s="1" t="e">
        <f xml:space="preserve"> IF(#REF! = "", "X",IF(#REF! &lt;= DATE(#REF!- 2, 12, 15),"5.Respect OPC",IF(#REF! &lt;= DATE(#REF!-1, 4, 1),"3.À risque","1.Très à risque")))</f>
        <v>#REF!</v>
      </c>
      <c r="V81" s="1" t="e">
        <f xml:space="preserve"> IF(#REF! = "", "X",IF(#REF! &lt;= DATE(#REF!- 1, 12, 15),"5.Respect OPC",IF(#REF! &lt;= DATE(#REF!, 4, 1),"3.À risque","1.Très à risque")))</f>
        <v>#REF!</v>
      </c>
      <c r="W81" s="1" t="e">
        <f xml:space="preserve"> (YEAR(#REF!) - YEAR(#REF!)) * 12 + MONTH(#REF!) - MONTH(#REF!)</f>
        <v>#REF!</v>
      </c>
      <c r="X81" s="1" t="e">
        <f xml:space="preserve"> (YEAR(#REF!) - YEAR(#REF!)) * 12 + MONTH(#REF!) - MONTH(#REF!)</f>
        <v>#REF!</v>
      </c>
      <c r="Y81" s="1" t="e">
        <f>#REF!+#REF!</f>
        <v>#REF!</v>
      </c>
      <c r="Z81">
        <v>5</v>
      </c>
      <c r="AA81">
        <v>5</v>
      </c>
      <c r="AC81" t="s">
        <v>125</v>
      </c>
      <c r="AD81">
        <v>4</v>
      </c>
      <c r="AE81" s="2" t="e">
        <f>_xlfn.XLOOKUP(#REF!,Portefeuille_MNT_PPS_Access27[Numéro projet],Portefeuille_MNT_PPS_Access27[Critère Etat Infrastructure])</f>
        <v>#REF!</v>
      </c>
      <c r="AF81" s="12" t="e">
        <f>IF(#REF!=5,100, SUM(IF(#REF!="",#REF!*$AE$8/5,#REF!*$AE$8/5),#REF!* $AE$10/5,#REF!* $AE$9/5,#REF!* $AE$7/5)*100)</f>
        <v>#REF!</v>
      </c>
      <c r="AG81" s="221"/>
      <c r="AH81">
        <v>578</v>
      </c>
      <c r="AI81">
        <v>0</v>
      </c>
      <c r="AJ81">
        <v>318</v>
      </c>
      <c r="AK81">
        <v>12253</v>
      </c>
      <c r="AL81">
        <v>294</v>
      </c>
      <c r="AM81">
        <v>4254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17697</v>
      </c>
      <c r="BI81">
        <v>4548</v>
      </c>
      <c r="BJ81">
        <v>4548</v>
      </c>
      <c r="DL81"/>
    </row>
    <row r="82" spans="1:116" hidden="1" x14ac:dyDescent="0.3">
      <c r="A82" t="s">
        <v>286</v>
      </c>
      <c r="B82" t="s">
        <v>663</v>
      </c>
      <c r="C82" t="s">
        <v>165</v>
      </c>
      <c r="D82" t="s">
        <v>101</v>
      </c>
      <c r="E82" t="s">
        <v>102</v>
      </c>
      <c r="F82" t="s">
        <v>136</v>
      </c>
      <c r="G82" t="s">
        <v>140</v>
      </c>
      <c r="H82" t="s">
        <v>16</v>
      </c>
      <c r="I82" t="s">
        <v>20</v>
      </c>
      <c r="J82" t="s">
        <v>131</v>
      </c>
      <c r="K82" t="s">
        <v>181</v>
      </c>
      <c r="L82" t="s">
        <v>296</v>
      </c>
      <c r="M82" t="s">
        <v>183</v>
      </c>
      <c r="N82">
        <v>2027</v>
      </c>
      <c r="O82" t="s">
        <v>110</v>
      </c>
      <c r="P82" s="1"/>
      <c r="Q82" s="1">
        <v>45590</v>
      </c>
      <c r="R82" s="1">
        <v>46157</v>
      </c>
      <c r="S82" s="1">
        <v>46157</v>
      </c>
      <c r="T82" s="1" t="e">
        <f xml:space="preserve"> IF(#REF! = "", "X",IF(#REF! &lt;= DATE(#REF!- 3, 12, 15),"5.Respect OPC",IF(#REF! &lt;= DATE(#REF!-2, 4, 1),"3.À risque","1.Très à risque")))</f>
        <v>#REF!</v>
      </c>
      <c r="U82" s="1" t="e">
        <f xml:space="preserve"> IF(#REF! = "", "X",IF(#REF! &lt;= DATE(#REF!- 2, 12, 15),"5.Respect OPC",IF(#REF! &lt;= DATE(#REF!-1, 4, 1),"3.À risque","1.Très à risque")))</f>
        <v>#REF!</v>
      </c>
      <c r="V82" s="1" t="e">
        <f xml:space="preserve"> IF(#REF! = "", "X",IF(#REF! &lt;= DATE(#REF!- 1, 12, 15),"5.Respect OPC",IF(#REF! &lt;= DATE(#REF!, 4, 1),"3.À risque","1.Très à risque")))</f>
        <v>#REF!</v>
      </c>
      <c r="W82" s="1" t="e">
        <f xml:space="preserve"> (YEAR(#REF!) - YEAR(#REF!)) * 12 + MONTH(#REF!) - MONTH(#REF!)</f>
        <v>#REF!</v>
      </c>
      <c r="X82" s="1" t="e">
        <f xml:space="preserve"> (YEAR(#REF!) - YEAR(#REF!)) * 12 + MONTH(#REF!) - MONTH(#REF!)</f>
        <v>#REF!</v>
      </c>
      <c r="Y82" s="1" t="e">
        <f>#REF!+#REF!</f>
        <v>#REF!</v>
      </c>
      <c r="Z82">
        <v>5</v>
      </c>
      <c r="AA82">
        <v>1</v>
      </c>
      <c r="AB82">
        <v>5</v>
      </c>
      <c r="AC82" t="s">
        <v>112</v>
      </c>
      <c r="AD82">
        <v>2.3333333333333335</v>
      </c>
      <c r="AE82" s="2" t="e">
        <f>_xlfn.XLOOKUP(#REF!,Portefeuille_MNT_PPS_Access27[Numéro projet],Portefeuille_MNT_PPS_Access27[Critère Etat Infrastructure])</f>
        <v>#REF!</v>
      </c>
      <c r="AF82" s="12" t="e">
        <f>IF(#REF!=5,100, SUM(IF(#REF!="",#REF!*$AE$8/5,#REF!*$AE$8/5),#REF!* $AE$10/5,#REF!* $AE$9/5,#REF!* $AE$7/5)*100)</f>
        <v>#REF!</v>
      </c>
      <c r="AG82" s="221"/>
      <c r="AH82">
        <v>99</v>
      </c>
      <c r="AI82">
        <v>0</v>
      </c>
      <c r="AJ82">
        <v>656</v>
      </c>
      <c r="AK82">
        <v>0</v>
      </c>
      <c r="AL82">
        <v>654</v>
      </c>
      <c r="AM82">
        <v>1461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2870</v>
      </c>
      <c r="BI82">
        <v>2115</v>
      </c>
      <c r="BJ82">
        <v>2115</v>
      </c>
      <c r="DL82"/>
    </row>
    <row r="83" spans="1:116" x14ac:dyDescent="0.3">
      <c r="A83" t="s">
        <v>286</v>
      </c>
      <c r="B83" t="s">
        <v>664</v>
      </c>
      <c r="C83" t="s">
        <v>112</v>
      </c>
      <c r="D83" t="s">
        <v>101</v>
      </c>
      <c r="E83" t="s">
        <v>102</v>
      </c>
      <c r="F83" t="s">
        <v>103</v>
      </c>
      <c r="G83" t="s">
        <v>129</v>
      </c>
      <c r="H83" t="s">
        <v>20</v>
      </c>
      <c r="I83" t="s">
        <v>20</v>
      </c>
      <c r="J83" t="s">
        <v>105</v>
      </c>
      <c r="K83" t="s">
        <v>400</v>
      </c>
      <c r="L83" t="s">
        <v>401</v>
      </c>
      <c r="M83" t="s">
        <v>402</v>
      </c>
      <c r="N83">
        <v>2028</v>
      </c>
      <c r="O83" t="s">
        <v>155</v>
      </c>
      <c r="P83" s="1">
        <v>45946</v>
      </c>
      <c r="Q83" s="1">
        <v>46002</v>
      </c>
      <c r="R83" s="1">
        <v>46461</v>
      </c>
      <c r="S83" s="1">
        <v>46794</v>
      </c>
      <c r="T83" s="1" t="e">
        <f xml:space="preserve"> IF(#REF! = "", "X",IF(#REF! &lt;= DATE(#REF!- 3, 12, 15),"5.Respect OPC",IF(#REF! &lt;= DATE(#REF!-2, 4, 1),"3.À risque","1.Très à risque")))</f>
        <v>#REF!</v>
      </c>
      <c r="U83" s="1" t="e">
        <f xml:space="preserve"> IF(#REF! = "", "X",IF(#REF! &lt;= DATE(#REF!- 2, 12, 15),"5.Respect OPC",IF(#REF! &lt;= DATE(#REF!-1, 4, 1),"3.À risque","1.Très à risque")))</f>
        <v>#REF!</v>
      </c>
      <c r="V83" s="1" t="e">
        <f xml:space="preserve"> IF(#REF! = "", "X",IF(#REF! &lt;= DATE(#REF!- 1, 12, 15),"5.Respect OPC",IF(#REF! &lt;= DATE(#REF!, 4, 1),"3.À risque","1.Très à risque")))</f>
        <v>#REF!</v>
      </c>
      <c r="W83" s="1" t="e">
        <f xml:space="preserve"> (YEAR(#REF!) - YEAR(#REF!)) * 12 + MONTH(#REF!) - MONTH(#REF!)</f>
        <v>#REF!</v>
      </c>
      <c r="X83" s="1" t="e">
        <f xml:space="preserve"> (YEAR(#REF!) - YEAR(#REF!)) * 12 + MONTH(#REF!) - MONTH(#REF!)</f>
        <v>#REF!</v>
      </c>
      <c r="Y83" s="1" t="e">
        <f>#REF!+#REF!</f>
        <v>#REF!</v>
      </c>
      <c r="Z83">
        <v>5</v>
      </c>
      <c r="AA83">
        <v>1</v>
      </c>
      <c r="AB83">
        <v>3</v>
      </c>
      <c r="AC83" t="s">
        <v>156</v>
      </c>
      <c r="AD83">
        <v>2.6666666666666665</v>
      </c>
      <c r="AE83" s="2" t="e">
        <f>_xlfn.XLOOKUP(#REF!,Portefeuille_MNT_PPS_Access27[Numéro projet],Portefeuille_MNT_PPS_Access27[Critère Etat Infrastructure])</f>
        <v>#REF!</v>
      </c>
      <c r="AF83" s="12" t="e">
        <f>IF(#REF!=5,100, SUM(IF(#REF!="",#REF!*$AE$8/5,#REF!*$AE$8/5),#REF!* $AE$10/5,#REF!* $AE$9/5,#REF!* $AE$7/5)*100)</f>
        <v>#REF!</v>
      </c>
      <c r="AG83" s="221"/>
      <c r="AH83">
        <v>0</v>
      </c>
      <c r="AI83">
        <v>0</v>
      </c>
      <c r="AJ83">
        <v>632</v>
      </c>
      <c r="AK83">
        <v>0</v>
      </c>
      <c r="AL83">
        <v>184</v>
      </c>
      <c r="AM83">
        <v>0</v>
      </c>
      <c r="AN83">
        <v>992</v>
      </c>
      <c r="AO83">
        <v>14702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16510</v>
      </c>
      <c r="BI83">
        <v>15878</v>
      </c>
      <c r="BJ83">
        <v>15878</v>
      </c>
      <c r="DL83"/>
    </row>
    <row r="84" spans="1:116" hidden="1" x14ac:dyDescent="0.3">
      <c r="A84" t="s">
        <v>286</v>
      </c>
      <c r="B84" t="s">
        <v>664</v>
      </c>
      <c r="C84" t="s">
        <v>738</v>
      </c>
      <c r="D84" t="s">
        <v>101</v>
      </c>
      <c r="E84" t="s">
        <v>102</v>
      </c>
      <c r="F84" t="s">
        <v>103</v>
      </c>
      <c r="G84" t="s">
        <v>149</v>
      </c>
      <c r="H84" t="s">
        <v>16</v>
      </c>
      <c r="I84" t="s">
        <v>20</v>
      </c>
      <c r="J84" t="s">
        <v>105</v>
      </c>
      <c r="K84" t="s">
        <v>237</v>
      </c>
      <c r="L84" t="s">
        <v>665</v>
      </c>
      <c r="M84" t="s">
        <v>239</v>
      </c>
      <c r="N84">
        <v>2027</v>
      </c>
      <c r="O84" t="s">
        <v>110</v>
      </c>
      <c r="P84" s="1"/>
      <c r="Q84" s="1">
        <v>45915</v>
      </c>
      <c r="R84" s="1">
        <v>46037</v>
      </c>
      <c r="S84" s="1">
        <v>46310</v>
      </c>
      <c r="T84" s="1" t="e">
        <f xml:space="preserve"> IF(#REF! = "", "X",IF(#REF! &lt;= DATE(#REF!- 3, 12, 15),"5.Respect OPC",IF(#REF! &lt;= DATE(#REF!-2, 4, 1),"3.À risque","1.Très à risque")))</f>
        <v>#REF!</v>
      </c>
      <c r="U84" s="1" t="e">
        <f xml:space="preserve"> IF(#REF! = "", "X",IF(#REF! &lt;= DATE(#REF!- 2, 12, 15),"5.Respect OPC",IF(#REF! &lt;= DATE(#REF!-1, 4, 1),"3.À risque","1.Très à risque")))</f>
        <v>#REF!</v>
      </c>
      <c r="V84" s="1" t="e">
        <f xml:space="preserve"> IF(#REF! = "", "X",IF(#REF! &lt;= DATE(#REF!- 1, 12, 15),"5.Respect OPC",IF(#REF! &lt;= DATE(#REF!, 4, 1),"3.À risque","1.Très à risque")))</f>
        <v>#REF!</v>
      </c>
      <c r="W84" s="1" t="e">
        <f xml:space="preserve"> (YEAR(#REF!) - YEAR(#REF!)) * 12 + MONTH(#REF!) - MONTH(#REF!)</f>
        <v>#REF!</v>
      </c>
      <c r="X84" s="1" t="e">
        <f xml:space="preserve"> (YEAR(#REF!) - YEAR(#REF!)) * 12 + MONTH(#REF!) - MONTH(#REF!)</f>
        <v>#REF!</v>
      </c>
      <c r="Y84" s="1" t="e">
        <f>#REF!+#REF!</f>
        <v>#REF!</v>
      </c>
      <c r="Z84">
        <v>5</v>
      </c>
      <c r="AA84">
        <v>1</v>
      </c>
      <c r="AB84">
        <v>5</v>
      </c>
      <c r="AC84" t="s">
        <v>112</v>
      </c>
      <c r="AD84">
        <v>3.3333333333333335</v>
      </c>
      <c r="AE84" s="2" t="e">
        <f>_xlfn.XLOOKUP(#REF!,Portefeuille_MNT_PPS_Access27[Numéro projet],Portefeuille_MNT_PPS_Access27[Critère Etat Infrastructure])</f>
        <v>#REF!</v>
      </c>
      <c r="AF84" s="12" t="e">
        <f>IF(#REF!=5,100, SUM(IF(#REF!="",#REF!*$AE$8/5,#REF!*$AE$8/5),#REF!* $AE$10/5,#REF!* $AE$9/5,#REF!* $AE$7/5)*100)</f>
        <v>#REF!</v>
      </c>
      <c r="AG84" s="221"/>
      <c r="AH84">
        <v>25</v>
      </c>
      <c r="AI84">
        <v>0</v>
      </c>
      <c r="AJ84">
        <v>26</v>
      </c>
      <c r="AK84">
        <v>0</v>
      </c>
      <c r="AL84">
        <v>723</v>
      </c>
      <c r="AM84">
        <v>10494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11268</v>
      </c>
      <c r="BI84">
        <v>11217</v>
      </c>
      <c r="BJ84">
        <v>11217</v>
      </c>
      <c r="DL84"/>
    </row>
    <row r="85" spans="1:116" hidden="1" x14ac:dyDescent="0.3">
      <c r="A85" t="s">
        <v>286</v>
      </c>
      <c r="B85" t="s">
        <v>664</v>
      </c>
      <c r="C85" t="s">
        <v>733</v>
      </c>
      <c r="D85" t="s">
        <v>101</v>
      </c>
      <c r="E85" t="s">
        <v>102</v>
      </c>
      <c r="F85" t="s">
        <v>103</v>
      </c>
      <c r="G85" t="s">
        <v>104</v>
      </c>
      <c r="H85" t="s">
        <v>20</v>
      </c>
      <c r="I85" t="s">
        <v>20</v>
      </c>
      <c r="J85" t="s">
        <v>105</v>
      </c>
      <c r="K85" t="s">
        <v>398</v>
      </c>
      <c r="L85" t="s">
        <v>541</v>
      </c>
      <c r="M85" t="s">
        <v>172</v>
      </c>
      <c r="N85">
        <v>2030</v>
      </c>
      <c r="O85" t="s">
        <v>291</v>
      </c>
      <c r="P85" s="1"/>
      <c r="Q85" s="1"/>
      <c r="R85" s="1"/>
      <c r="S85" s="1"/>
      <c r="T85" s="1" t="e">
        <f xml:space="preserve"> IF(#REF! = "", "X",IF(#REF! &lt;= DATE(#REF!- 3, 12, 15),"5.Respect OPC",IF(#REF! &lt;= DATE(#REF!-2, 4, 1),"3.À risque","1.Très à risque")))</f>
        <v>#REF!</v>
      </c>
      <c r="U85" s="1" t="e">
        <f xml:space="preserve"> IF(#REF! = "", "X",IF(#REF! &lt;= DATE(#REF!- 2, 12, 15),"5.Respect OPC",IF(#REF! &lt;= DATE(#REF!-1, 4, 1),"3.À risque","1.Très à risque")))</f>
        <v>#REF!</v>
      </c>
      <c r="V85" s="1" t="e">
        <f xml:space="preserve"> IF(#REF! = "", "X",IF(#REF! &lt;= DATE(#REF!- 1, 12, 15),"5.Respect OPC",IF(#REF! &lt;= DATE(#REF!, 4, 1),"3.À risque","1.Très à risque")))</f>
        <v>#REF!</v>
      </c>
      <c r="W85" s="1" t="e">
        <f xml:space="preserve"> (YEAR(#REF!) - YEAR(#REF!)) * 12 + MONTH(#REF!) - MONTH(#REF!)</f>
        <v>#REF!</v>
      </c>
      <c r="X85" s="1" t="e">
        <f xml:space="preserve"> (YEAR(#REF!) - YEAR(#REF!)) * 12 + MONTH(#REF!) - MONTH(#REF!)</f>
        <v>#REF!</v>
      </c>
      <c r="Y85" s="1" t="e">
        <f>#REF!+#REF!</f>
        <v>#REF!</v>
      </c>
      <c r="Z85">
        <v>5</v>
      </c>
      <c r="AA85">
        <v>1</v>
      </c>
      <c r="AC85" t="s">
        <v>311</v>
      </c>
      <c r="AD85">
        <v>3.6666666666666665</v>
      </c>
      <c r="AE85" s="2" t="e">
        <f>_xlfn.XLOOKUP(#REF!,Portefeuille_MNT_PPS_Access27[Numéro projet],Portefeuille_MNT_PPS_Access27[Critère Etat Infrastructure])</f>
        <v>#REF!</v>
      </c>
      <c r="AF85" s="12" t="e">
        <f>IF(#REF!=5,100, SUM(IF(#REF!="",#REF!*$AE$8/5,#REF!*$AE$8/5),#REF!* $AE$10/5,#REF!* $AE$9/5,#REF!* $AE$7/5)*100)</f>
        <v>#REF!</v>
      </c>
      <c r="AG85" s="221"/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100</v>
      </c>
      <c r="AO85">
        <v>0</v>
      </c>
      <c r="AP85">
        <v>100</v>
      </c>
      <c r="AQ85">
        <v>0</v>
      </c>
      <c r="AR85">
        <v>700</v>
      </c>
      <c r="AS85">
        <v>15000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15900</v>
      </c>
      <c r="BI85">
        <v>15900</v>
      </c>
      <c r="BJ85">
        <v>15900</v>
      </c>
      <c r="DL85"/>
    </row>
    <row r="86" spans="1:116" hidden="1" x14ac:dyDescent="0.3">
      <c r="A86" t="s">
        <v>286</v>
      </c>
      <c r="B86" t="s">
        <v>664</v>
      </c>
      <c r="C86" t="s">
        <v>734</v>
      </c>
      <c r="D86" t="s">
        <v>101</v>
      </c>
      <c r="E86" t="s">
        <v>102</v>
      </c>
      <c r="F86" t="s">
        <v>103</v>
      </c>
      <c r="G86" t="s">
        <v>149</v>
      </c>
      <c r="H86" t="s">
        <v>16</v>
      </c>
      <c r="I86" t="s">
        <v>20</v>
      </c>
      <c r="J86" t="s">
        <v>105</v>
      </c>
      <c r="K86" t="s">
        <v>235</v>
      </c>
      <c r="L86" t="s">
        <v>510</v>
      </c>
      <c r="M86" t="s">
        <v>205</v>
      </c>
      <c r="N86">
        <v>2027</v>
      </c>
      <c r="O86" t="s">
        <v>110</v>
      </c>
      <c r="P86" s="1"/>
      <c r="Q86" s="1">
        <v>45706</v>
      </c>
      <c r="R86" s="1">
        <v>46055</v>
      </c>
      <c r="S86" s="1">
        <v>46273</v>
      </c>
      <c r="T86" s="1" t="e">
        <f xml:space="preserve"> IF(#REF! = "", "X",IF(#REF! &lt;= DATE(#REF!- 3, 12, 15),"5.Respect OPC",IF(#REF! &lt;= DATE(#REF!-2, 4, 1),"3.À risque","1.Très à risque")))</f>
        <v>#REF!</v>
      </c>
      <c r="U86" s="1" t="e">
        <f xml:space="preserve"> IF(#REF! = "", "X",IF(#REF! &lt;= DATE(#REF!- 2, 12, 15),"5.Respect OPC",IF(#REF! &lt;= DATE(#REF!-1, 4, 1),"3.À risque","1.Très à risque")))</f>
        <v>#REF!</v>
      </c>
      <c r="V86" s="1" t="e">
        <f xml:space="preserve"> IF(#REF! = "", "X",IF(#REF! &lt;= DATE(#REF!- 1, 12, 15),"5.Respect OPC",IF(#REF! &lt;= DATE(#REF!, 4, 1),"3.À risque","1.Très à risque")))</f>
        <v>#REF!</v>
      </c>
      <c r="W86" s="1" t="e">
        <f xml:space="preserve"> (YEAR(#REF!) - YEAR(#REF!)) * 12 + MONTH(#REF!) - MONTH(#REF!)</f>
        <v>#REF!</v>
      </c>
      <c r="X86" s="1" t="e">
        <f xml:space="preserve"> (YEAR(#REF!) - YEAR(#REF!)) * 12 + MONTH(#REF!) - MONTH(#REF!)</f>
        <v>#REF!</v>
      </c>
      <c r="Y86" s="1" t="e">
        <f>#REF!+#REF!</f>
        <v>#REF!</v>
      </c>
      <c r="Z86">
        <v>5</v>
      </c>
      <c r="AA86">
        <v>1</v>
      </c>
      <c r="AB86">
        <v>5</v>
      </c>
      <c r="AC86" t="s">
        <v>112</v>
      </c>
      <c r="AD86">
        <v>3</v>
      </c>
      <c r="AE86" s="2" t="e">
        <f>_xlfn.XLOOKUP(#REF!,Portefeuille_MNT_PPS_Access27[Numéro projet],Portefeuille_MNT_PPS_Access27[Critère Etat Infrastructure])</f>
        <v>#REF!</v>
      </c>
      <c r="AF86" s="12" t="e">
        <f>IF(#REF!=5,100, SUM(IF(#REF!="",#REF!*$AE$8/5,#REF!*$AE$8/5),#REF!* $AE$10/5,#REF!* $AE$9/5,#REF!* $AE$7/5)*100)</f>
        <v>#REF!</v>
      </c>
      <c r="AG86" s="221"/>
      <c r="AH86">
        <v>102</v>
      </c>
      <c r="AI86">
        <v>0</v>
      </c>
      <c r="AJ86">
        <v>200</v>
      </c>
      <c r="AK86">
        <v>0</v>
      </c>
      <c r="AL86">
        <v>958</v>
      </c>
      <c r="AM86">
        <v>13608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14868</v>
      </c>
      <c r="BI86">
        <v>14566</v>
      </c>
      <c r="BJ86">
        <v>14566</v>
      </c>
      <c r="DL86"/>
    </row>
    <row r="87" spans="1:116" hidden="1" x14ac:dyDescent="0.3">
      <c r="A87" t="s">
        <v>286</v>
      </c>
      <c r="B87" t="s">
        <v>295</v>
      </c>
      <c r="C87" t="s">
        <v>733</v>
      </c>
      <c r="D87" t="s">
        <v>126</v>
      </c>
      <c r="E87" t="s">
        <v>127</v>
      </c>
      <c r="F87" t="s">
        <v>103</v>
      </c>
      <c r="G87" t="s">
        <v>149</v>
      </c>
      <c r="H87" t="s">
        <v>16</v>
      </c>
      <c r="I87" t="s">
        <v>20</v>
      </c>
      <c r="J87" t="s">
        <v>131</v>
      </c>
      <c r="K87" t="s">
        <v>233</v>
      </c>
      <c r="L87" t="s">
        <v>542</v>
      </c>
      <c r="M87" t="s">
        <v>152</v>
      </c>
      <c r="N87">
        <v>2029</v>
      </c>
      <c r="O87" t="s">
        <v>155</v>
      </c>
      <c r="P87" s="1"/>
      <c r="Q87" s="1">
        <v>46127</v>
      </c>
      <c r="R87" s="1">
        <v>46553</v>
      </c>
      <c r="S87" s="1">
        <v>46980</v>
      </c>
      <c r="T87" s="1" t="e">
        <f xml:space="preserve"> IF(#REF! = "", "X",IF(#REF! &lt;= DATE(#REF!- 3, 12, 15),"5.Respect OPC",IF(#REF! &lt;= DATE(#REF!-2, 4, 1),"3.À risque","1.Très à risque")))</f>
        <v>#REF!</v>
      </c>
      <c r="U87" s="1" t="e">
        <f xml:space="preserve"> IF(#REF! = "", "X",IF(#REF! &lt;= DATE(#REF!- 2, 12, 15),"5.Respect OPC",IF(#REF! &lt;= DATE(#REF!-1, 4, 1),"3.À risque","1.Très à risque")))</f>
        <v>#REF!</v>
      </c>
      <c r="V87" s="1" t="e">
        <f xml:space="preserve"> IF(#REF! = "", "X",IF(#REF! &lt;= DATE(#REF!- 1, 12, 15),"5.Respect OPC",IF(#REF! &lt;= DATE(#REF!, 4, 1),"3.À risque","1.Très à risque")))</f>
        <v>#REF!</v>
      </c>
      <c r="W87" s="1" t="e">
        <f xml:space="preserve"> (YEAR(#REF!) - YEAR(#REF!)) * 12 + MONTH(#REF!) - MONTH(#REF!)</f>
        <v>#REF!</v>
      </c>
      <c r="X87" s="1" t="e">
        <f xml:space="preserve"> (YEAR(#REF!) - YEAR(#REF!)) * 12 + MONTH(#REF!) - MONTH(#REF!)</f>
        <v>#REF!</v>
      </c>
      <c r="Y87" s="1" t="e">
        <f>#REF!+#REF!</f>
        <v>#REF!</v>
      </c>
      <c r="Z87">
        <v>5</v>
      </c>
      <c r="AA87">
        <v>1</v>
      </c>
      <c r="AB87">
        <v>5</v>
      </c>
      <c r="AC87" t="s">
        <v>156</v>
      </c>
      <c r="AD87">
        <v>3.3333333333333335</v>
      </c>
      <c r="AE87" s="2" t="e">
        <f>_xlfn.XLOOKUP(#REF!,Portefeuille_MNT_PPS_Access27[Numéro projet],Portefeuille_MNT_PPS_Access27[Critère Etat Infrastructure])</f>
        <v>#REF!</v>
      </c>
      <c r="AF87" s="12" t="e">
        <f>IF(#REF!=5,100, SUM(IF(#REF!="",#REF!*$AE$8/5,#REF!*$AE$8/5),#REF!* $AE$10/5,#REF!* $AE$9/5,#REF!* $AE$7/5)*100)</f>
        <v>#REF!</v>
      </c>
      <c r="AG87" s="221"/>
      <c r="AH87">
        <v>0</v>
      </c>
      <c r="AI87">
        <v>0</v>
      </c>
      <c r="AJ87">
        <v>100</v>
      </c>
      <c r="AK87">
        <v>0</v>
      </c>
      <c r="AL87">
        <v>167</v>
      </c>
      <c r="AM87">
        <v>0</v>
      </c>
      <c r="AN87">
        <v>100</v>
      </c>
      <c r="AO87">
        <v>0</v>
      </c>
      <c r="AP87">
        <v>588</v>
      </c>
      <c r="AQ87">
        <v>7500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8455</v>
      </c>
      <c r="BI87">
        <v>8355</v>
      </c>
      <c r="BJ87">
        <v>8355</v>
      </c>
      <c r="DL87"/>
    </row>
    <row r="88" spans="1:116" hidden="1" x14ac:dyDescent="0.3">
      <c r="A88" t="s">
        <v>286</v>
      </c>
      <c r="B88" t="s">
        <v>295</v>
      </c>
      <c r="C88" t="s">
        <v>156</v>
      </c>
      <c r="D88" t="s">
        <v>126</v>
      </c>
      <c r="E88" t="s">
        <v>127</v>
      </c>
      <c r="F88" t="s">
        <v>136</v>
      </c>
      <c r="G88" t="s">
        <v>144</v>
      </c>
      <c r="H88" t="s">
        <v>16</v>
      </c>
      <c r="I88" t="s">
        <v>20</v>
      </c>
      <c r="J88" t="s">
        <v>131</v>
      </c>
      <c r="K88" t="s">
        <v>231</v>
      </c>
      <c r="L88" t="s">
        <v>232</v>
      </c>
      <c r="M88" t="s">
        <v>147</v>
      </c>
      <c r="N88">
        <v>2027</v>
      </c>
      <c r="O88" t="s">
        <v>110</v>
      </c>
      <c r="P88" s="1"/>
      <c r="Q88" s="1">
        <v>45099</v>
      </c>
      <c r="R88" s="1">
        <v>46037</v>
      </c>
      <c r="S88" s="1">
        <v>46283</v>
      </c>
      <c r="T88" s="1" t="e">
        <f xml:space="preserve"> IF(#REF! = "", "X",IF(#REF! &lt;= DATE(#REF!- 3, 12, 15),"5.Respect OPC",IF(#REF! &lt;= DATE(#REF!-2, 4, 1),"3.À risque","1.Très à risque")))</f>
        <v>#REF!</v>
      </c>
      <c r="U88" s="1" t="e">
        <f xml:space="preserve"> IF(#REF! = "", "X",IF(#REF! &lt;= DATE(#REF!- 2, 12, 15),"5.Respect OPC",IF(#REF! &lt;= DATE(#REF!-1, 4, 1),"3.À risque","1.Très à risque")))</f>
        <v>#REF!</v>
      </c>
      <c r="V88" s="1" t="e">
        <f xml:space="preserve"> IF(#REF! = "", "X",IF(#REF! &lt;= DATE(#REF!- 1, 12, 15),"5.Respect OPC",IF(#REF! &lt;= DATE(#REF!, 4, 1),"3.À risque","1.Très à risque")))</f>
        <v>#REF!</v>
      </c>
      <c r="W88" s="1" t="e">
        <f xml:space="preserve"> (YEAR(#REF!) - YEAR(#REF!)) * 12 + MONTH(#REF!) - MONTH(#REF!)</f>
        <v>#REF!</v>
      </c>
      <c r="X88" s="1" t="e">
        <f xml:space="preserve"> (YEAR(#REF!) - YEAR(#REF!)) * 12 + MONTH(#REF!) - MONTH(#REF!)</f>
        <v>#REF!</v>
      </c>
      <c r="Y88" s="1" t="e">
        <f>#REF!+#REF!</f>
        <v>#REF!</v>
      </c>
      <c r="Z88">
        <v>5</v>
      </c>
      <c r="AA88">
        <v>1</v>
      </c>
      <c r="AB88">
        <v>5</v>
      </c>
      <c r="AC88" t="s">
        <v>112</v>
      </c>
      <c r="AD88">
        <v>2.6666666666666665</v>
      </c>
      <c r="AE88" s="2" t="e">
        <f>_xlfn.XLOOKUP(#REF!,Portefeuille_MNT_PPS_Access27[Numéro projet],Portefeuille_MNT_PPS_Access27[Critère Etat Infrastructure])</f>
        <v>#REF!</v>
      </c>
      <c r="AF88" s="12" t="e">
        <f>IF(#REF!=5,100, SUM(IF(#REF!="",#REF!*$AE$8/5,#REF!*$AE$8/5),#REF!* $AE$10/5,#REF!* $AE$9/5,#REF!* $AE$7/5)*100)</f>
        <v>#REF!</v>
      </c>
      <c r="AG88" s="221"/>
      <c r="AH88">
        <v>661</v>
      </c>
      <c r="AI88">
        <v>0</v>
      </c>
      <c r="AJ88">
        <v>457</v>
      </c>
      <c r="AK88">
        <v>0</v>
      </c>
      <c r="AL88">
        <v>987</v>
      </c>
      <c r="AM88">
        <v>9725</v>
      </c>
      <c r="AN88">
        <v>1927</v>
      </c>
      <c r="AO88">
        <v>3427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17184</v>
      </c>
      <c r="BI88">
        <v>16066</v>
      </c>
      <c r="BJ88">
        <v>16066</v>
      </c>
      <c r="DL88"/>
    </row>
    <row r="89" spans="1:116" hidden="1" x14ac:dyDescent="0.3">
      <c r="A89" t="s">
        <v>286</v>
      </c>
      <c r="B89" t="s">
        <v>295</v>
      </c>
      <c r="C89" t="s">
        <v>733</v>
      </c>
      <c r="D89" t="s">
        <v>101</v>
      </c>
      <c r="E89" t="s">
        <v>127</v>
      </c>
      <c r="F89" t="s">
        <v>103</v>
      </c>
      <c r="G89" t="s">
        <v>144</v>
      </c>
      <c r="H89" t="s">
        <v>16</v>
      </c>
      <c r="I89" t="s">
        <v>16</v>
      </c>
      <c r="J89" t="s">
        <v>131</v>
      </c>
      <c r="K89" t="s">
        <v>145</v>
      </c>
      <c r="L89" t="s">
        <v>720</v>
      </c>
      <c r="M89" t="s">
        <v>147</v>
      </c>
      <c r="N89">
        <v>2028</v>
      </c>
      <c r="O89" t="s">
        <v>110</v>
      </c>
      <c r="P89" s="1"/>
      <c r="Q89" s="1">
        <v>44609</v>
      </c>
      <c r="R89" s="1">
        <v>45996</v>
      </c>
      <c r="S89" s="1">
        <v>46310</v>
      </c>
      <c r="T89" s="1" t="e">
        <f xml:space="preserve"> IF(#REF! = "", "X",IF(#REF! &lt;= DATE(#REF!- 3, 12, 15),"5.Respect OPC",IF(#REF! &lt;= DATE(#REF!-2, 4, 1),"3.À risque","1.Très à risque")))</f>
        <v>#REF!</v>
      </c>
      <c r="U89" s="1" t="e">
        <f xml:space="preserve"> IF(#REF! = "", "X",IF(#REF! &lt;= DATE(#REF!- 2, 12, 15),"5.Respect OPC",IF(#REF! &lt;= DATE(#REF!-1, 4, 1),"3.À risque","1.Très à risque")))</f>
        <v>#REF!</v>
      </c>
      <c r="V89" s="1" t="e">
        <f xml:space="preserve"> IF(#REF! = "", "X",IF(#REF! &lt;= DATE(#REF!- 1, 12, 15),"5.Respect OPC",IF(#REF! &lt;= DATE(#REF!, 4, 1),"3.À risque","1.Très à risque")))</f>
        <v>#REF!</v>
      </c>
      <c r="W89" s="1" t="e">
        <f xml:space="preserve"> (YEAR(#REF!) - YEAR(#REF!)) * 12 + MONTH(#REF!) - MONTH(#REF!)</f>
        <v>#REF!</v>
      </c>
      <c r="X89" s="1" t="e">
        <f xml:space="preserve"> (YEAR(#REF!) - YEAR(#REF!)) * 12 + MONTH(#REF!) - MONTH(#REF!)</f>
        <v>#REF!</v>
      </c>
      <c r="Y89" s="1" t="e">
        <f>#REF!+#REF!</f>
        <v>#REF!</v>
      </c>
      <c r="Z89">
        <v>5</v>
      </c>
      <c r="AA89">
        <v>1</v>
      </c>
      <c r="AB89">
        <v>5</v>
      </c>
      <c r="AC89" t="s">
        <v>112</v>
      </c>
      <c r="AD89">
        <v>2.6666666666666665</v>
      </c>
      <c r="AE89" s="2" t="e">
        <f>_xlfn.XLOOKUP(#REF!,Portefeuille_MNT_PPS_Access27[Numéro projet],Portefeuille_MNT_PPS_Access27[Critère Etat Infrastructure])</f>
        <v>#REF!</v>
      </c>
      <c r="AF89" s="12" t="e">
        <f>IF(#REF!=5,100, SUM(IF(#REF!="",#REF!*$AE$8/5,#REF!*$AE$8/5),#REF!* $AE$10/5,#REF!* $AE$9/5,#REF!* $AE$7/5)*100)</f>
        <v>#REF!</v>
      </c>
      <c r="AG89" s="221"/>
      <c r="AH89">
        <v>396</v>
      </c>
      <c r="AI89">
        <v>0</v>
      </c>
      <c r="AJ89">
        <v>125</v>
      </c>
      <c r="AK89">
        <v>0</v>
      </c>
      <c r="AL89">
        <v>102</v>
      </c>
      <c r="AM89">
        <v>0</v>
      </c>
      <c r="AN89">
        <v>100</v>
      </c>
      <c r="AO89">
        <v>9684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10407</v>
      </c>
      <c r="BI89">
        <v>9886</v>
      </c>
      <c r="BJ89">
        <v>9886</v>
      </c>
      <c r="DL89"/>
    </row>
    <row r="90" spans="1:116" hidden="1" x14ac:dyDescent="0.3">
      <c r="A90" t="s">
        <v>286</v>
      </c>
      <c r="B90" t="s">
        <v>663</v>
      </c>
      <c r="C90" t="s">
        <v>733</v>
      </c>
      <c r="D90" t="s">
        <v>101</v>
      </c>
      <c r="E90" t="s">
        <v>102</v>
      </c>
      <c r="F90" t="s">
        <v>136</v>
      </c>
      <c r="G90" t="s">
        <v>113</v>
      </c>
      <c r="H90" t="s">
        <v>16</v>
      </c>
      <c r="I90" t="s">
        <v>20</v>
      </c>
      <c r="J90" t="s">
        <v>131</v>
      </c>
      <c r="K90" t="s">
        <v>185</v>
      </c>
      <c r="L90" t="s">
        <v>186</v>
      </c>
      <c r="M90" t="s">
        <v>187</v>
      </c>
      <c r="N90">
        <v>2028</v>
      </c>
      <c r="O90" t="s">
        <v>110</v>
      </c>
      <c r="P90" s="1"/>
      <c r="Q90" s="1">
        <v>44823</v>
      </c>
      <c r="R90" s="1">
        <v>46310</v>
      </c>
      <c r="S90" s="1">
        <v>46521</v>
      </c>
      <c r="T90" s="1" t="e">
        <f xml:space="preserve"> IF(#REF! = "", "X",IF(#REF! &lt;= DATE(#REF!- 3, 12, 15),"5.Respect OPC",IF(#REF! &lt;= DATE(#REF!-2, 4, 1),"3.À risque","1.Très à risque")))</f>
        <v>#REF!</v>
      </c>
      <c r="U90" s="1" t="e">
        <f xml:space="preserve"> IF(#REF! = "", "X",IF(#REF! &lt;= DATE(#REF!- 2, 12, 15),"5.Respect OPC",IF(#REF! &lt;= DATE(#REF!-1, 4, 1),"3.À risque","1.Très à risque")))</f>
        <v>#REF!</v>
      </c>
      <c r="V90" s="1" t="e">
        <f xml:space="preserve"> IF(#REF! = "", "X",IF(#REF! &lt;= DATE(#REF!- 1, 12, 15),"5.Respect OPC",IF(#REF! &lt;= DATE(#REF!, 4, 1),"3.À risque","1.Très à risque")))</f>
        <v>#REF!</v>
      </c>
      <c r="W90" s="1" t="e">
        <f xml:space="preserve"> (YEAR(#REF!) - YEAR(#REF!)) * 12 + MONTH(#REF!) - MONTH(#REF!)</f>
        <v>#REF!</v>
      </c>
      <c r="X90" s="1" t="e">
        <f xml:space="preserve"> (YEAR(#REF!) - YEAR(#REF!)) * 12 + MONTH(#REF!) - MONTH(#REF!)</f>
        <v>#REF!</v>
      </c>
      <c r="Y90" s="1" t="e">
        <f>#REF!+#REF!</f>
        <v>#REF!</v>
      </c>
      <c r="Z90">
        <v>5</v>
      </c>
      <c r="AA90">
        <v>1</v>
      </c>
      <c r="AB90">
        <v>5</v>
      </c>
      <c r="AC90" t="s">
        <v>112</v>
      </c>
      <c r="AD90">
        <v>3</v>
      </c>
      <c r="AE90" s="2" t="e">
        <f>_xlfn.XLOOKUP(#REF!,Portefeuille_MNT_PPS_Access27[Numéro projet],Portefeuille_MNT_PPS_Access27[Critère Etat Infrastructure])</f>
        <v>#REF!</v>
      </c>
      <c r="AF90" s="12" t="e">
        <f>IF(#REF!=5,100, SUM(IF(#REF!="",#REF!*$AE$8/5,#REF!*$AE$8/5),#REF!* $AE$10/5,#REF!* $AE$9/5,#REF!* $AE$7/5)*100)</f>
        <v>#REF!</v>
      </c>
      <c r="AG90" s="221"/>
      <c r="AH90">
        <v>881</v>
      </c>
      <c r="AI90">
        <v>0</v>
      </c>
      <c r="AJ90">
        <v>835</v>
      </c>
      <c r="AK90">
        <v>0</v>
      </c>
      <c r="AL90">
        <v>657</v>
      </c>
      <c r="AM90">
        <v>0</v>
      </c>
      <c r="AN90">
        <v>212</v>
      </c>
      <c r="AO90">
        <v>5369</v>
      </c>
      <c r="AP90">
        <v>289</v>
      </c>
      <c r="AQ90">
        <v>10806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19049</v>
      </c>
      <c r="BI90">
        <v>17333</v>
      </c>
      <c r="BJ90">
        <v>17333</v>
      </c>
      <c r="DL90"/>
    </row>
    <row r="91" spans="1:116" hidden="1" x14ac:dyDescent="0.3">
      <c r="A91" t="s">
        <v>286</v>
      </c>
      <c r="B91" t="s">
        <v>295</v>
      </c>
      <c r="C91" t="s">
        <v>733</v>
      </c>
      <c r="D91" t="s">
        <v>126</v>
      </c>
      <c r="E91" t="s">
        <v>127</v>
      </c>
      <c r="F91" t="s">
        <v>136</v>
      </c>
      <c r="G91" t="s">
        <v>113</v>
      </c>
      <c r="H91" t="s">
        <v>16</v>
      </c>
      <c r="I91" t="s">
        <v>20</v>
      </c>
      <c r="J91" t="s">
        <v>131</v>
      </c>
      <c r="K91" t="s">
        <v>226</v>
      </c>
      <c r="L91" t="s">
        <v>227</v>
      </c>
      <c r="M91" t="s">
        <v>139</v>
      </c>
      <c r="N91">
        <v>2031</v>
      </c>
      <c r="O91" t="s">
        <v>110</v>
      </c>
      <c r="P91" s="1"/>
      <c r="Q91" s="1">
        <v>45330</v>
      </c>
      <c r="R91" s="1">
        <v>46690</v>
      </c>
      <c r="S91" s="1">
        <v>47376</v>
      </c>
      <c r="T91" s="1" t="e">
        <f xml:space="preserve"> IF(#REF! = "", "X",IF(#REF! &lt;= DATE(#REF!- 3, 12, 15),"5.Respect OPC",IF(#REF! &lt;= DATE(#REF!-2, 4, 1),"3.À risque","1.Très à risque")))</f>
        <v>#REF!</v>
      </c>
      <c r="U91" s="1" t="e">
        <f xml:space="preserve"> IF(#REF! = "", "X",IF(#REF! &lt;= DATE(#REF!- 2, 12, 15),"5.Respect OPC",IF(#REF! &lt;= DATE(#REF!-1, 4, 1),"3.À risque","1.Très à risque")))</f>
        <v>#REF!</v>
      </c>
      <c r="V91" s="1" t="e">
        <f xml:space="preserve"> IF(#REF! = "", "X",IF(#REF! &lt;= DATE(#REF!- 1, 12, 15),"5.Respect OPC",IF(#REF! &lt;= DATE(#REF!, 4, 1),"3.À risque","1.Très à risque")))</f>
        <v>#REF!</v>
      </c>
      <c r="W91" s="1" t="e">
        <f xml:space="preserve"> (YEAR(#REF!) - YEAR(#REF!)) * 12 + MONTH(#REF!) - MONTH(#REF!)</f>
        <v>#REF!</v>
      </c>
      <c r="X91" s="1" t="e">
        <f xml:space="preserve"> (YEAR(#REF!) - YEAR(#REF!)) * 12 + MONTH(#REF!) - MONTH(#REF!)</f>
        <v>#REF!</v>
      </c>
      <c r="Y91" s="1" t="e">
        <f>#REF!+#REF!</f>
        <v>#REF!</v>
      </c>
      <c r="Z91">
        <v>5</v>
      </c>
      <c r="AA91">
        <v>1</v>
      </c>
      <c r="AC91" t="s">
        <v>112</v>
      </c>
      <c r="AD91">
        <v>2</v>
      </c>
      <c r="AE91" s="2" t="e">
        <f>_xlfn.XLOOKUP(#REF!,Portefeuille_MNT_PPS_Access27[Numéro projet],Portefeuille_MNT_PPS_Access27[Critère Etat Infrastructure])</f>
        <v>#REF!</v>
      </c>
      <c r="AF91" s="12" t="e">
        <f>IF(#REF!=5,100, SUM(IF(#REF!="",#REF!*$AE$8/5,#REF!*$AE$8/5),#REF!* $AE$10/5,#REF!* $AE$9/5,#REF!* $AE$7/5)*100)</f>
        <v>#REF!</v>
      </c>
      <c r="AG91" s="221"/>
      <c r="AH91">
        <v>179</v>
      </c>
      <c r="AI91">
        <v>0</v>
      </c>
      <c r="AJ91">
        <v>288</v>
      </c>
      <c r="AK91">
        <v>0</v>
      </c>
      <c r="AL91">
        <v>475</v>
      </c>
      <c r="AM91">
        <v>0</v>
      </c>
      <c r="AN91">
        <v>475</v>
      </c>
      <c r="AO91">
        <v>0</v>
      </c>
      <c r="AP91">
        <v>573</v>
      </c>
      <c r="AQ91">
        <v>0</v>
      </c>
      <c r="AR91">
        <v>1000</v>
      </c>
      <c r="AS91">
        <v>0</v>
      </c>
      <c r="AT91">
        <v>1087</v>
      </c>
      <c r="AU91">
        <v>17162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21239</v>
      </c>
      <c r="BI91">
        <v>20772</v>
      </c>
      <c r="BJ91">
        <v>20772</v>
      </c>
      <c r="DL91"/>
    </row>
    <row r="92" spans="1:116" hidden="1" x14ac:dyDescent="0.3">
      <c r="A92" t="s">
        <v>286</v>
      </c>
      <c r="B92" t="s">
        <v>664</v>
      </c>
      <c r="C92" t="s">
        <v>736</v>
      </c>
      <c r="D92" t="s">
        <v>101</v>
      </c>
      <c r="E92" t="s">
        <v>102</v>
      </c>
      <c r="F92" t="s">
        <v>136</v>
      </c>
      <c r="G92" t="s">
        <v>104</v>
      </c>
      <c r="H92" t="s">
        <v>130</v>
      </c>
      <c r="I92" t="s">
        <v>20</v>
      </c>
      <c r="J92" t="s">
        <v>131</v>
      </c>
      <c r="K92" t="s">
        <v>373</v>
      </c>
      <c r="L92" t="s">
        <v>374</v>
      </c>
      <c r="M92" t="s">
        <v>159</v>
      </c>
      <c r="N92">
        <v>2030</v>
      </c>
      <c r="O92" t="s">
        <v>155</v>
      </c>
      <c r="P92" s="1">
        <v>45833</v>
      </c>
      <c r="Q92" s="1">
        <v>45960</v>
      </c>
      <c r="R92" s="1">
        <v>46280</v>
      </c>
      <c r="S92" s="1">
        <v>46645</v>
      </c>
      <c r="T92" s="1" t="e">
        <f xml:space="preserve"> IF(#REF! = "", "X",IF(#REF! &lt;= DATE(#REF!- 3, 12, 15),"5.Respect OPC",IF(#REF! &lt;= DATE(#REF!-2, 4, 1),"3.À risque","1.Très à risque")))</f>
        <v>#REF!</v>
      </c>
      <c r="U92" s="1" t="e">
        <f xml:space="preserve"> IF(#REF! = "", "X",IF(#REF! &lt;= DATE(#REF!- 2, 12, 15),"5.Respect OPC",IF(#REF! &lt;= DATE(#REF!-1, 4, 1),"3.À risque","1.Très à risque")))</f>
        <v>#REF!</v>
      </c>
      <c r="V92" s="1" t="e">
        <f xml:space="preserve"> IF(#REF! = "", "X",IF(#REF! &lt;= DATE(#REF!- 1, 12, 15),"5.Respect OPC",IF(#REF! &lt;= DATE(#REF!, 4, 1),"3.À risque","1.Très à risque")))</f>
        <v>#REF!</v>
      </c>
      <c r="W92" s="1" t="e">
        <f xml:space="preserve"> (YEAR(#REF!) - YEAR(#REF!)) * 12 + MONTH(#REF!) - MONTH(#REF!)</f>
        <v>#REF!</v>
      </c>
      <c r="X92" s="1" t="e">
        <f xml:space="preserve"> (YEAR(#REF!) - YEAR(#REF!)) * 12 + MONTH(#REF!) - MONTH(#REF!)</f>
        <v>#REF!</v>
      </c>
      <c r="Y92" s="1" t="e">
        <f>#REF!+#REF!</f>
        <v>#REF!</v>
      </c>
      <c r="Z92">
        <v>5</v>
      </c>
      <c r="AA92">
        <v>1</v>
      </c>
      <c r="AC92" t="s">
        <v>156</v>
      </c>
      <c r="AD92">
        <v>4.333333333333333</v>
      </c>
      <c r="AE92" s="2" t="e">
        <f>_xlfn.XLOOKUP(#REF!,Portefeuille_MNT_PPS_Access27[Numéro projet],Portefeuille_MNT_PPS_Access27[Critère Etat Infrastructure])</f>
        <v>#REF!</v>
      </c>
      <c r="AF92" s="12" t="e">
        <f>IF(#REF!=5,100, SUM(IF(#REF!="",#REF!*$AE$8/5,#REF!*$AE$8/5),#REF!* $AE$10/5,#REF!* $AE$9/5,#REF!* $AE$7/5)*100)</f>
        <v>#REF!</v>
      </c>
      <c r="AG92" s="221"/>
      <c r="AH92">
        <v>0</v>
      </c>
      <c r="AI92">
        <v>0</v>
      </c>
      <c r="AJ92">
        <v>100</v>
      </c>
      <c r="AK92">
        <v>0</v>
      </c>
      <c r="AL92">
        <v>250</v>
      </c>
      <c r="AM92">
        <v>0</v>
      </c>
      <c r="AN92">
        <v>350</v>
      </c>
      <c r="AO92">
        <v>0</v>
      </c>
      <c r="AP92">
        <v>500</v>
      </c>
      <c r="AQ92">
        <v>0</v>
      </c>
      <c r="AR92">
        <v>500</v>
      </c>
      <c r="AS92">
        <v>8000</v>
      </c>
      <c r="AT92">
        <v>500</v>
      </c>
      <c r="AU92">
        <v>8000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18200</v>
      </c>
      <c r="BI92">
        <v>18100</v>
      </c>
      <c r="BJ92">
        <v>18100</v>
      </c>
      <c r="DL92"/>
    </row>
    <row r="93" spans="1:116" hidden="1" x14ac:dyDescent="0.3">
      <c r="A93" t="s">
        <v>286</v>
      </c>
      <c r="B93" t="s">
        <v>662</v>
      </c>
      <c r="C93" t="s">
        <v>156</v>
      </c>
      <c r="D93" t="s">
        <v>118</v>
      </c>
      <c r="E93" t="s">
        <v>102</v>
      </c>
      <c r="F93" t="s">
        <v>188</v>
      </c>
      <c r="G93" t="s">
        <v>113</v>
      </c>
      <c r="H93" t="s">
        <v>16</v>
      </c>
      <c r="I93" t="s">
        <v>130</v>
      </c>
      <c r="J93" t="s">
        <v>131</v>
      </c>
      <c r="K93" t="s">
        <v>189</v>
      </c>
      <c r="L93" t="s">
        <v>190</v>
      </c>
      <c r="M93" t="s">
        <v>191</v>
      </c>
      <c r="N93">
        <v>2026</v>
      </c>
      <c r="O93" t="s">
        <v>123</v>
      </c>
      <c r="P93" s="1"/>
      <c r="Q93" s="1">
        <v>45684</v>
      </c>
      <c r="R93" s="1"/>
      <c r="S93" s="1">
        <v>46006</v>
      </c>
      <c r="T93" s="1" t="e">
        <f xml:space="preserve"> IF(#REF! = "", "X",IF(#REF! &lt;= DATE(#REF!- 3, 12, 15),"5.Respect OPC",IF(#REF! &lt;= DATE(#REF!-2, 4, 1),"3.À risque","1.Très à risque")))</f>
        <v>#REF!</v>
      </c>
      <c r="U93" s="1" t="e">
        <f xml:space="preserve"> IF(#REF! = "", "X",IF(#REF! &lt;= DATE(#REF!- 2, 12, 15),"5.Respect OPC",IF(#REF! &lt;= DATE(#REF!-1, 4, 1),"3.À risque","1.Très à risque")))</f>
        <v>#REF!</v>
      </c>
      <c r="V93" s="1" t="e">
        <f xml:space="preserve"> IF(#REF! = "", "X",IF(#REF! &lt;= DATE(#REF!- 1, 12, 15),"5.Respect OPC",IF(#REF! &lt;= DATE(#REF!, 4, 1),"3.À risque","1.Très à risque")))</f>
        <v>#REF!</v>
      </c>
      <c r="W93" s="1" t="e">
        <f xml:space="preserve"> (YEAR(#REF!) - YEAR(#REF!)) * 12 + MONTH(#REF!) - MONTH(#REF!)</f>
        <v>#REF!</v>
      </c>
      <c r="X93" s="1" t="e">
        <f xml:space="preserve"> (YEAR(#REF!) - YEAR(#REF!)) * 12 + MONTH(#REF!) - MONTH(#REF!)</f>
        <v>#REF!</v>
      </c>
      <c r="Y93" s="1" t="e">
        <f>#REF!+#REF!</f>
        <v>#REF!</v>
      </c>
      <c r="Z93">
        <v>5</v>
      </c>
      <c r="AA93">
        <v>5</v>
      </c>
      <c r="AC93" t="s">
        <v>125</v>
      </c>
      <c r="AD93">
        <v>1.6666666666666667</v>
      </c>
      <c r="AE93" s="2" t="e">
        <f>_xlfn.XLOOKUP(#REF!,Portefeuille_MNT_PPS_Access27[Numéro projet],Portefeuille_MNT_PPS_Access27[Critère Etat Infrastructure])</f>
        <v>#REF!</v>
      </c>
      <c r="AF93" s="12" t="e">
        <f>IF(#REF!=5,100, SUM(IF(#REF!="",#REF!*$AE$8/5,#REF!*$AE$8/5),#REF!* $AE$10/5,#REF!* $AE$9/5,#REF!* $AE$7/5)*100)</f>
        <v>#REF!</v>
      </c>
      <c r="AG93" s="221"/>
      <c r="AH93">
        <v>132</v>
      </c>
      <c r="AI93">
        <v>0</v>
      </c>
      <c r="AJ93">
        <v>262</v>
      </c>
      <c r="AK93">
        <v>899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1293</v>
      </c>
      <c r="DL93"/>
    </row>
    <row r="94" spans="1:116" hidden="1" x14ac:dyDescent="0.3">
      <c r="A94" t="s">
        <v>286</v>
      </c>
      <c r="B94" t="s">
        <v>295</v>
      </c>
      <c r="C94" t="s">
        <v>733</v>
      </c>
      <c r="D94" t="s">
        <v>126</v>
      </c>
      <c r="E94" t="s">
        <v>127</v>
      </c>
      <c r="F94" t="s">
        <v>177</v>
      </c>
      <c r="G94" t="s">
        <v>206</v>
      </c>
      <c r="H94" t="s">
        <v>16</v>
      </c>
      <c r="I94" t="s">
        <v>16</v>
      </c>
      <c r="J94" t="s">
        <v>223</v>
      </c>
      <c r="K94" t="s">
        <v>224</v>
      </c>
      <c r="L94" t="s">
        <v>520</v>
      </c>
      <c r="M94" t="s">
        <v>725</v>
      </c>
      <c r="N94">
        <v>2026</v>
      </c>
      <c r="O94" t="s">
        <v>123</v>
      </c>
      <c r="P94" s="1">
        <v>44365</v>
      </c>
      <c r="Q94" s="1">
        <v>44623</v>
      </c>
      <c r="R94" s="1">
        <v>45698</v>
      </c>
      <c r="S94" s="1">
        <v>46341</v>
      </c>
      <c r="T94" s="1" t="e">
        <f xml:space="preserve"> IF(#REF! = "", "X",IF(#REF! &lt;= DATE(#REF!- 3, 12, 15),"5.Respect OPC",IF(#REF! &lt;= DATE(#REF!-2, 4, 1),"3.À risque","1.Très à risque")))</f>
        <v>#REF!</v>
      </c>
      <c r="U94" s="1" t="e">
        <f xml:space="preserve"> IF(#REF! = "", "X",IF(#REF! &lt;= DATE(#REF!- 2, 12, 15),"5.Respect OPC",IF(#REF! &lt;= DATE(#REF!-1, 4, 1),"3.À risque","1.Très à risque")))</f>
        <v>#REF!</v>
      </c>
      <c r="V94" s="1" t="e">
        <f xml:space="preserve"> IF(#REF! = "", "X",IF(#REF! &lt;= DATE(#REF!- 1, 12, 15),"5.Respect OPC",IF(#REF! &lt;= DATE(#REF!, 4, 1),"3.À risque","1.Très à risque")))</f>
        <v>#REF!</v>
      </c>
      <c r="W94" s="1" t="e">
        <f xml:space="preserve"> (YEAR(#REF!) - YEAR(#REF!)) * 12 + MONTH(#REF!) - MONTH(#REF!)</f>
        <v>#REF!</v>
      </c>
      <c r="X94" s="1" t="e">
        <f xml:space="preserve"> (YEAR(#REF!) - YEAR(#REF!)) * 12 + MONTH(#REF!) - MONTH(#REF!)</f>
        <v>#REF!</v>
      </c>
      <c r="Y94" s="1" t="e">
        <f>#REF!+#REF!</f>
        <v>#REF!</v>
      </c>
      <c r="Z94">
        <v>5</v>
      </c>
      <c r="AA94">
        <v>1</v>
      </c>
      <c r="AC94" t="s">
        <v>125</v>
      </c>
      <c r="AD94">
        <v>3.35</v>
      </c>
      <c r="AE94" s="2" t="e">
        <f>_xlfn.XLOOKUP(#REF!,Portefeuille_MNT_PPS_Access27[Numéro projet],Portefeuille_MNT_PPS_Access27[Critère Etat Infrastructure])</f>
        <v>#REF!</v>
      </c>
      <c r="AF94" s="12" t="e">
        <f>IF(#REF!=5,100, SUM(IF(#REF!="",#REF!*$AE$8/5,#REF!*$AE$8/5),#REF!* $AE$10/5,#REF!* $AE$9/5,#REF!* $AE$7/5)*100)</f>
        <v>#REF!</v>
      </c>
      <c r="AG94" s="221"/>
      <c r="AH94">
        <v>577</v>
      </c>
      <c r="AI94">
        <v>0</v>
      </c>
      <c r="AJ94">
        <v>50</v>
      </c>
      <c r="AK94">
        <v>100</v>
      </c>
      <c r="AL94">
        <v>200</v>
      </c>
      <c r="AM94">
        <v>1594.9999999999998</v>
      </c>
      <c r="AN94">
        <v>106.00000000000001</v>
      </c>
      <c r="AO94">
        <v>3411.0000000000005</v>
      </c>
      <c r="AP94">
        <v>212.00000000000003</v>
      </c>
      <c r="AQ94">
        <v>5141.0000000000009</v>
      </c>
      <c r="AR94">
        <v>27.999999999999993</v>
      </c>
      <c r="AS94">
        <v>5153.0000000000009</v>
      </c>
      <c r="AT94">
        <v>28</v>
      </c>
      <c r="AU94">
        <v>5046.9999999999991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21648</v>
      </c>
      <c r="BI94">
        <v>20921</v>
      </c>
      <c r="BJ94">
        <v>20921</v>
      </c>
      <c r="DL94"/>
    </row>
    <row r="95" spans="1:116" hidden="1" x14ac:dyDescent="0.3">
      <c r="A95" t="s">
        <v>286</v>
      </c>
      <c r="B95" t="s">
        <v>664</v>
      </c>
      <c r="C95" t="s">
        <v>733</v>
      </c>
      <c r="D95" t="s">
        <v>101</v>
      </c>
      <c r="E95" t="s">
        <v>102</v>
      </c>
      <c r="F95" t="s">
        <v>103</v>
      </c>
      <c r="G95" t="s">
        <v>129</v>
      </c>
      <c r="H95" t="s">
        <v>16</v>
      </c>
      <c r="I95" t="s">
        <v>16</v>
      </c>
      <c r="J95" t="s">
        <v>131</v>
      </c>
      <c r="K95" t="s">
        <v>132</v>
      </c>
      <c r="L95" t="s">
        <v>288</v>
      </c>
      <c r="M95" t="s">
        <v>134</v>
      </c>
      <c r="N95">
        <v>2026</v>
      </c>
      <c r="O95" t="s">
        <v>123</v>
      </c>
      <c r="P95" s="1"/>
      <c r="Q95" s="1">
        <v>45218</v>
      </c>
      <c r="R95" s="1">
        <v>45722</v>
      </c>
      <c r="S95" s="1">
        <v>45976</v>
      </c>
      <c r="T95" s="1" t="e">
        <f xml:space="preserve"> IF(#REF! = "", "X",IF(#REF! &lt;= DATE(#REF!- 3, 12, 15),"5.Respect OPC",IF(#REF! &lt;= DATE(#REF!-2, 4, 1),"3.À risque","1.Très à risque")))</f>
        <v>#REF!</v>
      </c>
      <c r="U95" s="1" t="e">
        <f xml:space="preserve"> IF(#REF! = "", "X",IF(#REF! &lt;= DATE(#REF!- 2, 12, 15),"5.Respect OPC",IF(#REF! &lt;= DATE(#REF!-1, 4, 1),"3.À risque","1.Très à risque")))</f>
        <v>#REF!</v>
      </c>
      <c r="V95" s="1" t="e">
        <f xml:space="preserve"> IF(#REF! = "", "X",IF(#REF! &lt;= DATE(#REF!- 1, 12, 15),"5.Respect OPC",IF(#REF! &lt;= DATE(#REF!, 4, 1),"3.À risque","1.Très à risque")))</f>
        <v>#REF!</v>
      </c>
      <c r="W95" s="1" t="e">
        <f xml:space="preserve"> (YEAR(#REF!) - YEAR(#REF!)) * 12 + MONTH(#REF!) - MONTH(#REF!)</f>
        <v>#REF!</v>
      </c>
      <c r="X95" s="1" t="e">
        <f xml:space="preserve"> (YEAR(#REF!) - YEAR(#REF!)) * 12 + MONTH(#REF!) - MONTH(#REF!)</f>
        <v>#REF!</v>
      </c>
      <c r="Y95" s="1" t="e">
        <f>#REF!+#REF!</f>
        <v>#REF!</v>
      </c>
      <c r="Z95">
        <v>5</v>
      </c>
      <c r="AA95">
        <v>5</v>
      </c>
      <c r="AC95" t="s">
        <v>125</v>
      </c>
      <c r="AD95">
        <v>2.3333333333333335</v>
      </c>
      <c r="AE95" s="2" t="e">
        <f>_xlfn.XLOOKUP(#REF!,Portefeuille_MNT_PPS_Access27[Numéro projet],Portefeuille_MNT_PPS_Access27[Critère Etat Infrastructure])</f>
        <v>#REF!</v>
      </c>
      <c r="AF95" s="12" t="e">
        <f>IF(#REF!=5,100, SUM(IF(#REF!="",#REF!*$AE$8/5,#REF!*$AE$8/5),#REF!* $AE$10/5,#REF!* $AE$9/5,#REF!* $AE$7/5)*100)</f>
        <v>#REF!</v>
      </c>
      <c r="AG95" s="221"/>
      <c r="AH95">
        <v>133</v>
      </c>
      <c r="AI95">
        <v>0</v>
      </c>
      <c r="AJ95">
        <v>362</v>
      </c>
      <c r="AK95">
        <v>4776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5271</v>
      </c>
      <c r="DL95"/>
    </row>
    <row r="96" spans="1:116" hidden="1" x14ac:dyDescent="0.3">
      <c r="A96" t="s">
        <v>286</v>
      </c>
      <c r="B96" t="s">
        <v>295</v>
      </c>
      <c r="C96" t="s">
        <v>733</v>
      </c>
      <c r="D96" t="s">
        <v>126</v>
      </c>
      <c r="E96" t="s">
        <v>127</v>
      </c>
      <c r="F96" t="s">
        <v>103</v>
      </c>
      <c r="G96" t="s">
        <v>104</v>
      </c>
      <c r="H96" t="s">
        <v>16</v>
      </c>
      <c r="I96" t="s">
        <v>130</v>
      </c>
      <c r="J96" t="s">
        <v>131</v>
      </c>
      <c r="K96" t="s">
        <v>220</v>
      </c>
      <c r="L96" t="s">
        <v>221</v>
      </c>
      <c r="M96" t="s">
        <v>159</v>
      </c>
      <c r="N96">
        <v>2028</v>
      </c>
      <c r="O96" t="s">
        <v>155</v>
      </c>
      <c r="P96" s="1"/>
      <c r="Q96" s="1">
        <v>45976</v>
      </c>
      <c r="R96" s="1">
        <v>46264</v>
      </c>
      <c r="S96" s="1">
        <v>46553</v>
      </c>
      <c r="T96" s="1" t="e">
        <f xml:space="preserve"> IF(#REF! = "", "X",IF(#REF! &lt;= DATE(#REF!- 3, 12, 15),"5.Respect OPC",IF(#REF! &lt;= DATE(#REF!-2, 4, 1),"3.À risque","1.Très à risque")))</f>
        <v>#REF!</v>
      </c>
      <c r="U96" s="1" t="e">
        <f xml:space="preserve"> IF(#REF! = "", "X",IF(#REF! &lt;= DATE(#REF!- 2, 12, 15),"5.Respect OPC",IF(#REF! &lt;= DATE(#REF!-1, 4, 1),"3.À risque","1.Très à risque")))</f>
        <v>#REF!</v>
      </c>
      <c r="V96" s="1" t="e">
        <f xml:space="preserve"> IF(#REF! = "", "X",IF(#REF! &lt;= DATE(#REF!- 1, 12, 15),"5.Respect OPC",IF(#REF! &lt;= DATE(#REF!, 4, 1),"3.À risque","1.Très à risque")))</f>
        <v>#REF!</v>
      </c>
      <c r="W96" s="1" t="e">
        <f xml:space="preserve"> (YEAR(#REF!) - YEAR(#REF!)) * 12 + MONTH(#REF!) - MONTH(#REF!)</f>
        <v>#REF!</v>
      </c>
      <c r="X96" s="1" t="e">
        <f xml:space="preserve"> (YEAR(#REF!) - YEAR(#REF!)) * 12 + MONTH(#REF!) - MONTH(#REF!)</f>
        <v>#REF!</v>
      </c>
      <c r="Y96" s="1" t="e">
        <f>#REF!+#REF!</f>
        <v>#REF!</v>
      </c>
      <c r="Z96">
        <v>5</v>
      </c>
      <c r="AA96">
        <v>1</v>
      </c>
      <c r="AB96">
        <v>5</v>
      </c>
      <c r="AC96" t="s">
        <v>156</v>
      </c>
      <c r="AD96">
        <v>4.333333333333333</v>
      </c>
      <c r="AE96" s="2" t="e">
        <f>_xlfn.XLOOKUP(#REF!,Portefeuille_MNT_PPS_Access27[Numéro projet],Portefeuille_MNT_PPS_Access27[Critère Etat Infrastructure])</f>
        <v>#REF!</v>
      </c>
      <c r="AF96" s="12" t="e">
        <f>IF(#REF!=5,100, SUM(IF(#REF!="",#REF!*$AE$8/5,#REF!*$AE$8/5),#REF!* $AE$10/5,#REF!* $AE$9/5,#REF!* $AE$7/5)*100)</f>
        <v>#REF!</v>
      </c>
      <c r="AG96" s="221"/>
      <c r="AH96">
        <v>44</v>
      </c>
      <c r="AI96">
        <v>0</v>
      </c>
      <c r="AJ96">
        <v>130</v>
      </c>
      <c r="AK96">
        <v>0</v>
      </c>
      <c r="AL96">
        <v>94</v>
      </c>
      <c r="AM96">
        <v>0</v>
      </c>
      <c r="AN96">
        <v>106</v>
      </c>
      <c r="AO96">
        <v>10000</v>
      </c>
      <c r="AP96">
        <v>106</v>
      </c>
      <c r="AQ96">
        <v>20662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31142</v>
      </c>
      <c r="BI96">
        <v>30968</v>
      </c>
      <c r="BJ96">
        <v>30968</v>
      </c>
      <c r="DL96"/>
    </row>
    <row r="97" spans="1:116" hidden="1" x14ac:dyDescent="0.3">
      <c r="A97" t="s">
        <v>286</v>
      </c>
      <c r="B97" t="s">
        <v>664</v>
      </c>
      <c r="C97" t="s">
        <v>733</v>
      </c>
      <c r="D97" t="s">
        <v>101</v>
      </c>
      <c r="E97" t="s">
        <v>102</v>
      </c>
      <c r="F97" t="s">
        <v>128</v>
      </c>
      <c r="G97" t="s">
        <v>140</v>
      </c>
      <c r="H97" t="s">
        <v>16</v>
      </c>
      <c r="I97" t="s">
        <v>16</v>
      </c>
      <c r="J97" t="s">
        <v>105</v>
      </c>
      <c r="K97" t="s">
        <v>141</v>
      </c>
      <c r="L97" t="s">
        <v>142</v>
      </c>
      <c r="M97" t="s">
        <v>143</v>
      </c>
      <c r="N97">
        <v>2026</v>
      </c>
      <c r="O97" t="s">
        <v>123</v>
      </c>
      <c r="P97" s="1">
        <v>42499</v>
      </c>
      <c r="Q97" s="1">
        <v>42900</v>
      </c>
      <c r="R97" s="1">
        <v>45323</v>
      </c>
      <c r="S97" s="1">
        <v>45889</v>
      </c>
      <c r="T97" s="1" t="e">
        <f xml:space="preserve"> IF(#REF! = "", "X",IF(#REF! &lt;= DATE(#REF!- 3, 12, 15),"5.Respect OPC",IF(#REF! &lt;= DATE(#REF!-2, 4, 1),"3.À risque","1.Très à risque")))</f>
        <v>#REF!</v>
      </c>
      <c r="U97" s="1" t="e">
        <f xml:space="preserve"> IF(#REF! = "", "X",IF(#REF! &lt;= DATE(#REF!- 2, 12, 15),"5.Respect OPC",IF(#REF! &lt;= DATE(#REF!-1, 4, 1),"3.À risque","1.Très à risque")))</f>
        <v>#REF!</v>
      </c>
      <c r="V97" s="1" t="e">
        <f xml:space="preserve"> IF(#REF! = "", "X",IF(#REF! &lt;= DATE(#REF!- 1, 12, 15),"5.Respect OPC",IF(#REF! &lt;= DATE(#REF!, 4, 1),"3.À risque","1.Très à risque")))</f>
        <v>#REF!</v>
      </c>
      <c r="W97" s="1" t="e">
        <f xml:space="preserve"> (YEAR(#REF!) - YEAR(#REF!)) * 12 + MONTH(#REF!) - MONTH(#REF!)</f>
        <v>#REF!</v>
      </c>
      <c r="X97" s="1" t="e">
        <f xml:space="preserve"> (YEAR(#REF!) - YEAR(#REF!)) * 12 + MONTH(#REF!) - MONTH(#REF!)</f>
        <v>#REF!</v>
      </c>
      <c r="Y97" s="1" t="e">
        <f>#REF!+#REF!</f>
        <v>#REF!</v>
      </c>
      <c r="Z97">
        <v>5</v>
      </c>
      <c r="AA97">
        <v>1</v>
      </c>
      <c r="AC97" t="s">
        <v>125</v>
      </c>
      <c r="AD97">
        <v>4.333333333333333</v>
      </c>
      <c r="AE97" s="2" t="e">
        <f>_xlfn.XLOOKUP(#REF!,Portefeuille_MNT_PPS_Access27[Numéro projet],Portefeuille_MNT_PPS_Access27[Critère Etat Infrastructure])</f>
        <v>#REF!</v>
      </c>
      <c r="AF97" s="12" t="e">
        <f>IF(#REF!=5,100, SUM(IF(#REF!="",#REF!*$AE$8/5,#REF!*$AE$8/5),#REF!* $AE$10/5,#REF!* $AE$9/5,#REF!* $AE$7/5)*100)</f>
        <v>#REF!</v>
      </c>
      <c r="AG97" s="221"/>
      <c r="AH97">
        <v>61</v>
      </c>
      <c r="AI97">
        <v>0</v>
      </c>
      <c r="AJ97">
        <v>400</v>
      </c>
      <c r="AK97">
        <v>5141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5602</v>
      </c>
      <c r="BO97" s="14"/>
      <c r="BP97" s="14"/>
      <c r="BQ97" s="14" t="e">
        <f>#REF!+#REF!</f>
        <v>#REF!</v>
      </c>
      <c r="DL97"/>
    </row>
    <row r="98" spans="1:116" hidden="1" x14ac:dyDescent="0.3">
      <c r="A98" t="s">
        <v>286</v>
      </c>
      <c r="B98" t="s">
        <v>663</v>
      </c>
      <c r="C98" t="s">
        <v>733</v>
      </c>
      <c r="D98" t="s">
        <v>101</v>
      </c>
      <c r="E98" t="s">
        <v>102</v>
      </c>
      <c r="F98" t="s">
        <v>136</v>
      </c>
      <c r="G98" t="s">
        <v>104</v>
      </c>
      <c r="H98" t="s">
        <v>20</v>
      </c>
      <c r="I98" t="s">
        <v>20</v>
      </c>
      <c r="J98" t="s">
        <v>105</v>
      </c>
      <c r="K98" t="s">
        <v>368</v>
      </c>
      <c r="L98" t="s">
        <v>369</v>
      </c>
      <c r="M98" t="s">
        <v>217</v>
      </c>
      <c r="N98">
        <v>2031</v>
      </c>
      <c r="O98" t="s">
        <v>291</v>
      </c>
      <c r="P98" s="1"/>
      <c r="Q98" s="1"/>
      <c r="R98" s="1"/>
      <c r="S98" s="1"/>
      <c r="T98" s="1" t="e">
        <f xml:space="preserve"> IF(#REF! = "", "X",IF(#REF! &lt;= DATE(#REF!- 3, 12, 15),"5.Respect OPC",IF(#REF! &lt;= DATE(#REF!-2, 4, 1),"3.À risque","1.Très à risque")))</f>
        <v>#REF!</v>
      </c>
      <c r="U98" s="1" t="e">
        <f xml:space="preserve"> IF(#REF! = "", "X",IF(#REF! &lt;= DATE(#REF!- 2, 12, 15),"5.Respect OPC",IF(#REF! &lt;= DATE(#REF!-1, 4, 1),"3.À risque","1.Très à risque")))</f>
        <v>#REF!</v>
      </c>
      <c r="V98" s="1" t="e">
        <f xml:space="preserve"> IF(#REF! = "", "X",IF(#REF! &lt;= DATE(#REF!- 1, 12, 15),"5.Respect OPC",IF(#REF! &lt;= DATE(#REF!, 4, 1),"3.À risque","1.Très à risque")))</f>
        <v>#REF!</v>
      </c>
      <c r="W98" s="1" t="e">
        <f xml:space="preserve"> (YEAR(#REF!) - YEAR(#REF!)) * 12 + MONTH(#REF!) - MONTH(#REF!)</f>
        <v>#REF!</v>
      </c>
      <c r="X98" s="1" t="e">
        <f xml:space="preserve"> (YEAR(#REF!) - YEAR(#REF!)) * 12 + MONTH(#REF!) - MONTH(#REF!)</f>
        <v>#REF!</v>
      </c>
      <c r="Y98" s="1" t="e">
        <f>#REF!+#REF!</f>
        <v>#REF!</v>
      </c>
      <c r="Z98">
        <v>5</v>
      </c>
      <c r="AA98">
        <v>1</v>
      </c>
      <c r="AC98" t="s">
        <v>311</v>
      </c>
      <c r="AD98">
        <v>2.6666666666666665</v>
      </c>
      <c r="AE98" s="2" t="e">
        <f>_xlfn.XLOOKUP(#REF!,Portefeuille_MNT_PPS_Access27[Numéro projet],Portefeuille_MNT_PPS_Access27[Critère Etat Infrastructure])</f>
        <v>#REF!</v>
      </c>
      <c r="AF98" s="12" t="e">
        <f>IF(#REF!=5,100, SUM(IF(#REF!="",#REF!*$AE$8/5,#REF!*$AE$8/5),#REF!* $AE$10/5,#REF!* $AE$9/5,#REF!* $AE$7/5)*100)</f>
        <v>#REF!</v>
      </c>
      <c r="AG98" s="221"/>
      <c r="AH98">
        <v>0</v>
      </c>
      <c r="AI98">
        <v>0</v>
      </c>
      <c r="AJ98">
        <v>0</v>
      </c>
      <c r="AK98">
        <v>0</v>
      </c>
      <c r="AL98">
        <v>250</v>
      </c>
      <c r="AM98">
        <v>0</v>
      </c>
      <c r="AN98">
        <v>250</v>
      </c>
      <c r="AO98">
        <v>0</v>
      </c>
      <c r="AP98">
        <v>200</v>
      </c>
      <c r="AQ98">
        <v>0</v>
      </c>
      <c r="AR98">
        <v>200</v>
      </c>
      <c r="AS98">
        <v>0</v>
      </c>
      <c r="AT98">
        <v>500</v>
      </c>
      <c r="AU98">
        <v>5700</v>
      </c>
      <c r="AV98">
        <v>500</v>
      </c>
      <c r="AW98">
        <v>5500</v>
      </c>
      <c r="AX98">
        <v>500</v>
      </c>
      <c r="AY98">
        <v>6700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20300</v>
      </c>
      <c r="BI98">
        <v>7100</v>
      </c>
      <c r="BJ98">
        <v>20300</v>
      </c>
      <c r="DL98"/>
    </row>
    <row r="99" spans="1:116" hidden="1" x14ac:dyDescent="0.3">
      <c r="A99" t="s">
        <v>286</v>
      </c>
      <c r="B99" t="s">
        <v>664</v>
      </c>
      <c r="C99" t="s">
        <v>733</v>
      </c>
      <c r="D99" t="s">
        <v>101</v>
      </c>
      <c r="E99" t="s">
        <v>102</v>
      </c>
      <c r="F99" t="s">
        <v>128</v>
      </c>
      <c r="G99" t="s">
        <v>113</v>
      </c>
      <c r="H99" t="s">
        <v>16</v>
      </c>
      <c r="I99" t="s">
        <v>16</v>
      </c>
      <c r="J99" t="s">
        <v>105</v>
      </c>
      <c r="K99" t="s">
        <v>160</v>
      </c>
      <c r="L99" t="s">
        <v>161</v>
      </c>
      <c r="M99" t="s">
        <v>122</v>
      </c>
      <c r="N99">
        <v>2025</v>
      </c>
      <c r="O99" t="s">
        <v>164</v>
      </c>
      <c r="P99" s="1">
        <v>43013</v>
      </c>
      <c r="Q99" s="1">
        <v>44956</v>
      </c>
      <c r="R99" s="1">
        <v>45321</v>
      </c>
      <c r="S99" s="1">
        <v>45687</v>
      </c>
      <c r="T99" s="1" t="e">
        <f xml:space="preserve"> IF(#REF! = "", "X",IF(#REF! &lt;= DATE(#REF!- 3, 12, 15),"5.Respect OPC",IF(#REF! &lt;= DATE(#REF!-2, 4, 1),"3.À risque","1.Très à risque")))</f>
        <v>#REF!</v>
      </c>
      <c r="U99" s="1" t="e">
        <f xml:space="preserve"> IF(#REF! = "", "X",IF(#REF! &lt;= DATE(#REF!- 2, 12, 15),"5.Respect OPC",IF(#REF! &lt;= DATE(#REF!-1, 4, 1),"3.À risque","1.Très à risque")))</f>
        <v>#REF!</v>
      </c>
      <c r="V99" s="1" t="e">
        <f xml:space="preserve"> IF(#REF! = "", "X",IF(#REF! &lt;= DATE(#REF!- 1, 12, 15),"5.Respect OPC",IF(#REF! &lt;= DATE(#REF!, 4, 1),"3.À risque","1.Très à risque")))</f>
        <v>#REF!</v>
      </c>
      <c r="W99" s="1" t="e">
        <f xml:space="preserve"> (YEAR(#REF!) - YEAR(#REF!)) * 12 + MONTH(#REF!) - MONTH(#REF!)</f>
        <v>#REF!</v>
      </c>
      <c r="X99" s="1" t="e">
        <f xml:space="preserve"> (YEAR(#REF!) - YEAR(#REF!)) * 12 + MONTH(#REF!) - MONTH(#REF!)</f>
        <v>#REF!</v>
      </c>
      <c r="Y99" s="1" t="e">
        <f>#REF!+#REF!</f>
        <v>#REF!</v>
      </c>
      <c r="Z99">
        <v>5</v>
      </c>
      <c r="AA99">
        <v>1</v>
      </c>
      <c r="AC99" t="s">
        <v>165</v>
      </c>
      <c r="AD99">
        <v>4</v>
      </c>
      <c r="AE99" s="2" t="e">
        <f>_xlfn.XLOOKUP(#REF!,Portefeuille_MNT_PPS_Access27[Numéro projet],Portefeuille_MNT_PPS_Access27[Critère Etat Infrastructure])</f>
        <v>#REF!</v>
      </c>
      <c r="AF99" s="12" t="e">
        <f>IF(#REF!=5,100, SUM(IF(#REF!="",#REF!*$AE$8/5,#REF!*$AE$8/5),#REF!* $AE$10/5,#REF!* $AE$9/5,#REF!* $AE$7/5)*100)</f>
        <v>#REF!</v>
      </c>
      <c r="AG99" s="221"/>
      <c r="AH99">
        <v>311</v>
      </c>
      <c r="AI99">
        <v>4537</v>
      </c>
      <c r="AJ99">
        <v>34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4882</v>
      </c>
      <c r="DL99"/>
    </row>
    <row r="100" spans="1:116" hidden="1" x14ac:dyDescent="0.3">
      <c r="A100" t="s">
        <v>286</v>
      </c>
      <c r="B100" t="s">
        <v>662</v>
      </c>
      <c r="C100" t="s">
        <v>733</v>
      </c>
      <c r="D100" t="s">
        <v>118</v>
      </c>
      <c r="E100" t="s">
        <v>102</v>
      </c>
      <c r="F100" t="s">
        <v>103</v>
      </c>
      <c r="H100" t="s">
        <v>20</v>
      </c>
      <c r="I100" t="s">
        <v>20</v>
      </c>
      <c r="J100" t="s">
        <v>131</v>
      </c>
      <c r="K100" t="s">
        <v>371</v>
      </c>
      <c r="L100" t="s">
        <v>372</v>
      </c>
      <c r="M100" t="s">
        <v>152</v>
      </c>
      <c r="N100">
        <v>2031</v>
      </c>
      <c r="O100" t="s">
        <v>291</v>
      </c>
      <c r="P100" s="1"/>
      <c r="Q100" s="1"/>
      <c r="R100" s="1"/>
      <c r="S100" s="1"/>
      <c r="T100" s="1" t="e">
        <f xml:space="preserve"> IF(#REF! = "", "X",IF(#REF! &lt;= DATE(#REF!- 3, 12, 15),"5.Respect OPC",IF(#REF! &lt;= DATE(#REF!-2, 4, 1),"3.À risque","1.Très à risque")))</f>
        <v>#REF!</v>
      </c>
      <c r="U100" s="1" t="e">
        <f xml:space="preserve"> IF(#REF! = "", "X",IF(#REF! &lt;= DATE(#REF!- 2, 12, 15),"5.Respect OPC",IF(#REF! &lt;= DATE(#REF!-1, 4, 1),"3.À risque","1.Très à risque")))</f>
        <v>#REF!</v>
      </c>
      <c r="V100" s="1" t="e">
        <f xml:space="preserve"> IF(#REF! = "", "X",IF(#REF! &lt;= DATE(#REF!- 1, 12, 15),"5.Respect OPC",IF(#REF! &lt;= DATE(#REF!, 4, 1),"3.À risque","1.Très à risque")))</f>
        <v>#REF!</v>
      </c>
      <c r="W100" s="1" t="e">
        <f xml:space="preserve"> (YEAR(#REF!) - YEAR(#REF!)) * 12 + MONTH(#REF!) - MONTH(#REF!)</f>
        <v>#REF!</v>
      </c>
      <c r="X100" s="1" t="e">
        <f xml:space="preserve"> (YEAR(#REF!) - YEAR(#REF!)) * 12 + MONTH(#REF!) - MONTH(#REF!)</f>
        <v>#REF!</v>
      </c>
      <c r="Y100" s="1" t="e">
        <f>#REF!+#REF!</f>
        <v>#REF!</v>
      </c>
      <c r="Z100">
        <v>5</v>
      </c>
      <c r="AA100">
        <v>1</v>
      </c>
      <c r="AC100" t="s">
        <v>311</v>
      </c>
      <c r="AD100">
        <v>3.3333333333333335</v>
      </c>
      <c r="AE100" s="2" t="e">
        <f>_xlfn.XLOOKUP(#REF!,Portefeuille_MNT_PPS_Access27[Numéro projet],Portefeuille_MNT_PPS_Access27[Critère Etat Infrastructure])</f>
        <v>#REF!</v>
      </c>
      <c r="AF100" s="12" t="e">
        <f>IF(#REF!=5,100, SUM(IF(#REF!="",#REF!*$AE$8/5,#REF!*$AE$8/5),#REF!* $AE$10/5,#REF!* $AE$9/5,#REF!* $AE$7/5)*100)</f>
        <v>#REF!</v>
      </c>
      <c r="AG100" s="221"/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100</v>
      </c>
      <c r="AQ100">
        <v>0</v>
      </c>
      <c r="AR100">
        <v>200</v>
      </c>
      <c r="AS100">
        <v>0</v>
      </c>
      <c r="AT100">
        <v>450</v>
      </c>
      <c r="AU100">
        <v>7500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8250</v>
      </c>
      <c r="BI100">
        <v>8250</v>
      </c>
      <c r="BJ100">
        <v>8250</v>
      </c>
      <c r="DL100"/>
    </row>
    <row r="101" spans="1:116" hidden="1" x14ac:dyDescent="0.3">
      <c r="A101" t="s">
        <v>286</v>
      </c>
      <c r="B101" t="s">
        <v>663</v>
      </c>
      <c r="C101" t="s">
        <v>733</v>
      </c>
      <c r="D101" t="s">
        <v>101</v>
      </c>
      <c r="E101" t="s">
        <v>102</v>
      </c>
      <c r="F101" t="s">
        <v>136</v>
      </c>
      <c r="G101" t="s">
        <v>144</v>
      </c>
      <c r="H101" t="s">
        <v>16</v>
      </c>
      <c r="I101" t="s">
        <v>20</v>
      </c>
      <c r="K101" t="s">
        <v>195</v>
      </c>
      <c r="L101" t="s">
        <v>196</v>
      </c>
      <c r="M101" t="s">
        <v>725</v>
      </c>
      <c r="N101">
        <v>2028</v>
      </c>
      <c r="O101" t="s">
        <v>110</v>
      </c>
      <c r="P101" s="1"/>
      <c r="Q101" s="1">
        <v>44889</v>
      </c>
      <c r="R101" s="1">
        <v>46068</v>
      </c>
      <c r="S101" s="1">
        <v>46583</v>
      </c>
      <c r="T101" s="1" t="e">
        <f xml:space="preserve"> IF(#REF! = "", "X",IF(#REF! &lt;= DATE(#REF!- 3, 12, 15),"5.Respect OPC",IF(#REF! &lt;= DATE(#REF!-2, 4, 1),"3.À risque","1.Très à risque")))</f>
        <v>#REF!</v>
      </c>
      <c r="U101" s="1" t="e">
        <f xml:space="preserve"> IF(#REF! = "", "X",IF(#REF! &lt;= DATE(#REF!- 2, 12, 15),"5.Respect OPC",IF(#REF! &lt;= DATE(#REF!-1, 4, 1),"3.À risque","1.Très à risque")))</f>
        <v>#REF!</v>
      </c>
      <c r="V101" s="1" t="e">
        <f xml:space="preserve"> IF(#REF! = "", "X",IF(#REF! &lt;= DATE(#REF!- 1, 12, 15),"5.Respect OPC",IF(#REF! &lt;= DATE(#REF!, 4, 1),"3.À risque","1.Très à risque")))</f>
        <v>#REF!</v>
      </c>
      <c r="W101" s="1" t="e">
        <f xml:space="preserve"> (YEAR(#REF!) - YEAR(#REF!)) * 12 + MONTH(#REF!) - MONTH(#REF!)</f>
        <v>#REF!</v>
      </c>
      <c r="X101" s="1" t="e">
        <f xml:space="preserve"> (YEAR(#REF!) - YEAR(#REF!)) * 12 + MONTH(#REF!) - MONTH(#REF!)</f>
        <v>#REF!</v>
      </c>
      <c r="Y101" s="1" t="e">
        <f>#REF!+#REF!</f>
        <v>#REF!</v>
      </c>
      <c r="Z101">
        <v>5</v>
      </c>
      <c r="AA101">
        <v>1</v>
      </c>
      <c r="AB101">
        <v>5</v>
      </c>
      <c r="AC101" t="s">
        <v>112</v>
      </c>
      <c r="AD101">
        <v>2.6666666666666665</v>
      </c>
      <c r="AE101" s="2" t="e">
        <f>_xlfn.XLOOKUP(#REF!,Portefeuille_MNT_PPS_Access27[Numéro projet],Portefeuille_MNT_PPS_Access27[Critère Etat Infrastructure])</f>
        <v>#REF!</v>
      </c>
      <c r="AF101" s="12" t="e">
        <f>IF(#REF!=5,100, SUM(IF(#REF!="",#REF!*$AE$8/5,#REF!*$AE$8/5),#REF!* $AE$10/5,#REF!* $AE$9/5,#REF!* $AE$7/5)*100)</f>
        <v>#REF!</v>
      </c>
      <c r="AG101" s="221"/>
      <c r="AH101">
        <v>1948</v>
      </c>
      <c r="AI101">
        <v>0</v>
      </c>
      <c r="AJ101">
        <v>1611</v>
      </c>
      <c r="AK101">
        <v>0</v>
      </c>
      <c r="AL101">
        <v>1611</v>
      </c>
      <c r="AM101">
        <v>0</v>
      </c>
      <c r="AN101">
        <v>1611</v>
      </c>
      <c r="AO101">
        <v>2500</v>
      </c>
      <c r="AP101">
        <v>1200</v>
      </c>
      <c r="AQ101">
        <v>11500</v>
      </c>
      <c r="AR101">
        <v>112</v>
      </c>
      <c r="AS101">
        <v>21000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43093</v>
      </c>
      <c r="BI101">
        <v>39534</v>
      </c>
      <c r="BJ101">
        <v>39534</v>
      </c>
      <c r="DL101"/>
    </row>
    <row r="102" spans="1:116" hidden="1" x14ac:dyDescent="0.3">
      <c r="A102" t="s">
        <v>286</v>
      </c>
      <c r="B102" t="s">
        <v>663</v>
      </c>
      <c r="C102" t="s">
        <v>733</v>
      </c>
      <c r="D102" t="s">
        <v>101</v>
      </c>
      <c r="E102" t="s">
        <v>102</v>
      </c>
      <c r="F102" t="s">
        <v>136</v>
      </c>
      <c r="G102" t="s">
        <v>206</v>
      </c>
      <c r="H102" t="s">
        <v>130</v>
      </c>
      <c r="I102" t="s">
        <v>20</v>
      </c>
      <c r="J102" t="s">
        <v>131</v>
      </c>
      <c r="K102" t="s">
        <v>375</v>
      </c>
      <c r="L102" t="s">
        <v>376</v>
      </c>
      <c r="M102" t="s">
        <v>209</v>
      </c>
      <c r="N102">
        <v>2029</v>
      </c>
      <c r="O102" t="s">
        <v>155</v>
      </c>
      <c r="P102" s="1">
        <v>46006</v>
      </c>
      <c r="Q102" s="1">
        <v>46280</v>
      </c>
      <c r="R102" s="1">
        <v>46645</v>
      </c>
      <c r="S102" s="1">
        <v>47011</v>
      </c>
      <c r="T102" s="1" t="e">
        <f xml:space="preserve"> IF(#REF! = "", "X",IF(#REF! &lt;= DATE(#REF!- 3, 12, 15),"5.Respect OPC",IF(#REF! &lt;= DATE(#REF!-2, 4, 1),"3.À risque","1.Très à risque")))</f>
        <v>#REF!</v>
      </c>
      <c r="U102" s="1" t="e">
        <f xml:space="preserve"> IF(#REF! = "", "X",IF(#REF! &lt;= DATE(#REF!- 2, 12, 15),"5.Respect OPC",IF(#REF! &lt;= DATE(#REF!-1, 4, 1),"3.À risque","1.Très à risque")))</f>
        <v>#REF!</v>
      </c>
      <c r="V102" s="1" t="e">
        <f xml:space="preserve"> IF(#REF! = "", "X",IF(#REF! &lt;= DATE(#REF!- 1, 12, 15),"5.Respect OPC",IF(#REF! &lt;= DATE(#REF!, 4, 1),"3.À risque","1.Très à risque")))</f>
        <v>#REF!</v>
      </c>
      <c r="W102" s="1" t="e">
        <f xml:space="preserve"> (YEAR(#REF!) - YEAR(#REF!)) * 12 + MONTH(#REF!) - MONTH(#REF!)</f>
        <v>#REF!</v>
      </c>
      <c r="X102" s="1" t="e">
        <f xml:space="preserve"> (YEAR(#REF!) - YEAR(#REF!)) * 12 + MONTH(#REF!) - MONTH(#REF!)</f>
        <v>#REF!</v>
      </c>
      <c r="Y102" s="1" t="e">
        <f>#REF!+#REF!</f>
        <v>#REF!</v>
      </c>
      <c r="Z102">
        <v>5</v>
      </c>
      <c r="AA102">
        <v>1</v>
      </c>
      <c r="AB102">
        <v>5</v>
      </c>
      <c r="AC102" t="s">
        <v>156</v>
      </c>
      <c r="AD102">
        <v>3.3333333333333335</v>
      </c>
      <c r="AE102" s="2" t="e">
        <f>_xlfn.XLOOKUP(#REF!,Portefeuille_MNT_PPS_Access27[Numéro projet],Portefeuille_MNT_PPS_Access27[Critère Etat Infrastructure])</f>
        <v>#REF!</v>
      </c>
      <c r="AF102" s="12" t="e">
        <f>IF(#REF!=5,100, SUM(IF(#REF!="",#REF!*$AE$8/5,#REF!*$AE$8/5),#REF!* $AE$10/5,#REF!* $AE$9/5,#REF!* $AE$7/5)*100)</f>
        <v>#REF!</v>
      </c>
      <c r="AG102" s="221"/>
      <c r="AH102">
        <v>0</v>
      </c>
      <c r="AI102">
        <v>0</v>
      </c>
      <c r="AJ102">
        <v>0</v>
      </c>
      <c r="AK102">
        <v>0</v>
      </c>
      <c r="AL102">
        <v>250</v>
      </c>
      <c r="AM102">
        <v>0</v>
      </c>
      <c r="AN102">
        <v>350</v>
      </c>
      <c r="AO102">
        <v>0</v>
      </c>
      <c r="AP102">
        <v>500</v>
      </c>
      <c r="AQ102">
        <v>1500</v>
      </c>
      <c r="AR102">
        <v>500</v>
      </c>
      <c r="AS102">
        <v>6000</v>
      </c>
      <c r="AT102">
        <v>600</v>
      </c>
      <c r="AU102">
        <v>10000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19700</v>
      </c>
      <c r="BI102">
        <v>19700</v>
      </c>
      <c r="BJ102">
        <v>19700</v>
      </c>
      <c r="DL102"/>
    </row>
    <row r="103" spans="1:116" hidden="1" x14ac:dyDescent="0.3">
      <c r="A103" t="s">
        <v>286</v>
      </c>
      <c r="B103" t="s">
        <v>664</v>
      </c>
      <c r="C103" t="s">
        <v>733</v>
      </c>
      <c r="D103" t="s">
        <v>101</v>
      </c>
      <c r="E103" t="s">
        <v>102</v>
      </c>
      <c r="F103" t="s">
        <v>103</v>
      </c>
      <c r="G103" t="s">
        <v>140</v>
      </c>
      <c r="H103" t="s">
        <v>16</v>
      </c>
      <c r="I103" t="s">
        <v>16</v>
      </c>
      <c r="J103" t="s">
        <v>105</v>
      </c>
      <c r="K103" t="s">
        <v>174</v>
      </c>
      <c r="L103" t="s">
        <v>175</v>
      </c>
      <c r="M103" t="s">
        <v>143</v>
      </c>
      <c r="N103">
        <v>2025</v>
      </c>
      <c r="O103" t="s">
        <v>164</v>
      </c>
      <c r="P103" s="1">
        <v>44014</v>
      </c>
      <c r="Q103" s="1">
        <v>44014</v>
      </c>
      <c r="R103" s="1">
        <v>44294</v>
      </c>
      <c r="S103" s="1">
        <v>45239</v>
      </c>
      <c r="T103" s="1" t="e">
        <f xml:space="preserve"> IF(#REF! = "", "X",IF(#REF! &lt;= DATE(#REF!- 3, 12, 15),"5.Respect OPC",IF(#REF! &lt;= DATE(#REF!-2, 4, 1),"3.À risque","1.Très à risque")))</f>
        <v>#REF!</v>
      </c>
      <c r="U103" s="1" t="e">
        <f xml:space="preserve"> IF(#REF! = "", "X",IF(#REF! &lt;= DATE(#REF!- 2, 12, 15),"5.Respect OPC",IF(#REF! &lt;= DATE(#REF!-1, 4, 1),"3.À risque","1.Très à risque")))</f>
        <v>#REF!</v>
      </c>
      <c r="V103" s="1" t="e">
        <f xml:space="preserve"> IF(#REF! = "", "X",IF(#REF! &lt;= DATE(#REF!- 1, 12, 15),"5.Respect OPC",IF(#REF! &lt;= DATE(#REF!, 4, 1),"3.À risque","1.Très à risque")))</f>
        <v>#REF!</v>
      </c>
      <c r="W103" s="1" t="e">
        <f xml:space="preserve"> (YEAR(#REF!) - YEAR(#REF!)) * 12 + MONTH(#REF!) - MONTH(#REF!)</f>
        <v>#REF!</v>
      </c>
      <c r="X103" s="1" t="e">
        <f xml:space="preserve"> (YEAR(#REF!) - YEAR(#REF!)) * 12 + MONTH(#REF!) - MONTH(#REF!)</f>
        <v>#REF!</v>
      </c>
      <c r="Y103" s="1" t="e">
        <f>#REF!+#REF!</f>
        <v>#REF!</v>
      </c>
      <c r="Z103">
        <v>5</v>
      </c>
      <c r="AA103">
        <v>1</v>
      </c>
      <c r="AC103" t="s">
        <v>165</v>
      </c>
      <c r="AD103">
        <v>4.333333333333333</v>
      </c>
      <c r="AE103" s="2" t="e">
        <f>_xlfn.XLOOKUP(#REF!,Portefeuille_MNT_PPS_Access27[Numéro projet],Portefeuille_MNT_PPS_Access27[Critère Etat Infrastructure])</f>
        <v>#REF!</v>
      </c>
      <c r="AF103" s="12" t="e">
        <f>IF(#REF!=5,100, SUM(IF(#REF!="",#REF!*$AE$8/5,#REF!*$AE$8/5),#REF!* $AE$10/5,#REF!* $AE$9/5,#REF!* $AE$7/5)*100)</f>
        <v>#REF!</v>
      </c>
      <c r="AG103" s="221"/>
      <c r="AH103">
        <v>1462</v>
      </c>
      <c r="AI103">
        <v>44226</v>
      </c>
      <c r="AJ103">
        <v>55</v>
      </c>
      <c r="AK103">
        <v>1361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47104</v>
      </c>
      <c r="DL103"/>
    </row>
    <row r="104" spans="1:116" hidden="1" x14ac:dyDescent="0.3">
      <c r="A104" t="s">
        <v>286</v>
      </c>
      <c r="B104" t="s">
        <v>663</v>
      </c>
      <c r="C104" t="s">
        <v>733</v>
      </c>
      <c r="D104" t="s">
        <v>101</v>
      </c>
      <c r="E104" t="s">
        <v>102</v>
      </c>
      <c r="F104" t="s">
        <v>136</v>
      </c>
      <c r="G104" t="s">
        <v>149</v>
      </c>
      <c r="H104" t="s">
        <v>16</v>
      </c>
      <c r="I104" t="s">
        <v>20</v>
      </c>
      <c r="J104" t="s">
        <v>105</v>
      </c>
      <c r="K104" t="s">
        <v>203</v>
      </c>
      <c r="L104" t="s">
        <v>204</v>
      </c>
      <c r="M104" t="s">
        <v>205</v>
      </c>
      <c r="N104">
        <v>2028</v>
      </c>
      <c r="O104" t="s">
        <v>155</v>
      </c>
      <c r="P104" s="1">
        <v>45730</v>
      </c>
      <c r="Q104" s="1">
        <v>45960</v>
      </c>
      <c r="R104" s="1">
        <v>46264</v>
      </c>
      <c r="S104" s="1">
        <v>46629</v>
      </c>
      <c r="T104" s="1" t="e">
        <f xml:space="preserve"> IF(#REF! = "", "X",IF(#REF! &lt;= DATE(#REF!- 3, 12, 15),"5.Respect OPC",IF(#REF! &lt;= DATE(#REF!-2, 4, 1),"3.À risque","1.Très à risque")))</f>
        <v>#REF!</v>
      </c>
      <c r="U104" s="1" t="e">
        <f xml:space="preserve"> IF(#REF! = "", "X",IF(#REF! &lt;= DATE(#REF!- 2, 12, 15),"5.Respect OPC",IF(#REF! &lt;= DATE(#REF!-1, 4, 1),"3.À risque","1.Très à risque")))</f>
        <v>#REF!</v>
      </c>
      <c r="V104" s="1" t="e">
        <f xml:space="preserve"> IF(#REF! = "", "X",IF(#REF! &lt;= DATE(#REF!- 1, 12, 15),"5.Respect OPC",IF(#REF! &lt;= DATE(#REF!, 4, 1),"3.À risque","1.Très à risque")))</f>
        <v>#REF!</v>
      </c>
      <c r="W104" s="1" t="e">
        <f xml:space="preserve"> (YEAR(#REF!) - YEAR(#REF!)) * 12 + MONTH(#REF!) - MONTH(#REF!)</f>
        <v>#REF!</v>
      </c>
      <c r="X104" s="1" t="e">
        <f xml:space="preserve"> (YEAR(#REF!) - YEAR(#REF!)) * 12 + MONTH(#REF!) - MONTH(#REF!)</f>
        <v>#REF!</v>
      </c>
      <c r="Y104" s="1" t="e">
        <f>#REF!+#REF!</f>
        <v>#REF!</v>
      </c>
      <c r="Z104">
        <v>5</v>
      </c>
      <c r="AA104">
        <v>1</v>
      </c>
      <c r="AB104">
        <v>5</v>
      </c>
      <c r="AC104" t="s">
        <v>156</v>
      </c>
      <c r="AD104">
        <v>3</v>
      </c>
      <c r="AE104" s="2" t="e">
        <f>_xlfn.XLOOKUP(#REF!,Portefeuille_MNT_PPS_Access27[Numéro projet],Portefeuille_MNT_PPS_Access27[Critère Etat Infrastructure])</f>
        <v>#REF!</v>
      </c>
      <c r="AF104" s="12" t="e">
        <f>IF(#REF!=5,100, SUM(IF(#REF!="",#REF!*$AE$8/5,#REF!*$AE$8/5),#REF!* $AE$10/5,#REF!* $AE$9/5,#REF!* $AE$7/5)*100)</f>
        <v>#REF!</v>
      </c>
      <c r="AG104" s="221"/>
      <c r="AH104">
        <v>0</v>
      </c>
      <c r="AI104">
        <v>0</v>
      </c>
      <c r="AJ104">
        <v>85</v>
      </c>
      <c r="AK104">
        <v>0</v>
      </c>
      <c r="AL104">
        <v>85</v>
      </c>
      <c r="AM104">
        <v>0</v>
      </c>
      <c r="AN104">
        <v>170</v>
      </c>
      <c r="AO104">
        <v>2000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2340</v>
      </c>
      <c r="BI104">
        <v>2255</v>
      </c>
      <c r="BJ104">
        <v>2255</v>
      </c>
      <c r="DL104"/>
    </row>
    <row r="105" spans="1:116" hidden="1" x14ac:dyDescent="0.3">
      <c r="A105" t="s">
        <v>286</v>
      </c>
      <c r="B105" t="s">
        <v>664</v>
      </c>
      <c r="C105" t="s">
        <v>733</v>
      </c>
      <c r="D105" t="s">
        <v>101</v>
      </c>
      <c r="E105" t="s">
        <v>102</v>
      </c>
      <c r="F105" t="s">
        <v>103</v>
      </c>
      <c r="G105" t="s">
        <v>113</v>
      </c>
      <c r="H105" t="s">
        <v>16</v>
      </c>
      <c r="I105" t="s">
        <v>16</v>
      </c>
      <c r="J105" t="s">
        <v>105</v>
      </c>
      <c r="K105" t="s">
        <v>114</v>
      </c>
      <c r="L105" t="s">
        <v>719</v>
      </c>
      <c r="M105" t="s">
        <v>116</v>
      </c>
      <c r="N105">
        <v>2026</v>
      </c>
      <c r="O105" t="s">
        <v>123</v>
      </c>
      <c r="P105" s="1"/>
      <c r="Q105" s="1">
        <v>45105</v>
      </c>
      <c r="R105" s="1">
        <v>45789</v>
      </c>
      <c r="S105" s="1">
        <v>45932</v>
      </c>
      <c r="T105" s="1" t="e">
        <f xml:space="preserve"> IF(#REF! = "", "X",IF(#REF! &lt;= DATE(#REF!- 3, 12, 15),"5.Respect OPC",IF(#REF! &lt;= DATE(#REF!-2, 4, 1),"3.À risque","1.Très à risque")))</f>
        <v>#REF!</v>
      </c>
      <c r="U105" s="1" t="e">
        <f xml:space="preserve"> IF(#REF! = "", "X",IF(#REF! &lt;= DATE(#REF!- 2, 12, 15),"5.Respect OPC",IF(#REF! &lt;= DATE(#REF!-1, 4, 1),"3.À risque","1.Très à risque")))</f>
        <v>#REF!</v>
      </c>
      <c r="V105" s="1" t="e">
        <f xml:space="preserve"> IF(#REF! = "", "X",IF(#REF! &lt;= DATE(#REF!- 1, 12, 15),"5.Respect OPC",IF(#REF! &lt;= DATE(#REF!, 4, 1),"3.À risque","1.Très à risque")))</f>
        <v>#REF!</v>
      </c>
      <c r="W105" s="1" t="e">
        <f xml:space="preserve"> (YEAR(#REF!) - YEAR(#REF!)) * 12 + MONTH(#REF!) - MONTH(#REF!)</f>
        <v>#REF!</v>
      </c>
      <c r="X105" s="1" t="e">
        <f xml:space="preserve"> (YEAR(#REF!) - YEAR(#REF!)) * 12 + MONTH(#REF!) - MONTH(#REF!)</f>
        <v>#REF!</v>
      </c>
      <c r="Y105" s="1" t="e">
        <f>#REF!+#REF!</f>
        <v>#REF!</v>
      </c>
      <c r="Z105">
        <v>5</v>
      </c>
      <c r="AA105">
        <v>5</v>
      </c>
      <c r="AC105" t="s">
        <v>125</v>
      </c>
      <c r="AD105">
        <v>3.3333333333333335</v>
      </c>
      <c r="AE105" s="2" t="e">
        <f>_xlfn.XLOOKUP(#REF!,Portefeuille_MNT_PPS_Access27[Numéro projet],Portefeuille_MNT_PPS_Access27[Critère Etat Infrastructure])</f>
        <v>#REF!</v>
      </c>
      <c r="AF105" s="12" t="e">
        <f>IF(#REF!=5,100, SUM(IF(#REF!="",#REF!*$AE$8/5,#REF!*$AE$8/5),#REF!* $AE$10/5,#REF!* $AE$9/5,#REF!* $AE$7/5)*100)</f>
        <v>#REF!</v>
      </c>
      <c r="AG105" s="221"/>
      <c r="AH105">
        <v>220</v>
      </c>
      <c r="AI105">
        <v>0</v>
      </c>
      <c r="AJ105">
        <v>820</v>
      </c>
      <c r="AK105">
        <v>16672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17712</v>
      </c>
      <c r="DL105"/>
    </row>
    <row r="106" spans="1:116" hidden="1" x14ac:dyDescent="0.3">
      <c r="A106" t="s">
        <v>286</v>
      </c>
      <c r="B106" t="s">
        <v>662</v>
      </c>
      <c r="C106" t="s">
        <v>733</v>
      </c>
      <c r="D106" t="s">
        <v>118</v>
      </c>
      <c r="E106" t="s">
        <v>102</v>
      </c>
      <c r="F106" t="s">
        <v>119</v>
      </c>
      <c r="G106" t="s">
        <v>206</v>
      </c>
      <c r="H106" t="s">
        <v>16</v>
      </c>
      <c r="I106" t="s">
        <v>130</v>
      </c>
      <c r="J106" t="s">
        <v>131</v>
      </c>
      <c r="K106" t="s">
        <v>207</v>
      </c>
      <c r="L106" t="s">
        <v>208</v>
      </c>
      <c r="M106" t="s">
        <v>209</v>
      </c>
      <c r="N106">
        <v>2028</v>
      </c>
      <c r="O106" t="s">
        <v>155</v>
      </c>
      <c r="P106" s="1">
        <v>44476</v>
      </c>
      <c r="Q106" s="1">
        <v>45976</v>
      </c>
      <c r="R106" s="1">
        <v>46096</v>
      </c>
      <c r="S106" s="1">
        <v>46280</v>
      </c>
      <c r="T106" s="1" t="e">
        <f xml:space="preserve"> IF(#REF! = "", "X",IF(#REF! &lt;= DATE(#REF!- 3, 12, 15),"5.Respect OPC",IF(#REF! &lt;= DATE(#REF!-2, 4, 1),"3.À risque","1.Très à risque")))</f>
        <v>#REF!</v>
      </c>
      <c r="U106" s="1" t="e">
        <f xml:space="preserve"> IF(#REF! = "", "X",IF(#REF! &lt;= DATE(#REF!- 2, 12, 15),"5.Respect OPC",IF(#REF! &lt;= DATE(#REF!-1, 4, 1),"3.À risque","1.Très à risque")))</f>
        <v>#REF!</v>
      </c>
      <c r="V106" s="1" t="e">
        <f xml:space="preserve"> IF(#REF! = "", "X",IF(#REF! &lt;= DATE(#REF!- 1, 12, 15),"5.Respect OPC",IF(#REF! &lt;= DATE(#REF!, 4, 1),"3.À risque","1.Très à risque")))</f>
        <v>#REF!</v>
      </c>
      <c r="W106" s="1" t="e">
        <f xml:space="preserve"> (YEAR(#REF!) - YEAR(#REF!)) * 12 + MONTH(#REF!) - MONTH(#REF!)</f>
        <v>#REF!</v>
      </c>
      <c r="X106" s="1" t="e">
        <f xml:space="preserve"> (YEAR(#REF!) - YEAR(#REF!)) * 12 + MONTH(#REF!) - MONTH(#REF!)</f>
        <v>#REF!</v>
      </c>
      <c r="Y106" s="1" t="e">
        <f>#REF!+#REF!</f>
        <v>#REF!</v>
      </c>
      <c r="Z106">
        <v>5</v>
      </c>
      <c r="AA106">
        <v>5</v>
      </c>
      <c r="AB106">
        <v>5</v>
      </c>
      <c r="AC106" t="s">
        <v>156</v>
      </c>
      <c r="AD106">
        <v>3.3333333333333335</v>
      </c>
      <c r="AE106" s="2" t="e">
        <f>_xlfn.XLOOKUP(#REF!,Portefeuille_MNT_PPS_Access27[Numéro projet],Portefeuille_MNT_PPS_Access27[Critère Etat Infrastructure])</f>
        <v>#REF!</v>
      </c>
      <c r="AF106" s="12" t="e">
        <f>IF(#REF!=5,100, SUM(IF(#REF!="",#REF!*$AE$8/5,#REF!*$AE$8/5),#REF!* $AE$10/5,#REF!* $AE$9/5,#REF!* $AE$7/5)*100)</f>
        <v>#REF!</v>
      </c>
      <c r="AG106" s="221"/>
      <c r="AH106">
        <v>236</v>
      </c>
      <c r="AI106">
        <v>0</v>
      </c>
      <c r="AJ106">
        <v>255</v>
      </c>
      <c r="AK106">
        <v>0</v>
      </c>
      <c r="AL106">
        <v>396</v>
      </c>
      <c r="AM106">
        <v>0</v>
      </c>
      <c r="AN106">
        <v>0</v>
      </c>
      <c r="AO106">
        <v>1500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2387</v>
      </c>
      <c r="BI106">
        <v>1896</v>
      </c>
      <c r="BJ106">
        <v>1896</v>
      </c>
      <c r="DL106"/>
    </row>
    <row r="107" spans="1:116" hidden="1" x14ac:dyDescent="0.3">
      <c r="A107" t="s">
        <v>286</v>
      </c>
      <c r="B107" t="s">
        <v>662</v>
      </c>
      <c r="C107" t="s">
        <v>736</v>
      </c>
      <c r="D107" t="s">
        <v>118</v>
      </c>
      <c r="E107" t="s">
        <v>102</v>
      </c>
      <c r="F107" t="s">
        <v>103</v>
      </c>
      <c r="G107" t="s">
        <v>113</v>
      </c>
      <c r="H107" t="s">
        <v>20</v>
      </c>
      <c r="I107" t="s">
        <v>20</v>
      </c>
      <c r="J107" t="s">
        <v>131</v>
      </c>
      <c r="K107" t="s">
        <v>377</v>
      </c>
      <c r="L107" t="s">
        <v>378</v>
      </c>
      <c r="M107" t="s">
        <v>191</v>
      </c>
      <c r="N107">
        <v>2028</v>
      </c>
      <c r="O107" t="s">
        <v>155</v>
      </c>
      <c r="P107" s="1"/>
      <c r="Q107" s="1">
        <v>46068</v>
      </c>
      <c r="R107" s="1">
        <v>46461</v>
      </c>
      <c r="S107" s="1">
        <v>46888</v>
      </c>
      <c r="T107" s="1" t="e">
        <f xml:space="preserve"> IF(#REF! = "", "X",IF(#REF! &lt;= DATE(#REF!- 3, 12, 15),"5.Respect OPC",IF(#REF! &lt;= DATE(#REF!-2, 4, 1),"3.À risque","1.Très à risque")))</f>
        <v>#REF!</v>
      </c>
      <c r="U107" s="1" t="e">
        <f xml:space="preserve"> IF(#REF! = "", "X",IF(#REF! &lt;= DATE(#REF!- 2, 12, 15),"5.Respect OPC",IF(#REF! &lt;= DATE(#REF!-1, 4, 1),"3.À risque","1.Très à risque")))</f>
        <v>#REF!</v>
      </c>
      <c r="V107" s="1" t="e">
        <f xml:space="preserve"> IF(#REF! = "", "X",IF(#REF! &lt;= DATE(#REF!- 1, 12, 15),"5.Respect OPC",IF(#REF! &lt;= DATE(#REF!, 4, 1),"3.À risque","1.Très à risque")))</f>
        <v>#REF!</v>
      </c>
      <c r="W107" s="1" t="e">
        <f xml:space="preserve"> (YEAR(#REF!) - YEAR(#REF!)) * 12 + MONTH(#REF!) - MONTH(#REF!)</f>
        <v>#REF!</v>
      </c>
      <c r="X107" s="1" t="e">
        <f xml:space="preserve"> (YEAR(#REF!) - YEAR(#REF!)) * 12 + MONTH(#REF!) - MONTH(#REF!)</f>
        <v>#REF!</v>
      </c>
      <c r="Y107" s="1" t="e">
        <f>#REF!+#REF!</f>
        <v>#REF!</v>
      </c>
      <c r="Z107">
        <v>5</v>
      </c>
      <c r="AA107">
        <v>1</v>
      </c>
      <c r="AB107">
        <v>3</v>
      </c>
      <c r="AC107" t="s">
        <v>156</v>
      </c>
      <c r="AD107">
        <v>1.6666666666666667</v>
      </c>
      <c r="AE107" s="2" t="e">
        <f>_xlfn.XLOOKUP(#REF!,Portefeuille_MNT_PPS_Access27[Numéro projet],Portefeuille_MNT_PPS_Access27[Critère Etat Infrastructure])</f>
        <v>#REF!</v>
      </c>
      <c r="AF107" s="12" t="e">
        <f>IF(#REF!=5,100, SUM(IF(#REF!="",#REF!*$AE$8/5,#REF!*$AE$8/5),#REF!* $AE$10/5,#REF!* $AE$9/5,#REF!* $AE$7/5)*100)</f>
        <v>#REF!</v>
      </c>
      <c r="AG107" s="221"/>
      <c r="AH107">
        <v>0</v>
      </c>
      <c r="AI107">
        <v>0</v>
      </c>
      <c r="AJ107">
        <v>100</v>
      </c>
      <c r="AK107">
        <v>0</v>
      </c>
      <c r="AL107">
        <v>200</v>
      </c>
      <c r="AM107">
        <v>0</v>
      </c>
      <c r="AN107">
        <v>495</v>
      </c>
      <c r="AO107">
        <v>8000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8795</v>
      </c>
      <c r="BI107">
        <v>8695</v>
      </c>
      <c r="BJ107">
        <v>8695</v>
      </c>
      <c r="DL107"/>
    </row>
    <row r="108" spans="1:116" hidden="1" x14ac:dyDescent="0.3">
      <c r="A108" t="s">
        <v>286</v>
      </c>
      <c r="B108" t="s">
        <v>662</v>
      </c>
      <c r="C108" t="s">
        <v>733</v>
      </c>
      <c r="D108" t="s">
        <v>118</v>
      </c>
      <c r="E108" t="s">
        <v>102</v>
      </c>
      <c r="F108" t="s">
        <v>103</v>
      </c>
      <c r="G108" t="s">
        <v>206</v>
      </c>
      <c r="H108" t="s">
        <v>16</v>
      </c>
      <c r="I108" t="s">
        <v>20</v>
      </c>
      <c r="J108" t="s">
        <v>131</v>
      </c>
      <c r="K108" t="s">
        <v>210</v>
      </c>
      <c r="L108" t="s">
        <v>211</v>
      </c>
      <c r="M108" t="s">
        <v>209</v>
      </c>
      <c r="N108">
        <v>2028</v>
      </c>
      <c r="O108" t="s">
        <v>155</v>
      </c>
      <c r="P108" s="1"/>
      <c r="Q108" s="1">
        <v>45976</v>
      </c>
      <c r="R108" s="1">
        <v>46341</v>
      </c>
      <c r="S108" s="1">
        <v>46706</v>
      </c>
      <c r="T108" s="1" t="e">
        <f xml:space="preserve"> IF(#REF! = "", "X",IF(#REF! &lt;= DATE(#REF!- 3, 12, 15),"5.Respect OPC",IF(#REF! &lt;= DATE(#REF!-2, 4, 1),"3.À risque","1.Très à risque")))</f>
        <v>#REF!</v>
      </c>
      <c r="U108" s="1" t="e">
        <f xml:space="preserve"> IF(#REF! = "", "X",IF(#REF! &lt;= DATE(#REF!- 2, 12, 15),"5.Respect OPC",IF(#REF! &lt;= DATE(#REF!-1, 4, 1),"3.À risque","1.Très à risque")))</f>
        <v>#REF!</v>
      </c>
      <c r="V108" s="1" t="e">
        <f xml:space="preserve"> IF(#REF! = "", "X",IF(#REF! &lt;= DATE(#REF!- 1, 12, 15),"5.Respect OPC",IF(#REF! &lt;= DATE(#REF!, 4, 1),"3.À risque","1.Très à risque")))</f>
        <v>#REF!</v>
      </c>
      <c r="W108" s="1" t="e">
        <f xml:space="preserve"> (YEAR(#REF!) - YEAR(#REF!)) * 12 + MONTH(#REF!) - MONTH(#REF!)</f>
        <v>#REF!</v>
      </c>
      <c r="X108" s="1" t="e">
        <f xml:space="preserve"> (YEAR(#REF!) - YEAR(#REF!)) * 12 + MONTH(#REF!) - MONTH(#REF!)</f>
        <v>#REF!</v>
      </c>
      <c r="Y108" s="1" t="e">
        <f>#REF!+#REF!</f>
        <v>#REF!</v>
      </c>
      <c r="Z108">
        <v>5</v>
      </c>
      <c r="AA108">
        <v>1</v>
      </c>
      <c r="AB108">
        <v>5</v>
      </c>
      <c r="AC108" t="s">
        <v>156</v>
      </c>
      <c r="AD108">
        <v>3.3333333333333335</v>
      </c>
      <c r="AE108" s="2" t="e">
        <f>_xlfn.XLOOKUP(#REF!,Portefeuille_MNT_PPS_Access27[Numéro projet],Portefeuille_MNT_PPS_Access27[Critère Etat Infrastructure])</f>
        <v>#REF!</v>
      </c>
      <c r="AF108" s="12" t="e">
        <f>IF(#REF!=5,100, SUM(IF(#REF!="",#REF!*$AE$8/5,#REF!*$AE$8/5),#REF!* $AE$10/5,#REF!* $AE$9/5,#REF!* $AE$7/5)*100)</f>
        <v>#REF!</v>
      </c>
      <c r="AG108" s="221"/>
      <c r="AH108">
        <v>108</v>
      </c>
      <c r="AI108">
        <v>0</v>
      </c>
      <c r="AJ108">
        <v>100</v>
      </c>
      <c r="AK108">
        <v>0</v>
      </c>
      <c r="AL108">
        <v>100</v>
      </c>
      <c r="AM108">
        <v>0</v>
      </c>
      <c r="AN108">
        <v>250</v>
      </c>
      <c r="AO108">
        <v>7500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8058</v>
      </c>
      <c r="BI108">
        <v>7850</v>
      </c>
      <c r="BJ108">
        <v>7850</v>
      </c>
      <c r="DL108"/>
    </row>
    <row r="109" spans="1:116" hidden="1" x14ac:dyDescent="0.3">
      <c r="A109" t="s">
        <v>286</v>
      </c>
      <c r="B109" t="s">
        <v>664</v>
      </c>
      <c r="C109" t="s">
        <v>733</v>
      </c>
      <c r="D109" t="s">
        <v>101</v>
      </c>
      <c r="E109" t="s">
        <v>102</v>
      </c>
      <c r="F109" t="s">
        <v>103</v>
      </c>
      <c r="H109" t="s">
        <v>20</v>
      </c>
      <c r="I109" t="s">
        <v>20</v>
      </c>
      <c r="J109" t="s">
        <v>131</v>
      </c>
      <c r="K109" t="s">
        <v>379</v>
      </c>
      <c r="L109" t="s">
        <v>380</v>
      </c>
      <c r="M109" t="s">
        <v>134</v>
      </c>
      <c r="N109">
        <v>2035</v>
      </c>
      <c r="O109" t="s">
        <v>291</v>
      </c>
      <c r="P109" s="1"/>
      <c r="Q109" s="1"/>
      <c r="R109" s="1"/>
      <c r="S109" s="1"/>
      <c r="T109" s="1" t="e">
        <f xml:space="preserve"> IF(#REF! = "", "X",IF(#REF! &lt;= DATE(#REF!- 3, 12, 15),"5.Respect OPC",IF(#REF! &lt;= DATE(#REF!-2, 4, 1),"3.À risque","1.Très à risque")))</f>
        <v>#REF!</v>
      </c>
      <c r="U109" s="1" t="e">
        <f xml:space="preserve"> IF(#REF! = "", "X",IF(#REF! &lt;= DATE(#REF!- 2, 12, 15),"5.Respect OPC",IF(#REF! &lt;= DATE(#REF!-1, 4, 1),"3.À risque","1.Très à risque")))</f>
        <v>#REF!</v>
      </c>
      <c r="V109" s="1" t="e">
        <f xml:space="preserve"> IF(#REF! = "", "X",IF(#REF! &lt;= DATE(#REF!- 1, 12, 15),"5.Respect OPC",IF(#REF! &lt;= DATE(#REF!, 4, 1),"3.À risque","1.Très à risque")))</f>
        <v>#REF!</v>
      </c>
      <c r="W109" s="1" t="e">
        <f xml:space="preserve"> (YEAR(#REF!) - YEAR(#REF!)) * 12 + MONTH(#REF!) - MONTH(#REF!)</f>
        <v>#REF!</v>
      </c>
      <c r="X109" s="1" t="e">
        <f xml:space="preserve"> (YEAR(#REF!) - YEAR(#REF!)) * 12 + MONTH(#REF!) - MONTH(#REF!)</f>
        <v>#REF!</v>
      </c>
      <c r="Y109" s="1" t="e">
        <f>#REF!+#REF!</f>
        <v>#REF!</v>
      </c>
      <c r="Z109">
        <v>5</v>
      </c>
      <c r="AA109">
        <v>1</v>
      </c>
      <c r="AC109" t="s">
        <v>311</v>
      </c>
      <c r="AD109">
        <v>2.3333333333333335</v>
      </c>
      <c r="AE109" s="2" t="e">
        <f>_xlfn.XLOOKUP(#REF!,Portefeuille_MNT_PPS_Access27[Numéro projet],Portefeuille_MNT_PPS_Access27[Critère Etat Infrastructure])</f>
        <v>#REF!</v>
      </c>
      <c r="AF109" s="12" t="e">
        <f>IF(#REF!=5,100, SUM(IF(#REF!="",#REF!*$AE$8/5,#REF!*$AE$8/5),#REF!* $AE$10/5,#REF!* $AE$9/5,#REF!* $AE$7/5)*100)</f>
        <v>#REF!</v>
      </c>
      <c r="AG109" s="221"/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150</v>
      </c>
      <c r="BA109">
        <v>0</v>
      </c>
      <c r="BB109">
        <v>250</v>
      </c>
      <c r="BC109">
        <v>5000</v>
      </c>
      <c r="BD109">
        <v>0</v>
      </c>
      <c r="BE109">
        <v>0</v>
      </c>
      <c r="BF109">
        <v>0</v>
      </c>
      <c r="BG109">
        <v>0</v>
      </c>
      <c r="BH109">
        <v>5400</v>
      </c>
      <c r="BJ109">
        <v>5400</v>
      </c>
      <c r="DL109"/>
    </row>
    <row r="110" spans="1:116" hidden="1" x14ac:dyDescent="0.3">
      <c r="A110" t="s">
        <v>286</v>
      </c>
      <c r="B110" t="s">
        <v>664</v>
      </c>
      <c r="C110" t="s">
        <v>733</v>
      </c>
      <c r="D110" t="s">
        <v>101</v>
      </c>
      <c r="E110" t="s">
        <v>102</v>
      </c>
      <c r="F110" t="s">
        <v>103</v>
      </c>
      <c r="H110" t="s">
        <v>20</v>
      </c>
      <c r="I110" t="s">
        <v>20</v>
      </c>
      <c r="J110" t="s">
        <v>131</v>
      </c>
      <c r="K110" t="s">
        <v>383</v>
      </c>
      <c r="L110" t="s">
        <v>384</v>
      </c>
      <c r="M110" t="s">
        <v>183</v>
      </c>
      <c r="N110">
        <v>2035</v>
      </c>
      <c r="O110" t="s">
        <v>291</v>
      </c>
      <c r="P110" s="1"/>
      <c r="Q110" s="1"/>
      <c r="R110" s="1"/>
      <c r="S110" s="1"/>
      <c r="T110" s="1" t="e">
        <f xml:space="preserve"> IF(#REF! = "", "X",IF(#REF! &lt;= DATE(#REF!- 3, 12, 15),"5.Respect OPC",IF(#REF! &lt;= DATE(#REF!-2, 4, 1),"3.À risque","1.Très à risque")))</f>
        <v>#REF!</v>
      </c>
      <c r="U110" s="1" t="e">
        <f xml:space="preserve"> IF(#REF! = "", "X",IF(#REF! &lt;= DATE(#REF!- 2, 12, 15),"5.Respect OPC",IF(#REF! &lt;= DATE(#REF!-1, 4, 1),"3.À risque","1.Très à risque")))</f>
        <v>#REF!</v>
      </c>
      <c r="V110" s="1" t="e">
        <f xml:space="preserve"> IF(#REF! = "", "X",IF(#REF! &lt;= DATE(#REF!- 1, 12, 15),"5.Respect OPC",IF(#REF! &lt;= DATE(#REF!, 4, 1),"3.À risque","1.Très à risque")))</f>
        <v>#REF!</v>
      </c>
      <c r="W110" s="1" t="e">
        <f xml:space="preserve"> (YEAR(#REF!) - YEAR(#REF!)) * 12 + MONTH(#REF!) - MONTH(#REF!)</f>
        <v>#REF!</v>
      </c>
      <c r="X110" s="1" t="e">
        <f xml:space="preserve"> (YEAR(#REF!) - YEAR(#REF!)) * 12 + MONTH(#REF!) - MONTH(#REF!)</f>
        <v>#REF!</v>
      </c>
      <c r="Y110" s="1" t="e">
        <f>#REF!+#REF!</f>
        <v>#REF!</v>
      </c>
      <c r="Z110">
        <v>5</v>
      </c>
      <c r="AA110">
        <v>1</v>
      </c>
      <c r="AC110" t="s">
        <v>311</v>
      </c>
      <c r="AD110">
        <v>2.3333333333333335</v>
      </c>
      <c r="AE110" s="2" t="e">
        <f>_xlfn.XLOOKUP(#REF!,Portefeuille_MNT_PPS_Access27[Numéro projet],Portefeuille_MNT_PPS_Access27[Critère Etat Infrastructure])</f>
        <v>#REF!</v>
      </c>
      <c r="AF110" s="12" t="e">
        <f>IF(#REF!=5,100, SUM(IF(#REF!="",#REF!*$AE$8/5,#REF!*$AE$8/5),#REF!* $AE$10/5,#REF!* $AE$9/5,#REF!* $AE$7/5)*100)</f>
        <v>#REF!</v>
      </c>
      <c r="AG110" s="221"/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150</v>
      </c>
      <c r="BA110">
        <v>0</v>
      </c>
      <c r="BB110">
        <v>250</v>
      </c>
      <c r="BC110">
        <v>5000</v>
      </c>
      <c r="BD110">
        <v>0</v>
      </c>
      <c r="BE110">
        <v>0</v>
      </c>
      <c r="BF110">
        <v>0</v>
      </c>
      <c r="BG110">
        <v>0</v>
      </c>
      <c r="BH110">
        <v>5400</v>
      </c>
      <c r="BJ110">
        <v>5400</v>
      </c>
      <c r="DL110"/>
    </row>
    <row r="111" spans="1:116" hidden="1" x14ac:dyDescent="0.3">
      <c r="A111" t="s">
        <v>286</v>
      </c>
      <c r="B111" t="s">
        <v>664</v>
      </c>
      <c r="C111" t="s">
        <v>733</v>
      </c>
      <c r="D111" t="s">
        <v>101</v>
      </c>
      <c r="E111" t="s">
        <v>102</v>
      </c>
      <c r="F111" t="s">
        <v>136</v>
      </c>
      <c r="G111" t="s">
        <v>149</v>
      </c>
      <c r="H111" t="s">
        <v>16</v>
      </c>
      <c r="I111" t="s">
        <v>20</v>
      </c>
      <c r="J111" t="s">
        <v>131</v>
      </c>
      <c r="K111" t="s">
        <v>212</v>
      </c>
      <c r="L111" t="s">
        <v>213</v>
      </c>
      <c r="M111" t="s">
        <v>214</v>
      </c>
      <c r="N111">
        <v>2030</v>
      </c>
      <c r="O111" t="s">
        <v>155</v>
      </c>
      <c r="P111" s="1">
        <v>45337</v>
      </c>
      <c r="Q111" s="1">
        <v>46127</v>
      </c>
      <c r="R111" s="1">
        <v>46798</v>
      </c>
      <c r="S111" s="1">
        <v>47192</v>
      </c>
      <c r="T111" s="1" t="e">
        <f xml:space="preserve"> IF(#REF! = "", "X",IF(#REF! &lt;= DATE(#REF!- 3, 12, 15),"5.Respect OPC",IF(#REF! &lt;= DATE(#REF!-2, 4, 1),"3.À risque","1.Très à risque")))</f>
        <v>#REF!</v>
      </c>
      <c r="U111" s="1" t="e">
        <f xml:space="preserve"> IF(#REF! = "", "X",IF(#REF! &lt;= DATE(#REF!- 2, 12, 15),"5.Respect OPC",IF(#REF! &lt;= DATE(#REF!-1, 4, 1),"3.À risque","1.Très à risque")))</f>
        <v>#REF!</v>
      </c>
      <c r="V111" s="1" t="e">
        <f xml:space="preserve"> IF(#REF! = "", "X",IF(#REF! &lt;= DATE(#REF!- 1, 12, 15),"5.Respect OPC",IF(#REF! &lt;= DATE(#REF!, 4, 1),"3.À risque","1.Très à risque")))</f>
        <v>#REF!</v>
      </c>
      <c r="W111" s="1" t="e">
        <f xml:space="preserve"> (YEAR(#REF!) - YEAR(#REF!)) * 12 + MONTH(#REF!) - MONTH(#REF!)</f>
        <v>#REF!</v>
      </c>
      <c r="X111" s="1" t="e">
        <f xml:space="preserve"> (YEAR(#REF!) - YEAR(#REF!)) * 12 + MONTH(#REF!) - MONTH(#REF!)</f>
        <v>#REF!</v>
      </c>
      <c r="Y111" s="1" t="e">
        <f>#REF!+#REF!</f>
        <v>#REF!</v>
      </c>
      <c r="Z111">
        <v>5</v>
      </c>
      <c r="AA111">
        <v>1</v>
      </c>
      <c r="AC111" t="s">
        <v>156</v>
      </c>
      <c r="AD111">
        <v>3</v>
      </c>
      <c r="AE111" s="2" t="e">
        <f>_xlfn.XLOOKUP(#REF!,Portefeuille_MNT_PPS_Access27[Numéro projet],Portefeuille_MNT_PPS_Access27[Critère Etat Infrastructure])</f>
        <v>#REF!</v>
      </c>
      <c r="AF111" s="12" t="e">
        <f>IF(#REF!=5,100, SUM(IF(#REF!="",#REF!*$AE$8/5,#REF!*$AE$8/5),#REF!* $AE$10/5,#REF!* $AE$9/5,#REF!* $AE$7/5)*100)</f>
        <v>#REF!</v>
      </c>
      <c r="AG111" s="221"/>
      <c r="AH111">
        <v>247</v>
      </c>
      <c r="AI111">
        <v>0</v>
      </c>
      <c r="AJ111">
        <v>125</v>
      </c>
      <c r="AK111">
        <v>0</v>
      </c>
      <c r="AL111">
        <v>125</v>
      </c>
      <c r="AM111">
        <v>0</v>
      </c>
      <c r="AN111">
        <v>125</v>
      </c>
      <c r="AO111">
        <v>0</v>
      </c>
      <c r="AP111">
        <v>125</v>
      </c>
      <c r="AQ111">
        <v>0</v>
      </c>
      <c r="AR111">
        <v>300</v>
      </c>
      <c r="AS111">
        <v>5000</v>
      </c>
      <c r="AT111">
        <v>474</v>
      </c>
      <c r="AU111">
        <v>10000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16521</v>
      </c>
      <c r="BI111">
        <v>16149</v>
      </c>
      <c r="BJ111">
        <v>16149</v>
      </c>
      <c r="DL111"/>
    </row>
    <row r="112" spans="1:116" hidden="1" x14ac:dyDescent="0.3">
      <c r="A112" t="s">
        <v>286</v>
      </c>
      <c r="B112" t="s">
        <v>662</v>
      </c>
      <c r="C112" t="s">
        <v>733</v>
      </c>
      <c r="D112" t="s">
        <v>101</v>
      </c>
      <c r="E112" t="s">
        <v>102</v>
      </c>
      <c r="F112" t="s">
        <v>200</v>
      </c>
      <c r="G112" t="s">
        <v>129</v>
      </c>
      <c r="H112" t="s">
        <v>16</v>
      </c>
      <c r="I112" t="s">
        <v>20</v>
      </c>
      <c r="J112" t="s">
        <v>131</v>
      </c>
      <c r="K112" t="s">
        <v>385</v>
      </c>
      <c r="L112" t="s">
        <v>740</v>
      </c>
      <c r="M112" t="s">
        <v>134</v>
      </c>
      <c r="N112">
        <v>2028</v>
      </c>
      <c r="O112" t="s">
        <v>155</v>
      </c>
      <c r="P112" s="1">
        <v>45672</v>
      </c>
      <c r="Q112" s="1">
        <v>45960</v>
      </c>
      <c r="R112" s="1">
        <v>46266</v>
      </c>
      <c r="S112" s="1">
        <v>46631</v>
      </c>
      <c r="T112" s="1" t="e">
        <f xml:space="preserve"> IF(#REF! = "", "X",IF(#REF! &lt;= DATE(#REF!- 3, 12, 15),"5.Respect OPC",IF(#REF! &lt;= DATE(#REF!-2, 4, 1),"3.À risque","1.Très à risque")))</f>
        <v>#REF!</v>
      </c>
      <c r="U112" s="1" t="e">
        <f xml:space="preserve"> IF(#REF! = "", "X",IF(#REF! &lt;= DATE(#REF!- 2, 12, 15),"5.Respect OPC",IF(#REF! &lt;= DATE(#REF!-1, 4, 1),"3.À risque","1.Très à risque")))</f>
        <v>#REF!</v>
      </c>
      <c r="V112" s="1" t="e">
        <f xml:space="preserve"> IF(#REF! = "", "X",IF(#REF! &lt;= DATE(#REF!- 1, 12, 15),"5.Respect OPC",IF(#REF! &lt;= DATE(#REF!, 4, 1),"3.À risque","1.Très à risque")))</f>
        <v>#REF!</v>
      </c>
      <c r="W112" s="1" t="e">
        <f xml:space="preserve"> (YEAR(#REF!) - YEAR(#REF!)) * 12 + MONTH(#REF!) - MONTH(#REF!)</f>
        <v>#REF!</v>
      </c>
      <c r="X112" s="1" t="e">
        <f xml:space="preserve"> (YEAR(#REF!) - YEAR(#REF!)) * 12 + MONTH(#REF!) - MONTH(#REF!)</f>
        <v>#REF!</v>
      </c>
      <c r="Y112" s="1" t="e">
        <f>#REF!+#REF!</f>
        <v>#REF!</v>
      </c>
      <c r="Z112">
        <v>5</v>
      </c>
      <c r="AA112">
        <v>1</v>
      </c>
      <c r="AB112">
        <v>5</v>
      </c>
      <c r="AC112" t="s">
        <v>156</v>
      </c>
      <c r="AD112">
        <v>1.3333333333333333</v>
      </c>
      <c r="AE112" s="2" t="e">
        <f>_xlfn.XLOOKUP(#REF!,Portefeuille_MNT_PPS_Access27[Numéro projet],Portefeuille_MNT_PPS_Access27[Critère Etat Infrastructure])</f>
        <v>#REF!</v>
      </c>
      <c r="AF112" s="12" t="e">
        <f>IF(#REF!=5,100, SUM(IF(#REF!="",#REF!*$AE$8/5,#REF!*$AE$8/5),#REF!* $AE$10/5,#REF!* $AE$9/5,#REF!* $AE$7/5)*100)</f>
        <v>#REF!</v>
      </c>
      <c r="AG112" s="221"/>
      <c r="AH112">
        <v>0</v>
      </c>
      <c r="AI112">
        <v>0</v>
      </c>
      <c r="AJ112">
        <v>30</v>
      </c>
      <c r="AK112">
        <v>0</v>
      </c>
      <c r="AL112">
        <v>30</v>
      </c>
      <c r="AM112">
        <v>0</v>
      </c>
      <c r="AN112">
        <v>110</v>
      </c>
      <c r="AO112">
        <v>1161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1331</v>
      </c>
      <c r="BI112">
        <v>1301</v>
      </c>
      <c r="BJ112">
        <v>1301</v>
      </c>
      <c r="DL112"/>
    </row>
    <row r="113" spans="1:116" hidden="1" x14ac:dyDescent="0.3">
      <c r="A113" t="s">
        <v>286</v>
      </c>
      <c r="C113" t="s">
        <v>733</v>
      </c>
      <c r="D113" t="s">
        <v>118</v>
      </c>
      <c r="F113" t="s">
        <v>242</v>
      </c>
      <c r="H113" t="s">
        <v>20</v>
      </c>
      <c r="I113" t="s">
        <v>20</v>
      </c>
      <c r="J113" t="s">
        <v>131</v>
      </c>
      <c r="K113" t="s">
        <v>712</v>
      </c>
      <c r="L113" t="s">
        <v>686</v>
      </c>
      <c r="M113" t="s">
        <v>687</v>
      </c>
      <c r="N113">
        <v>2030</v>
      </c>
      <c r="P113" s="1"/>
      <c r="Q113" s="1"/>
      <c r="R113" s="1"/>
      <c r="S113" s="1"/>
      <c r="T113" s="1" t="e">
        <f xml:space="preserve"> IF(#REF! = "", "X",IF(#REF! &lt;= DATE(#REF!- 3, 12, 15),"5.Respect OPC",IF(#REF! &lt;= DATE(#REF!-2, 4, 1),"3.À risque","1.Très à risque")))</f>
        <v>#REF!</v>
      </c>
      <c r="U113" s="1" t="e">
        <f xml:space="preserve"> IF(#REF! = "", "X",IF(#REF! &lt;= DATE(#REF!- 2, 12, 15),"5.Respect OPC",IF(#REF! &lt;= DATE(#REF!-1, 4, 1),"3.À risque","1.Très à risque")))</f>
        <v>#REF!</v>
      </c>
      <c r="V113" s="1" t="e">
        <f xml:space="preserve"> IF(#REF! = "", "X",IF(#REF! &lt;= DATE(#REF!- 1, 12, 15),"5.Respect OPC",IF(#REF! &lt;= DATE(#REF!, 4, 1),"3.À risque","1.Très à risque")))</f>
        <v>#REF!</v>
      </c>
      <c r="W113" s="1" t="e">
        <f xml:space="preserve"> (YEAR(#REF!) - YEAR(#REF!)) * 12 + MONTH(#REF!) - MONTH(#REF!)</f>
        <v>#REF!</v>
      </c>
      <c r="X113" s="1" t="e">
        <f xml:space="preserve"> (YEAR(#REF!) - YEAR(#REF!)) * 12 + MONTH(#REF!) - MONTH(#REF!)</f>
        <v>#REF!</v>
      </c>
      <c r="Y113" s="1" t="e">
        <f>#REF!+#REF!</f>
        <v>#REF!</v>
      </c>
      <c r="Z113">
        <v>5</v>
      </c>
      <c r="AA113">
        <v>1</v>
      </c>
      <c r="AD113">
        <v>1.6666666666666667</v>
      </c>
      <c r="AE113" s="2" t="e">
        <f>_xlfn.XLOOKUP(#REF!,Portefeuille_MNT_PPS_Access27[Numéro projet],Portefeuille_MNT_PPS_Access27[Critère Etat Infrastructure])</f>
        <v>#REF!</v>
      </c>
      <c r="AF113" s="12" t="e">
        <f>IF(#REF!=5,100, SUM(IF(#REF!="",#REF!*$AE$8/5,#REF!*$AE$8/5),#REF!* $AE$10/5,#REF!* $AE$9/5,#REF!* $AE$7/5)*100)</f>
        <v>#REF!</v>
      </c>
      <c r="AG113" s="221"/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50</v>
      </c>
      <c r="AO113">
        <v>0</v>
      </c>
      <c r="AP113">
        <v>100</v>
      </c>
      <c r="AQ113">
        <v>0</v>
      </c>
      <c r="AR113">
        <v>200</v>
      </c>
      <c r="AS113">
        <v>1500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1850</v>
      </c>
      <c r="BI113">
        <v>1850</v>
      </c>
      <c r="BJ113">
        <v>1850</v>
      </c>
      <c r="DL113"/>
    </row>
    <row r="114" spans="1:116" hidden="1" x14ac:dyDescent="0.3">
      <c r="A114" t="s">
        <v>286</v>
      </c>
      <c r="C114" t="s">
        <v>733</v>
      </c>
      <c r="D114" t="s">
        <v>118</v>
      </c>
      <c r="F114" t="s">
        <v>136</v>
      </c>
      <c r="H114" t="s">
        <v>20</v>
      </c>
      <c r="I114" t="s">
        <v>20</v>
      </c>
      <c r="J114" t="s">
        <v>105</v>
      </c>
      <c r="K114" t="s">
        <v>713</v>
      </c>
      <c r="L114" t="s">
        <v>693</v>
      </c>
      <c r="M114" t="s">
        <v>239</v>
      </c>
      <c r="N114">
        <v>2028</v>
      </c>
      <c r="P114" s="1"/>
      <c r="Q114" s="1"/>
      <c r="R114" s="1"/>
      <c r="S114" s="1"/>
      <c r="T114" s="1" t="e">
        <f xml:space="preserve"> IF(#REF! = "", "X",IF(#REF! &lt;= DATE(#REF!- 3, 12, 15),"5.Respect OPC",IF(#REF! &lt;= DATE(#REF!-2, 4, 1),"3.À risque","1.Très à risque")))</f>
        <v>#REF!</v>
      </c>
      <c r="U114" s="1" t="e">
        <f xml:space="preserve"> IF(#REF! = "", "X",IF(#REF! &lt;= DATE(#REF!- 2, 12, 15),"5.Respect OPC",IF(#REF! &lt;= DATE(#REF!-1, 4, 1),"3.À risque","1.Très à risque")))</f>
        <v>#REF!</v>
      </c>
      <c r="V114" s="1" t="e">
        <f xml:space="preserve"> IF(#REF! = "", "X",IF(#REF! &lt;= DATE(#REF!- 1, 12, 15),"5.Respect OPC",IF(#REF! &lt;= DATE(#REF!, 4, 1),"3.À risque","1.Très à risque")))</f>
        <v>#REF!</v>
      </c>
      <c r="W114" s="1" t="e">
        <f xml:space="preserve"> (YEAR(#REF!) - YEAR(#REF!)) * 12 + MONTH(#REF!) - MONTH(#REF!)</f>
        <v>#REF!</v>
      </c>
      <c r="X114" s="1" t="e">
        <f xml:space="preserve"> (YEAR(#REF!) - YEAR(#REF!)) * 12 + MONTH(#REF!) - MONTH(#REF!)</f>
        <v>#REF!</v>
      </c>
      <c r="Y114" s="1" t="e">
        <f>#REF!+#REF!</f>
        <v>#REF!</v>
      </c>
      <c r="Z114">
        <v>5</v>
      </c>
      <c r="AA114">
        <v>1</v>
      </c>
      <c r="AB114">
        <v>3</v>
      </c>
      <c r="AD114">
        <v>3.3333333333333335</v>
      </c>
      <c r="AE114" s="2" t="e">
        <f>_xlfn.XLOOKUP(#REF!,Portefeuille_MNT_PPS_Access27[Numéro projet],Portefeuille_MNT_PPS_Access27[Critère Etat Infrastructure])</f>
        <v>#REF!</v>
      </c>
      <c r="AF114" s="12" t="e">
        <f>IF(#REF!=5,100, SUM(IF(#REF!="",#REF!*$AE$8/5,#REF!*$AE$8/5),#REF!* $AE$10/5,#REF!* $AE$9/5,#REF!* $AE$7/5)*100)</f>
        <v>#REF!</v>
      </c>
      <c r="AG114" s="221"/>
      <c r="AH114">
        <v>0</v>
      </c>
      <c r="AI114">
        <v>0</v>
      </c>
      <c r="AJ114">
        <v>0</v>
      </c>
      <c r="AK114">
        <v>0</v>
      </c>
      <c r="AL114">
        <v>75</v>
      </c>
      <c r="AM114">
        <v>0</v>
      </c>
      <c r="AN114">
        <v>75</v>
      </c>
      <c r="AO114">
        <v>1500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1650</v>
      </c>
      <c r="BI114">
        <v>1650</v>
      </c>
      <c r="BJ114">
        <v>1650</v>
      </c>
      <c r="BK114" s="14"/>
      <c r="BL114" s="14"/>
      <c r="BM114" s="14"/>
      <c r="BN114" s="14"/>
      <c r="DL114"/>
    </row>
    <row r="115" spans="1:116" hidden="1" x14ac:dyDescent="0.3">
      <c r="A115" t="s">
        <v>286</v>
      </c>
      <c r="C115" t="s">
        <v>733</v>
      </c>
      <c r="D115" t="s">
        <v>118</v>
      </c>
      <c r="F115" t="s">
        <v>136</v>
      </c>
      <c r="H115" t="s">
        <v>20</v>
      </c>
      <c r="I115" t="s">
        <v>20</v>
      </c>
      <c r="J115" t="s">
        <v>105</v>
      </c>
      <c r="K115" t="s">
        <v>714</v>
      </c>
      <c r="L115" t="s">
        <v>697</v>
      </c>
      <c r="M115" t="s">
        <v>230</v>
      </c>
      <c r="N115">
        <v>2029</v>
      </c>
      <c r="P115" s="1"/>
      <c r="Q115" s="1"/>
      <c r="R115" s="1"/>
      <c r="S115" s="1"/>
      <c r="T115" s="1" t="e">
        <f xml:space="preserve"> IF(#REF! = "", "X",IF(#REF! &lt;= DATE(#REF!- 3, 12, 15),"5.Respect OPC",IF(#REF! &lt;= DATE(#REF!-2, 4, 1),"3.À risque","1.Très à risque")))</f>
        <v>#REF!</v>
      </c>
      <c r="U115" s="1" t="e">
        <f xml:space="preserve"> IF(#REF! = "", "X",IF(#REF! &lt;= DATE(#REF!- 2, 12, 15),"5.Respect OPC",IF(#REF! &lt;= DATE(#REF!-1, 4, 1),"3.À risque","1.Très à risque")))</f>
        <v>#REF!</v>
      </c>
      <c r="V115" s="1" t="e">
        <f xml:space="preserve"> IF(#REF! = "", "X",IF(#REF! &lt;= DATE(#REF!- 1, 12, 15),"5.Respect OPC",IF(#REF! &lt;= DATE(#REF!, 4, 1),"3.À risque","1.Très à risque")))</f>
        <v>#REF!</v>
      </c>
      <c r="W115" s="1" t="e">
        <f xml:space="preserve"> (YEAR(#REF!) - YEAR(#REF!)) * 12 + MONTH(#REF!) - MONTH(#REF!)</f>
        <v>#REF!</v>
      </c>
      <c r="X115" s="1" t="e">
        <f xml:space="preserve"> (YEAR(#REF!) - YEAR(#REF!)) * 12 + MONTH(#REF!) - MONTH(#REF!)</f>
        <v>#REF!</v>
      </c>
      <c r="Y115" s="1" t="e">
        <f>#REF!+#REF!</f>
        <v>#REF!</v>
      </c>
      <c r="Z115">
        <v>5</v>
      </c>
      <c r="AA115">
        <v>1</v>
      </c>
      <c r="AB115">
        <v>3</v>
      </c>
      <c r="AD115">
        <v>3</v>
      </c>
      <c r="AE115" s="2" t="e">
        <f>_xlfn.XLOOKUP(#REF!,Portefeuille_MNT_PPS_Access27[Numéro projet],Portefeuille_MNT_PPS_Access27[Critère Etat Infrastructure])</f>
        <v>#REF!</v>
      </c>
      <c r="AF115" s="12" t="e">
        <f>IF(#REF!=5,100, SUM(IF(#REF!="",#REF!*$AE$8/5,#REF!*$AE$8/5),#REF!* $AE$10/5,#REF!* $AE$9/5,#REF!* $AE$7/5)*100)</f>
        <v>#REF!</v>
      </c>
      <c r="AG115" s="221"/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75</v>
      </c>
      <c r="AO115">
        <v>0</v>
      </c>
      <c r="AP115">
        <v>75</v>
      </c>
      <c r="AQ115">
        <v>1500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1650</v>
      </c>
      <c r="BI115">
        <v>1650</v>
      </c>
      <c r="BJ115">
        <v>1650</v>
      </c>
      <c r="DL115"/>
    </row>
    <row r="116" spans="1:116" hidden="1" x14ac:dyDescent="0.3">
      <c r="A116" t="s">
        <v>286</v>
      </c>
      <c r="C116" t="s">
        <v>733</v>
      </c>
      <c r="D116" t="s">
        <v>118</v>
      </c>
      <c r="F116" t="s">
        <v>136</v>
      </c>
      <c r="H116" t="s">
        <v>20</v>
      </c>
      <c r="I116" t="s">
        <v>20</v>
      </c>
      <c r="J116" t="s">
        <v>105</v>
      </c>
      <c r="K116" t="s">
        <v>715</v>
      </c>
      <c r="L116" t="s">
        <v>694</v>
      </c>
      <c r="M116" t="s">
        <v>402</v>
      </c>
      <c r="N116">
        <v>2028</v>
      </c>
      <c r="P116" s="1"/>
      <c r="Q116" s="1"/>
      <c r="R116" s="1"/>
      <c r="S116" s="1"/>
      <c r="T116" s="1" t="e">
        <f xml:space="preserve"> IF(#REF! = "", "X",IF(#REF! &lt;= DATE(#REF!- 3, 12, 15),"5.Respect OPC",IF(#REF! &lt;= DATE(#REF!-2, 4, 1),"3.À risque","1.Très à risque")))</f>
        <v>#REF!</v>
      </c>
      <c r="U116" s="1" t="e">
        <f xml:space="preserve"> IF(#REF! = "", "X",IF(#REF! &lt;= DATE(#REF!- 2, 12, 15),"5.Respect OPC",IF(#REF! &lt;= DATE(#REF!-1, 4, 1),"3.À risque","1.Très à risque")))</f>
        <v>#REF!</v>
      </c>
      <c r="V116" s="1" t="e">
        <f xml:space="preserve"> IF(#REF! = "", "X",IF(#REF! &lt;= DATE(#REF!- 1, 12, 15),"5.Respect OPC",IF(#REF! &lt;= DATE(#REF!, 4, 1),"3.À risque","1.Très à risque")))</f>
        <v>#REF!</v>
      </c>
      <c r="W116" s="1" t="e">
        <f xml:space="preserve"> (YEAR(#REF!) - YEAR(#REF!)) * 12 + MONTH(#REF!) - MONTH(#REF!)</f>
        <v>#REF!</v>
      </c>
      <c r="X116" s="1" t="e">
        <f xml:space="preserve"> (YEAR(#REF!) - YEAR(#REF!)) * 12 + MONTH(#REF!) - MONTH(#REF!)</f>
        <v>#REF!</v>
      </c>
      <c r="Y116" s="1" t="e">
        <f>#REF!+#REF!</f>
        <v>#REF!</v>
      </c>
      <c r="Z116">
        <v>5</v>
      </c>
      <c r="AA116">
        <v>1</v>
      </c>
      <c r="AB116">
        <v>3</v>
      </c>
      <c r="AD116">
        <v>2.6666666666666665</v>
      </c>
      <c r="AE116" s="2" t="e">
        <f>_xlfn.XLOOKUP(#REF!,Portefeuille_MNT_PPS_Access27[Numéro projet],Portefeuille_MNT_PPS_Access27[Critère Etat Infrastructure])</f>
        <v>#REF!</v>
      </c>
      <c r="AF116" s="12" t="e">
        <f>IF(#REF!=5,100, SUM(IF(#REF!="",#REF!*$AE$8/5,#REF!*$AE$8/5),#REF!* $AE$10/5,#REF!* $AE$9/5,#REF!* $AE$7/5)*100)</f>
        <v>#REF!</v>
      </c>
      <c r="AG116" s="221"/>
      <c r="AH116">
        <v>0</v>
      </c>
      <c r="AI116">
        <v>0</v>
      </c>
      <c r="AJ116">
        <v>0</v>
      </c>
      <c r="AK116">
        <v>0</v>
      </c>
      <c r="AL116">
        <v>75</v>
      </c>
      <c r="AM116">
        <v>0</v>
      </c>
      <c r="AN116">
        <v>75</v>
      </c>
      <c r="AO116">
        <v>1500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1650</v>
      </c>
      <c r="BI116">
        <v>1650</v>
      </c>
      <c r="BJ116">
        <v>1650</v>
      </c>
      <c r="DL116"/>
    </row>
    <row r="117" spans="1:116" hidden="1" x14ac:dyDescent="0.3">
      <c r="A117" t="s">
        <v>286</v>
      </c>
      <c r="C117" t="s">
        <v>733</v>
      </c>
      <c r="D117" t="s">
        <v>101</v>
      </c>
      <c r="F117" t="s">
        <v>136</v>
      </c>
      <c r="H117" t="s">
        <v>20</v>
      </c>
      <c r="I117" t="s">
        <v>20</v>
      </c>
      <c r="J117" t="s">
        <v>131</v>
      </c>
      <c r="K117" t="s">
        <v>716</v>
      </c>
      <c r="L117" t="s">
        <v>702</v>
      </c>
      <c r="M117" t="s">
        <v>245</v>
      </c>
      <c r="N117">
        <v>2029</v>
      </c>
      <c r="P117" s="1"/>
      <c r="Q117" s="1"/>
      <c r="R117" s="1"/>
      <c r="S117" s="1"/>
      <c r="T117" s="1" t="e">
        <f xml:space="preserve"> IF(#REF! = "", "X",IF(#REF! &lt;= DATE(#REF!- 3, 12, 15),"5.Respect OPC",IF(#REF! &lt;= DATE(#REF!-2, 4, 1),"3.À risque","1.Très à risque")))</f>
        <v>#REF!</v>
      </c>
      <c r="U117" s="1" t="e">
        <f xml:space="preserve"> IF(#REF! = "", "X",IF(#REF! &lt;= DATE(#REF!- 2, 12, 15),"5.Respect OPC",IF(#REF! &lt;= DATE(#REF!-1, 4, 1),"3.À risque","1.Très à risque")))</f>
        <v>#REF!</v>
      </c>
      <c r="V117" s="1" t="e">
        <f xml:space="preserve"> IF(#REF! = "", "X",IF(#REF! &lt;= DATE(#REF!- 1, 12, 15),"5.Respect OPC",IF(#REF! &lt;= DATE(#REF!, 4, 1),"3.À risque","1.Très à risque")))</f>
        <v>#REF!</v>
      </c>
      <c r="W117" s="1" t="e">
        <f xml:space="preserve"> (YEAR(#REF!) - YEAR(#REF!)) * 12 + MONTH(#REF!) - MONTH(#REF!)</f>
        <v>#REF!</v>
      </c>
      <c r="X117" s="1" t="e">
        <f xml:space="preserve"> (YEAR(#REF!) - YEAR(#REF!)) * 12 + MONTH(#REF!) - MONTH(#REF!)</f>
        <v>#REF!</v>
      </c>
      <c r="Y117" s="1" t="e">
        <f>#REF!+#REF!</f>
        <v>#REF!</v>
      </c>
      <c r="Z117">
        <v>5</v>
      </c>
      <c r="AA117">
        <v>1</v>
      </c>
      <c r="AB117">
        <v>3</v>
      </c>
      <c r="AD117">
        <v>1.6666666666666667</v>
      </c>
      <c r="AE117" s="2" t="e">
        <f>_xlfn.XLOOKUP(#REF!,Portefeuille_MNT_PPS_Access27[Numéro projet],Portefeuille_MNT_PPS_Access27[Critère Etat Infrastructure])</f>
        <v>#REF!</v>
      </c>
      <c r="AF117" s="12" t="e">
        <f>IF(#REF!=5,100, SUM(IF(#REF!="",#REF!*$AE$8/5,#REF!*$AE$8/5),#REF!* $AE$10/5,#REF!* $AE$9/5,#REF!* $AE$7/5)*100)</f>
        <v>#REF!</v>
      </c>
      <c r="AG117" s="221"/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50</v>
      </c>
      <c r="AO117">
        <v>0</v>
      </c>
      <c r="AP117">
        <v>100</v>
      </c>
      <c r="AQ117">
        <v>875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1025</v>
      </c>
      <c r="BI117">
        <v>1025</v>
      </c>
      <c r="BJ117">
        <v>1025</v>
      </c>
      <c r="DL117"/>
    </row>
    <row r="118" spans="1:116" hidden="1" x14ac:dyDescent="0.3">
      <c r="A118" t="s">
        <v>286</v>
      </c>
      <c r="C118" t="s">
        <v>733</v>
      </c>
      <c r="D118" t="s">
        <v>118</v>
      </c>
      <c r="F118" t="s">
        <v>136</v>
      </c>
      <c r="H118" t="s">
        <v>20</v>
      </c>
      <c r="I118" t="s">
        <v>20</v>
      </c>
      <c r="K118" t="s">
        <v>717</v>
      </c>
      <c r="L118" t="s">
        <v>695</v>
      </c>
      <c r="M118" t="s">
        <v>725</v>
      </c>
      <c r="N118">
        <v>2029</v>
      </c>
      <c r="P118" s="1"/>
      <c r="Q118" s="1"/>
      <c r="R118" s="1"/>
      <c r="S118" s="1"/>
      <c r="T118" s="1" t="e">
        <f xml:space="preserve"> IF(#REF! = "", "X",IF(#REF! &lt;= DATE(#REF!- 3, 12, 15),"5.Respect OPC",IF(#REF! &lt;= DATE(#REF!-2, 4, 1),"3.À risque","1.Très à risque")))</f>
        <v>#REF!</v>
      </c>
      <c r="U118" s="1" t="e">
        <f xml:space="preserve"> IF(#REF! = "", "X",IF(#REF! &lt;= DATE(#REF!- 2, 12, 15),"5.Respect OPC",IF(#REF! &lt;= DATE(#REF!-1, 4, 1),"3.À risque","1.Très à risque")))</f>
        <v>#REF!</v>
      </c>
      <c r="V118" s="1" t="e">
        <f xml:space="preserve"> IF(#REF! = "", "X",IF(#REF! &lt;= DATE(#REF!- 1, 12, 15),"5.Respect OPC",IF(#REF! &lt;= DATE(#REF!, 4, 1),"3.À risque","1.Très à risque")))</f>
        <v>#REF!</v>
      </c>
      <c r="W118" s="1" t="e">
        <f xml:space="preserve"> (YEAR(#REF!) - YEAR(#REF!)) * 12 + MONTH(#REF!) - MONTH(#REF!)</f>
        <v>#REF!</v>
      </c>
      <c r="X118" s="1" t="e">
        <f xml:space="preserve"> (YEAR(#REF!) - YEAR(#REF!)) * 12 + MONTH(#REF!) - MONTH(#REF!)</f>
        <v>#REF!</v>
      </c>
      <c r="Y118" s="1" t="e">
        <f>#REF!+#REF!</f>
        <v>#REF!</v>
      </c>
      <c r="Z118">
        <v>5</v>
      </c>
      <c r="AA118">
        <v>1</v>
      </c>
      <c r="AB118">
        <v>3</v>
      </c>
      <c r="AD118">
        <v>1.3333333333333333</v>
      </c>
      <c r="AE118" s="2" t="e">
        <f>_xlfn.XLOOKUP(#REF!,Portefeuille_MNT_PPS_Access27[Numéro projet],Portefeuille_MNT_PPS_Access27[Critère Etat Infrastructure])</f>
        <v>#REF!</v>
      </c>
      <c r="AF118" s="12" t="e">
        <f>IF(#REF!=5,100, SUM(IF(#REF!="",#REF!*$AE$8/5,#REF!*$AE$8/5),#REF!* $AE$10/5,#REF!* $AE$9/5,#REF!* $AE$7/5)*100)</f>
        <v>#REF!</v>
      </c>
      <c r="AG118" s="221"/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50</v>
      </c>
      <c r="AO118">
        <v>0</v>
      </c>
      <c r="AP118">
        <v>50</v>
      </c>
      <c r="AQ118">
        <v>500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600</v>
      </c>
      <c r="BI118">
        <v>600</v>
      </c>
      <c r="BJ118">
        <v>600</v>
      </c>
      <c r="DL118"/>
    </row>
    <row r="119" spans="1:116" hidden="1" x14ac:dyDescent="0.3">
      <c r="A119" t="s">
        <v>286</v>
      </c>
      <c r="C119" t="s">
        <v>733</v>
      </c>
      <c r="D119" t="s">
        <v>118</v>
      </c>
      <c r="F119" t="s">
        <v>136</v>
      </c>
      <c r="H119" t="s">
        <v>20</v>
      </c>
      <c r="I119" t="s">
        <v>20</v>
      </c>
      <c r="K119" t="s">
        <v>718</v>
      </c>
      <c r="L119" t="s">
        <v>696</v>
      </c>
      <c r="M119" t="s">
        <v>725</v>
      </c>
      <c r="N119">
        <v>2028</v>
      </c>
      <c r="P119" s="1"/>
      <c r="Q119" s="1"/>
      <c r="R119" s="1"/>
      <c r="S119" s="1"/>
      <c r="T119" s="1" t="e">
        <f xml:space="preserve"> IF(#REF! = "", "X",IF(#REF! &lt;= DATE(#REF!- 3, 12, 15),"5.Respect OPC",IF(#REF! &lt;= DATE(#REF!-2, 4, 1),"3.À risque","1.Très à risque")))</f>
        <v>#REF!</v>
      </c>
      <c r="U119" s="1" t="e">
        <f xml:space="preserve"> IF(#REF! = "", "X",IF(#REF! &lt;= DATE(#REF!- 2, 12, 15),"5.Respect OPC",IF(#REF! &lt;= DATE(#REF!-1, 4, 1),"3.À risque","1.Très à risque")))</f>
        <v>#REF!</v>
      </c>
      <c r="V119" s="1" t="e">
        <f xml:space="preserve"> IF(#REF! = "", "X",IF(#REF! &lt;= DATE(#REF!- 1, 12, 15),"5.Respect OPC",IF(#REF! &lt;= DATE(#REF!, 4, 1),"3.À risque","1.Très à risque")))</f>
        <v>#REF!</v>
      </c>
      <c r="W119" s="1" t="e">
        <f xml:space="preserve"> (YEAR(#REF!) - YEAR(#REF!)) * 12 + MONTH(#REF!) - MONTH(#REF!)</f>
        <v>#REF!</v>
      </c>
      <c r="X119" s="1" t="e">
        <f xml:space="preserve"> (YEAR(#REF!) - YEAR(#REF!)) * 12 + MONTH(#REF!) - MONTH(#REF!)</f>
        <v>#REF!</v>
      </c>
      <c r="Y119" s="1" t="e">
        <f>#REF!+#REF!</f>
        <v>#REF!</v>
      </c>
      <c r="Z119">
        <v>5</v>
      </c>
      <c r="AA119">
        <v>1</v>
      </c>
      <c r="AB119">
        <v>3</v>
      </c>
      <c r="AD119">
        <v>3.0833333333333335</v>
      </c>
      <c r="AE119" s="2" t="e">
        <f>_xlfn.XLOOKUP(#REF!,Portefeuille_MNT_PPS_Access27[Numéro projet],Portefeuille_MNT_PPS_Access27[Critère Etat Infrastructure])</f>
        <v>#REF!</v>
      </c>
      <c r="AF119" s="12" t="e">
        <f>IF(#REF!=5,100, SUM(IF(#REF!="",#REF!*$AE$8/5,#REF!*$AE$8/5),#REF!* $AE$10/5,#REF!* $AE$9/5,#REF!* $AE$7/5)*100)</f>
        <v>#REF!</v>
      </c>
      <c r="AG119" s="221"/>
      <c r="AH119">
        <v>0</v>
      </c>
      <c r="AI119">
        <v>0</v>
      </c>
      <c r="AJ119">
        <v>0</v>
      </c>
      <c r="AK119">
        <v>0</v>
      </c>
      <c r="AL119">
        <v>300</v>
      </c>
      <c r="AM119">
        <v>0</v>
      </c>
      <c r="AN119">
        <v>300</v>
      </c>
      <c r="AO119">
        <v>1532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2132</v>
      </c>
      <c r="BI119">
        <v>2132</v>
      </c>
      <c r="BJ119">
        <v>2132</v>
      </c>
      <c r="DL119"/>
    </row>
    <row r="120" spans="1:116" x14ac:dyDescent="0.3">
      <c r="K120">
        <f>SUBTOTAL(103,PROGRAMMATION[Numéro projet])</f>
        <v>1</v>
      </c>
      <c r="AG120" s="25"/>
      <c r="AH120" s="14">
        <f>SUBTOTAL(109,PROGRAMMATION[AC ANT])</f>
        <v>0</v>
      </c>
      <c r="AI120" s="14">
        <f>SUBTOTAL(109,PROGRAMMATION[TR ANT])</f>
        <v>0</v>
      </c>
      <c r="AJ120" s="14">
        <f>SUBTOTAL(109,PROGRAMMATION[AC 2026])</f>
        <v>632</v>
      </c>
      <c r="AK120" s="14">
        <f>SUBTOTAL(109,PROGRAMMATION[TR 2026])</f>
        <v>0</v>
      </c>
      <c r="AL120" s="14">
        <f>SUBTOTAL(109,PROGRAMMATION[AC 2027])</f>
        <v>184</v>
      </c>
      <c r="AM120" s="14">
        <f>SUBTOTAL(109,PROGRAMMATION[TR 2027])</f>
        <v>0</v>
      </c>
      <c r="AN120" s="14">
        <f>SUBTOTAL(109,PROGRAMMATION[AC 2028])</f>
        <v>992</v>
      </c>
      <c r="AO120" s="14">
        <f>SUBTOTAL(109,PROGRAMMATION[TR 2028])</f>
        <v>14702</v>
      </c>
      <c r="AP120" s="14">
        <f>SUBTOTAL(109,PROGRAMMATION[AC 2029])</f>
        <v>0</v>
      </c>
      <c r="AQ120" s="14">
        <f>SUBTOTAL(109,PROGRAMMATION[TR 2029])</f>
        <v>0</v>
      </c>
      <c r="AR120" s="14">
        <f>SUBTOTAL(109,PROGRAMMATION[AC 2030])</f>
        <v>0</v>
      </c>
      <c r="AS120" s="14">
        <f>SUBTOTAL(109,PROGRAMMATION[TR 2030])</f>
        <v>0</v>
      </c>
      <c r="AT120" s="14">
        <f>SUBTOTAL(109,PROGRAMMATION[AC 2031])</f>
        <v>0</v>
      </c>
      <c r="AU120" s="14">
        <f>SUBTOTAL(109,PROGRAMMATION[TR 2031])</f>
        <v>0</v>
      </c>
      <c r="AV120" s="14">
        <f>SUBTOTAL(109,PROGRAMMATION[AC 2032])</f>
        <v>0</v>
      </c>
      <c r="AW120" s="14">
        <f>SUBTOTAL(109,PROGRAMMATION[TR 2032])</f>
        <v>0</v>
      </c>
      <c r="BH120" s="14">
        <f>SUBTOTAL(109,PROGRAMMATION[Total Projet])</f>
        <v>16510</v>
      </c>
      <c r="DL120"/>
    </row>
    <row r="121" spans="1:116" x14ac:dyDescent="0.3">
      <c r="AK121" s="14" t="e">
        <f>#REF!+#REF!</f>
        <v>#REF!</v>
      </c>
      <c r="AL121" s="14"/>
      <c r="AM121" s="14">
        <f>PROGRAMMATION[[#Totals],[AC 2026]]+PROGRAMMATION[[#Totals],[TR 2026]]</f>
        <v>632</v>
      </c>
      <c r="AN121" s="14"/>
      <c r="AO121" s="14">
        <f>PROGRAMMATION[[#Totals],[AC 2027]]+PROGRAMMATION[[#Totals],[TR 2027]]</f>
        <v>184</v>
      </c>
      <c r="AP121" s="14"/>
      <c r="AQ121" s="14">
        <f>PROGRAMMATION[[#Totals],[AC 2028]]+PROGRAMMATION[[#Totals],[TR 2028]]</f>
        <v>15694</v>
      </c>
      <c r="AR121" s="14"/>
      <c r="AS121" s="14">
        <f>PROGRAMMATION[[#Totals],[AC 2029]]+PROGRAMMATION[[#Totals],[TR 2029]]</f>
        <v>0</v>
      </c>
      <c r="AT121" s="14"/>
      <c r="AU121" s="14">
        <f>PROGRAMMATION[[#Totals],[AC 2030]]+PROGRAMMATION[[#Totals],[TR 2030]]</f>
        <v>0</v>
      </c>
      <c r="AV121" s="14"/>
      <c r="AW121" s="14">
        <f>PROGRAMMATION[[#Totals],[AC 2031]]+PROGRAMMATION[[#Totals],[TR 2031]]</f>
        <v>0</v>
      </c>
      <c r="AX121" s="14"/>
      <c r="AY121" s="14">
        <f>PROGRAMMATION[[#Totals],[AC 2032]]+PROGRAMMATION[[#Totals],[TR 2032]]</f>
        <v>0</v>
      </c>
      <c r="AZ121" s="14"/>
      <c r="BA121" s="14" t="e">
        <f>#REF!+#REF!</f>
        <v>#REF!</v>
      </c>
      <c r="BB121" s="14"/>
      <c r="BC121" s="14"/>
      <c r="BD121" s="14"/>
      <c r="BE121" s="14"/>
      <c r="BF121" s="14"/>
      <c r="BG121" s="14"/>
      <c r="BH121" s="14"/>
      <c r="BI121" s="14"/>
      <c r="BJ121" s="14"/>
      <c r="BO121" s="14"/>
      <c r="BP121" s="14"/>
      <c r="DL121"/>
    </row>
    <row r="122" spans="1:116" x14ac:dyDescent="0.3">
      <c r="DL122"/>
    </row>
    <row r="123" spans="1:116" x14ac:dyDescent="0.3">
      <c r="DL123"/>
    </row>
    <row r="124" spans="1:116" x14ac:dyDescent="0.3">
      <c r="DL124"/>
    </row>
    <row r="125" spans="1:116" x14ac:dyDescent="0.3">
      <c r="DL125"/>
    </row>
    <row r="126" spans="1:116" x14ac:dyDescent="0.3">
      <c r="DL126"/>
    </row>
    <row r="127" spans="1:116" x14ac:dyDescent="0.3">
      <c r="DL127"/>
    </row>
    <row r="128" spans="1:116" x14ac:dyDescent="0.3">
      <c r="DL128"/>
    </row>
    <row r="129" spans="116:116" x14ac:dyDescent="0.3">
      <c r="DL129"/>
    </row>
    <row r="130" spans="116:116" x14ac:dyDescent="0.3">
      <c r="DL130"/>
    </row>
    <row r="131" spans="116:116" x14ac:dyDescent="0.3">
      <c r="DL131"/>
    </row>
    <row r="132" spans="116:116" x14ac:dyDescent="0.3">
      <c r="DL132"/>
    </row>
    <row r="133" spans="116:116" x14ac:dyDescent="0.3">
      <c r="DL133"/>
    </row>
    <row r="134" spans="116:116" x14ac:dyDescent="0.3">
      <c r="DL134"/>
    </row>
    <row r="135" spans="116:116" x14ac:dyDescent="0.3">
      <c r="DL135"/>
    </row>
    <row r="136" spans="116:116" x14ac:dyDescent="0.3">
      <c r="DL136"/>
    </row>
    <row r="137" spans="116:116" x14ac:dyDescent="0.3">
      <c r="DL137"/>
    </row>
    <row r="138" spans="116:116" x14ac:dyDescent="0.3">
      <c r="DL138"/>
    </row>
    <row r="139" spans="116:116" x14ac:dyDescent="0.3">
      <c r="DL139"/>
    </row>
    <row r="140" spans="116:116" x14ac:dyDescent="0.3">
      <c r="DL140"/>
    </row>
    <row r="141" spans="116:116" x14ac:dyDescent="0.3">
      <c r="DL141"/>
    </row>
    <row r="142" spans="116:116" x14ac:dyDescent="0.3">
      <c r="DL142"/>
    </row>
    <row r="143" spans="116:116" x14ac:dyDescent="0.3">
      <c r="DL143"/>
    </row>
    <row r="144" spans="116:116" x14ac:dyDescent="0.3">
      <c r="DL144"/>
    </row>
    <row r="145" spans="63:124" x14ac:dyDescent="0.3">
      <c r="DL145"/>
    </row>
    <row r="146" spans="63:124" x14ac:dyDescent="0.3">
      <c r="DL146"/>
    </row>
    <row r="147" spans="63:124" x14ac:dyDescent="0.3">
      <c r="BK147" s="14"/>
      <c r="BL147" s="14"/>
      <c r="BM147" s="14"/>
      <c r="BN147" s="14"/>
      <c r="BO147" s="14"/>
      <c r="BP147" s="14"/>
      <c r="DL147"/>
    </row>
    <row r="148" spans="63:124" x14ac:dyDescent="0.3">
      <c r="CG148" s="57"/>
      <c r="DL148"/>
    </row>
    <row r="149" spans="63:124" x14ac:dyDescent="0.3">
      <c r="DL149"/>
    </row>
    <row r="150" spans="63:124" x14ac:dyDescent="0.3">
      <c r="DL150"/>
    </row>
    <row r="151" spans="63:124" x14ac:dyDescent="0.3">
      <c r="DL151"/>
    </row>
    <row r="152" spans="63:124" x14ac:dyDescent="0.3">
      <c r="CG152" s="57"/>
      <c r="DL152"/>
    </row>
    <row r="153" spans="63:124" x14ac:dyDescent="0.3">
      <c r="DL153"/>
    </row>
    <row r="154" spans="63:124" x14ac:dyDescent="0.3">
      <c r="DL154"/>
    </row>
    <row r="155" spans="63:124" x14ac:dyDescent="0.3">
      <c r="DL155"/>
    </row>
    <row r="156" spans="63:124" x14ac:dyDescent="0.3">
      <c r="DL156"/>
    </row>
    <row r="157" spans="63:124" x14ac:dyDescent="0.3">
      <c r="DL157"/>
    </row>
    <row r="158" spans="63:124" x14ac:dyDescent="0.3">
      <c r="CX158" s="14">
        <f>PROGRAMMATION[[#Totals],[TR 2026]]+PROGRAMMATION[[#Totals],[AC 2026]]</f>
        <v>632</v>
      </c>
      <c r="DD158" s="8"/>
      <c r="DL158"/>
      <c r="DR158" s="14"/>
    </row>
    <row r="159" spans="63:124" x14ac:dyDescent="0.3">
      <c r="CZ159" s="14">
        <f>PROGRAMMATION[[#Totals],[TR 2027]]+PROGRAMMATION[[#Totals],[AC 2027]]</f>
        <v>184</v>
      </c>
      <c r="DB159" s="14">
        <f>PROGRAMMATION[[#Totals],[TR 2028]]+PROGRAMMATION[[#Totals],[AC 2028]]</f>
        <v>15694</v>
      </c>
      <c r="DD159" s="238">
        <f>PROGRAMMATION[[#Totals],[TR 2029]]+PROGRAMMATION[[#Totals],[AC 2029]]</f>
        <v>0</v>
      </c>
      <c r="DF159" s="57">
        <f>PROGRAMMATION[[#Totals],[TR 2030]]+PROGRAMMATION[[#Totals],[AC 2030]]</f>
        <v>0</v>
      </c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14">
        <f>SUM(CX159:DF159)</f>
        <v>15878</v>
      </c>
      <c r="DT159" s="57"/>
    </row>
    <row r="160" spans="63:124" x14ac:dyDescent="0.3">
      <c r="DD160" s="8"/>
      <c r="DL160"/>
    </row>
    <row r="161" spans="63:125" x14ac:dyDescent="0.3">
      <c r="DD161" s="8"/>
      <c r="DL161"/>
      <c r="DR161" s="57"/>
    </row>
    <row r="162" spans="63:125" x14ac:dyDescent="0.3">
      <c r="DD162" s="8"/>
      <c r="DL162"/>
    </row>
    <row r="163" spans="63:125" x14ac:dyDescent="0.3">
      <c r="DD163" s="8"/>
      <c r="DL163"/>
      <c r="DS163" s="57"/>
    </row>
    <row r="164" spans="63:125" x14ac:dyDescent="0.3">
      <c r="DD164" s="8"/>
      <c r="DL164"/>
    </row>
    <row r="165" spans="63:125" x14ac:dyDescent="0.3">
      <c r="DD165" s="8"/>
      <c r="DL165"/>
    </row>
    <row r="166" spans="63:125" x14ac:dyDescent="0.3">
      <c r="DD166" s="8"/>
      <c r="DL166"/>
    </row>
    <row r="167" spans="63:125" x14ac:dyDescent="0.3">
      <c r="DD167" s="8"/>
      <c r="DL167"/>
    </row>
    <row r="168" spans="63:125" x14ac:dyDescent="0.3">
      <c r="DD168" s="8"/>
      <c r="DL168"/>
    </row>
    <row r="169" spans="63:125" x14ac:dyDescent="0.3">
      <c r="DD169" s="8"/>
      <c r="DL169"/>
      <c r="DT169" s="57"/>
      <c r="DU169" s="57"/>
    </row>
    <row r="170" spans="63:125" x14ac:dyDescent="0.3">
      <c r="DD170" s="8"/>
      <c r="DL170"/>
    </row>
    <row r="171" spans="63:125" x14ac:dyDescent="0.3">
      <c r="DD171" s="8"/>
      <c r="DL171"/>
    </row>
    <row r="172" spans="63:125" x14ac:dyDescent="0.3">
      <c r="DD172" s="8"/>
      <c r="DL172"/>
    </row>
    <row r="173" spans="63:125" x14ac:dyDescent="0.3">
      <c r="BK173" s="14"/>
      <c r="BL173" s="14"/>
      <c r="BM173" s="14"/>
      <c r="BN173" s="14"/>
      <c r="BO173" s="14"/>
      <c r="BP173" s="14"/>
      <c r="BQ173" s="14"/>
      <c r="BR173" s="14"/>
    </row>
  </sheetData>
  <mergeCells count="5">
    <mergeCell ref="D3:E3"/>
    <mergeCell ref="AF3:AG3"/>
    <mergeCell ref="AH3:AI3"/>
    <mergeCell ref="AF11:AG11"/>
    <mergeCell ref="AF13:AG13"/>
  </mergeCells>
  <phoneticPr fontId="14" type="noConversion"/>
  <conditionalFormatting sqref="B19:BJ119">
    <cfRule type="containsText" dxfId="75" priority="1" operator="containsText" text="1.Très à risque">
      <formula>NOT(ISERROR(SEARCH("1.Très à risque",B19)))</formula>
    </cfRule>
    <cfRule type="containsText" dxfId="74" priority="2" operator="containsText" text="3.À risque">
      <formula>NOT(ISERROR(SEARCH("3.À risque",B19)))</formula>
    </cfRule>
    <cfRule type="containsText" dxfId="73" priority="3" operator="containsText" text="5.Respect OPC">
      <formula>NOT(ISERROR(SEARCH("5.Respect OPC",B19)))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50" id="{44571623-F954-4149-89CE-144FDA61B40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AE19:AG119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48E9-5983-4753-85C1-430FD7E301B3}">
  <dimension ref="A1:EQ173"/>
  <sheetViews>
    <sheetView zoomScale="90" zoomScaleNormal="90" workbookViewId="0">
      <pane ySplit="18" topLeftCell="A19" activePane="bottomLeft" state="frozen"/>
      <selection activeCell="AA1" sqref="AA1"/>
      <selection pane="bottomLeft" activeCell="A18" sqref="A18:BJ120"/>
    </sheetView>
  </sheetViews>
  <sheetFormatPr baseColWidth="10" defaultColWidth="11.44140625" defaultRowHeight="14.4" outlineLevelCol="1" x14ac:dyDescent="0.3"/>
  <cols>
    <col min="1" max="1" width="19" customWidth="1" outlineLevel="1"/>
    <col min="2" max="2" width="17.6640625" customWidth="1" outlineLevel="1"/>
    <col min="3" max="3" width="8" customWidth="1" outlineLevel="1"/>
    <col min="4" max="4" width="13" customWidth="1"/>
    <col min="5" max="5" width="14.33203125" customWidth="1"/>
    <col min="6" max="6" width="12.88671875" customWidth="1"/>
    <col min="7" max="7" width="16.5546875" customWidth="1" collapsed="1"/>
    <col min="8" max="8" width="13.6640625" customWidth="1"/>
    <col min="9" max="9" width="12.88671875" customWidth="1"/>
    <col min="10" max="10" width="17.6640625" customWidth="1"/>
    <col min="11" max="11" width="14.5546875" customWidth="1"/>
    <col min="12" max="12" width="113.33203125" bestFit="1" customWidth="1"/>
    <col min="13" max="13" width="32.33203125" bestFit="1" customWidth="1"/>
    <col min="14" max="14" width="14" customWidth="1"/>
    <col min="15" max="15" width="21.88671875" customWidth="1"/>
    <col min="16" max="16" width="14.33203125" customWidth="1"/>
    <col min="17" max="18" width="15" customWidth="1" outlineLevel="1"/>
    <col min="19" max="19" width="12.33203125" customWidth="1" outlineLevel="1"/>
    <col min="20" max="21" width="11.44140625" customWidth="1" outlineLevel="1"/>
    <col min="22" max="22" width="11.33203125" customWidth="1" outlineLevel="1"/>
    <col min="23" max="29" width="11.44140625" customWidth="1" outlineLevel="1"/>
    <col min="30" max="30" width="14.6640625" customWidth="1" outlineLevel="1"/>
    <col min="31" max="31" width="13.88671875" customWidth="1" outlineLevel="1"/>
    <col min="32" max="32" width="13.5546875" customWidth="1"/>
    <col min="33" max="33" width="12" customWidth="1"/>
    <col min="34" max="36" width="12" customWidth="1" outlineLevel="1"/>
    <col min="37" max="37" width="12.33203125" bestFit="1" customWidth="1"/>
    <col min="38" max="39" width="12" customWidth="1" outlineLevel="1"/>
    <col min="40" max="40" width="12" style="25" customWidth="1" outlineLevel="1"/>
    <col min="41" max="44" width="12" customWidth="1" outlineLevel="1"/>
    <col min="45" max="85" width="9.88671875" customWidth="1" outlineLevel="1"/>
    <col min="86" max="92" width="12.6640625" customWidth="1" outlineLevel="1"/>
    <col min="93" max="93" width="7.6640625" customWidth="1" outlineLevel="1"/>
    <col min="94" max="96" width="13" customWidth="1" outlineLevel="1"/>
    <col min="97" max="112" width="9.88671875" customWidth="1" outlineLevel="1"/>
    <col min="113" max="113" width="11.109375" customWidth="1"/>
    <col min="114" max="114" width="12.33203125" customWidth="1"/>
    <col min="115" max="115" width="11" customWidth="1"/>
    <col min="116" max="119" width="9.88671875" customWidth="1"/>
    <col min="120" max="120" width="9.88671875" style="8" customWidth="1"/>
    <col min="121" max="132" width="9.88671875" customWidth="1"/>
    <col min="133" max="134" width="14.44140625" customWidth="1"/>
    <col min="135" max="135" width="12.6640625" bestFit="1" customWidth="1"/>
    <col min="136" max="138" width="9.88671875" customWidth="1"/>
    <col min="139" max="139" width="13.44140625" customWidth="1"/>
    <col min="140" max="140" width="13.5546875" customWidth="1"/>
    <col min="141" max="141" width="18" customWidth="1"/>
    <col min="142" max="142" width="17" customWidth="1"/>
    <col min="143" max="143" width="16.6640625" bestFit="1" customWidth="1"/>
    <col min="144" max="153" width="11.33203125" customWidth="1"/>
    <col min="154" max="154" width="12.5546875" customWidth="1"/>
    <col min="155" max="155" width="13.44140625" customWidth="1"/>
    <col min="156" max="156" width="13.109375" customWidth="1"/>
    <col min="157" max="157" width="14" customWidth="1"/>
    <col min="158" max="163" width="17.33203125" customWidth="1"/>
    <col min="164" max="164" width="18.109375" customWidth="1"/>
    <col min="165" max="165" width="17.5546875" customWidth="1"/>
  </cols>
  <sheetData>
    <row r="1" spans="1:147" ht="21" x14ac:dyDescent="0.4">
      <c r="A1" s="32"/>
      <c r="B1" s="32"/>
      <c r="C1" s="32"/>
      <c r="F1" s="32"/>
      <c r="G1" s="32"/>
      <c r="I1" s="32"/>
      <c r="J1" s="32" t="s">
        <v>726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7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85"/>
      <c r="EN1" s="85"/>
      <c r="EO1" s="85"/>
      <c r="EP1" s="85"/>
      <c r="EQ1" s="85"/>
    </row>
    <row r="2" spans="1:147" x14ac:dyDescent="0.3"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46" t="s">
        <v>698</v>
      </c>
      <c r="AI2" s="248"/>
      <c r="AJ2" s="248"/>
      <c r="AL2" s="246"/>
      <c r="AM2" s="246"/>
      <c r="AN2" s="246"/>
      <c r="AO2" s="246"/>
      <c r="AP2" s="246"/>
      <c r="AQ2" s="246"/>
      <c r="AR2" s="246"/>
      <c r="AS2" s="246"/>
      <c r="AT2" s="246"/>
      <c r="AU2" s="246"/>
      <c r="AV2" s="246"/>
      <c r="AW2" s="246"/>
      <c r="AX2" s="246"/>
      <c r="AY2" s="246"/>
      <c r="AZ2" s="246"/>
      <c r="BA2" s="246"/>
      <c r="BB2" s="246"/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6"/>
      <c r="BR2" s="246"/>
      <c r="BS2" s="246"/>
      <c r="BT2" s="246"/>
      <c r="BU2" s="246"/>
      <c r="BV2" s="246"/>
      <c r="BW2" s="246"/>
      <c r="BX2" s="246"/>
      <c r="BY2" s="246"/>
      <c r="BZ2" s="246"/>
      <c r="CA2" s="246"/>
      <c r="CB2" s="246"/>
      <c r="CC2" s="246"/>
      <c r="CD2" s="246"/>
      <c r="CE2" s="246"/>
      <c r="CF2" s="246"/>
      <c r="CG2" s="246"/>
      <c r="CH2" s="246"/>
      <c r="CI2" s="246"/>
      <c r="CJ2" s="246"/>
      <c r="CK2" s="246"/>
      <c r="CL2" s="246"/>
      <c r="CM2" s="246"/>
      <c r="CN2" s="246"/>
      <c r="CO2" s="246"/>
      <c r="CP2" s="246"/>
      <c r="CQ2" s="246"/>
      <c r="CR2" s="246"/>
      <c r="CS2" s="246"/>
      <c r="CT2" s="246"/>
      <c r="CU2" s="246"/>
      <c r="CV2" s="246"/>
      <c r="CW2" s="246"/>
      <c r="CX2" s="246"/>
      <c r="CY2" s="246"/>
      <c r="CZ2" s="246"/>
      <c r="DA2" s="246"/>
      <c r="DB2" s="246"/>
      <c r="DC2" s="246"/>
      <c r="DD2" s="246"/>
      <c r="DE2" s="246"/>
      <c r="DF2" s="246"/>
      <c r="DG2" s="246"/>
      <c r="DH2" s="246"/>
      <c r="DI2" s="246"/>
      <c r="DJ2" s="246"/>
      <c r="DK2" s="246"/>
      <c r="DL2" s="246"/>
      <c r="DM2" s="246"/>
      <c r="DN2" s="246"/>
      <c r="DO2" s="246"/>
      <c r="DP2" s="246"/>
      <c r="DQ2" s="246"/>
      <c r="DR2" s="246"/>
      <c r="DS2" s="246"/>
      <c r="DT2" s="246"/>
      <c r="DU2" s="246"/>
      <c r="DV2" s="246"/>
      <c r="DW2" s="246"/>
      <c r="DX2" s="246"/>
      <c r="DY2" s="246"/>
      <c r="DZ2" s="246"/>
      <c r="EA2" s="246"/>
      <c r="EB2" s="246"/>
      <c r="EC2" s="246"/>
      <c r="ED2" s="246"/>
      <c r="EE2" s="246"/>
    </row>
    <row r="3" spans="1:147" ht="26.4" customHeight="1" x14ac:dyDescent="0.3">
      <c r="I3" s="65"/>
      <c r="J3" s="306" t="s">
        <v>2</v>
      </c>
      <c r="K3" s="307"/>
      <c r="L3" s="65"/>
      <c r="M3" s="65"/>
      <c r="N3" s="65"/>
      <c r="O3" s="65"/>
      <c r="P3" s="65"/>
      <c r="Q3" s="65"/>
      <c r="AD3" s="4" t="s">
        <v>3</v>
      </c>
      <c r="AE3" s="80" t="s">
        <v>4</v>
      </c>
      <c r="AF3" s="342" t="s">
        <v>5</v>
      </c>
      <c r="AG3" s="342"/>
      <c r="AH3" s="265" t="s">
        <v>6</v>
      </c>
      <c r="AI3" s="264"/>
      <c r="AJ3" s="239">
        <v>2025</v>
      </c>
      <c r="AK3" s="240"/>
      <c r="AL3" s="239">
        <v>2026</v>
      </c>
      <c r="AM3" s="240"/>
      <c r="AN3" s="239">
        <v>2027</v>
      </c>
      <c r="AO3" s="240"/>
      <c r="AP3" s="239">
        <v>2028</v>
      </c>
      <c r="AQ3" s="240"/>
      <c r="AR3" s="239">
        <v>2029</v>
      </c>
      <c r="AS3" s="240"/>
      <c r="AT3" s="239">
        <v>2030</v>
      </c>
      <c r="AU3" s="240"/>
      <c r="AV3" s="239">
        <v>2031</v>
      </c>
      <c r="AW3" s="240"/>
      <c r="AX3" s="239">
        <v>2032</v>
      </c>
      <c r="AY3" s="240"/>
      <c r="AZ3" s="239">
        <v>2033</v>
      </c>
      <c r="BA3" s="240"/>
      <c r="BB3" s="239">
        <v>2034</v>
      </c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240"/>
      <c r="CF3" s="239">
        <v>2035</v>
      </c>
      <c r="CG3" s="240"/>
      <c r="CH3" s="26" t="s">
        <v>560</v>
      </c>
      <c r="CI3" s="26" t="s">
        <v>699</v>
      </c>
      <c r="CJ3" s="26"/>
      <c r="CK3" s="26"/>
      <c r="CL3" s="26"/>
      <c r="CM3" s="26" t="s">
        <v>595</v>
      </c>
      <c r="CN3" s="249"/>
      <c r="DP3"/>
    </row>
    <row r="4" spans="1:147" x14ac:dyDescent="0.3">
      <c r="I4" s="65"/>
      <c r="J4" s="27" t="s">
        <v>9</v>
      </c>
      <c r="K4" s="28" t="s">
        <v>10</v>
      </c>
      <c r="L4" s="65"/>
      <c r="M4" s="65"/>
      <c r="N4" s="65"/>
      <c r="O4" s="65"/>
      <c r="P4" s="65"/>
      <c r="Q4" s="65"/>
      <c r="AD4" s="66"/>
      <c r="AE4" s="138"/>
      <c r="AG4" s="104" t="s">
        <v>11</v>
      </c>
      <c r="AH4" s="78"/>
      <c r="AI4" s="78"/>
      <c r="AJ4" s="78" t="e">
        <f>SUMIFS(#REF!,PLANIFICATION[DES_COMPL_NATR_COMPB],"=Fonctionnement")+SUMIFS(#REF!,PLANIFICATION[DES_COMPL_NATR_COMPB],"=Fonctionnement")</f>
        <v>#REF!</v>
      </c>
      <c r="AK4" s="78"/>
      <c r="AL4" s="78">
        <f>SUMIFS(PLANIFICATION[AC 2026],PLANIFICATION[DES_COMPL_NATR_COMPB],"=Fonctionnement")+SUMIFS(PLANIFICATION[TR 2026],PLANIFICATION[DES_COMPL_NATR_COMPB],"=Fonctionnement")</f>
        <v>160</v>
      </c>
      <c r="AM4" s="78"/>
      <c r="AN4" s="78">
        <f>SUMIFS(PLANIFICATION[AC 2027],PLANIFICATION[DES_COMPL_NATR_COMPB],"=Fonctionnement")+SUMIFS(PLANIFICATION[TR 2027],PLANIFICATION[DES_COMPL_NATR_COMPB],"=Fonctionnement")</f>
        <v>510</v>
      </c>
      <c r="AO4" s="78"/>
      <c r="AP4" s="78">
        <f>SUMIFS(PLANIFICATION[AC 2028],PLANIFICATION[DES_COMPL_NATR_COMPB],"=Fonctionnement")+SUMIFS(PLANIFICATION[TR 2028],PLANIFICATION[DES_COMPL_NATR_COMPB],"=Fonctionnement")</f>
        <v>0</v>
      </c>
      <c r="AQ4" s="78"/>
      <c r="AR4" s="78">
        <f>SUMIFS(PLANIFICATION[AC 2029],PLANIFICATION[DES_COMPL_NATR_COMPB],"=Fonctionnement")+SUMIFS(PLANIFICATION[TR 2029],PLANIFICATION[DES_COMPL_NATR_COMPB],"=Fonctionnement")</f>
        <v>0</v>
      </c>
      <c r="AS4" s="78"/>
      <c r="AT4" s="78">
        <f>SUMIFS(PLANIFICATION[AC 2030],PLANIFICATION[DES_COMPL_NATR_COMPB],"=Fonctionnement")+SUMIFS(PLANIFICATION[TR 2030],PLANIFICATION[DES_COMPL_NATR_COMPB],"=Fonctionnement")</f>
        <v>0</v>
      </c>
      <c r="AU4" s="78"/>
      <c r="AV4" s="78">
        <f>SUMIFS(PLANIFICATION[AC 2031],PLANIFICATION[DES_COMPL_NATR_COMPB],"=Fonctionnement")+SUMIFS(PLANIFICATION[TR 2031],PLANIFICATION[DES_COMPL_NATR_COMPB],"=Fonctionnement")</f>
        <v>0</v>
      </c>
      <c r="AW4" s="78"/>
      <c r="AX4" s="78">
        <f>SUMIFS(PLANIFICATION[AC 2032],PLANIFICATION[DES_COMPL_NATR_COMPB],"=Fonctionnement")+SUMIFS(PLANIFICATION[TR 2032],PLANIFICATION[DES_COMPL_NATR_COMPB],"=Fonctionnement")</f>
        <v>0</v>
      </c>
      <c r="AY4" s="78"/>
      <c r="AZ4" s="78" t="e">
        <f>SUMIFS(#REF!,PLANIFICATION[DES_COMPL_NATR_COMPB],"=Fonctionnement")+SUMIFS(#REF!,PLANIFICATION[DES_COMPL_NATR_COMPB],"=Fonctionnement")</f>
        <v>#REF!</v>
      </c>
      <c r="BA4" s="78"/>
      <c r="BB4" s="78" t="e">
        <f>SUMIFS(#REF!,PLANIFICATION[DES_COMPL_NATR_COMPB],"=Fonctionnement")+SUMIFS(#REF!,PLANIFICATION[DES_COMPL_NATR_COMPB],"=Fonctionnement")</f>
        <v>#REF!</v>
      </c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 t="e">
        <f>SUMIFS(#REF!,PLANIFICATION[DES_COMPL_NATR_COMPB],"=Fonctionnement")+SUMIFS(#REF!,PLANIFICATION[DES_COMPL_NATR_COMPB],"=Fonctionnement")</f>
        <v>#REF!</v>
      </c>
      <c r="CG4" s="78"/>
      <c r="CH4" s="16">
        <f>SUM(AL4:AU4)</f>
        <v>670</v>
      </c>
      <c r="CI4" s="16" t="e">
        <f>SUM(AV4:CG4)</f>
        <v>#REF!</v>
      </c>
      <c r="CJ4" s="16"/>
      <c r="CK4" s="16"/>
      <c r="CL4" s="16"/>
      <c r="CM4" s="16" t="e">
        <f>SUM(AL4:CG4)</f>
        <v>#REF!</v>
      </c>
      <c r="CN4" s="16"/>
      <c r="DP4"/>
    </row>
    <row r="5" spans="1:147" x14ac:dyDescent="0.3">
      <c r="J5" s="27" t="s">
        <v>12</v>
      </c>
      <c r="K5" s="28" t="s">
        <v>13</v>
      </c>
      <c r="AD5" s="67"/>
      <c r="AE5" s="139" t="s">
        <v>299</v>
      </c>
      <c r="AG5" s="104" t="s">
        <v>15</v>
      </c>
      <c r="AH5" s="78" t="e">
        <f>SUMIFS(PLANIFICATION[AC ANT],#REF!,"=PR")</f>
        <v>#REF!</v>
      </c>
      <c r="AI5" s="78"/>
      <c r="AJ5" s="78" t="e">
        <f>SUMIFS(#REF!,#REF!,"=PR")</f>
        <v>#REF!</v>
      </c>
      <c r="AK5" s="78"/>
      <c r="AL5" s="78" t="e">
        <f>SUMIFS(PLANIFICATION[AC 2026],#REF!,"=PR")</f>
        <v>#REF!</v>
      </c>
      <c r="AM5" s="78"/>
      <c r="AN5" s="78" t="e">
        <f>SUMIFS(PLANIFICATION[AC 2027],#REF!,"=PR")</f>
        <v>#REF!</v>
      </c>
      <c r="AO5" s="78"/>
      <c r="AP5" s="78" t="e">
        <f>SUMIFS(PLANIFICATION[AC 2028],#REF!,"=PR")</f>
        <v>#REF!</v>
      </c>
      <c r="AQ5" s="78"/>
      <c r="AR5" s="78" t="e">
        <f>SUMIFS(PLANIFICATION[AC 2029],#REF!,"=PR")</f>
        <v>#REF!</v>
      </c>
      <c r="AS5" s="78"/>
      <c r="AT5" s="78" t="e">
        <f>SUMIFS(PLANIFICATION[AC 2030],#REF!,"=PR")</f>
        <v>#REF!</v>
      </c>
      <c r="AU5" s="78"/>
      <c r="AV5" s="78" t="e">
        <f>SUMIFS(PLANIFICATION[AC 2031],#REF!,"=PR")</f>
        <v>#REF!</v>
      </c>
      <c r="AW5" s="78"/>
      <c r="AX5" s="78" t="e">
        <f>SUMIFS(PLANIFICATION[AC 2032],#REF!,"=PR")</f>
        <v>#REF!</v>
      </c>
      <c r="AY5" s="78"/>
      <c r="AZ5" s="78" t="e">
        <f>SUMIFS(#REF!,#REF!,"=PR")</f>
        <v>#REF!</v>
      </c>
      <c r="BA5" s="78"/>
      <c r="BB5" s="78" t="e">
        <f>SUMIFS(#REF!,#REF!,"=PR")</f>
        <v>#REF!</v>
      </c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 t="e">
        <f>SUMIFS(#REF!,#REF!,"=PR")</f>
        <v>#REF!</v>
      </c>
      <c r="CG5" s="78"/>
      <c r="CH5" s="16" t="e">
        <f>SUM(AL5:AU5)</f>
        <v>#REF!</v>
      </c>
      <c r="CI5" s="16" t="e">
        <f>SUM(AV5:CG5)</f>
        <v>#REF!</v>
      </c>
      <c r="CJ5" s="16"/>
      <c r="CK5" s="16"/>
      <c r="CL5" s="16"/>
      <c r="CM5" s="16" t="e">
        <f>SUM(AL5:CG5)</f>
        <v>#REF!</v>
      </c>
      <c r="CN5" s="16"/>
      <c r="DP5"/>
    </row>
    <row r="6" spans="1:147" x14ac:dyDescent="0.3">
      <c r="J6" s="29" t="s">
        <v>16</v>
      </c>
      <c r="K6" s="28" t="s">
        <v>17</v>
      </c>
      <c r="AD6" s="35" t="s">
        <v>18</v>
      </c>
      <c r="AE6" s="140">
        <v>1</v>
      </c>
      <c r="AG6" s="83" t="s">
        <v>19</v>
      </c>
      <c r="AH6" s="78" t="e">
        <f>SUMIFS(PLANIFICATION[TR ANT],#REF!,"=PR")</f>
        <v>#REF!</v>
      </c>
      <c r="AI6" s="78"/>
      <c r="AJ6" s="78" t="e">
        <f>SUMIFS(#REF!,#REF!,"=PR")</f>
        <v>#REF!</v>
      </c>
      <c r="AK6" s="78"/>
      <c r="AL6" s="78" t="e">
        <f>SUMIFS(PLANIFICATION[TR 2026],#REF!,"=PR")</f>
        <v>#REF!</v>
      </c>
      <c r="AM6" s="78"/>
      <c r="AN6" s="78" t="e">
        <f>SUMIFS(PLANIFICATION[TR 2027],#REF!,"=PR")</f>
        <v>#REF!</v>
      </c>
      <c r="AO6" s="78"/>
      <c r="AP6" s="78" t="e">
        <f>SUMIFS(PLANIFICATION[TR 2028],#REF!,"=PR")</f>
        <v>#REF!</v>
      </c>
      <c r="AQ6" s="78"/>
      <c r="AR6" s="78" t="e">
        <f>SUMIFS(PLANIFICATION[TR 2029],#REF!,"=PR")</f>
        <v>#REF!</v>
      </c>
      <c r="AS6" s="78"/>
      <c r="AT6" s="78" t="e">
        <f>SUMIFS(PLANIFICATION[TR 2030],#REF!,"=PR")</f>
        <v>#REF!</v>
      </c>
      <c r="AU6" s="78"/>
      <c r="AV6" s="78" t="e">
        <f>SUMIFS(PLANIFICATION[TR 2031],#REF!,"=PR")</f>
        <v>#REF!</v>
      </c>
      <c r="AW6" s="78"/>
      <c r="AX6" s="78" t="e">
        <f>SUMIFS(PLANIFICATION[TR 2032],#REF!,"=PR")</f>
        <v>#REF!</v>
      </c>
      <c r="AY6" s="78"/>
      <c r="AZ6" s="78" t="e">
        <f>SUMIFS(#REF!,#REF!,"=PR")</f>
        <v>#REF!</v>
      </c>
      <c r="BA6" s="78"/>
      <c r="BB6" s="78" t="e">
        <f>SUMIFS(#REF!,#REF!,"=PR")</f>
        <v>#REF!</v>
      </c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 t="e">
        <f>SUMIFS(#REF!,#REF!,"=PR")</f>
        <v>#REF!</v>
      </c>
      <c r="CG6" s="78"/>
      <c r="CH6" s="16" t="e">
        <f>SUM(AL6:AU6)</f>
        <v>#REF!</v>
      </c>
      <c r="CI6" s="16" t="e">
        <f>SUM(AV6:CG6)</f>
        <v>#REF!</v>
      </c>
      <c r="CJ6" s="16"/>
      <c r="CK6" s="16"/>
      <c r="CL6" s="16"/>
      <c r="CM6" s="16" t="e">
        <f>SUM(AL6:CG6)</f>
        <v>#REF!</v>
      </c>
      <c r="CN6" s="16"/>
      <c r="DP6"/>
    </row>
    <row r="7" spans="1:147" x14ac:dyDescent="0.3">
      <c r="J7" s="30" t="s">
        <v>20</v>
      </c>
      <c r="K7" s="31" t="s">
        <v>21</v>
      </c>
      <c r="AD7" s="35" t="s">
        <v>22</v>
      </c>
      <c r="AE7" s="140">
        <v>0.1</v>
      </c>
      <c r="AG7" s="83" t="s">
        <v>23</v>
      </c>
      <c r="AH7" s="20" t="e">
        <f>AH5+AH6</f>
        <v>#REF!</v>
      </c>
      <c r="AI7" s="20"/>
      <c r="AJ7" s="20" t="e">
        <f>AJ5+AJ6</f>
        <v>#REF!</v>
      </c>
      <c r="AK7" s="20"/>
      <c r="AL7" s="20" t="e">
        <f>AL5+AL6</f>
        <v>#REF!</v>
      </c>
      <c r="AM7" s="20"/>
      <c r="AN7" s="20" t="e">
        <f>AN5+AN6</f>
        <v>#REF!</v>
      </c>
      <c r="AO7" s="20"/>
      <c r="AP7" s="20" t="e">
        <f>AP5+AP6</f>
        <v>#REF!</v>
      </c>
      <c r="AQ7" s="20"/>
      <c r="AR7" s="20" t="e">
        <f>AR5+AR6</f>
        <v>#REF!</v>
      </c>
      <c r="AS7" s="20"/>
      <c r="AT7" s="20" t="e">
        <f>AT5+AT6</f>
        <v>#REF!</v>
      </c>
      <c r="AU7" s="20"/>
      <c r="AV7" s="20" t="e">
        <f>AV5+AV6</f>
        <v>#REF!</v>
      </c>
      <c r="AW7" s="20"/>
      <c r="AX7" s="20" t="e">
        <f>AX5+AX6</f>
        <v>#REF!</v>
      </c>
      <c r="AY7" s="20"/>
      <c r="AZ7" s="20" t="e">
        <f>AZ5+AZ6</f>
        <v>#REF!</v>
      </c>
      <c r="BA7" s="20"/>
      <c r="BB7" s="20" t="e">
        <f>BB5+BB6</f>
        <v>#REF!</v>
      </c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 t="e">
        <f>CF5+CF6</f>
        <v>#REF!</v>
      </c>
      <c r="CG7" s="20"/>
      <c r="CH7" s="20" t="e">
        <f>CH6+CH5</f>
        <v>#REF!</v>
      </c>
      <c r="CI7" s="20" t="e">
        <f>CI6+CI5</f>
        <v>#REF!</v>
      </c>
      <c r="CJ7" s="20"/>
      <c r="CK7" s="20"/>
      <c r="CL7" s="20"/>
      <c r="CM7" s="20" t="e">
        <f>CM6+CM5</f>
        <v>#REF!</v>
      </c>
      <c r="CN7" s="20"/>
      <c r="DP7"/>
    </row>
    <row r="8" spans="1:147" x14ac:dyDescent="0.3">
      <c r="J8" s="131"/>
      <c r="K8" s="28" t="s">
        <v>270</v>
      </c>
      <c r="AD8" s="35" t="s">
        <v>24</v>
      </c>
      <c r="AE8" s="140">
        <v>0.25</v>
      </c>
      <c r="AG8" s="83" t="s">
        <v>25</v>
      </c>
      <c r="AH8" s="78" t="e">
        <f>SUMIFS(PLANIFICATION[AC ANT],#REF!,"&lt;&gt;PR")</f>
        <v>#REF!</v>
      </c>
      <c r="AI8" s="78"/>
      <c r="AJ8" s="78" t="e">
        <f>SUMIFS(#REF!,#REF!,"&lt;&gt;PR")</f>
        <v>#REF!</v>
      </c>
      <c r="AK8" s="78"/>
      <c r="AL8" s="78" t="e">
        <f>SUMIFS(PLANIFICATION[AC 2026],#REF!,"&lt;&gt;PR")</f>
        <v>#REF!</v>
      </c>
      <c r="AM8" s="78"/>
      <c r="AN8" s="78" t="e">
        <f>SUMIFS(PLANIFICATION[AC 2027],#REF!,"&lt;&gt;PR")</f>
        <v>#REF!</v>
      </c>
      <c r="AO8" s="78"/>
      <c r="AP8" s="78" t="e">
        <f>SUMIFS(PLANIFICATION[AC 2028],#REF!,"&lt;&gt;PR")</f>
        <v>#REF!</v>
      </c>
      <c r="AQ8" s="78"/>
      <c r="AR8" s="78" t="e">
        <f>SUMIFS(PLANIFICATION[AC 2029],#REF!,"&lt;&gt;PR")</f>
        <v>#REF!</v>
      </c>
      <c r="AS8" s="78"/>
      <c r="AT8" s="78" t="e">
        <f>SUMIFS(PLANIFICATION[AC 2030],#REF!,"&lt;&gt;PR")</f>
        <v>#REF!</v>
      </c>
      <c r="AU8" s="78"/>
      <c r="AV8" s="78" t="e">
        <f>SUMIFS(PLANIFICATION[AC 2031],#REF!,"&lt;&gt;PR")</f>
        <v>#REF!</v>
      </c>
      <c r="AW8" s="78"/>
      <c r="AX8" s="78" t="e">
        <f>SUMIFS(PLANIFICATION[AC 2032],#REF!,"&lt;&gt;PR")</f>
        <v>#REF!</v>
      </c>
      <c r="AY8" s="78"/>
      <c r="AZ8" s="78" t="e">
        <f>SUMIFS(#REF!,#REF!,"&lt;&gt;PR")</f>
        <v>#REF!</v>
      </c>
      <c r="BA8" s="78"/>
      <c r="BB8" s="78" t="e">
        <f>SUMIFS(#REF!,#REF!,"&lt;&gt;PR")</f>
        <v>#REF!</v>
      </c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 t="e">
        <f>SUMIFS(#REF!,#REF!,"&lt;&gt;PR")</f>
        <v>#REF!</v>
      </c>
      <c r="CG8" s="78"/>
      <c r="CH8" s="16" t="e">
        <f>SUM(AL8:AU8)</f>
        <v>#REF!</v>
      </c>
      <c r="CI8" s="16" t="e">
        <f>SUM(AV8:CG8)</f>
        <v>#REF!</v>
      </c>
      <c r="CJ8" s="16"/>
      <c r="CK8" s="16"/>
      <c r="CL8" s="16"/>
      <c r="CM8" s="16" t="e">
        <f>SUM(AL8:CG8)</f>
        <v>#REF!</v>
      </c>
      <c r="CN8" s="16"/>
      <c r="DP8"/>
    </row>
    <row r="9" spans="1:147" x14ac:dyDescent="0.3">
      <c r="J9" s="176"/>
      <c r="K9" s="28" t="s">
        <v>271</v>
      </c>
      <c r="AD9" s="35" t="s">
        <v>26</v>
      </c>
      <c r="AE9" s="140">
        <v>0.25</v>
      </c>
      <c r="AG9" s="83" t="s">
        <v>27</v>
      </c>
      <c r="AH9" s="78" t="e">
        <f>SUMIFS(PLANIFICATION[TR ANT],#REF!,"&lt;&gt;PR")</f>
        <v>#REF!</v>
      </c>
      <c r="AI9" s="78"/>
      <c r="AJ9" s="78" t="e">
        <f>SUMIFS(#REF!,#REF!,"&lt;&gt;PR")</f>
        <v>#REF!</v>
      </c>
      <c r="AK9" s="78"/>
      <c r="AL9" s="78" t="e">
        <f>SUMIFS(PLANIFICATION[TR 2026],#REF!,"&lt;&gt;PR")</f>
        <v>#REF!</v>
      </c>
      <c r="AM9" s="78"/>
      <c r="AN9" s="78" t="e">
        <f>SUMIFS(PLANIFICATION[TR 2027],#REF!,"&lt;&gt;PR")</f>
        <v>#REF!</v>
      </c>
      <c r="AO9" s="78"/>
      <c r="AP9" s="78" t="e">
        <f>SUMIFS(PLANIFICATION[TR 2028],#REF!,"&lt;&gt;PR")</f>
        <v>#REF!</v>
      </c>
      <c r="AQ9" s="78"/>
      <c r="AR9" s="78" t="e">
        <f>SUMIFS(PLANIFICATION[TR 2029],#REF!,"&lt;&gt;PR")</f>
        <v>#REF!</v>
      </c>
      <c r="AS9" s="78"/>
      <c r="AT9" s="78" t="e">
        <f>SUMIFS(PLANIFICATION[TR 2030],#REF!,"&lt;&gt;PR")</f>
        <v>#REF!</v>
      </c>
      <c r="AU9" s="78"/>
      <c r="AV9" s="78" t="e">
        <f>SUMIFS(PLANIFICATION[TR 2031],#REF!,"&lt;&gt;PR")</f>
        <v>#REF!</v>
      </c>
      <c r="AW9" s="78"/>
      <c r="AX9" s="78" t="e">
        <f>SUMIFS(PLANIFICATION[TR 2032],#REF!,"&lt;&gt;PR")</f>
        <v>#REF!</v>
      </c>
      <c r="AY9" s="78"/>
      <c r="AZ9" s="78" t="e">
        <f>SUMIFS(#REF!,#REF!,"&lt;&gt;PR")</f>
        <v>#REF!</v>
      </c>
      <c r="BA9" s="78"/>
      <c r="BB9" s="78" t="e">
        <f>SUMIFS(#REF!,#REF!,"&lt;&gt;PR")</f>
        <v>#REF!</v>
      </c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 t="e">
        <f>SUMIFS(#REF!,#REF!,"&lt;&gt;PR")</f>
        <v>#REF!</v>
      </c>
      <c r="CG9" s="78"/>
      <c r="CH9" s="16" t="e">
        <f>SUM(AL9:AU9)</f>
        <v>#REF!</v>
      </c>
      <c r="CI9" s="16" t="e">
        <f>SUM(AV9:CG9)</f>
        <v>#REF!</v>
      </c>
      <c r="CJ9" s="16"/>
      <c r="CK9" s="16"/>
      <c r="CL9" s="16"/>
      <c r="CM9" s="16" t="e">
        <f>SUM(AL9:CG9)</f>
        <v>#REF!</v>
      </c>
      <c r="CN9" s="16"/>
      <c r="DP9"/>
    </row>
    <row r="10" spans="1:147" x14ac:dyDescent="0.3">
      <c r="J10" s="175"/>
      <c r="K10" s="31" t="s">
        <v>521</v>
      </c>
      <c r="AD10" s="35" t="s">
        <v>28</v>
      </c>
      <c r="AE10" s="140">
        <v>0.4</v>
      </c>
      <c r="AG10" s="83" t="s">
        <v>29</v>
      </c>
      <c r="AH10" s="20" t="e">
        <f>AH8+AH9</f>
        <v>#REF!</v>
      </c>
      <c r="AI10" s="20"/>
      <c r="AJ10" s="20" t="e">
        <f>AJ8+AJ9</f>
        <v>#REF!</v>
      </c>
      <c r="AK10" s="20"/>
      <c r="AL10" s="20" t="e">
        <f>AL8+AL9</f>
        <v>#REF!</v>
      </c>
      <c r="AM10" s="20"/>
      <c r="AN10" s="20" t="e">
        <f>AN8+AN9</f>
        <v>#REF!</v>
      </c>
      <c r="AO10" s="20"/>
      <c r="AP10" s="20" t="e">
        <f>AP8+AP9</f>
        <v>#REF!</v>
      </c>
      <c r="AQ10" s="20"/>
      <c r="AR10" s="20" t="e">
        <f>AR8+AR9</f>
        <v>#REF!</v>
      </c>
      <c r="AS10" s="20"/>
      <c r="AT10" s="20" t="e">
        <f>AT8+AT9</f>
        <v>#REF!</v>
      </c>
      <c r="AU10" s="20"/>
      <c r="AV10" s="20" t="e">
        <f>AV8+AV9</f>
        <v>#REF!</v>
      </c>
      <c r="AW10" s="20"/>
      <c r="AX10" s="20" t="e">
        <f>AX8+AX9</f>
        <v>#REF!</v>
      </c>
      <c r="AY10" s="20"/>
      <c r="AZ10" s="20" t="e">
        <f>AZ8+AZ9</f>
        <v>#REF!</v>
      </c>
      <c r="BA10" s="20"/>
      <c r="BB10" s="20" t="e">
        <f>BB8+BB9</f>
        <v>#REF!</v>
      </c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 t="e">
        <f>CF8+CF9</f>
        <v>#REF!</v>
      </c>
      <c r="CG10" s="20"/>
      <c r="CH10" s="20" t="e">
        <f>CH9+CH8</f>
        <v>#REF!</v>
      </c>
      <c r="CI10" s="20" t="e">
        <f>CI9+CI8</f>
        <v>#REF!</v>
      </c>
      <c r="CJ10" s="20"/>
      <c r="CK10" s="20"/>
      <c r="CL10" s="20"/>
      <c r="CM10" s="20" t="e">
        <f>CM9+CM8</f>
        <v>#REF!</v>
      </c>
      <c r="CN10" s="20"/>
      <c r="DP10"/>
    </row>
    <row r="11" spans="1:147" ht="15.6" x14ac:dyDescent="0.3">
      <c r="AD11" s="24" t="s">
        <v>30</v>
      </c>
      <c r="AE11" s="212">
        <f>SUM(AE7:AE10)</f>
        <v>1</v>
      </c>
      <c r="AF11" s="343" t="s">
        <v>31</v>
      </c>
      <c r="AG11" s="344"/>
      <c r="AH11" s="247" t="e">
        <f>AH10+AH7</f>
        <v>#REF!</v>
      </c>
      <c r="AI11" s="64"/>
      <c r="AJ11" s="21" t="e">
        <f>AJ10+AJ7</f>
        <v>#REF!</v>
      </c>
      <c r="AK11" s="64"/>
      <c r="AL11" s="21" t="e">
        <f>AL10+AL7</f>
        <v>#REF!</v>
      </c>
      <c r="AM11" s="64"/>
      <c r="AN11" s="21" t="e">
        <f>AN10+AN7</f>
        <v>#REF!</v>
      </c>
      <c r="AO11" s="64"/>
      <c r="AP11" s="21" t="e">
        <f>AP10+AP7</f>
        <v>#REF!</v>
      </c>
      <c r="AQ11" s="64"/>
      <c r="AR11" s="21" t="e">
        <f>AR10+AR7</f>
        <v>#REF!</v>
      </c>
      <c r="AS11" s="64"/>
      <c r="AT11" s="21" t="e">
        <f>AT10+AT7</f>
        <v>#REF!</v>
      </c>
      <c r="AU11" s="64"/>
      <c r="AV11" s="21" t="e">
        <f t="shared" ref="AV11" si="0">AV10+AV7</f>
        <v>#REF!</v>
      </c>
      <c r="AW11" s="64"/>
      <c r="AX11" s="21" t="e">
        <f t="shared" ref="AX11" si="1">AX10+AX7</f>
        <v>#REF!</v>
      </c>
      <c r="AY11" s="64"/>
      <c r="AZ11" s="21" t="e">
        <f t="shared" ref="AZ11" si="2">AZ10+AZ7</f>
        <v>#REF!</v>
      </c>
      <c r="BA11" s="64"/>
      <c r="BB11" s="21" t="e">
        <f t="shared" ref="BB11" si="3">BB10+BB7</f>
        <v>#REF!</v>
      </c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64"/>
      <c r="CF11" s="21" t="e">
        <f>CF10+CF7</f>
        <v>#REF!</v>
      </c>
      <c r="CG11" s="64"/>
      <c r="CH11" s="21" t="e">
        <f>CH7+CH10</f>
        <v>#REF!</v>
      </c>
      <c r="CI11" s="21" t="e">
        <f>CI7+CI10</f>
        <v>#REF!</v>
      </c>
      <c r="CJ11" s="21"/>
      <c r="CK11" s="21"/>
      <c r="CL11" s="21"/>
      <c r="CM11" s="21" t="e">
        <f>CM7+CM10</f>
        <v>#REF!</v>
      </c>
      <c r="CN11" s="167"/>
      <c r="DP11"/>
    </row>
    <row r="12" spans="1:147" ht="15.6" x14ac:dyDescent="0.3">
      <c r="AF12" s="209"/>
      <c r="AG12" s="83" t="s">
        <v>700</v>
      </c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>
        <v>0</v>
      </c>
      <c r="AW12" s="78"/>
      <c r="AX12" s="78">
        <v>0</v>
      </c>
      <c r="AY12" s="78"/>
      <c r="AZ12" s="78">
        <v>0</v>
      </c>
      <c r="BA12" s="78"/>
      <c r="BB12" s="78">
        <v>0</v>
      </c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>
        <v>0</v>
      </c>
      <c r="CG12" s="78"/>
      <c r="CH12" s="76">
        <f>SUM(AL12:AU12)</f>
        <v>0</v>
      </c>
      <c r="CI12" s="76">
        <f>SUM(AV12:CG12)</f>
        <v>0</v>
      </c>
      <c r="CJ12" s="76"/>
      <c r="CK12" s="76"/>
      <c r="CL12" s="76"/>
      <c r="CM12" s="76">
        <f>SUM(AL12:CG12)</f>
        <v>0</v>
      </c>
      <c r="CN12" s="250"/>
      <c r="DP12"/>
    </row>
    <row r="13" spans="1:147" ht="15.6" x14ac:dyDescent="0.3">
      <c r="AF13" s="345" t="s">
        <v>592</v>
      </c>
      <c r="AG13" s="346"/>
      <c r="AH13" s="21" t="e">
        <f>AH12+AH11</f>
        <v>#REF!</v>
      </c>
      <c r="AI13" s="64"/>
      <c r="AJ13" s="21" t="e">
        <f>AJ12+AJ11</f>
        <v>#REF!</v>
      </c>
      <c r="AK13" s="64"/>
      <c r="AL13" s="21" t="e">
        <f>AL12+AL11</f>
        <v>#REF!</v>
      </c>
      <c r="AM13" s="64"/>
      <c r="AN13" s="21" t="e">
        <f>AN12+AN11</f>
        <v>#REF!</v>
      </c>
      <c r="AO13" s="64"/>
      <c r="AP13" s="21" t="e">
        <f>AP12+AP11</f>
        <v>#REF!</v>
      </c>
      <c r="AQ13" s="64"/>
      <c r="AR13" s="21" t="e">
        <f>AR12+AR11</f>
        <v>#REF!</v>
      </c>
      <c r="AS13" s="64"/>
      <c r="AT13" s="21" t="e">
        <f>AT12+AT11</f>
        <v>#REF!</v>
      </c>
      <c r="AU13" s="64"/>
      <c r="AV13" s="21" t="e">
        <f>AV12+AV11</f>
        <v>#REF!</v>
      </c>
      <c r="AW13" s="64"/>
      <c r="AX13" s="21" t="e">
        <f>AX12+AX11</f>
        <v>#REF!</v>
      </c>
      <c r="AY13" s="64"/>
      <c r="AZ13" s="21" t="e">
        <f>AZ12+AZ11</f>
        <v>#REF!</v>
      </c>
      <c r="BA13" s="64"/>
      <c r="BB13" s="21" t="e">
        <f>BB12+BB11</f>
        <v>#REF!</v>
      </c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64"/>
      <c r="CF13" s="21" t="e">
        <f>CF12+CF11</f>
        <v>#REF!</v>
      </c>
      <c r="CG13" s="64"/>
      <c r="CH13" s="21" t="e">
        <f>CH12+CH11</f>
        <v>#REF!</v>
      </c>
      <c r="CI13" s="21" t="e">
        <f>CI12+CI11</f>
        <v>#REF!</v>
      </c>
      <c r="CJ13" s="21"/>
      <c r="CK13" s="21"/>
      <c r="CL13" s="21"/>
      <c r="CM13" s="21" t="e">
        <f>CM12+CM11</f>
        <v>#REF!</v>
      </c>
      <c r="CN13" s="167"/>
      <c r="DP13"/>
    </row>
    <row r="14" spans="1:147" ht="15.6" x14ac:dyDescent="0.3">
      <c r="AF14" s="210"/>
      <c r="AG14" s="144" t="s">
        <v>692</v>
      </c>
      <c r="AH14" s="241"/>
      <c r="AI14" s="242"/>
      <c r="AJ14" s="241">
        <v>71000</v>
      </c>
      <c r="AK14" s="242"/>
      <c r="AL14" s="241">
        <v>75500</v>
      </c>
      <c r="AM14" s="242"/>
      <c r="AN14" s="241">
        <v>80500</v>
      </c>
      <c r="AO14" s="242"/>
      <c r="AP14" s="241">
        <v>80500</v>
      </c>
      <c r="AQ14" s="242"/>
      <c r="AR14" s="241">
        <v>80500</v>
      </c>
      <c r="AS14" s="242"/>
      <c r="AT14" s="241">
        <v>80500</v>
      </c>
      <c r="AU14" s="242"/>
      <c r="AV14" s="241">
        <v>100500</v>
      </c>
      <c r="AW14" s="242"/>
      <c r="AX14" s="241">
        <v>100500</v>
      </c>
      <c r="AY14" s="242"/>
      <c r="AZ14" s="241">
        <v>100500</v>
      </c>
      <c r="BA14" s="242"/>
      <c r="BB14" s="241">
        <v>100500</v>
      </c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242"/>
      <c r="CF14" s="241">
        <v>100500</v>
      </c>
      <c r="CG14" s="242"/>
      <c r="CH14" s="17">
        <f>SUM(AL14:AU14)</f>
        <v>397500</v>
      </c>
      <c r="CI14" s="17">
        <f>SUM(AV14:CG14)</f>
        <v>502500</v>
      </c>
      <c r="CJ14" s="17"/>
      <c r="CK14" s="17"/>
      <c r="CL14" s="17"/>
      <c r="CM14" s="17">
        <f>SUM(AL14:CG14)</f>
        <v>900000</v>
      </c>
      <c r="CN14" s="251"/>
      <c r="DP14"/>
    </row>
    <row r="15" spans="1:147" ht="15.6" x14ac:dyDescent="0.3">
      <c r="AF15" s="210"/>
      <c r="AG15" s="84" t="s">
        <v>690</v>
      </c>
      <c r="AH15" s="23" t="e">
        <f>AH14-AH13</f>
        <v>#REF!</v>
      </c>
      <c r="AI15" s="245"/>
      <c r="AJ15" s="23" t="e">
        <f>AJ14-AJ13</f>
        <v>#REF!</v>
      </c>
      <c r="AK15" s="79"/>
      <c r="AL15" s="23" t="e">
        <f>AL14-AL13</f>
        <v>#REF!</v>
      </c>
      <c r="AM15" s="79"/>
      <c r="AN15" s="23" t="e">
        <f t="shared" ref="AN15" si="4">AN14-AN13</f>
        <v>#REF!</v>
      </c>
      <c r="AO15" s="79"/>
      <c r="AP15" s="23" t="e">
        <f t="shared" ref="AP15" si="5">AP14-AP13</f>
        <v>#REF!</v>
      </c>
      <c r="AQ15" s="79"/>
      <c r="AR15" s="23" t="e">
        <f t="shared" ref="AR15" si="6">AR14-AR13</f>
        <v>#REF!</v>
      </c>
      <c r="AS15" s="79"/>
      <c r="AT15" s="23" t="e">
        <f t="shared" ref="AT15" si="7">AT14-AT13</f>
        <v>#REF!</v>
      </c>
      <c r="AU15" s="79"/>
      <c r="AV15" s="23" t="e">
        <f t="shared" ref="AV15" si="8">AV14-AV13</f>
        <v>#REF!</v>
      </c>
      <c r="AW15" s="79"/>
      <c r="AX15" s="23" t="e">
        <f t="shared" ref="AX15" si="9">AX14-AX13</f>
        <v>#REF!</v>
      </c>
      <c r="AY15" s="79"/>
      <c r="AZ15" s="23" t="e">
        <f>AZ14-AZ13</f>
        <v>#REF!</v>
      </c>
      <c r="BA15" s="79"/>
      <c r="BB15" s="23" t="e">
        <f>BB14-BB13</f>
        <v>#REF!</v>
      </c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23" t="e">
        <f>CF14-CF13</f>
        <v>#REF!</v>
      </c>
      <c r="CG15" s="79"/>
      <c r="CH15" s="23" t="e">
        <f>CH14-CH13</f>
        <v>#REF!</v>
      </c>
      <c r="CI15" s="23" t="e">
        <f>CI14-CI13</f>
        <v>#REF!</v>
      </c>
      <c r="CJ15" s="23"/>
      <c r="CK15" s="23"/>
      <c r="CL15" s="23"/>
      <c r="CM15" s="23" t="e">
        <f>CM14-CM13</f>
        <v>#REF!</v>
      </c>
      <c r="CN15" s="79"/>
      <c r="DP15"/>
    </row>
    <row r="16" spans="1:147" ht="15.6" x14ac:dyDescent="0.3">
      <c r="AF16" s="211"/>
      <c r="AG16" s="145" t="s">
        <v>691</v>
      </c>
      <c r="AH16" s="243"/>
      <c r="AI16" s="244"/>
      <c r="AJ16" s="243" t="e">
        <f>AJ13/AJ14</f>
        <v>#REF!</v>
      </c>
      <c r="AK16" s="22"/>
      <c r="AL16" s="243" t="e">
        <f>(AL14-AL13)/AL14</f>
        <v>#REF!</v>
      </c>
      <c r="AM16" s="22"/>
      <c r="AN16" s="243" t="e">
        <f t="shared" ref="AN16" si="10">(AN14-AN13)/AN14</f>
        <v>#REF!</v>
      </c>
      <c r="AO16" s="22"/>
      <c r="AP16" s="243" t="e">
        <f t="shared" ref="AP16" si="11">(AP14-AP13)/AP14</f>
        <v>#REF!</v>
      </c>
      <c r="AQ16" s="22"/>
      <c r="AR16" s="243" t="e">
        <f t="shared" ref="AR16" si="12">(AR14-AR13)/AR14</f>
        <v>#REF!</v>
      </c>
      <c r="AS16" s="22"/>
      <c r="AT16" s="243" t="e">
        <f t="shared" ref="AT16" si="13">(AT14-AT13)/AT14</f>
        <v>#REF!</v>
      </c>
      <c r="AU16" s="22"/>
      <c r="AV16" s="243" t="e">
        <f t="shared" ref="AV16" si="14">(AV14-AV13)/AV14</f>
        <v>#REF!</v>
      </c>
      <c r="AW16" s="22"/>
      <c r="AX16" s="243" t="e">
        <f t="shared" ref="AX16" si="15">(AX14-AX13)/AX14</f>
        <v>#REF!</v>
      </c>
      <c r="AY16" s="22"/>
      <c r="AZ16" s="243" t="e">
        <f>(AZ14-AZ13)/AZ14</f>
        <v>#REF!</v>
      </c>
      <c r="BA16" s="22"/>
      <c r="BB16" s="243" t="e">
        <f>(BB14-BB13)/BB14</f>
        <v>#REF!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43" t="e">
        <f>(CF14-CF13)/CF14</f>
        <v>#REF!</v>
      </c>
      <c r="CG16" s="22"/>
      <c r="CH16" s="22" t="e">
        <f>(CH14-CH13)/CH14</f>
        <v>#REF!</v>
      </c>
      <c r="CI16" s="22" t="e">
        <f>(CI14-CI13)/CI14</f>
        <v>#REF!</v>
      </c>
      <c r="CJ16" s="22"/>
      <c r="CK16" s="22"/>
      <c r="CL16" s="22"/>
      <c r="CM16" s="22" t="e">
        <f>(CM14-CM13)/CM14</f>
        <v>#REF!</v>
      </c>
      <c r="CN16" s="146"/>
      <c r="DP16"/>
    </row>
    <row r="17" spans="1:120" ht="13.95" customHeight="1" x14ac:dyDescent="0.3">
      <c r="AL17" s="8"/>
      <c r="AN17"/>
      <c r="DP17"/>
    </row>
    <row r="18" spans="1:120" s="11" customFormat="1" ht="58.5" customHeight="1" x14ac:dyDescent="0.3">
      <c r="A18" s="11" t="s">
        <v>273</v>
      </c>
      <c r="B18" s="11" t="s">
        <v>661</v>
      </c>
      <c r="C18" s="11" t="s">
        <v>274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41</v>
      </c>
      <c r="I18" s="11" t="s">
        <v>42</v>
      </c>
      <c r="J18" s="11" t="s">
        <v>44</v>
      </c>
      <c r="K18" s="11" t="s">
        <v>45</v>
      </c>
      <c r="L18" s="11" t="s">
        <v>46</v>
      </c>
      <c r="M18" s="11" t="s">
        <v>47</v>
      </c>
      <c r="N18" s="11" t="s">
        <v>48</v>
      </c>
      <c r="O18" s="11" t="s">
        <v>49</v>
      </c>
      <c r="P18" s="11" t="s">
        <v>724</v>
      </c>
      <c r="Q18" s="11" t="s">
        <v>50</v>
      </c>
      <c r="R18" s="11" t="s">
        <v>548</v>
      </c>
      <c r="S18" s="11" t="s">
        <v>538</v>
      </c>
      <c r="T18" s="11" t="s">
        <v>537</v>
      </c>
      <c r="U18" s="11" t="s">
        <v>535</v>
      </c>
      <c r="V18" s="11" t="s">
        <v>534</v>
      </c>
      <c r="W18" s="11" t="s">
        <v>536</v>
      </c>
      <c r="X18" s="11" t="s">
        <v>51</v>
      </c>
      <c r="Y18" s="11" t="s">
        <v>52</v>
      </c>
      <c r="Z18" s="11" t="s">
        <v>723</v>
      </c>
      <c r="AA18" s="11" t="s">
        <v>53</v>
      </c>
      <c r="AB18" s="11" t="s">
        <v>659</v>
      </c>
      <c r="AC18" s="11" t="s">
        <v>73</v>
      </c>
      <c r="AD18" s="11" t="s">
        <v>74</v>
      </c>
      <c r="AE18" s="11" t="s">
        <v>75</v>
      </c>
      <c r="AF18" s="11" t="s">
        <v>69</v>
      </c>
      <c r="AG18" s="11" t="s">
        <v>660</v>
      </c>
      <c r="AH18" s="11" t="s">
        <v>76</v>
      </c>
      <c r="AI18" s="11" t="s">
        <v>77</v>
      </c>
      <c r="AJ18" s="11" t="s">
        <v>82</v>
      </c>
      <c r="AK18" s="11" t="s">
        <v>83</v>
      </c>
      <c r="AL18" s="11" t="s">
        <v>84</v>
      </c>
      <c r="AM18" s="11" t="s">
        <v>85</v>
      </c>
      <c r="AN18" s="11" t="s">
        <v>86</v>
      </c>
      <c r="AO18" s="11" t="s">
        <v>87</v>
      </c>
      <c r="AP18" s="11" t="s">
        <v>88</v>
      </c>
      <c r="AQ18" s="11" t="s">
        <v>89</v>
      </c>
      <c r="AR18" s="11" t="s">
        <v>90</v>
      </c>
      <c r="AS18" s="11" t="s">
        <v>91</v>
      </c>
      <c r="AT18" s="11" t="s">
        <v>92</v>
      </c>
      <c r="AU18" s="11" t="s">
        <v>93</v>
      </c>
      <c r="AV18" s="11" t="s">
        <v>94</v>
      </c>
      <c r="AW18" s="11" t="s">
        <v>95</v>
      </c>
      <c r="AX18" t="s">
        <v>96</v>
      </c>
      <c r="AY18" t="s">
        <v>97</v>
      </c>
      <c r="AZ18" t="s">
        <v>98</v>
      </c>
      <c r="BA18" t="s">
        <v>99</v>
      </c>
      <c r="BB18" t="s">
        <v>593</v>
      </c>
      <c r="BC18" t="s">
        <v>594</v>
      </c>
      <c r="BD18" t="s">
        <v>743</v>
      </c>
      <c r="BE18" t="s">
        <v>744</v>
      </c>
      <c r="BF18" t="s">
        <v>741</v>
      </c>
      <c r="BG18" t="s">
        <v>742</v>
      </c>
      <c r="BH18" s="11" t="s">
        <v>100</v>
      </c>
      <c r="BI18" t="s">
        <v>730</v>
      </c>
      <c r="BJ18" t="s">
        <v>731</v>
      </c>
    </row>
    <row r="19" spans="1:120" hidden="1" x14ac:dyDescent="0.3">
      <c r="A19" t="s">
        <v>286</v>
      </c>
      <c r="B19" t="s">
        <v>663</v>
      </c>
      <c r="C19" t="s">
        <v>732</v>
      </c>
      <c r="D19" t="s">
        <v>101</v>
      </c>
      <c r="E19" t="s">
        <v>102</v>
      </c>
      <c r="F19" t="s">
        <v>119</v>
      </c>
      <c r="G19" t="s">
        <v>129</v>
      </c>
      <c r="H19" t="s">
        <v>20</v>
      </c>
      <c r="I19" t="s">
        <v>20</v>
      </c>
      <c r="J19" t="s">
        <v>131</v>
      </c>
      <c r="K19" t="s">
        <v>440</v>
      </c>
      <c r="L19" t="s">
        <v>441</v>
      </c>
      <c r="M19" t="s">
        <v>152</v>
      </c>
      <c r="N19">
        <v>2026</v>
      </c>
      <c r="O19" t="s">
        <v>155</v>
      </c>
      <c r="P19" s="1"/>
      <c r="Q19" s="1">
        <v>45992</v>
      </c>
      <c r="R19" s="1" t="e">
        <f xml:space="preserve"> IF(#REF! = "", "X",IF(#REF! &lt;= DATE(#REF!- 3, 12, 15),"5.Respect OPC",IF(#REF! &lt;= DATE(#REF!-2, 4, 1),"3.À risque","1.Très à risque")))</f>
        <v>#REF!</v>
      </c>
      <c r="S19" s="1" t="e">
        <f xml:space="preserve"> IF(#REF! = "", "X",IF(#REF! &lt;= DATE(#REF!- 2, 12, 15),"5.Respect OPC",IF(#REF! &lt;= DATE(#REF!-1, 4, 1),"3.À risque","1.Très à risque")))</f>
        <v>#REF!</v>
      </c>
      <c r="T19" s="1" t="e">
        <f xml:space="preserve"> IF(#REF! = "", "X",IF(#REF! &lt;= DATE(#REF!- 1, 12, 15),"5.Respect OPC",IF(#REF! &lt;= DATE(#REF!, 4, 1),"3.À risque","1.Très à risque")))</f>
        <v>#REF!</v>
      </c>
      <c r="U19" s="1" t="e">
        <f xml:space="preserve"> (YEAR(#REF!) - YEAR(#REF!)) * 12 + MONTH(#REF!) - MONTH(#REF!)</f>
        <v>#REF!</v>
      </c>
      <c r="V19" s="1" t="e">
        <f xml:space="preserve"> (YEAR(#REF!) - YEAR(#REF!)) * 12 + MONTH(#REF!) - MONTH(#REF!)</f>
        <v>#REF!</v>
      </c>
      <c r="W19" s="1" t="e">
        <f>#REF!+#REF!</f>
        <v>#REF!</v>
      </c>
      <c r="X19" s="1"/>
      <c r="Y19" s="1">
        <v>45992</v>
      </c>
      <c r="Z19">
        <v>5</v>
      </c>
      <c r="AA19">
        <v>1</v>
      </c>
      <c r="AC19" s="2" t="e">
        <f>_xlfn.XLOOKUP(#REF!,Portefeuille_MNT_PPS_Access27[Numéro projet],Portefeuille_MNT_PPS_Access27[Critère Etat Infrastructure])</f>
        <v>#REF!</v>
      </c>
      <c r="AD19" s="12" t="e">
        <f>IF(#REF!=5,100, SUM(IF(#REF!="",#REF!*$AE$8/5,#REF!*$AE$8/5),#REF!* $AE$10/5,#REF!* $AE$9/5,#REF!* $AE$7/5)*100)</f>
        <v>#REF!</v>
      </c>
      <c r="AE19" s="221"/>
      <c r="AF19" t="s">
        <v>156</v>
      </c>
      <c r="AG19">
        <v>3.3333333333333335</v>
      </c>
      <c r="AH19">
        <v>0</v>
      </c>
      <c r="AI19">
        <v>0</v>
      </c>
      <c r="AJ19">
        <v>55</v>
      </c>
      <c r="AK19">
        <v>543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598</v>
      </c>
      <c r="DP19"/>
    </row>
    <row r="20" spans="1:120" hidden="1" x14ac:dyDescent="0.3">
      <c r="A20" t="s">
        <v>286</v>
      </c>
      <c r="B20" t="s">
        <v>662</v>
      </c>
      <c r="C20" t="s">
        <v>733</v>
      </c>
      <c r="D20" t="s">
        <v>118</v>
      </c>
      <c r="E20" t="s">
        <v>102</v>
      </c>
      <c r="F20" t="s">
        <v>103</v>
      </c>
      <c r="G20" t="s">
        <v>149</v>
      </c>
      <c r="H20" t="s">
        <v>20</v>
      </c>
      <c r="I20" t="s">
        <v>20</v>
      </c>
      <c r="J20" t="s">
        <v>131</v>
      </c>
      <c r="K20" t="s">
        <v>396</v>
      </c>
      <c r="L20" t="s">
        <v>397</v>
      </c>
      <c r="M20" t="s">
        <v>194</v>
      </c>
      <c r="N20">
        <v>2029</v>
      </c>
      <c r="O20" t="s">
        <v>155</v>
      </c>
      <c r="P20" s="1">
        <v>46068</v>
      </c>
      <c r="Q20" s="1">
        <v>46371</v>
      </c>
      <c r="R20" s="1" t="e">
        <f xml:space="preserve"> IF(#REF! = "", "X",IF(#REF! &lt;= DATE(#REF!- 3, 12, 15),"5.Respect OPC",IF(#REF! &lt;= DATE(#REF!-2, 4, 1),"3.À risque","1.Très à risque")))</f>
        <v>#REF!</v>
      </c>
      <c r="S20" s="1" t="e">
        <f xml:space="preserve"> IF(#REF! = "", "X",IF(#REF! &lt;= DATE(#REF!- 2, 12, 15),"5.Respect OPC",IF(#REF! &lt;= DATE(#REF!-1, 4, 1),"3.À risque","1.Très à risque")))</f>
        <v>#REF!</v>
      </c>
      <c r="T20" s="1" t="e">
        <f xml:space="preserve"> IF(#REF! = "", "X",IF(#REF! &lt;= DATE(#REF!- 1, 12, 15),"5.Respect OPC",IF(#REF! &lt;= DATE(#REF!, 4, 1),"3.À risque","1.Très à risque")))</f>
        <v>#REF!</v>
      </c>
      <c r="U20" s="1" t="e">
        <f xml:space="preserve"> (YEAR(#REF!) - YEAR(#REF!)) * 12 + MONTH(#REF!) - MONTH(#REF!)</f>
        <v>#REF!</v>
      </c>
      <c r="V20" s="1" t="e">
        <f xml:space="preserve"> (YEAR(#REF!) - YEAR(#REF!)) * 12 + MONTH(#REF!) - MONTH(#REF!)</f>
        <v>#REF!</v>
      </c>
      <c r="W20" s="1" t="e">
        <f>#REF!+#REF!</f>
        <v>#REF!</v>
      </c>
      <c r="X20" s="1">
        <v>46736</v>
      </c>
      <c r="Y20" s="1">
        <v>47102</v>
      </c>
      <c r="Z20">
        <v>5</v>
      </c>
      <c r="AA20">
        <v>1</v>
      </c>
      <c r="AB20">
        <v>5</v>
      </c>
      <c r="AC20" s="2" t="e">
        <f>_xlfn.XLOOKUP(#REF!,Portefeuille_MNT_PPS_Access27[Numéro projet],Portefeuille_MNT_PPS_Access27[Critère Etat Infrastructure])</f>
        <v>#REF!</v>
      </c>
      <c r="AD20" s="12" t="e">
        <f>IF(#REF!=5,100, SUM(IF(#REF!="",#REF!*$AE$8/5,#REF!*$AE$8/5),#REF!* $AE$10/5,#REF!* $AE$9/5,#REF!* $AE$7/5)*100)</f>
        <v>#REF!</v>
      </c>
      <c r="AE20" s="221"/>
      <c r="AF20" t="s">
        <v>156</v>
      </c>
      <c r="AG20">
        <v>3.3333333333333335</v>
      </c>
      <c r="AH20">
        <v>0</v>
      </c>
      <c r="AI20">
        <v>0</v>
      </c>
      <c r="AJ20">
        <v>0</v>
      </c>
      <c r="AK20">
        <v>0</v>
      </c>
      <c r="AL20">
        <v>75</v>
      </c>
      <c r="AM20">
        <v>0</v>
      </c>
      <c r="AN20">
        <v>250</v>
      </c>
      <c r="AO20">
        <v>0</v>
      </c>
      <c r="AP20">
        <v>675</v>
      </c>
      <c r="AQ20">
        <v>10500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11500</v>
      </c>
      <c r="BI20">
        <v>11500</v>
      </c>
      <c r="BJ20">
        <v>11500</v>
      </c>
      <c r="DP20"/>
    </row>
    <row r="21" spans="1:120" hidden="1" x14ac:dyDescent="0.3">
      <c r="A21" t="s">
        <v>11</v>
      </c>
      <c r="B21" t="s">
        <v>662</v>
      </c>
      <c r="C21" t="s">
        <v>733</v>
      </c>
      <c r="D21" t="s">
        <v>118</v>
      </c>
      <c r="E21" t="s">
        <v>102</v>
      </c>
      <c r="F21" t="s">
        <v>177</v>
      </c>
      <c r="G21" t="s">
        <v>252</v>
      </c>
      <c r="H21" t="s">
        <v>20</v>
      </c>
      <c r="I21" t="s">
        <v>20</v>
      </c>
      <c r="J21" t="s">
        <v>131</v>
      </c>
      <c r="K21" t="s">
        <v>448</v>
      </c>
      <c r="L21" t="s">
        <v>449</v>
      </c>
      <c r="M21" t="s">
        <v>159</v>
      </c>
      <c r="N21">
        <v>2027</v>
      </c>
      <c r="O21" t="s">
        <v>291</v>
      </c>
      <c r="P21" s="1"/>
      <c r="Q21" s="1"/>
      <c r="R21" s="1" t="e">
        <f xml:space="preserve"> IF(#REF! = "", "X",IF(#REF! &lt;= DATE(#REF!- 3, 12, 15),"5.Respect OPC",IF(#REF! &lt;= DATE(#REF!-2, 4, 1),"3.À risque","1.Très à risque")))</f>
        <v>#REF!</v>
      </c>
      <c r="S21" s="1" t="e">
        <f xml:space="preserve"> IF(#REF! = "", "X",IF(#REF! &lt;= DATE(#REF!- 2, 12, 15),"5.Respect OPC",IF(#REF! &lt;= DATE(#REF!-1, 4, 1),"3.À risque","1.Très à risque")))</f>
        <v>#REF!</v>
      </c>
      <c r="T21" s="1" t="e">
        <f xml:space="preserve"> IF(#REF! = "", "X",IF(#REF! &lt;= DATE(#REF!- 1, 12, 15),"5.Respect OPC",IF(#REF! &lt;= DATE(#REF!, 4, 1),"3.À risque","1.Très à risque")))</f>
        <v>#REF!</v>
      </c>
      <c r="U21" s="1" t="e">
        <f xml:space="preserve"> (YEAR(#REF!) - YEAR(#REF!)) * 12 + MONTH(#REF!) - MONTH(#REF!)</f>
        <v>#REF!</v>
      </c>
      <c r="V21" s="1" t="e">
        <f xml:space="preserve"> (YEAR(#REF!) - YEAR(#REF!)) * 12 + MONTH(#REF!) - MONTH(#REF!)</f>
        <v>#REF!</v>
      </c>
      <c r="W21" s="1" t="e">
        <f>#REF!+#REF!</f>
        <v>#REF!</v>
      </c>
      <c r="X21" s="1"/>
      <c r="Y21" s="1"/>
      <c r="Z21">
        <v>5</v>
      </c>
      <c r="AA21">
        <v>1</v>
      </c>
      <c r="AB21">
        <v>3</v>
      </c>
      <c r="AC21" s="2" t="e">
        <f>_xlfn.XLOOKUP(#REF!,Portefeuille_MNT_PPS_Access27[Numéro projet],Portefeuille_MNT_PPS_Access27[Critère Etat Infrastructure])</f>
        <v>#REF!</v>
      </c>
      <c r="AD21" s="12" t="e">
        <f>IF(#REF!=5,100, SUM(IF(#REF!="",#REF!*$AE$8/5,#REF!*$AE$8/5),#REF!* $AE$10/5,#REF!* $AE$9/5,#REF!* $AE$7/5)*100)</f>
        <v>#REF!</v>
      </c>
      <c r="AE21" s="221"/>
      <c r="AF21" t="s">
        <v>311</v>
      </c>
      <c r="AG21">
        <v>4.333333333333333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100</v>
      </c>
      <c r="BI21">
        <v>100</v>
      </c>
      <c r="BJ21">
        <v>100</v>
      </c>
      <c r="DP21"/>
    </row>
    <row r="22" spans="1:120" hidden="1" x14ac:dyDescent="0.3">
      <c r="A22" t="s">
        <v>286</v>
      </c>
      <c r="B22" t="s">
        <v>663</v>
      </c>
      <c r="C22" t="s">
        <v>733</v>
      </c>
      <c r="D22" t="s">
        <v>101</v>
      </c>
      <c r="E22" t="s">
        <v>102</v>
      </c>
      <c r="F22" t="s">
        <v>119</v>
      </c>
      <c r="G22" t="s">
        <v>129</v>
      </c>
      <c r="H22" t="s">
        <v>16</v>
      </c>
      <c r="I22" t="s">
        <v>16</v>
      </c>
      <c r="J22" t="s">
        <v>131</v>
      </c>
      <c r="K22" t="s">
        <v>153</v>
      </c>
      <c r="L22" t="s">
        <v>154</v>
      </c>
      <c r="M22" t="s">
        <v>134</v>
      </c>
      <c r="N22">
        <v>2026</v>
      </c>
      <c r="O22" t="s">
        <v>123</v>
      </c>
      <c r="P22" s="1"/>
      <c r="Q22" s="1">
        <v>45601</v>
      </c>
      <c r="R22" s="1" t="e">
        <f xml:space="preserve"> IF(#REF! = "", "X",IF(#REF! &lt;= DATE(#REF!- 3, 12, 15),"5.Respect OPC",IF(#REF! &lt;= DATE(#REF!-2, 4, 1),"3.À risque","1.Très à risque")))</f>
        <v>#REF!</v>
      </c>
      <c r="S22" s="1" t="e">
        <f xml:space="preserve"> IF(#REF! = "", "X",IF(#REF! &lt;= DATE(#REF!- 2, 12, 15),"5.Respect OPC",IF(#REF! &lt;= DATE(#REF!-1, 4, 1),"3.À risque","1.Très à risque")))</f>
        <v>#REF!</v>
      </c>
      <c r="T22" s="1" t="e">
        <f xml:space="preserve"> IF(#REF! = "", "X",IF(#REF! &lt;= DATE(#REF!- 1, 12, 15),"5.Respect OPC",IF(#REF! &lt;= DATE(#REF!, 4, 1),"3.À risque","1.Très à risque")))</f>
        <v>#REF!</v>
      </c>
      <c r="U22" s="1" t="e">
        <f xml:space="preserve"> (YEAR(#REF!) - YEAR(#REF!)) * 12 + MONTH(#REF!) - MONTH(#REF!)</f>
        <v>#REF!</v>
      </c>
      <c r="V22" s="1" t="e">
        <f xml:space="preserve"> (YEAR(#REF!) - YEAR(#REF!)) * 12 + MONTH(#REF!) - MONTH(#REF!)</f>
        <v>#REF!</v>
      </c>
      <c r="W22" s="1" t="e">
        <f>#REF!+#REF!</f>
        <v>#REF!</v>
      </c>
      <c r="X22" s="1">
        <v>45731</v>
      </c>
      <c r="Y22" s="1">
        <v>45976</v>
      </c>
      <c r="Z22">
        <v>5</v>
      </c>
      <c r="AA22">
        <v>5</v>
      </c>
      <c r="AC22" s="2" t="e">
        <f>_xlfn.XLOOKUP(#REF!,Portefeuille_MNT_PPS_Access27[Numéro projet],Portefeuille_MNT_PPS_Access27[Critère Etat Infrastructure])</f>
        <v>#REF!</v>
      </c>
      <c r="AD22" s="12" t="e">
        <f>IF(#REF!=5,100, SUM(IF(#REF!="",#REF!*$AE$8/5,#REF!*$AE$8/5),#REF!* $AE$10/5,#REF!* $AE$9/5,#REF!* $AE$7/5)*100)</f>
        <v>#REF!</v>
      </c>
      <c r="AE22" s="221"/>
      <c r="AF22" t="s">
        <v>125</v>
      </c>
      <c r="AG22">
        <v>2.3333333333333335</v>
      </c>
      <c r="AH22">
        <v>20</v>
      </c>
      <c r="AI22">
        <v>0</v>
      </c>
      <c r="AJ22">
        <v>55</v>
      </c>
      <c r="AK22">
        <v>543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618</v>
      </c>
      <c r="DP22"/>
    </row>
    <row r="23" spans="1:120" hidden="1" x14ac:dyDescent="0.3">
      <c r="A23" t="s">
        <v>286</v>
      </c>
      <c r="B23" t="s">
        <v>664</v>
      </c>
      <c r="C23" t="s">
        <v>733</v>
      </c>
      <c r="D23" t="s">
        <v>101</v>
      </c>
      <c r="E23" t="s">
        <v>102</v>
      </c>
      <c r="F23" t="s">
        <v>103</v>
      </c>
      <c r="G23" t="s">
        <v>129</v>
      </c>
      <c r="H23" t="s">
        <v>20</v>
      </c>
      <c r="I23" t="s">
        <v>20</v>
      </c>
      <c r="J23" t="s">
        <v>131</v>
      </c>
      <c r="K23" t="s">
        <v>653</v>
      </c>
      <c r="L23" t="s">
        <v>654</v>
      </c>
      <c r="M23" t="s">
        <v>134</v>
      </c>
      <c r="N23">
        <v>2029</v>
      </c>
      <c r="O23" t="s">
        <v>291</v>
      </c>
      <c r="P23" s="1"/>
      <c r="Q23" s="1"/>
      <c r="R23" s="1" t="e">
        <f xml:space="preserve"> IF(#REF! = "", "X",IF(#REF! &lt;= DATE(#REF!- 3, 12, 15),"5.Respect OPC",IF(#REF! &lt;= DATE(#REF!-2, 4, 1),"3.À risque","1.Très à risque")))</f>
        <v>#REF!</v>
      </c>
      <c r="S23" s="1" t="e">
        <f xml:space="preserve"> IF(#REF! = "", "X",IF(#REF! &lt;= DATE(#REF!- 2, 12, 15),"5.Respect OPC",IF(#REF! &lt;= DATE(#REF!-1, 4, 1),"3.À risque","1.Très à risque")))</f>
        <v>#REF!</v>
      </c>
      <c r="T23" s="1" t="e">
        <f xml:space="preserve"> IF(#REF! = "", "X",IF(#REF! &lt;= DATE(#REF!- 1, 12, 15),"5.Respect OPC",IF(#REF! &lt;= DATE(#REF!, 4, 1),"3.À risque","1.Très à risque")))</f>
        <v>#REF!</v>
      </c>
      <c r="U23" s="1" t="e">
        <f xml:space="preserve"> (YEAR(#REF!) - YEAR(#REF!)) * 12 + MONTH(#REF!) - MONTH(#REF!)</f>
        <v>#REF!</v>
      </c>
      <c r="V23" s="1" t="e">
        <f xml:space="preserve"> (YEAR(#REF!) - YEAR(#REF!)) * 12 + MONTH(#REF!) - MONTH(#REF!)</f>
        <v>#REF!</v>
      </c>
      <c r="W23" s="1" t="e">
        <f>#REF!+#REF!</f>
        <v>#REF!</v>
      </c>
      <c r="X23" s="1"/>
      <c r="Y23" s="1"/>
      <c r="Z23">
        <v>5</v>
      </c>
      <c r="AA23">
        <v>1</v>
      </c>
      <c r="AB23">
        <v>3</v>
      </c>
      <c r="AC23" s="2" t="e">
        <f>_xlfn.XLOOKUP(#REF!,Portefeuille_MNT_PPS_Access27[Numéro projet],Portefeuille_MNT_PPS_Access27[Critère Etat Infrastructure])</f>
        <v>#REF!</v>
      </c>
      <c r="AD23" s="12" t="e">
        <f>IF(#REF!=5,100, SUM(IF(#REF!="",#REF!*$AE$8/5,#REF!*$AE$8/5),#REF!* $AE$10/5,#REF!* $AE$9/5,#REF!* $AE$7/5)*100)</f>
        <v>#REF!</v>
      </c>
      <c r="AE23" s="221"/>
      <c r="AF23" t="s">
        <v>311</v>
      </c>
      <c r="AG23">
        <v>1.3333333333333333</v>
      </c>
      <c r="AH23">
        <v>0</v>
      </c>
      <c r="AI23">
        <v>0</v>
      </c>
      <c r="AJ23">
        <v>0</v>
      </c>
      <c r="AK23">
        <v>0</v>
      </c>
      <c r="AL23">
        <v>125</v>
      </c>
      <c r="AM23">
        <v>0</v>
      </c>
      <c r="AN23">
        <v>125</v>
      </c>
      <c r="AO23">
        <v>0</v>
      </c>
      <c r="AP23">
        <v>250</v>
      </c>
      <c r="AQ23">
        <v>1000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1500</v>
      </c>
      <c r="BI23">
        <v>1500</v>
      </c>
      <c r="BJ23">
        <v>1500</v>
      </c>
      <c r="DP23"/>
    </row>
    <row r="24" spans="1:120" hidden="1" x14ac:dyDescent="0.3">
      <c r="A24" t="s">
        <v>286</v>
      </c>
      <c r="B24" t="s">
        <v>662</v>
      </c>
      <c r="C24" t="s">
        <v>125</v>
      </c>
      <c r="D24" t="s">
        <v>118</v>
      </c>
      <c r="E24" t="s">
        <v>102</v>
      </c>
      <c r="F24" t="s">
        <v>136</v>
      </c>
      <c r="G24" t="s">
        <v>104</v>
      </c>
      <c r="H24" t="s">
        <v>16</v>
      </c>
      <c r="I24" t="s">
        <v>20</v>
      </c>
      <c r="J24" t="s">
        <v>131</v>
      </c>
      <c r="K24" t="s">
        <v>157</v>
      </c>
      <c r="L24" t="s">
        <v>158</v>
      </c>
      <c r="M24" t="s">
        <v>159</v>
      </c>
      <c r="N24">
        <v>2026</v>
      </c>
      <c r="O24" t="s">
        <v>155</v>
      </c>
      <c r="P24" s="1"/>
      <c r="Q24" s="1">
        <v>45991</v>
      </c>
      <c r="R24" s="1" t="e">
        <f xml:space="preserve"> IF(#REF! = "", "X",IF(#REF! &lt;= DATE(#REF!- 3, 12, 15),"5.Respect OPC",IF(#REF! &lt;= DATE(#REF!-2, 4, 1),"3.À risque","1.Très à risque")))</f>
        <v>#REF!</v>
      </c>
      <c r="S24" s="1" t="e">
        <f xml:space="preserve"> IF(#REF! = "", "X",IF(#REF! &lt;= DATE(#REF!- 2, 12, 15),"5.Respect OPC",IF(#REF! &lt;= DATE(#REF!-1, 4, 1),"3.À risque","1.Très à risque")))</f>
        <v>#REF!</v>
      </c>
      <c r="T24" s="1" t="e">
        <f xml:space="preserve"> IF(#REF! = "", "X",IF(#REF! &lt;= DATE(#REF!- 1, 12, 15),"5.Respect OPC",IF(#REF! &lt;= DATE(#REF!, 4, 1),"3.À risque","1.Très à risque")))</f>
        <v>#REF!</v>
      </c>
      <c r="U24" s="1" t="e">
        <f xml:space="preserve"> (YEAR(#REF!) - YEAR(#REF!)) * 12 + MONTH(#REF!) - MONTH(#REF!)</f>
        <v>#REF!</v>
      </c>
      <c r="V24" s="1" t="e">
        <f xml:space="preserve"> (YEAR(#REF!) - YEAR(#REF!)) * 12 + MONTH(#REF!) - MONTH(#REF!)</f>
        <v>#REF!</v>
      </c>
      <c r="W24" s="1" t="e">
        <f>#REF!+#REF!</f>
        <v>#REF!</v>
      </c>
      <c r="X24" s="1"/>
      <c r="Y24" s="1">
        <v>46249</v>
      </c>
      <c r="Z24">
        <v>5</v>
      </c>
      <c r="AA24">
        <v>1</v>
      </c>
      <c r="AC24" s="2" t="e">
        <f>_xlfn.XLOOKUP(#REF!,Portefeuille_MNT_PPS_Access27[Numéro projet],Portefeuille_MNT_PPS_Access27[Critère Etat Infrastructure])</f>
        <v>#REF!</v>
      </c>
      <c r="AD24" s="12" t="e">
        <f>IF(#REF!=5,100, SUM(IF(#REF!="",#REF!*$AE$8/5,#REF!*$AE$8/5),#REF!* $AE$10/5,#REF!* $AE$9/5,#REF!* $AE$7/5)*100)</f>
        <v>#REF!</v>
      </c>
      <c r="AE24" s="221"/>
      <c r="AF24" t="s">
        <v>156</v>
      </c>
      <c r="AG24">
        <v>4.333333333333333</v>
      </c>
      <c r="AH24">
        <v>75</v>
      </c>
      <c r="AI24">
        <v>0</v>
      </c>
      <c r="AJ24">
        <v>75</v>
      </c>
      <c r="AK24">
        <v>600</v>
      </c>
      <c r="AL24">
        <v>150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950</v>
      </c>
      <c r="BI24">
        <v>200</v>
      </c>
      <c r="BJ24">
        <v>200</v>
      </c>
      <c r="DP24"/>
    </row>
    <row r="25" spans="1:120" hidden="1" x14ac:dyDescent="0.3">
      <c r="A25" t="s">
        <v>286</v>
      </c>
      <c r="B25" t="s">
        <v>295</v>
      </c>
      <c r="C25" t="s">
        <v>733</v>
      </c>
      <c r="D25" t="s">
        <v>126</v>
      </c>
      <c r="E25" t="s">
        <v>127</v>
      </c>
      <c r="F25" t="s">
        <v>128</v>
      </c>
      <c r="G25" t="s">
        <v>252</v>
      </c>
      <c r="H25" t="s">
        <v>16</v>
      </c>
      <c r="I25" t="s">
        <v>16</v>
      </c>
      <c r="J25" t="s">
        <v>131</v>
      </c>
      <c r="K25" t="s">
        <v>253</v>
      </c>
      <c r="L25" t="s">
        <v>254</v>
      </c>
      <c r="M25" t="s">
        <v>147</v>
      </c>
      <c r="N25">
        <v>2026</v>
      </c>
      <c r="O25" t="s">
        <v>291</v>
      </c>
      <c r="P25" s="1"/>
      <c r="Q25" s="1"/>
      <c r="R25" s="1" t="e">
        <f xml:space="preserve"> IF(#REF! = "", "X",IF(#REF! &lt;= DATE(#REF!- 3, 12, 15),"5.Respect OPC",IF(#REF! &lt;= DATE(#REF!-2, 4, 1),"3.À risque","1.Très à risque")))</f>
        <v>#REF!</v>
      </c>
      <c r="S25" s="1" t="e">
        <f xml:space="preserve"> IF(#REF! = "", "X",IF(#REF! &lt;= DATE(#REF!- 2, 12, 15),"5.Respect OPC",IF(#REF! &lt;= DATE(#REF!-1, 4, 1),"3.À risque","1.Très à risque")))</f>
        <v>#REF!</v>
      </c>
      <c r="T25" s="1" t="e">
        <f xml:space="preserve"> IF(#REF! = "", "X",IF(#REF! &lt;= DATE(#REF!- 1, 12, 15),"5.Respect OPC",IF(#REF! &lt;= DATE(#REF!, 4, 1),"3.À risque","1.Très à risque")))</f>
        <v>#REF!</v>
      </c>
      <c r="U25" s="1" t="e">
        <f xml:space="preserve"> (YEAR(#REF!) - YEAR(#REF!)) * 12 + MONTH(#REF!) - MONTH(#REF!)</f>
        <v>#REF!</v>
      </c>
      <c r="V25" s="1" t="e">
        <f xml:space="preserve"> (YEAR(#REF!) - YEAR(#REF!)) * 12 + MONTH(#REF!) - MONTH(#REF!)</f>
        <v>#REF!</v>
      </c>
      <c r="W25" s="1" t="e">
        <f>#REF!+#REF!</f>
        <v>#REF!</v>
      </c>
      <c r="X25" s="1"/>
      <c r="Y25" s="1"/>
      <c r="Z25">
        <v>5</v>
      </c>
      <c r="AA25">
        <v>1</v>
      </c>
      <c r="AC25" s="2" t="e">
        <f>_xlfn.XLOOKUP(#REF!,Portefeuille_MNT_PPS_Access27[Numéro projet],Portefeuille_MNT_PPS_Access27[Critère Etat Infrastructure])</f>
        <v>#REF!</v>
      </c>
      <c r="AD25" s="12" t="e">
        <f>IF(#REF!=5,100, SUM(IF(#REF!="",#REF!*$AE$8/5,#REF!*$AE$8/5),#REF!* $AE$10/5,#REF!* $AE$9/5,#REF!* $AE$7/5)*100)</f>
        <v>#REF!</v>
      </c>
      <c r="AE25" s="221"/>
      <c r="AF25" t="s">
        <v>311</v>
      </c>
      <c r="AG25">
        <v>2.6666666666666665</v>
      </c>
      <c r="AH25">
        <v>0</v>
      </c>
      <c r="AI25">
        <v>0</v>
      </c>
      <c r="AJ25">
        <v>10</v>
      </c>
      <c r="AK25">
        <v>39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49</v>
      </c>
      <c r="DP25"/>
    </row>
    <row r="26" spans="1:120" hidden="1" x14ac:dyDescent="0.3">
      <c r="A26" t="s">
        <v>286</v>
      </c>
      <c r="B26" t="s">
        <v>663</v>
      </c>
      <c r="C26" t="s">
        <v>735</v>
      </c>
      <c r="D26" t="s">
        <v>101</v>
      </c>
      <c r="E26" t="s">
        <v>102</v>
      </c>
      <c r="F26" t="s">
        <v>103</v>
      </c>
      <c r="G26" t="s">
        <v>140</v>
      </c>
      <c r="H26" t="s">
        <v>16</v>
      </c>
      <c r="I26" t="s">
        <v>20</v>
      </c>
      <c r="K26" t="s">
        <v>246</v>
      </c>
      <c r="L26" t="s">
        <v>515</v>
      </c>
      <c r="M26" t="s">
        <v>725</v>
      </c>
      <c r="N26">
        <v>2027</v>
      </c>
      <c r="O26" t="s">
        <v>110</v>
      </c>
      <c r="P26" s="1"/>
      <c r="Q26" s="1">
        <v>45679</v>
      </c>
      <c r="R26" s="1" t="e">
        <f xml:space="preserve"> IF(#REF! = "", "X",IF(#REF! &lt;= DATE(#REF!- 3, 12, 15),"5.Respect OPC",IF(#REF! &lt;= DATE(#REF!-2, 4, 1),"3.À risque","1.Très à risque")))</f>
        <v>#REF!</v>
      </c>
      <c r="S26" s="1" t="e">
        <f xml:space="preserve"> IF(#REF! = "", "X",IF(#REF! &lt;= DATE(#REF!- 2, 12, 15),"5.Respect OPC",IF(#REF! &lt;= DATE(#REF!-1, 4, 1),"3.À risque","1.Très à risque")))</f>
        <v>#REF!</v>
      </c>
      <c r="T26" s="1" t="e">
        <f xml:space="preserve"> IF(#REF! = "", "X",IF(#REF! &lt;= DATE(#REF!- 1, 12, 15),"5.Respect OPC",IF(#REF! &lt;= DATE(#REF!, 4, 1),"3.À risque","1.Très à risque")))</f>
        <v>#REF!</v>
      </c>
      <c r="U26" s="1" t="e">
        <f xml:space="preserve"> (YEAR(#REF!) - YEAR(#REF!)) * 12 + MONTH(#REF!) - MONTH(#REF!)</f>
        <v>#REF!</v>
      </c>
      <c r="V26" s="1" t="e">
        <f xml:space="preserve"> (YEAR(#REF!) - YEAR(#REF!)) * 12 + MONTH(#REF!) - MONTH(#REF!)</f>
        <v>#REF!</v>
      </c>
      <c r="W26" s="1" t="e">
        <f>#REF!+#REF!</f>
        <v>#REF!</v>
      </c>
      <c r="X26" s="1">
        <v>46096</v>
      </c>
      <c r="Y26" s="1">
        <v>46371</v>
      </c>
      <c r="Z26">
        <v>5</v>
      </c>
      <c r="AA26">
        <v>1</v>
      </c>
      <c r="AB26">
        <v>5</v>
      </c>
      <c r="AC26" s="2" t="e">
        <f>_xlfn.XLOOKUP(#REF!,Portefeuille_MNT_PPS_Access27[Numéro projet],Portefeuille_MNT_PPS_Access27[Critère Etat Infrastructure])</f>
        <v>#REF!</v>
      </c>
      <c r="AD26" s="12" t="e">
        <f>IF(#REF!=5,100, SUM(IF(#REF!="",#REF!*$AE$8/5,#REF!*$AE$8/5),#REF!* $AE$10/5,#REF!* $AE$9/5,#REF!* $AE$7/5)*100)</f>
        <v>#REF!</v>
      </c>
      <c r="AE26" s="221"/>
      <c r="AF26" t="s">
        <v>112</v>
      </c>
      <c r="AG26">
        <v>1.8333333333333335</v>
      </c>
      <c r="AH26">
        <v>200</v>
      </c>
      <c r="AI26">
        <v>0</v>
      </c>
      <c r="AJ26">
        <v>110</v>
      </c>
      <c r="AK26">
        <v>0</v>
      </c>
      <c r="AL26">
        <v>82</v>
      </c>
      <c r="AM26">
        <v>3475</v>
      </c>
      <c r="AN26">
        <v>81</v>
      </c>
      <c r="AO26">
        <v>427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4375</v>
      </c>
      <c r="BI26">
        <v>4065</v>
      </c>
      <c r="BJ26">
        <v>4065</v>
      </c>
      <c r="DP26"/>
    </row>
    <row r="27" spans="1:120" hidden="1" x14ac:dyDescent="0.3">
      <c r="A27" t="s">
        <v>286</v>
      </c>
      <c r="B27" t="s">
        <v>664</v>
      </c>
      <c r="C27" t="s">
        <v>733</v>
      </c>
      <c r="D27" t="s">
        <v>101</v>
      </c>
      <c r="E27" t="s">
        <v>102</v>
      </c>
      <c r="F27" t="s">
        <v>128</v>
      </c>
      <c r="G27" t="s">
        <v>129</v>
      </c>
      <c r="H27" t="s">
        <v>16</v>
      </c>
      <c r="I27" t="s">
        <v>20</v>
      </c>
      <c r="J27" t="s">
        <v>131</v>
      </c>
      <c r="K27" t="s">
        <v>250</v>
      </c>
      <c r="L27" t="s">
        <v>251</v>
      </c>
      <c r="M27" t="s">
        <v>214</v>
      </c>
      <c r="N27">
        <v>2028</v>
      </c>
      <c r="O27" t="s">
        <v>110</v>
      </c>
      <c r="P27" s="1"/>
      <c r="Q27" s="1">
        <v>45490</v>
      </c>
      <c r="R27" s="1" t="e">
        <f xml:space="preserve"> IF(#REF! = "", "X",IF(#REF! &lt;= DATE(#REF!- 3, 12, 15),"5.Respect OPC",IF(#REF! &lt;= DATE(#REF!-2, 4, 1),"3.À risque","1.Très à risque")))</f>
        <v>#REF!</v>
      </c>
      <c r="S27" s="1" t="e">
        <f xml:space="preserve"> IF(#REF! = "", "X",IF(#REF! &lt;= DATE(#REF!- 2, 12, 15),"5.Respect OPC",IF(#REF! &lt;= DATE(#REF!-1, 4, 1),"3.À risque","1.Très à risque")))</f>
        <v>#REF!</v>
      </c>
      <c r="T27" s="1" t="e">
        <f xml:space="preserve"> IF(#REF! = "", "X",IF(#REF! &lt;= DATE(#REF!- 1, 12, 15),"5.Respect OPC",IF(#REF! &lt;= DATE(#REF!, 4, 1),"3.À risque","1.Très à risque")))</f>
        <v>#REF!</v>
      </c>
      <c r="U27" s="1" t="e">
        <f xml:space="preserve"> (YEAR(#REF!) - YEAR(#REF!)) * 12 + MONTH(#REF!) - MONTH(#REF!)</f>
        <v>#REF!</v>
      </c>
      <c r="V27" s="1" t="e">
        <f xml:space="preserve"> (YEAR(#REF!) - YEAR(#REF!)) * 12 + MONTH(#REF!) - MONTH(#REF!)</f>
        <v>#REF!</v>
      </c>
      <c r="W27" s="1" t="e">
        <f>#REF!+#REF!</f>
        <v>#REF!</v>
      </c>
      <c r="X27" s="1"/>
      <c r="Y27" s="1">
        <v>46447</v>
      </c>
      <c r="Z27">
        <v>5</v>
      </c>
      <c r="AA27">
        <v>1</v>
      </c>
      <c r="AB27">
        <v>3</v>
      </c>
      <c r="AC27" s="2" t="e">
        <f>_xlfn.XLOOKUP(#REF!,Portefeuille_MNT_PPS_Access27[Numéro projet],Portefeuille_MNT_PPS_Access27[Critère Etat Infrastructure])</f>
        <v>#REF!</v>
      </c>
      <c r="AD27" s="12" t="e">
        <f>IF(#REF!=5,100, SUM(IF(#REF!="",#REF!*$AE$8/5,#REF!*$AE$8/5),#REF!* $AE$10/5,#REF!* $AE$9/5,#REF!* $AE$7/5)*100)</f>
        <v>#REF!</v>
      </c>
      <c r="AE27" s="221"/>
      <c r="AF27" t="s">
        <v>112</v>
      </c>
      <c r="AG27">
        <v>3</v>
      </c>
      <c r="AH27">
        <v>37</v>
      </c>
      <c r="AI27">
        <v>0</v>
      </c>
      <c r="AJ27">
        <v>10</v>
      </c>
      <c r="AK27">
        <v>0</v>
      </c>
      <c r="AL27">
        <v>12</v>
      </c>
      <c r="AM27">
        <v>0</v>
      </c>
      <c r="AN27">
        <v>30</v>
      </c>
      <c r="AO27">
        <v>194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283</v>
      </c>
      <c r="BI27">
        <v>236</v>
      </c>
      <c r="BJ27">
        <v>236</v>
      </c>
      <c r="DP27"/>
    </row>
    <row r="28" spans="1:120" hidden="1" x14ac:dyDescent="0.3">
      <c r="A28" t="s">
        <v>286</v>
      </c>
      <c r="B28" t="s">
        <v>662</v>
      </c>
      <c r="C28" t="s">
        <v>112</v>
      </c>
      <c r="D28" t="s">
        <v>118</v>
      </c>
      <c r="E28" t="s">
        <v>102</v>
      </c>
      <c r="F28" t="s">
        <v>177</v>
      </c>
      <c r="G28" t="s">
        <v>113</v>
      </c>
      <c r="H28" t="s">
        <v>16</v>
      </c>
      <c r="I28" t="s">
        <v>20</v>
      </c>
      <c r="J28" t="s">
        <v>131</v>
      </c>
      <c r="K28" t="s">
        <v>240</v>
      </c>
      <c r="L28" t="s">
        <v>241</v>
      </c>
      <c r="M28" t="s">
        <v>187</v>
      </c>
      <c r="N28">
        <v>2027</v>
      </c>
      <c r="O28" t="s">
        <v>110</v>
      </c>
      <c r="P28" s="1"/>
      <c r="Q28" s="1">
        <v>45708</v>
      </c>
      <c r="R28" s="1" t="e">
        <f xml:space="preserve"> IF(#REF! = "", "X",IF(#REF! &lt;= DATE(#REF!- 3, 12, 15),"5.Respect OPC",IF(#REF! &lt;= DATE(#REF!-2, 4, 1),"3.À risque","1.Très à risque")))</f>
        <v>#REF!</v>
      </c>
      <c r="S28" s="1" t="e">
        <f xml:space="preserve"> IF(#REF! = "", "X",IF(#REF! &lt;= DATE(#REF!- 2, 12, 15),"5.Respect OPC",IF(#REF! &lt;= DATE(#REF!-1, 4, 1),"3.À risque","1.Très à risque")))</f>
        <v>#REF!</v>
      </c>
      <c r="T28" s="1" t="e">
        <f xml:space="preserve"> IF(#REF! = "", "X",IF(#REF! &lt;= DATE(#REF!- 1, 12, 15),"5.Respect OPC",IF(#REF! &lt;= DATE(#REF!, 4, 1),"3.À risque","1.Très à risque")))</f>
        <v>#REF!</v>
      </c>
      <c r="U28" s="1" t="e">
        <f xml:space="preserve"> (YEAR(#REF!) - YEAR(#REF!)) * 12 + MONTH(#REF!) - MONTH(#REF!)</f>
        <v>#REF!</v>
      </c>
      <c r="V28" s="1" t="e">
        <f xml:space="preserve"> (YEAR(#REF!) - YEAR(#REF!)) * 12 + MONTH(#REF!) - MONTH(#REF!)</f>
        <v>#REF!</v>
      </c>
      <c r="W28" s="1" t="e">
        <f>#REF!+#REF!</f>
        <v>#REF!</v>
      </c>
      <c r="X28" s="1">
        <v>45923</v>
      </c>
      <c r="Y28" s="1">
        <v>46296</v>
      </c>
      <c r="Z28">
        <v>5</v>
      </c>
      <c r="AA28">
        <v>1</v>
      </c>
      <c r="AB28">
        <v>5</v>
      </c>
      <c r="AC28" s="2" t="e">
        <f>_xlfn.XLOOKUP(#REF!,Portefeuille_MNT_PPS_Access27[Numéro projet],Portefeuille_MNT_PPS_Access27[Critère Etat Infrastructure])</f>
        <v>#REF!</v>
      </c>
      <c r="AD28" s="12" t="e">
        <f>IF(#REF!=5,100, SUM(IF(#REF!="",#REF!*$AE$8/5,#REF!*$AE$8/5),#REF!* $AE$10/5,#REF!* $AE$9/5,#REF!* $AE$7/5)*100)</f>
        <v>#REF!</v>
      </c>
      <c r="AE28" s="221"/>
      <c r="AF28" t="s">
        <v>112</v>
      </c>
      <c r="AG28">
        <v>3</v>
      </c>
      <c r="AH28">
        <v>217</v>
      </c>
      <c r="AI28">
        <v>0</v>
      </c>
      <c r="AJ28">
        <v>72</v>
      </c>
      <c r="AK28">
        <v>0</v>
      </c>
      <c r="AL28">
        <v>295</v>
      </c>
      <c r="AM28">
        <v>5162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5746</v>
      </c>
      <c r="BI28">
        <v>5457</v>
      </c>
      <c r="BJ28">
        <v>5457</v>
      </c>
      <c r="DP28"/>
    </row>
    <row r="29" spans="1:120" hidden="1" x14ac:dyDescent="0.3">
      <c r="A29" t="s">
        <v>286</v>
      </c>
      <c r="B29" t="s">
        <v>662</v>
      </c>
      <c r="C29" t="s">
        <v>733</v>
      </c>
      <c r="D29" t="s">
        <v>118</v>
      </c>
      <c r="E29" t="s">
        <v>102</v>
      </c>
      <c r="F29" t="s">
        <v>136</v>
      </c>
      <c r="G29" t="s">
        <v>252</v>
      </c>
      <c r="H29" t="s">
        <v>16</v>
      </c>
      <c r="I29" t="s">
        <v>16</v>
      </c>
      <c r="J29" t="s">
        <v>131</v>
      </c>
      <c r="K29" t="s">
        <v>255</v>
      </c>
      <c r="L29" t="s">
        <v>529</v>
      </c>
      <c r="M29" t="s">
        <v>209</v>
      </c>
      <c r="N29">
        <v>2026</v>
      </c>
      <c r="O29" t="s">
        <v>291</v>
      </c>
      <c r="P29" s="1"/>
      <c r="Q29" s="1"/>
      <c r="R29" s="1" t="e">
        <f xml:space="preserve"> IF(#REF! = "", "X",IF(#REF! &lt;= DATE(#REF!- 3, 12, 15),"5.Respect OPC",IF(#REF! &lt;= DATE(#REF!-2, 4, 1),"3.À risque","1.Très à risque")))</f>
        <v>#REF!</v>
      </c>
      <c r="S29" s="1" t="e">
        <f xml:space="preserve"> IF(#REF! = "", "X",IF(#REF! &lt;= DATE(#REF!- 2, 12, 15),"5.Respect OPC",IF(#REF! &lt;= DATE(#REF!-1, 4, 1),"3.À risque","1.Très à risque")))</f>
        <v>#REF!</v>
      </c>
      <c r="T29" s="1" t="e">
        <f xml:space="preserve"> IF(#REF! = "", "X",IF(#REF! &lt;= DATE(#REF!- 1, 12, 15),"5.Respect OPC",IF(#REF! &lt;= DATE(#REF!, 4, 1),"3.À risque","1.Très à risque")))</f>
        <v>#REF!</v>
      </c>
      <c r="U29" s="1" t="e">
        <f xml:space="preserve"> (YEAR(#REF!) - YEAR(#REF!)) * 12 + MONTH(#REF!) - MONTH(#REF!)</f>
        <v>#REF!</v>
      </c>
      <c r="V29" s="1" t="e">
        <f xml:space="preserve"> (YEAR(#REF!) - YEAR(#REF!)) * 12 + MONTH(#REF!) - MONTH(#REF!)</f>
        <v>#REF!</v>
      </c>
      <c r="W29" s="1" t="e">
        <f>#REF!+#REF!</f>
        <v>#REF!</v>
      </c>
      <c r="X29" s="1"/>
      <c r="Y29" s="1">
        <v>46006</v>
      </c>
      <c r="Z29">
        <v>5</v>
      </c>
      <c r="AA29">
        <v>1</v>
      </c>
      <c r="AC29" s="2" t="e">
        <f>_xlfn.XLOOKUP(#REF!,Portefeuille_MNT_PPS_Access27[Numéro projet],Portefeuille_MNT_PPS_Access27[Critère Etat Infrastructure])</f>
        <v>#REF!</v>
      </c>
      <c r="AD29" s="12" t="e">
        <f>IF(#REF!=5,100, SUM(IF(#REF!="",#REF!*$AE$8/5,#REF!*$AE$8/5),#REF!* $AE$10/5,#REF!* $AE$9/5,#REF!* $AE$7/5)*100)</f>
        <v>#REF!</v>
      </c>
      <c r="AE29" s="221"/>
      <c r="AF29" t="s">
        <v>311</v>
      </c>
      <c r="AG29">
        <v>3.3333333333333335</v>
      </c>
      <c r="AH29">
        <v>60</v>
      </c>
      <c r="AI29">
        <v>0</v>
      </c>
      <c r="AJ29">
        <v>20</v>
      </c>
      <c r="AK29">
        <v>540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620</v>
      </c>
      <c r="DP29"/>
    </row>
    <row r="30" spans="1:120" hidden="1" x14ac:dyDescent="0.3">
      <c r="A30" t="s">
        <v>286</v>
      </c>
      <c r="B30" t="s">
        <v>662</v>
      </c>
      <c r="C30" t="s">
        <v>733</v>
      </c>
      <c r="D30" t="s">
        <v>118</v>
      </c>
      <c r="E30" t="s">
        <v>102</v>
      </c>
      <c r="F30" t="s">
        <v>103</v>
      </c>
      <c r="G30" t="s">
        <v>129</v>
      </c>
      <c r="H30" t="s">
        <v>20</v>
      </c>
      <c r="I30" t="s">
        <v>20</v>
      </c>
      <c r="J30" t="s">
        <v>131</v>
      </c>
      <c r="K30" t="s">
        <v>403</v>
      </c>
      <c r="L30" t="s">
        <v>643</v>
      </c>
      <c r="M30" t="s">
        <v>214</v>
      </c>
      <c r="N30">
        <v>2030</v>
      </c>
      <c r="O30" t="s">
        <v>155</v>
      </c>
      <c r="P30" s="1">
        <v>46006</v>
      </c>
      <c r="Q30" s="1">
        <v>46218</v>
      </c>
      <c r="R30" s="1" t="e">
        <f xml:space="preserve"> IF(#REF! = "", "X",IF(#REF! &lt;= DATE(#REF!- 3, 12, 15),"5.Respect OPC",IF(#REF! &lt;= DATE(#REF!-2, 4, 1),"3.À risque","1.Très à risque")))</f>
        <v>#REF!</v>
      </c>
      <c r="S30" s="1" t="e">
        <f xml:space="preserve"> IF(#REF! = "", "X",IF(#REF! &lt;= DATE(#REF!- 2, 12, 15),"5.Respect OPC",IF(#REF! &lt;= DATE(#REF!-1, 4, 1),"3.À risque","1.Très à risque")))</f>
        <v>#REF!</v>
      </c>
      <c r="T30" s="1" t="e">
        <f xml:space="preserve"> IF(#REF! = "", "X",IF(#REF! &lt;= DATE(#REF!- 1, 12, 15),"5.Respect OPC",IF(#REF! &lt;= DATE(#REF!, 4, 1),"3.À risque","1.Très à risque")))</f>
        <v>#REF!</v>
      </c>
      <c r="U30" s="1" t="e">
        <f xml:space="preserve"> (YEAR(#REF!) - YEAR(#REF!)) * 12 + MONTH(#REF!) - MONTH(#REF!)</f>
        <v>#REF!</v>
      </c>
      <c r="V30" s="1" t="e">
        <f xml:space="preserve"> (YEAR(#REF!) - YEAR(#REF!)) * 12 + MONTH(#REF!) - MONTH(#REF!)</f>
        <v>#REF!</v>
      </c>
      <c r="W30" s="1" t="e">
        <f>#REF!+#REF!</f>
        <v>#REF!</v>
      </c>
      <c r="X30" s="1">
        <v>46722</v>
      </c>
      <c r="Y30" s="1">
        <v>47011</v>
      </c>
      <c r="Z30">
        <v>5</v>
      </c>
      <c r="AA30">
        <v>1</v>
      </c>
      <c r="AC30" s="2" t="e">
        <f>_xlfn.XLOOKUP(#REF!,Portefeuille_MNT_PPS_Access27[Numéro projet],Portefeuille_MNT_PPS_Access27[Critère Etat Infrastructure])</f>
        <v>#REF!</v>
      </c>
      <c r="AD30" s="12" t="e">
        <f>IF(#REF!=5,100, SUM(IF(#REF!="",#REF!*$AE$8/5,#REF!*$AE$8/5),#REF!* $AE$10/5,#REF!* $AE$9/5,#REF!* $AE$7/5)*100)</f>
        <v>#REF!</v>
      </c>
      <c r="AE30" s="221"/>
      <c r="AF30" t="s">
        <v>156</v>
      </c>
      <c r="AG30">
        <v>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100</v>
      </c>
      <c r="AO30">
        <v>0</v>
      </c>
      <c r="AP30">
        <v>200</v>
      </c>
      <c r="AQ30">
        <v>0</v>
      </c>
      <c r="AR30">
        <v>200</v>
      </c>
      <c r="AS30">
        <v>10500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11000</v>
      </c>
      <c r="BI30">
        <v>11000</v>
      </c>
      <c r="BJ30">
        <v>11000</v>
      </c>
      <c r="DP30"/>
    </row>
    <row r="31" spans="1:120" hidden="1" x14ac:dyDescent="0.3">
      <c r="A31" t="s">
        <v>286</v>
      </c>
      <c r="B31" t="s">
        <v>664</v>
      </c>
      <c r="C31" t="s">
        <v>733</v>
      </c>
      <c r="D31" t="s">
        <v>101</v>
      </c>
      <c r="E31" t="s">
        <v>102</v>
      </c>
      <c r="F31" t="s">
        <v>128</v>
      </c>
      <c r="G31" t="s">
        <v>149</v>
      </c>
      <c r="H31" t="s">
        <v>16</v>
      </c>
      <c r="I31" t="s">
        <v>16</v>
      </c>
      <c r="J31" t="s">
        <v>131</v>
      </c>
      <c r="K31" t="s">
        <v>150</v>
      </c>
      <c r="L31" t="s">
        <v>721</v>
      </c>
      <c r="M31" t="s">
        <v>152</v>
      </c>
      <c r="N31">
        <v>2026</v>
      </c>
      <c r="O31" t="s">
        <v>123</v>
      </c>
      <c r="P31" s="1"/>
      <c r="Q31" s="1">
        <v>45079</v>
      </c>
      <c r="R31" s="1" t="e">
        <f xml:space="preserve"> IF(#REF! = "", "X",IF(#REF! &lt;= DATE(#REF!- 3, 12, 15),"5.Respect OPC",IF(#REF! &lt;= DATE(#REF!-2, 4, 1),"3.À risque","1.Très à risque")))</f>
        <v>#REF!</v>
      </c>
      <c r="S31" s="1" t="e">
        <f xml:space="preserve"> IF(#REF! = "", "X",IF(#REF! &lt;= DATE(#REF!- 2, 12, 15),"5.Respect OPC",IF(#REF! &lt;= DATE(#REF!-1, 4, 1),"3.À risque","1.Très à risque")))</f>
        <v>#REF!</v>
      </c>
      <c r="T31" s="1" t="e">
        <f xml:space="preserve"> IF(#REF! = "", "X",IF(#REF! &lt;= DATE(#REF!- 1, 12, 15),"5.Respect OPC",IF(#REF! &lt;= DATE(#REF!, 4, 1),"3.À risque","1.Très à risque")))</f>
        <v>#REF!</v>
      </c>
      <c r="U31" s="1" t="e">
        <f xml:space="preserve"> (YEAR(#REF!) - YEAR(#REF!)) * 12 + MONTH(#REF!) - MONTH(#REF!)</f>
        <v>#REF!</v>
      </c>
      <c r="V31" s="1" t="e">
        <f xml:space="preserve"> (YEAR(#REF!) - YEAR(#REF!)) * 12 + MONTH(#REF!) - MONTH(#REF!)</f>
        <v>#REF!</v>
      </c>
      <c r="W31" s="1" t="e">
        <f>#REF!+#REF!</f>
        <v>#REF!</v>
      </c>
      <c r="X31" s="1">
        <v>45685</v>
      </c>
      <c r="Y31" s="1">
        <v>46142</v>
      </c>
      <c r="Z31">
        <v>5</v>
      </c>
      <c r="AA31">
        <v>1</v>
      </c>
      <c r="AC31" s="2" t="e">
        <f>_xlfn.XLOOKUP(#REF!,Portefeuille_MNT_PPS_Access27[Numéro projet],Portefeuille_MNT_PPS_Access27[Critère Etat Infrastructure])</f>
        <v>#REF!</v>
      </c>
      <c r="AD31" s="12" t="e">
        <f>IF(#REF!=5,100, SUM(IF(#REF!="",#REF!*$AE$8/5,#REF!*$AE$8/5),#REF!* $AE$10/5,#REF!* $AE$9/5,#REF!* $AE$7/5)*100)</f>
        <v>#REF!</v>
      </c>
      <c r="AE31" s="221"/>
      <c r="AF31" t="s">
        <v>125</v>
      </c>
      <c r="AG31">
        <v>3.3333333333333335</v>
      </c>
      <c r="AH31">
        <v>295</v>
      </c>
      <c r="AI31">
        <v>0</v>
      </c>
      <c r="AJ31">
        <v>172</v>
      </c>
      <c r="AK31">
        <v>6837</v>
      </c>
      <c r="AL31">
        <v>150</v>
      </c>
      <c r="AM31">
        <v>1523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8977</v>
      </c>
      <c r="BI31">
        <v>1673</v>
      </c>
      <c r="BJ31">
        <v>1673</v>
      </c>
      <c r="DP31"/>
    </row>
    <row r="32" spans="1:120" hidden="1" x14ac:dyDescent="0.3">
      <c r="A32" t="s">
        <v>286</v>
      </c>
      <c r="B32" t="s">
        <v>663</v>
      </c>
      <c r="C32" t="s">
        <v>737</v>
      </c>
      <c r="D32" t="s">
        <v>101</v>
      </c>
      <c r="E32" t="s">
        <v>102</v>
      </c>
      <c r="F32" t="s">
        <v>136</v>
      </c>
      <c r="G32" t="s">
        <v>104</v>
      </c>
      <c r="H32" t="s">
        <v>130</v>
      </c>
      <c r="I32" t="s">
        <v>130</v>
      </c>
      <c r="J32" t="s">
        <v>105</v>
      </c>
      <c r="K32" t="s">
        <v>407</v>
      </c>
      <c r="L32" t="s">
        <v>514</v>
      </c>
      <c r="M32" t="s">
        <v>108</v>
      </c>
      <c r="N32">
        <v>2028</v>
      </c>
      <c r="O32" t="s">
        <v>155</v>
      </c>
      <c r="P32" s="1"/>
      <c r="Q32" s="1">
        <v>46127</v>
      </c>
      <c r="R32" s="1" t="e">
        <f xml:space="preserve"> IF(#REF! = "", "X",IF(#REF! &lt;= DATE(#REF!- 3, 12, 15),"5.Respect OPC",IF(#REF! &lt;= DATE(#REF!-2, 4, 1),"3.À risque","1.Très à risque")))</f>
        <v>#REF!</v>
      </c>
      <c r="S32" s="1" t="e">
        <f xml:space="preserve"> IF(#REF! = "", "X",IF(#REF! &lt;= DATE(#REF!- 2, 12, 15),"5.Respect OPC",IF(#REF! &lt;= DATE(#REF!-1, 4, 1),"3.À risque","1.Très à risque")))</f>
        <v>#REF!</v>
      </c>
      <c r="T32" s="1" t="e">
        <f xml:space="preserve"> IF(#REF! = "", "X",IF(#REF! &lt;= DATE(#REF!- 1, 12, 15),"5.Respect OPC",IF(#REF! &lt;= DATE(#REF!, 4, 1),"3.À risque","1.Très à risque")))</f>
        <v>#REF!</v>
      </c>
      <c r="U32" s="1" t="e">
        <f xml:space="preserve"> (YEAR(#REF!) - YEAR(#REF!)) * 12 + MONTH(#REF!) - MONTH(#REF!)</f>
        <v>#REF!</v>
      </c>
      <c r="V32" s="1" t="e">
        <f xml:space="preserve"> (YEAR(#REF!) - YEAR(#REF!)) * 12 + MONTH(#REF!) - MONTH(#REF!)</f>
        <v>#REF!</v>
      </c>
      <c r="W32" s="1" t="e">
        <f>#REF!+#REF!</f>
        <v>#REF!</v>
      </c>
      <c r="X32" s="1">
        <v>46492</v>
      </c>
      <c r="Y32" s="1">
        <v>46706</v>
      </c>
      <c r="Z32">
        <v>5</v>
      </c>
      <c r="AA32">
        <v>5</v>
      </c>
      <c r="AB32">
        <v>1</v>
      </c>
      <c r="AC32" s="2" t="e">
        <f>_xlfn.XLOOKUP(#REF!,Portefeuille_MNT_PPS_Access27[Numéro projet],Portefeuille_MNT_PPS_Access27[Critère Etat Infrastructure])</f>
        <v>#REF!</v>
      </c>
      <c r="AD32" s="12" t="e">
        <f>IF(#REF!=5,100, SUM(IF(#REF!="",#REF!*$AE$8/5,#REF!*$AE$8/5),#REF!* $AE$10/5,#REF!* $AE$9/5,#REF!* $AE$7/5)*100)</f>
        <v>#REF!</v>
      </c>
      <c r="AE32" s="221"/>
      <c r="AF32" t="s">
        <v>156</v>
      </c>
      <c r="AG32">
        <v>4</v>
      </c>
      <c r="AH32">
        <v>0</v>
      </c>
      <c r="AI32">
        <v>0</v>
      </c>
      <c r="AJ32">
        <v>150</v>
      </c>
      <c r="AK32">
        <v>0</v>
      </c>
      <c r="AL32">
        <v>150</v>
      </c>
      <c r="AM32">
        <v>0</v>
      </c>
      <c r="AN32">
        <v>550</v>
      </c>
      <c r="AO32">
        <v>4000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4850</v>
      </c>
      <c r="BI32">
        <v>4700</v>
      </c>
      <c r="BJ32">
        <v>4700</v>
      </c>
      <c r="DP32"/>
    </row>
    <row r="33" spans="1:120" hidden="1" x14ac:dyDescent="0.3">
      <c r="A33" t="s">
        <v>286</v>
      </c>
      <c r="B33" t="s">
        <v>295</v>
      </c>
      <c r="C33" t="s">
        <v>733</v>
      </c>
      <c r="D33" t="s">
        <v>126</v>
      </c>
      <c r="E33" t="s">
        <v>127</v>
      </c>
      <c r="F33" t="s">
        <v>128</v>
      </c>
      <c r="G33" t="s">
        <v>252</v>
      </c>
      <c r="H33" t="s">
        <v>16</v>
      </c>
      <c r="I33" t="s">
        <v>16</v>
      </c>
      <c r="J33" t="s">
        <v>131</v>
      </c>
      <c r="K33" t="s">
        <v>259</v>
      </c>
      <c r="L33" t="s">
        <v>260</v>
      </c>
      <c r="M33" t="s">
        <v>159</v>
      </c>
      <c r="N33">
        <v>2026</v>
      </c>
      <c r="O33" t="s">
        <v>291</v>
      </c>
      <c r="P33" s="1"/>
      <c r="Q33" s="1"/>
      <c r="R33" s="1" t="e">
        <f xml:space="preserve"> IF(#REF! = "", "X",IF(#REF! &lt;= DATE(#REF!- 3, 12, 15),"5.Respect OPC",IF(#REF! &lt;= DATE(#REF!-2, 4, 1),"3.À risque","1.Très à risque")))</f>
        <v>#REF!</v>
      </c>
      <c r="S33" s="1" t="e">
        <f xml:space="preserve"> IF(#REF! = "", "X",IF(#REF! &lt;= DATE(#REF!- 2, 12, 15),"5.Respect OPC",IF(#REF! &lt;= DATE(#REF!-1, 4, 1),"3.À risque","1.Très à risque")))</f>
        <v>#REF!</v>
      </c>
      <c r="T33" s="1" t="e">
        <f xml:space="preserve"> IF(#REF! = "", "X",IF(#REF! &lt;= DATE(#REF!- 1, 12, 15),"5.Respect OPC",IF(#REF! &lt;= DATE(#REF!, 4, 1),"3.À risque","1.Très à risque")))</f>
        <v>#REF!</v>
      </c>
      <c r="U33" s="1" t="e">
        <f xml:space="preserve"> (YEAR(#REF!) - YEAR(#REF!)) * 12 + MONTH(#REF!) - MONTH(#REF!)</f>
        <v>#REF!</v>
      </c>
      <c r="V33" s="1" t="e">
        <f xml:space="preserve"> (YEAR(#REF!) - YEAR(#REF!)) * 12 + MONTH(#REF!) - MONTH(#REF!)</f>
        <v>#REF!</v>
      </c>
      <c r="W33" s="1" t="e">
        <f>#REF!+#REF!</f>
        <v>#REF!</v>
      </c>
      <c r="X33" s="1"/>
      <c r="Y33" s="1"/>
      <c r="Z33">
        <v>5</v>
      </c>
      <c r="AA33">
        <v>5</v>
      </c>
      <c r="AC33" s="2" t="e">
        <f>_xlfn.XLOOKUP(#REF!,Portefeuille_MNT_PPS_Access27[Numéro projet],Portefeuille_MNT_PPS_Access27[Critère Etat Infrastructure])</f>
        <v>#REF!</v>
      </c>
      <c r="AD33" s="12" t="e">
        <f>IF(#REF!=5,100, SUM(IF(#REF!="",#REF!*$AE$8/5,#REF!*$AE$8/5),#REF!* $AE$10/5,#REF!* $AE$9/5,#REF!* $AE$7/5)*100)</f>
        <v>#REF!</v>
      </c>
      <c r="AE33" s="221"/>
      <c r="AF33" t="s">
        <v>311</v>
      </c>
      <c r="AG33">
        <v>4.333333333333333</v>
      </c>
      <c r="AH33">
        <v>0</v>
      </c>
      <c r="AI33">
        <v>0</v>
      </c>
      <c r="AJ33">
        <v>15</v>
      </c>
      <c r="AK33">
        <v>85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100</v>
      </c>
      <c r="DP33"/>
    </row>
    <row r="34" spans="1:120" hidden="1" x14ac:dyDescent="0.3">
      <c r="A34" t="s">
        <v>286</v>
      </c>
      <c r="B34" t="s">
        <v>295</v>
      </c>
      <c r="C34" t="s">
        <v>736</v>
      </c>
      <c r="D34" t="s">
        <v>126</v>
      </c>
      <c r="E34" t="s">
        <v>127</v>
      </c>
      <c r="F34" t="s">
        <v>200</v>
      </c>
      <c r="G34" t="s">
        <v>252</v>
      </c>
      <c r="H34" t="s">
        <v>20</v>
      </c>
      <c r="I34" t="s">
        <v>20</v>
      </c>
      <c r="J34" t="s">
        <v>131</v>
      </c>
      <c r="K34" t="s">
        <v>651</v>
      </c>
      <c r="L34" t="s">
        <v>652</v>
      </c>
      <c r="M34" t="s">
        <v>139</v>
      </c>
      <c r="N34">
        <v>2026</v>
      </c>
      <c r="O34" t="s">
        <v>291</v>
      </c>
      <c r="P34" s="1"/>
      <c r="Q34" s="1"/>
      <c r="R34" s="1" t="e">
        <f xml:space="preserve"> IF(#REF! = "", "X",IF(#REF! &lt;= DATE(#REF!- 3, 12, 15),"5.Respect OPC",IF(#REF! &lt;= DATE(#REF!-2, 4, 1),"3.À risque","1.Très à risque")))</f>
        <v>#REF!</v>
      </c>
      <c r="S34" s="1" t="e">
        <f xml:space="preserve"> IF(#REF! = "", "X",IF(#REF! &lt;= DATE(#REF!- 2, 12, 15),"5.Respect OPC",IF(#REF! &lt;= DATE(#REF!-1, 4, 1),"3.À risque","1.Très à risque")))</f>
        <v>#REF!</v>
      </c>
      <c r="T34" s="1" t="e">
        <f xml:space="preserve"> IF(#REF! = "", "X",IF(#REF! &lt;= DATE(#REF!- 1, 12, 15),"5.Respect OPC",IF(#REF! &lt;= DATE(#REF!, 4, 1),"3.À risque","1.Très à risque")))</f>
        <v>#REF!</v>
      </c>
      <c r="U34" s="1" t="e">
        <f xml:space="preserve"> (YEAR(#REF!) - YEAR(#REF!)) * 12 + MONTH(#REF!) - MONTH(#REF!)</f>
        <v>#REF!</v>
      </c>
      <c r="V34" s="1" t="e">
        <f xml:space="preserve"> (YEAR(#REF!) - YEAR(#REF!)) * 12 + MONTH(#REF!) - MONTH(#REF!)</f>
        <v>#REF!</v>
      </c>
      <c r="W34" s="1" t="e">
        <f>#REF!+#REF!</f>
        <v>#REF!</v>
      </c>
      <c r="X34" s="1"/>
      <c r="Y34" s="1"/>
      <c r="Z34">
        <v>5</v>
      </c>
      <c r="AA34">
        <v>1</v>
      </c>
      <c r="AC34" s="2" t="e">
        <f>_xlfn.XLOOKUP(#REF!,Portefeuille_MNT_PPS_Access27[Numéro projet],Portefeuille_MNT_PPS_Access27[Critère Etat Infrastructure])</f>
        <v>#REF!</v>
      </c>
      <c r="AD34" s="12" t="e">
        <f>IF(#REF!=5,100, SUM(IF(#REF!="",#REF!*$AE$8/5,#REF!*$AE$8/5),#REF!* $AE$10/5,#REF!* $AE$9/5,#REF!* $AE$7/5)*100)</f>
        <v>#REF!</v>
      </c>
      <c r="AE34" s="221"/>
      <c r="AF34" t="s">
        <v>311</v>
      </c>
      <c r="AG34">
        <v>2</v>
      </c>
      <c r="AH34">
        <v>0</v>
      </c>
      <c r="AI34">
        <v>0</v>
      </c>
      <c r="AJ34">
        <v>0</v>
      </c>
      <c r="AK34">
        <v>15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15</v>
      </c>
      <c r="DP34"/>
    </row>
    <row r="35" spans="1:120" hidden="1" x14ac:dyDescent="0.3">
      <c r="A35" t="s">
        <v>11</v>
      </c>
      <c r="B35" t="s">
        <v>662</v>
      </c>
      <c r="C35" t="s">
        <v>734</v>
      </c>
      <c r="D35" t="s">
        <v>118</v>
      </c>
      <c r="E35" t="s">
        <v>102</v>
      </c>
      <c r="F35" t="s">
        <v>103</v>
      </c>
      <c r="G35" t="s">
        <v>252</v>
      </c>
      <c r="H35" t="s">
        <v>20</v>
      </c>
      <c r="I35" t="s">
        <v>20</v>
      </c>
      <c r="K35" t="s">
        <v>597</v>
      </c>
      <c r="L35" t="s">
        <v>598</v>
      </c>
      <c r="M35" t="s">
        <v>725</v>
      </c>
      <c r="N35">
        <v>2026</v>
      </c>
      <c r="O35" t="s">
        <v>291</v>
      </c>
      <c r="P35" s="1"/>
      <c r="Q35" s="1"/>
      <c r="R35" s="1" t="e">
        <f xml:space="preserve"> IF(#REF! = "", "X",IF(#REF! &lt;= DATE(#REF!- 3, 12, 15),"5.Respect OPC",IF(#REF! &lt;= DATE(#REF!-2, 4, 1),"3.À risque","1.Très à risque")))</f>
        <v>#REF!</v>
      </c>
      <c r="S35" s="1" t="e">
        <f xml:space="preserve"> IF(#REF! = "", "X",IF(#REF! &lt;= DATE(#REF!- 2, 12, 15),"5.Respect OPC",IF(#REF! &lt;= DATE(#REF!-1, 4, 1),"3.À risque","1.Très à risque")))</f>
        <v>#REF!</v>
      </c>
      <c r="T35" s="1" t="e">
        <f xml:space="preserve"> IF(#REF! = "", "X",IF(#REF! &lt;= DATE(#REF!- 1, 12, 15),"5.Respect OPC",IF(#REF! &lt;= DATE(#REF!, 4, 1),"3.À risque","1.Très à risque")))</f>
        <v>#REF!</v>
      </c>
      <c r="U35" s="1" t="e">
        <f xml:space="preserve"> (YEAR(#REF!) - YEAR(#REF!)) * 12 + MONTH(#REF!) - MONTH(#REF!)</f>
        <v>#REF!</v>
      </c>
      <c r="V35" s="1" t="e">
        <f xml:space="preserve"> (YEAR(#REF!) - YEAR(#REF!)) * 12 + MONTH(#REF!) - MONTH(#REF!)</f>
        <v>#REF!</v>
      </c>
      <c r="W35" s="1" t="e">
        <f>#REF!+#REF!</f>
        <v>#REF!</v>
      </c>
      <c r="X35" s="1"/>
      <c r="Y35" s="1"/>
      <c r="Z35">
        <v>5</v>
      </c>
      <c r="AA35">
        <v>1</v>
      </c>
      <c r="AC35" s="2" t="e">
        <f>_xlfn.XLOOKUP(#REF!,Portefeuille_MNT_PPS_Access27[Numéro projet],Portefeuille_MNT_PPS_Access27[Critère Etat Infrastructure])</f>
        <v>#REF!</v>
      </c>
      <c r="AD35" s="12" t="e">
        <f>IF(#REF!=5,100, SUM(IF(#REF!="",#REF!*$AE$8/5,#REF!*$AE$8/5),#REF!* $AE$10/5,#REF!* $AE$9/5,#REF!* $AE$7/5)*100)</f>
        <v>#REF!</v>
      </c>
      <c r="AE35" s="221"/>
      <c r="AF35" t="s">
        <v>311</v>
      </c>
      <c r="AG35">
        <v>2.8</v>
      </c>
      <c r="AH35">
        <v>0</v>
      </c>
      <c r="AI35">
        <v>0</v>
      </c>
      <c r="AJ35">
        <v>0</v>
      </c>
      <c r="AK35">
        <v>160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160</v>
      </c>
      <c r="DP35"/>
    </row>
    <row r="36" spans="1:120" hidden="1" x14ac:dyDescent="0.3">
      <c r="A36" t="s">
        <v>286</v>
      </c>
      <c r="B36" t="s">
        <v>662</v>
      </c>
      <c r="C36" t="s">
        <v>733</v>
      </c>
      <c r="D36" t="s">
        <v>118</v>
      </c>
      <c r="E36" t="s">
        <v>102</v>
      </c>
      <c r="F36" t="s">
        <v>103</v>
      </c>
      <c r="H36" t="s">
        <v>20</v>
      </c>
      <c r="I36" t="s">
        <v>20</v>
      </c>
      <c r="J36" t="s">
        <v>131</v>
      </c>
      <c r="K36" t="s">
        <v>418</v>
      </c>
      <c r="L36" t="s">
        <v>530</v>
      </c>
      <c r="M36" t="s">
        <v>420</v>
      </c>
      <c r="N36">
        <v>2032</v>
      </c>
      <c r="O36" t="s">
        <v>291</v>
      </c>
      <c r="P36" s="1"/>
      <c r="Q36" s="1"/>
      <c r="R36" s="1" t="e">
        <f xml:space="preserve"> IF(#REF! = "", "X",IF(#REF! &lt;= DATE(#REF!- 3, 12, 15),"5.Respect OPC",IF(#REF! &lt;= DATE(#REF!-2, 4, 1),"3.À risque","1.Très à risque")))</f>
        <v>#REF!</v>
      </c>
      <c r="S36" s="1" t="e">
        <f xml:space="preserve"> IF(#REF! = "", "X",IF(#REF! &lt;= DATE(#REF!- 2, 12, 15),"5.Respect OPC",IF(#REF! &lt;= DATE(#REF!-1, 4, 1),"3.À risque","1.Très à risque")))</f>
        <v>#REF!</v>
      </c>
      <c r="T36" s="1" t="e">
        <f xml:space="preserve"> IF(#REF! = "", "X",IF(#REF! &lt;= DATE(#REF!- 1, 12, 15),"5.Respect OPC",IF(#REF! &lt;= DATE(#REF!, 4, 1),"3.À risque","1.Très à risque")))</f>
        <v>#REF!</v>
      </c>
      <c r="U36" s="1" t="e">
        <f xml:space="preserve"> (YEAR(#REF!) - YEAR(#REF!)) * 12 + MONTH(#REF!) - MONTH(#REF!)</f>
        <v>#REF!</v>
      </c>
      <c r="V36" s="1" t="e">
        <f xml:space="preserve"> (YEAR(#REF!) - YEAR(#REF!)) * 12 + MONTH(#REF!) - MONTH(#REF!)</f>
        <v>#REF!</v>
      </c>
      <c r="W36" s="1" t="e">
        <f>#REF!+#REF!</f>
        <v>#REF!</v>
      </c>
      <c r="X36" s="1"/>
      <c r="Y36" s="1"/>
      <c r="Z36">
        <v>5</v>
      </c>
      <c r="AA36">
        <v>1</v>
      </c>
      <c r="AC36" s="2" t="e">
        <f>_xlfn.XLOOKUP(#REF!,Portefeuille_MNT_PPS_Access27[Numéro projet],Portefeuille_MNT_PPS_Access27[Critère Etat Infrastructure])</f>
        <v>#REF!</v>
      </c>
      <c r="AD36" s="12" t="e">
        <f>IF(#REF!=5,100, SUM(IF(#REF!="",#REF!*$AE$8/5,#REF!*$AE$8/5),#REF!* $AE$10/5,#REF!* $AE$9/5,#REF!* $AE$7/5)*100)</f>
        <v>#REF!</v>
      </c>
      <c r="AE36" s="221"/>
      <c r="AF36" t="s">
        <v>311</v>
      </c>
      <c r="AG36">
        <v>3.6666666666666665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100</v>
      </c>
      <c r="AS36">
        <v>0</v>
      </c>
      <c r="AT36">
        <v>200</v>
      </c>
      <c r="AU36">
        <v>0</v>
      </c>
      <c r="AV36">
        <v>450</v>
      </c>
      <c r="AW36">
        <v>7500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8250</v>
      </c>
      <c r="BI36">
        <v>300</v>
      </c>
      <c r="BJ36">
        <v>8250</v>
      </c>
      <c r="DP36"/>
    </row>
    <row r="37" spans="1:120" hidden="1" x14ac:dyDescent="0.3">
      <c r="A37" t="s">
        <v>286</v>
      </c>
      <c r="B37" t="s">
        <v>662</v>
      </c>
      <c r="C37" t="s">
        <v>733</v>
      </c>
      <c r="D37" t="s">
        <v>118</v>
      </c>
      <c r="E37" t="s">
        <v>102</v>
      </c>
      <c r="F37" t="s">
        <v>103</v>
      </c>
      <c r="G37" t="s">
        <v>113</v>
      </c>
      <c r="H37" t="s">
        <v>20</v>
      </c>
      <c r="I37" t="s">
        <v>20</v>
      </c>
      <c r="J37" t="s">
        <v>131</v>
      </c>
      <c r="K37" t="s">
        <v>422</v>
      </c>
      <c r="L37" t="s">
        <v>423</v>
      </c>
      <c r="M37" t="s">
        <v>139</v>
      </c>
      <c r="N37">
        <v>2033</v>
      </c>
      <c r="O37" t="s">
        <v>291</v>
      </c>
      <c r="P37" s="1"/>
      <c r="Q37" s="1"/>
      <c r="R37" s="1" t="e">
        <f xml:space="preserve"> IF(#REF! = "", "X",IF(#REF! &lt;= DATE(#REF!- 3, 12, 15),"5.Respect OPC",IF(#REF! &lt;= DATE(#REF!-2, 4, 1),"3.À risque","1.Très à risque")))</f>
        <v>#REF!</v>
      </c>
      <c r="S37" s="1" t="e">
        <f xml:space="preserve"> IF(#REF! = "", "X",IF(#REF! &lt;= DATE(#REF!- 2, 12, 15),"5.Respect OPC",IF(#REF! &lt;= DATE(#REF!-1, 4, 1),"3.À risque","1.Très à risque")))</f>
        <v>#REF!</v>
      </c>
      <c r="T37" s="1" t="e">
        <f xml:space="preserve"> IF(#REF! = "", "X",IF(#REF! &lt;= DATE(#REF!- 1, 12, 15),"5.Respect OPC",IF(#REF! &lt;= DATE(#REF!, 4, 1),"3.À risque","1.Très à risque")))</f>
        <v>#REF!</v>
      </c>
      <c r="U37" s="1" t="e">
        <f xml:space="preserve"> (YEAR(#REF!) - YEAR(#REF!)) * 12 + MONTH(#REF!) - MONTH(#REF!)</f>
        <v>#REF!</v>
      </c>
      <c r="V37" s="1" t="e">
        <f xml:space="preserve"> (YEAR(#REF!) - YEAR(#REF!)) * 12 + MONTH(#REF!) - MONTH(#REF!)</f>
        <v>#REF!</v>
      </c>
      <c r="W37" s="1" t="e">
        <f>#REF!+#REF!</f>
        <v>#REF!</v>
      </c>
      <c r="X37" s="1"/>
      <c r="Y37" s="1"/>
      <c r="Z37">
        <v>5</v>
      </c>
      <c r="AA37">
        <v>1</v>
      </c>
      <c r="AC37" s="2" t="e">
        <f>_xlfn.XLOOKUP(#REF!,Portefeuille_MNT_PPS_Access27[Numéro projet],Portefeuille_MNT_PPS_Access27[Critère Etat Infrastructure])</f>
        <v>#REF!</v>
      </c>
      <c r="AD37" s="12" t="e">
        <f>IF(#REF!=5,100, SUM(IF(#REF!="",#REF!*$AE$8/5,#REF!*$AE$8/5),#REF!* $AE$10/5,#REF!* $AE$9/5,#REF!* $AE$7/5)*100)</f>
        <v>#REF!</v>
      </c>
      <c r="AE37" s="221"/>
      <c r="AF37" t="s">
        <v>311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100</v>
      </c>
      <c r="AU37">
        <v>0</v>
      </c>
      <c r="AV37">
        <v>200</v>
      </c>
      <c r="AW37">
        <v>0</v>
      </c>
      <c r="AX37">
        <v>250</v>
      </c>
      <c r="AY37">
        <v>7500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8050</v>
      </c>
      <c r="BI37">
        <v>100</v>
      </c>
      <c r="BJ37">
        <v>8050</v>
      </c>
      <c r="DP37"/>
    </row>
    <row r="38" spans="1:120" hidden="1" x14ac:dyDescent="0.3">
      <c r="A38" t="s">
        <v>286</v>
      </c>
      <c r="B38" t="s">
        <v>664</v>
      </c>
      <c r="C38" t="s">
        <v>733</v>
      </c>
      <c r="D38" t="s">
        <v>101</v>
      </c>
      <c r="E38" t="s">
        <v>102</v>
      </c>
      <c r="F38" t="s">
        <v>389</v>
      </c>
      <c r="H38" t="s">
        <v>20</v>
      </c>
      <c r="I38" t="s">
        <v>20</v>
      </c>
      <c r="J38" t="s">
        <v>105</v>
      </c>
      <c r="K38" t="s">
        <v>428</v>
      </c>
      <c r="L38" t="s">
        <v>429</v>
      </c>
      <c r="M38" t="s">
        <v>302</v>
      </c>
      <c r="N38">
        <v>2033</v>
      </c>
      <c r="O38" t="s">
        <v>291</v>
      </c>
      <c r="P38" s="1"/>
      <c r="Q38" s="1"/>
      <c r="R38" s="1" t="e">
        <f xml:space="preserve"> IF(#REF! = "", "X",IF(#REF! &lt;= DATE(#REF!- 3, 12, 15),"5.Respect OPC",IF(#REF! &lt;= DATE(#REF!-2, 4, 1),"3.À risque","1.Très à risque")))</f>
        <v>#REF!</v>
      </c>
      <c r="S38" s="1" t="e">
        <f xml:space="preserve"> IF(#REF! = "", "X",IF(#REF! &lt;= DATE(#REF!- 2, 12, 15),"5.Respect OPC",IF(#REF! &lt;= DATE(#REF!-1, 4, 1),"3.À risque","1.Très à risque")))</f>
        <v>#REF!</v>
      </c>
      <c r="T38" s="1" t="e">
        <f xml:space="preserve"> IF(#REF! = "", "X",IF(#REF! &lt;= DATE(#REF!- 1, 12, 15),"5.Respect OPC",IF(#REF! &lt;= DATE(#REF!, 4, 1),"3.À risque","1.Très à risque")))</f>
        <v>#REF!</v>
      </c>
      <c r="U38" s="1" t="e">
        <f xml:space="preserve"> (YEAR(#REF!) - YEAR(#REF!)) * 12 + MONTH(#REF!) - MONTH(#REF!)</f>
        <v>#REF!</v>
      </c>
      <c r="V38" s="1" t="e">
        <f xml:space="preserve"> (YEAR(#REF!) - YEAR(#REF!)) * 12 + MONTH(#REF!) - MONTH(#REF!)</f>
        <v>#REF!</v>
      </c>
      <c r="W38" s="1" t="e">
        <f>#REF!+#REF!</f>
        <v>#REF!</v>
      </c>
      <c r="X38" s="1"/>
      <c r="Y38" s="1"/>
      <c r="Z38">
        <v>5</v>
      </c>
      <c r="AA38">
        <v>1</v>
      </c>
      <c r="AC38" s="2" t="e">
        <f>_xlfn.XLOOKUP(#REF!,Portefeuille_MNT_PPS_Access27[Numéro projet],Portefeuille_MNT_PPS_Access27[Critère Etat Infrastructure])</f>
        <v>#REF!</v>
      </c>
      <c r="AD38" s="12" t="e">
        <f>IF(#REF!=5,100, SUM(IF(#REF!="",#REF!*$AE$8/5,#REF!*$AE$8/5),#REF!* $AE$10/5,#REF!* $AE$9/5,#REF!* $AE$7/5)*100)</f>
        <v>#REF!</v>
      </c>
      <c r="AE38" s="221"/>
      <c r="AF38" t="s">
        <v>311</v>
      </c>
      <c r="AG38">
        <v>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100</v>
      </c>
      <c r="AW38">
        <v>0</v>
      </c>
      <c r="AX38">
        <v>200</v>
      </c>
      <c r="AY38">
        <v>5000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5300</v>
      </c>
      <c r="BJ38">
        <v>5300</v>
      </c>
      <c r="DP38"/>
    </row>
    <row r="39" spans="1:120" hidden="1" x14ac:dyDescent="0.3">
      <c r="A39" t="s">
        <v>286</v>
      </c>
      <c r="B39" t="s">
        <v>664</v>
      </c>
      <c r="C39" t="s">
        <v>733</v>
      </c>
      <c r="D39" t="s">
        <v>101</v>
      </c>
      <c r="E39" t="s">
        <v>102</v>
      </c>
      <c r="F39" t="s">
        <v>389</v>
      </c>
      <c r="H39" t="s">
        <v>20</v>
      </c>
      <c r="I39" t="s">
        <v>20</v>
      </c>
      <c r="J39" t="s">
        <v>105</v>
      </c>
      <c r="K39" t="s">
        <v>432</v>
      </c>
      <c r="L39" t="s">
        <v>433</v>
      </c>
      <c r="M39" t="s">
        <v>143</v>
      </c>
      <c r="N39">
        <v>2031</v>
      </c>
      <c r="O39" t="s">
        <v>291</v>
      </c>
      <c r="P39" s="1"/>
      <c r="Q39" s="1"/>
      <c r="R39" s="1" t="e">
        <f xml:space="preserve"> IF(#REF! = "", "X",IF(#REF! &lt;= DATE(#REF!- 3, 12, 15),"5.Respect OPC",IF(#REF! &lt;= DATE(#REF!-2, 4, 1),"3.À risque","1.Très à risque")))</f>
        <v>#REF!</v>
      </c>
      <c r="S39" s="1" t="e">
        <f xml:space="preserve"> IF(#REF! = "", "X",IF(#REF! &lt;= DATE(#REF!- 2, 12, 15),"5.Respect OPC",IF(#REF! &lt;= DATE(#REF!-1, 4, 1),"3.À risque","1.Très à risque")))</f>
        <v>#REF!</v>
      </c>
      <c r="T39" s="1" t="e">
        <f xml:space="preserve"> IF(#REF! = "", "X",IF(#REF! &lt;= DATE(#REF!- 1, 12, 15),"5.Respect OPC",IF(#REF! &lt;= DATE(#REF!, 4, 1),"3.À risque","1.Très à risque")))</f>
        <v>#REF!</v>
      </c>
      <c r="U39" s="1" t="e">
        <f xml:space="preserve"> (YEAR(#REF!) - YEAR(#REF!)) * 12 + MONTH(#REF!) - MONTH(#REF!)</f>
        <v>#REF!</v>
      </c>
      <c r="V39" s="1" t="e">
        <f xml:space="preserve"> (YEAR(#REF!) - YEAR(#REF!)) * 12 + MONTH(#REF!) - MONTH(#REF!)</f>
        <v>#REF!</v>
      </c>
      <c r="W39" s="1" t="e">
        <f>#REF!+#REF!</f>
        <v>#REF!</v>
      </c>
      <c r="X39" s="1"/>
      <c r="Y39" s="1"/>
      <c r="Z39">
        <v>5</v>
      </c>
      <c r="AA39">
        <v>1</v>
      </c>
      <c r="AC39" s="2" t="e">
        <f>_xlfn.XLOOKUP(#REF!,Portefeuille_MNT_PPS_Access27[Numéro projet],Portefeuille_MNT_PPS_Access27[Critère Etat Infrastructure])</f>
        <v>#REF!</v>
      </c>
      <c r="AD39" s="12" t="e">
        <f>IF(#REF!=5,100, SUM(IF(#REF!="",#REF!*$AE$8/5,#REF!*$AE$8/5),#REF!* $AE$10/5,#REF!* $AE$9/5,#REF!* $AE$7/5)*100)</f>
        <v>#REF!</v>
      </c>
      <c r="AE39" s="221"/>
      <c r="AF39" t="s">
        <v>311</v>
      </c>
      <c r="AG39">
        <v>4.333333333333333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100</v>
      </c>
      <c r="AS39">
        <v>0</v>
      </c>
      <c r="AT39">
        <v>200</v>
      </c>
      <c r="AU39">
        <v>5000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5300</v>
      </c>
      <c r="BI39">
        <v>5300</v>
      </c>
      <c r="BJ39">
        <v>5300</v>
      </c>
      <c r="DP39"/>
    </row>
    <row r="40" spans="1:120" hidden="1" x14ac:dyDescent="0.3">
      <c r="A40" t="s">
        <v>286</v>
      </c>
      <c r="B40" t="s">
        <v>662</v>
      </c>
      <c r="C40" t="s">
        <v>733</v>
      </c>
      <c r="D40" t="s">
        <v>118</v>
      </c>
      <c r="E40" t="s">
        <v>102</v>
      </c>
      <c r="F40" t="s">
        <v>177</v>
      </c>
      <c r="H40" t="s">
        <v>20</v>
      </c>
      <c r="I40" t="s">
        <v>20</v>
      </c>
      <c r="J40" t="s">
        <v>131</v>
      </c>
      <c r="K40" t="s">
        <v>430</v>
      </c>
      <c r="L40" t="s">
        <v>639</v>
      </c>
      <c r="M40" t="s">
        <v>147</v>
      </c>
      <c r="N40">
        <v>2030</v>
      </c>
      <c r="O40" t="s">
        <v>291</v>
      </c>
      <c r="P40" s="1"/>
      <c r="Q40" s="1"/>
      <c r="R40" s="1" t="e">
        <f xml:space="preserve"> IF(#REF! = "", "X",IF(#REF! &lt;= DATE(#REF!- 3, 12, 15),"5.Respect OPC",IF(#REF! &lt;= DATE(#REF!-2, 4, 1),"3.À risque","1.Très à risque")))</f>
        <v>#REF!</v>
      </c>
      <c r="S40" s="1" t="e">
        <f xml:space="preserve"> IF(#REF! = "", "X",IF(#REF! &lt;= DATE(#REF!- 2, 12, 15),"5.Respect OPC",IF(#REF! &lt;= DATE(#REF!-1, 4, 1),"3.À risque","1.Très à risque")))</f>
        <v>#REF!</v>
      </c>
      <c r="T40" s="1" t="e">
        <f xml:space="preserve"> IF(#REF! = "", "X",IF(#REF! &lt;= DATE(#REF!- 1, 12, 15),"5.Respect OPC",IF(#REF! &lt;= DATE(#REF!, 4, 1),"3.À risque","1.Très à risque")))</f>
        <v>#REF!</v>
      </c>
      <c r="U40" s="1" t="e">
        <f xml:space="preserve"> (YEAR(#REF!) - YEAR(#REF!)) * 12 + MONTH(#REF!) - MONTH(#REF!)</f>
        <v>#REF!</v>
      </c>
      <c r="V40" s="1" t="e">
        <f xml:space="preserve"> (YEAR(#REF!) - YEAR(#REF!)) * 12 + MONTH(#REF!) - MONTH(#REF!)</f>
        <v>#REF!</v>
      </c>
      <c r="W40" s="1" t="e">
        <f>#REF!+#REF!</f>
        <v>#REF!</v>
      </c>
      <c r="X40" s="1"/>
      <c r="Y40" s="1"/>
      <c r="Z40">
        <v>5</v>
      </c>
      <c r="AA40">
        <v>1</v>
      </c>
      <c r="AC40" s="2" t="e">
        <f>_xlfn.XLOOKUP(#REF!,Portefeuille_MNT_PPS_Access27[Numéro projet],Portefeuille_MNT_PPS_Access27[Critère Etat Infrastructure])</f>
        <v>#REF!</v>
      </c>
      <c r="AD40" s="12" t="e">
        <f>IF(#REF!=5,100, SUM(IF(#REF!="",#REF!*$AE$8/5,#REF!*$AE$8/5),#REF!* $AE$10/5,#REF!* $AE$9/5,#REF!* $AE$7/5)*100)</f>
        <v>#REF!</v>
      </c>
      <c r="AE40" s="221"/>
      <c r="AF40" t="s">
        <v>311</v>
      </c>
      <c r="AG40">
        <v>2.6666666666666665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50</v>
      </c>
      <c r="AO40">
        <v>0</v>
      </c>
      <c r="AP40">
        <v>50</v>
      </c>
      <c r="AQ40">
        <v>0</v>
      </c>
      <c r="AR40">
        <v>100</v>
      </c>
      <c r="AS40">
        <v>1000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1200</v>
      </c>
      <c r="BI40">
        <v>1200</v>
      </c>
      <c r="BJ40">
        <v>1200</v>
      </c>
      <c r="DP40"/>
    </row>
    <row r="41" spans="1:120" hidden="1" x14ac:dyDescent="0.3">
      <c r="A41" t="s">
        <v>286</v>
      </c>
      <c r="B41" t="s">
        <v>662</v>
      </c>
      <c r="C41" t="s">
        <v>737</v>
      </c>
      <c r="D41" t="s">
        <v>118</v>
      </c>
      <c r="E41" t="s">
        <v>102</v>
      </c>
      <c r="F41" t="s">
        <v>136</v>
      </c>
      <c r="G41" t="s">
        <v>113</v>
      </c>
      <c r="H41" t="s">
        <v>16</v>
      </c>
      <c r="I41" t="s">
        <v>20</v>
      </c>
      <c r="K41" t="s">
        <v>248</v>
      </c>
      <c r="L41" t="s">
        <v>722</v>
      </c>
      <c r="M41" t="s">
        <v>725</v>
      </c>
      <c r="N41">
        <v>2026</v>
      </c>
      <c r="O41" t="s">
        <v>110</v>
      </c>
      <c r="P41" s="1"/>
      <c r="Q41" s="1">
        <v>45476</v>
      </c>
      <c r="R41" s="1" t="e">
        <f xml:space="preserve"> IF(#REF! = "", "X",IF(#REF! &lt;= DATE(#REF!- 3, 12, 15),"5.Respect OPC",IF(#REF! &lt;= DATE(#REF!-2, 4, 1),"3.À risque","1.Très à risque")))</f>
        <v>#REF!</v>
      </c>
      <c r="S41" s="1" t="e">
        <f xml:space="preserve"> IF(#REF! = "", "X",IF(#REF! &lt;= DATE(#REF!- 2, 12, 15),"5.Respect OPC",IF(#REF! &lt;= DATE(#REF!-1, 4, 1),"3.À risque","1.Très à risque")))</f>
        <v>#REF!</v>
      </c>
      <c r="T41" s="1" t="e">
        <f xml:space="preserve"> IF(#REF! = "", "X",IF(#REF! &lt;= DATE(#REF!- 1, 12, 15),"5.Respect OPC",IF(#REF! &lt;= DATE(#REF!, 4, 1),"3.À risque","1.Très à risque")))</f>
        <v>#REF!</v>
      </c>
      <c r="U41" s="1" t="e">
        <f xml:space="preserve"> (YEAR(#REF!) - YEAR(#REF!)) * 12 + MONTH(#REF!) - MONTH(#REF!)</f>
        <v>#REF!</v>
      </c>
      <c r="V41" s="1" t="e">
        <f xml:space="preserve"> (YEAR(#REF!) - YEAR(#REF!)) * 12 + MONTH(#REF!) - MONTH(#REF!)</f>
        <v>#REF!</v>
      </c>
      <c r="W41" s="1" t="e">
        <f>#REF!+#REF!</f>
        <v>#REF!</v>
      </c>
      <c r="X41" s="1">
        <v>46006</v>
      </c>
      <c r="Y41" s="1">
        <v>46006</v>
      </c>
      <c r="Z41">
        <v>5</v>
      </c>
      <c r="AA41">
        <v>1</v>
      </c>
      <c r="AC41" s="2" t="e">
        <f>_xlfn.XLOOKUP(#REF!,Portefeuille_MNT_PPS_Access27[Numéro projet],Portefeuille_MNT_PPS_Access27[Critère Etat Infrastructure])</f>
        <v>#REF!</v>
      </c>
      <c r="AD41" s="12" t="e">
        <f>IF(#REF!=5,100, SUM(IF(#REF!="",#REF!*$AE$8/5,#REF!*$AE$8/5),#REF!* $AE$10/5,#REF!* $AE$9/5,#REF!* $AE$7/5)*100)</f>
        <v>#REF!</v>
      </c>
      <c r="AE41" s="221"/>
      <c r="AF41" t="s">
        <v>112</v>
      </c>
      <c r="AG41">
        <v>3.1333333333333333</v>
      </c>
      <c r="AH41">
        <v>35</v>
      </c>
      <c r="AI41">
        <v>0</v>
      </c>
      <c r="AJ41">
        <v>110</v>
      </c>
      <c r="AK41">
        <v>3307.0000000000005</v>
      </c>
      <c r="AL41">
        <v>175</v>
      </c>
      <c r="AM41">
        <v>138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3765.0000000000005</v>
      </c>
      <c r="BI41">
        <v>313</v>
      </c>
      <c r="BJ41">
        <v>313</v>
      </c>
      <c r="DP41"/>
    </row>
    <row r="42" spans="1:120" hidden="1" x14ac:dyDescent="0.3">
      <c r="A42" t="s">
        <v>11</v>
      </c>
      <c r="B42" t="s">
        <v>662</v>
      </c>
      <c r="C42" t="s">
        <v>733</v>
      </c>
      <c r="D42" t="s">
        <v>118</v>
      </c>
      <c r="E42" t="s">
        <v>102</v>
      </c>
      <c r="F42" t="s">
        <v>242</v>
      </c>
      <c r="G42" t="s">
        <v>252</v>
      </c>
      <c r="H42" t="s">
        <v>20</v>
      </c>
      <c r="I42" t="s">
        <v>20</v>
      </c>
      <c r="J42" t="s">
        <v>131</v>
      </c>
      <c r="K42" t="s">
        <v>649</v>
      </c>
      <c r="L42" t="s">
        <v>650</v>
      </c>
      <c r="M42" t="s">
        <v>414</v>
      </c>
      <c r="N42">
        <v>2027</v>
      </c>
      <c r="O42" t="s">
        <v>291</v>
      </c>
      <c r="P42" s="1"/>
      <c r="Q42" s="1"/>
      <c r="R42" s="1" t="e">
        <f xml:space="preserve"> IF(#REF! = "", "X",IF(#REF! &lt;= DATE(#REF!- 3, 12, 15),"5.Respect OPC",IF(#REF! &lt;= DATE(#REF!-2, 4, 1),"3.À risque","1.Très à risque")))</f>
        <v>#REF!</v>
      </c>
      <c r="S42" s="1" t="e">
        <f xml:space="preserve"> IF(#REF! = "", "X",IF(#REF! &lt;= DATE(#REF!- 2, 12, 15),"5.Respect OPC",IF(#REF! &lt;= DATE(#REF!-1, 4, 1),"3.À risque","1.Très à risque")))</f>
        <v>#REF!</v>
      </c>
      <c r="T42" s="1" t="e">
        <f xml:space="preserve"> IF(#REF! = "", "X",IF(#REF! &lt;= DATE(#REF!- 1, 12, 15),"5.Respect OPC",IF(#REF! &lt;= DATE(#REF!, 4, 1),"3.À risque","1.Très à risque")))</f>
        <v>#REF!</v>
      </c>
      <c r="U42" s="1" t="e">
        <f xml:space="preserve"> (YEAR(#REF!) - YEAR(#REF!)) * 12 + MONTH(#REF!) - MONTH(#REF!)</f>
        <v>#REF!</v>
      </c>
      <c r="V42" s="1" t="e">
        <f xml:space="preserve"> (YEAR(#REF!) - YEAR(#REF!)) * 12 + MONTH(#REF!) - MONTH(#REF!)</f>
        <v>#REF!</v>
      </c>
      <c r="W42" s="1" t="e">
        <f>#REF!+#REF!</f>
        <v>#REF!</v>
      </c>
      <c r="X42" s="1"/>
      <c r="Y42" s="1"/>
      <c r="Z42">
        <v>5</v>
      </c>
      <c r="AA42">
        <v>1</v>
      </c>
      <c r="AB42">
        <v>3</v>
      </c>
      <c r="AC42" s="2" t="e">
        <f>_xlfn.XLOOKUP(#REF!,Portefeuille_MNT_PPS_Access27[Numéro projet],Portefeuille_MNT_PPS_Access27[Critère Etat Infrastructure])</f>
        <v>#REF!</v>
      </c>
      <c r="AD42" s="12" t="e">
        <f>IF(#REF!=5,100, SUM(IF(#REF!="",#REF!*$AE$8/5,#REF!*$AE$8/5),#REF!* $AE$10/5,#REF!* $AE$9/5,#REF!* $AE$7/5)*100)</f>
        <v>#REF!</v>
      </c>
      <c r="AE42" s="221"/>
      <c r="AF42" t="s">
        <v>311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100</v>
      </c>
      <c r="BI42">
        <v>100</v>
      </c>
      <c r="BJ42">
        <v>100</v>
      </c>
      <c r="DP42"/>
    </row>
    <row r="43" spans="1:120" hidden="1" x14ac:dyDescent="0.3">
      <c r="A43" t="s">
        <v>286</v>
      </c>
      <c r="B43" t="s">
        <v>663</v>
      </c>
      <c r="C43" t="s">
        <v>733</v>
      </c>
      <c r="D43" t="s">
        <v>101</v>
      </c>
      <c r="E43" t="s">
        <v>102</v>
      </c>
      <c r="F43" t="s">
        <v>177</v>
      </c>
      <c r="G43" t="s">
        <v>129</v>
      </c>
      <c r="H43" t="s">
        <v>20</v>
      </c>
      <c r="I43" t="s">
        <v>20</v>
      </c>
      <c r="K43" t="s">
        <v>438</v>
      </c>
      <c r="L43" t="s">
        <v>439</v>
      </c>
      <c r="M43" t="s">
        <v>725</v>
      </c>
      <c r="N43">
        <v>2030</v>
      </c>
      <c r="O43" t="s">
        <v>291</v>
      </c>
      <c r="P43" s="1"/>
      <c r="Q43" s="1"/>
      <c r="R43" s="1" t="e">
        <f xml:space="preserve"> IF(#REF! = "", "X",IF(#REF! &lt;= DATE(#REF!- 3, 12, 15),"5.Respect OPC",IF(#REF! &lt;= DATE(#REF!-2, 4, 1),"3.À risque","1.Très à risque")))</f>
        <v>#REF!</v>
      </c>
      <c r="S43" s="1" t="e">
        <f xml:space="preserve"> IF(#REF! = "", "X",IF(#REF! &lt;= DATE(#REF!- 2, 12, 15),"5.Respect OPC",IF(#REF! &lt;= DATE(#REF!-1, 4, 1),"3.À risque","1.Très à risque")))</f>
        <v>#REF!</v>
      </c>
      <c r="T43" s="1" t="e">
        <f xml:space="preserve"> IF(#REF! = "", "X",IF(#REF! &lt;= DATE(#REF!- 1, 12, 15),"5.Respect OPC",IF(#REF! &lt;= DATE(#REF!, 4, 1),"3.À risque","1.Très à risque")))</f>
        <v>#REF!</v>
      </c>
      <c r="U43" s="1" t="e">
        <f xml:space="preserve"> (YEAR(#REF!) - YEAR(#REF!)) * 12 + MONTH(#REF!) - MONTH(#REF!)</f>
        <v>#REF!</v>
      </c>
      <c r="V43" s="1" t="e">
        <f xml:space="preserve"> (YEAR(#REF!) - YEAR(#REF!)) * 12 + MONTH(#REF!) - MONTH(#REF!)</f>
        <v>#REF!</v>
      </c>
      <c r="W43" s="1" t="e">
        <f>#REF!+#REF!</f>
        <v>#REF!</v>
      </c>
      <c r="X43" s="1"/>
      <c r="Y43" s="1"/>
      <c r="Z43">
        <v>5</v>
      </c>
      <c r="AA43">
        <v>1</v>
      </c>
      <c r="AC43" s="2" t="e">
        <f>_xlfn.XLOOKUP(#REF!,Portefeuille_MNT_PPS_Access27[Numéro projet],Portefeuille_MNT_PPS_Access27[Critère Etat Infrastructure])</f>
        <v>#REF!</v>
      </c>
      <c r="AD43" s="12" t="e">
        <f>IF(#REF!=5,100, SUM(IF(#REF!="",#REF!*$AE$8/5,#REF!*$AE$8/5),#REF!* $AE$10/5,#REF!* $AE$9/5,#REF!* $AE$7/5)*100)</f>
        <v>#REF!</v>
      </c>
      <c r="AE43" s="221"/>
      <c r="AF43" t="s">
        <v>311</v>
      </c>
      <c r="AG43">
        <v>3.1428571428571428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100</v>
      </c>
      <c r="AQ43">
        <v>0</v>
      </c>
      <c r="AR43">
        <v>175</v>
      </c>
      <c r="AS43">
        <v>1500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1775.0000000000002</v>
      </c>
      <c r="BI43">
        <v>1775.0000000000002</v>
      </c>
      <c r="BJ43">
        <v>1775.0000000000002</v>
      </c>
      <c r="DP43"/>
    </row>
    <row r="44" spans="1:120" hidden="1" x14ac:dyDescent="0.3">
      <c r="A44" t="s">
        <v>286</v>
      </c>
      <c r="B44" t="s">
        <v>662</v>
      </c>
      <c r="C44" t="s">
        <v>349</v>
      </c>
      <c r="D44" t="s">
        <v>118</v>
      </c>
      <c r="E44" t="s">
        <v>102</v>
      </c>
      <c r="F44" t="s">
        <v>136</v>
      </c>
      <c r="G44" t="s">
        <v>104</v>
      </c>
      <c r="H44" t="s">
        <v>16</v>
      </c>
      <c r="I44" t="s">
        <v>20</v>
      </c>
      <c r="J44" t="s">
        <v>105</v>
      </c>
      <c r="K44" t="s">
        <v>516</v>
      </c>
      <c r="L44" t="s">
        <v>517</v>
      </c>
      <c r="M44" t="s">
        <v>302</v>
      </c>
      <c r="N44">
        <v>2026</v>
      </c>
      <c r="O44" t="s">
        <v>110</v>
      </c>
      <c r="P44" s="1"/>
      <c r="Q44" s="1">
        <v>45904</v>
      </c>
      <c r="R44" s="1" t="e">
        <f xml:space="preserve"> IF(#REF! = "", "X",IF(#REF! &lt;= DATE(#REF!- 3, 12, 15),"5.Respect OPC",IF(#REF! &lt;= DATE(#REF!-2, 4, 1),"3.À risque","1.Très à risque")))</f>
        <v>#REF!</v>
      </c>
      <c r="S44" s="1" t="e">
        <f xml:space="preserve"> IF(#REF! = "", "X",IF(#REF! &lt;= DATE(#REF!- 2, 12, 15),"5.Respect OPC",IF(#REF! &lt;= DATE(#REF!-1, 4, 1),"3.À risque","1.Très à risque")))</f>
        <v>#REF!</v>
      </c>
      <c r="T44" s="1" t="e">
        <f xml:space="preserve"> IF(#REF! = "", "X",IF(#REF! &lt;= DATE(#REF!- 1, 12, 15),"5.Respect OPC",IF(#REF! &lt;= DATE(#REF!, 4, 1),"3.À risque","1.Très à risque")))</f>
        <v>#REF!</v>
      </c>
      <c r="U44" s="1" t="e">
        <f xml:space="preserve"> (YEAR(#REF!) - YEAR(#REF!)) * 12 + MONTH(#REF!) - MONTH(#REF!)</f>
        <v>#REF!</v>
      </c>
      <c r="V44" s="1" t="e">
        <f xml:space="preserve"> (YEAR(#REF!) - YEAR(#REF!)) * 12 + MONTH(#REF!) - MONTH(#REF!)</f>
        <v>#REF!</v>
      </c>
      <c r="W44" s="1" t="e">
        <f>#REF!+#REF!</f>
        <v>#REF!</v>
      </c>
      <c r="X44" s="1"/>
      <c r="Y44" s="1">
        <v>46096</v>
      </c>
      <c r="Z44">
        <v>5</v>
      </c>
      <c r="AA44">
        <v>1</v>
      </c>
      <c r="AC44" s="2" t="e">
        <f>_xlfn.XLOOKUP(#REF!,Portefeuille_MNT_PPS_Access27[Numéro projet],Portefeuille_MNT_PPS_Access27[Critère Etat Infrastructure])</f>
        <v>#REF!</v>
      </c>
      <c r="AD44" s="12" t="e">
        <f>IF(#REF!=5,100, SUM(IF(#REF!="",#REF!*$AE$8/5,#REF!*$AE$8/5),#REF!* $AE$10/5,#REF!* $AE$9/5,#REF!* $AE$7/5)*100)</f>
        <v>#REF!</v>
      </c>
      <c r="AE44" s="221"/>
      <c r="AF44" t="s">
        <v>112</v>
      </c>
      <c r="AG44">
        <v>4</v>
      </c>
      <c r="AH44">
        <v>59</v>
      </c>
      <c r="AI44">
        <v>0</v>
      </c>
      <c r="AJ44">
        <v>131</v>
      </c>
      <c r="AK44">
        <v>478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668</v>
      </c>
      <c r="DP44"/>
    </row>
    <row r="45" spans="1:120" hidden="1" x14ac:dyDescent="0.3">
      <c r="A45" t="s">
        <v>286</v>
      </c>
      <c r="B45" t="s">
        <v>662</v>
      </c>
      <c r="C45" t="s">
        <v>733</v>
      </c>
      <c r="D45" t="s">
        <v>118</v>
      </c>
      <c r="E45" t="s">
        <v>102</v>
      </c>
      <c r="F45" t="s">
        <v>136</v>
      </c>
      <c r="G45" t="s">
        <v>104</v>
      </c>
      <c r="H45" t="s">
        <v>16</v>
      </c>
      <c r="I45" t="s">
        <v>20</v>
      </c>
      <c r="J45" t="s">
        <v>105</v>
      </c>
      <c r="K45" t="s">
        <v>518</v>
      </c>
      <c r="L45" t="s">
        <v>519</v>
      </c>
      <c r="M45" t="s">
        <v>143</v>
      </c>
      <c r="N45">
        <v>2028</v>
      </c>
      <c r="O45" t="s">
        <v>155</v>
      </c>
      <c r="P45" s="1"/>
      <c r="Q45" s="1">
        <v>46127</v>
      </c>
      <c r="R45" s="1" t="e">
        <f xml:space="preserve"> IF(#REF! = "", "X",IF(#REF! &lt;= DATE(#REF!- 3, 12, 15),"5.Respect OPC",IF(#REF! &lt;= DATE(#REF!-2, 4, 1),"3.À risque","1.Très à risque")))</f>
        <v>#REF!</v>
      </c>
      <c r="S45" s="1" t="e">
        <f xml:space="preserve"> IF(#REF! = "", "X",IF(#REF! &lt;= DATE(#REF!- 2, 12, 15),"5.Respect OPC",IF(#REF! &lt;= DATE(#REF!-1, 4, 1),"3.À risque","1.Très à risque")))</f>
        <v>#REF!</v>
      </c>
      <c r="T45" s="1" t="e">
        <f xml:space="preserve"> IF(#REF! = "", "X",IF(#REF! &lt;= DATE(#REF!- 1, 12, 15),"5.Respect OPC",IF(#REF! &lt;= DATE(#REF!, 4, 1),"3.À risque","1.Très à risque")))</f>
        <v>#REF!</v>
      </c>
      <c r="U45" s="1" t="e">
        <f xml:space="preserve"> (YEAR(#REF!) - YEAR(#REF!)) * 12 + MONTH(#REF!) - MONTH(#REF!)</f>
        <v>#REF!</v>
      </c>
      <c r="V45" s="1" t="e">
        <f xml:space="preserve"> (YEAR(#REF!) - YEAR(#REF!)) * 12 + MONTH(#REF!) - MONTH(#REF!)</f>
        <v>#REF!</v>
      </c>
      <c r="W45" s="1" t="e">
        <f>#REF!+#REF!</f>
        <v>#REF!</v>
      </c>
      <c r="X45" s="1"/>
      <c r="Y45" s="1"/>
      <c r="Z45">
        <v>5</v>
      </c>
      <c r="AA45">
        <v>1</v>
      </c>
      <c r="AB45">
        <v>3</v>
      </c>
      <c r="AC45" s="2" t="e">
        <f>_xlfn.XLOOKUP(#REF!,Portefeuille_MNT_PPS_Access27[Numéro projet],Portefeuille_MNT_PPS_Access27[Critère Etat Infrastructure])</f>
        <v>#REF!</v>
      </c>
      <c r="AD45" s="12" t="e">
        <f>IF(#REF!=5,100, SUM(IF(#REF!="",#REF!*$AE$8/5,#REF!*$AE$8/5),#REF!* $AE$10/5,#REF!* $AE$9/5,#REF!* $AE$7/5)*100)</f>
        <v>#REF!</v>
      </c>
      <c r="AE45" s="221"/>
      <c r="AF45" t="s">
        <v>156</v>
      </c>
      <c r="AG45">
        <v>4.333333333333333</v>
      </c>
      <c r="AH45">
        <v>0</v>
      </c>
      <c r="AI45">
        <v>0</v>
      </c>
      <c r="AJ45">
        <v>10</v>
      </c>
      <c r="AK45">
        <v>0</v>
      </c>
      <c r="AL45">
        <v>15</v>
      </c>
      <c r="AM45">
        <v>0</v>
      </c>
      <c r="AN45">
        <v>25</v>
      </c>
      <c r="AO45">
        <v>250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300</v>
      </c>
      <c r="BI45">
        <v>290</v>
      </c>
      <c r="BJ45">
        <v>290</v>
      </c>
      <c r="DP45"/>
    </row>
    <row r="46" spans="1:120" hidden="1" x14ac:dyDescent="0.3">
      <c r="A46" t="s">
        <v>11</v>
      </c>
      <c r="B46" t="s">
        <v>662</v>
      </c>
      <c r="C46" t="s">
        <v>733</v>
      </c>
      <c r="D46" t="s">
        <v>118</v>
      </c>
      <c r="E46" t="s">
        <v>102</v>
      </c>
      <c r="F46" t="s">
        <v>103</v>
      </c>
      <c r="G46" t="s">
        <v>252</v>
      </c>
      <c r="H46" t="s">
        <v>20</v>
      </c>
      <c r="I46" t="s">
        <v>20</v>
      </c>
      <c r="J46" t="s">
        <v>131</v>
      </c>
      <c r="K46" t="s">
        <v>647</v>
      </c>
      <c r="L46" t="s">
        <v>648</v>
      </c>
      <c r="M46" t="s">
        <v>147</v>
      </c>
      <c r="N46">
        <v>2027</v>
      </c>
      <c r="O46" t="s">
        <v>291</v>
      </c>
      <c r="P46" s="1"/>
      <c r="Q46" s="1"/>
      <c r="R46" s="1" t="e">
        <f xml:space="preserve"> IF(#REF! = "", "X",IF(#REF! &lt;= DATE(#REF!- 3, 12, 15),"5.Respect OPC",IF(#REF! &lt;= DATE(#REF!-2, 4, 1),"3.À risque","1.Très à risque")))</f>
        <v>#REF!</v>
      </c>
      <c r="S46" s="1" t="e">
        <f xml:space="preserve"> IF(#REF! = "", "X",IF(#REF! &lt;= DATE(#REF!- 2, 12, 15),"5.Respect OPC",IF(#REF! &lt;= DATE(#REF!-1, 4, 1),"3.À risque","1.Très à risque")))</f>
        <v>#REF!</v>
      </c>
      <c r="T46" s="1" t="e">
        <f xml:space="preserve"> IF(#REF! = "", "X",IF(#REF! &lt;= DATE(#REF!- 1, 12, 15),"5.Respect OPC",IF(#REF! &lt;= DATE(#REF!, 4, 1),"3.À risque","1.Très à risque")))</f>
        <v>#REF!</v>
      </c>
      <c r="U46" s="1" t="e">
        <f xml:space="preserve"> (YEAR(#REF!) - YEAR(#REF!)) * 12 + MONTH(#REF!) - MONTH(#REF!)</f>
        <v>#REF!</v>
      </c>
      <c r="V46" s="1" t="e">
        <f xml:space="preserve"> (YEAR(#REF!) - YEAR(#REF!)) * 12 + MONTH(#REF!) - MONTH(#REF!)</f>
        <v>#REF!</v>
      </c>
      <c r="W46" s="1" t="e">
        <f>#REF!+#REF!</f>
        <v>#REF!</v>
      </c>
      <c r="X46" s="1"/>
      <c r="Y46" s="1"/>
      <c r="Z46">
        <v>5</v>
      </c>
      <c r="AA46">
        <v>1</v>
      </c>
      <c r="AB46">
        <v>3</v>
      </c>
      <c r="AC46" s="2" t="e">
        <f>_xlfn.XLOOKUP(#REF!,Portefeuille_MNT_PPS_Access27[Numéro projet],Portefeuille_MNT_PPS_Access27[Critère Etat Infrastructure])</f>
        <v>#REF!</v>
      </c>
      <c r="AD46" s="12" t="e">
        <f>IF(#REF!=5,100, SUM(IF(#REF!="",#REF!*$AE$8/5,#REF!*$AE$8/5),#REF!* $AE$10/5,#REF!* $AE$9/5,#REF!* $AE$7/5)*100)</f>
        <v>#REF!</v>
      </c>
      <c r="AE46" s="221"/>
      <c r="AF46" t="s">
        <v>311</v>
      </c>
      <c r="AG46">
        <v>2.6666666666666665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10</v>
      </c>
      <c r="BI46">
        <v>10</v>
      </c>
      <c r="BJ46">
        <v>10</v>
      </c>
      <c r="DP46"/>
    </row>
    <row r="47" spans="1:120" hidden="1" x14ac:dyDescent="0.3">
      <c r="A47" t="s">
        <v>11</v>
      </c>
      <c r="B47" t="s">
        <v>662</v>
      </c>
      <c r="C47" t="s">
        <v>738</v>
      </c>
      <c r="D47" t="s">
        <v>118</v>
      </c>
      <c r="E47" t="s">
        <v>102</v>
      </c>
      <c r="F47" t="s">
        <v>103</v>
      </c>
      <c r="G47" t="s">
        <v>252</v>
      </c>
      <c r="H47" t="s">
        <v>20</v>
      </c>
      <c r="I47" t="s">
        <v>20</v>
      </c>
      <c r="K47" t="s">
        <v>606</v>
      </c>
      <c r="L47" t="s">
        <v>607</v>
      </c>
      <c r="M47" t="s">
        <v>725</v>
      </c>
      <c r="N47">
        <v>2027</v>
      </c>
      <c r="O47" t="s">
        <v>291</v>
      </c>
      <c r="P47" s="1"/>
      <c r="Q47" s="1"/>
      <c r="R47" s="1" t="e">
        <f xml:space="preserve"> IF(#REF! = "", "X",IF(#REF! &lt;= DATE(#REF!- 3, 12, 15),"5.Respect OPC",IF(#REF! &lt;= DATE(#REF!-2, 4, 1),"3.À risque","1.Très à risque")))</f>
        <v>#REF!</v>
      </c>
      <c r="S47" s="1" t="e">
        <f xml:space="preserve"> IF(#REF! = "", "X",IF(#REF! &lt;= DATE(#REF!- 2, 12, 15),"5.Respect OPC",IF(#REF! &lt;= DATE(#REF!-1, 4, 1),"3.À risque","1.Très à risque")))</f>
        <v>#REF!</v>
      </c>
      <c r="T47" s="1" t="e">
        <f xml:space="preserve"> IF(#REF! = "", "X",IF(#REF! &lt;= DATE(#REF!- 1, 12, 15),"5.Respect OPC",IF(#REF! &lt;= DATE(#REF!, 4, 1),"3.À risque","1.Très à risque")))</f>
        <v>#REF!</v>
      </c>
      <c r="U47" s="1" t="e">
        <f xml:space="preserve"> (YEAR(#REF!) - YEAR(#REF!)) * 12 + MONTH(#REF!) - MONTH(#REF!)</f>
        <v>#REF!</v>
      </c>
      <c r="V47" s="1" t="e">
        <f xml:space="preserve"> (YEAR(#REF!) - YEAR(#REF!)) * 12 + MONTH(#REF!) - MONTH(#REF!)</f>
        <v>#REF!</v>
      </c>
      <c r="W47" s="1" t="e">
        <f>#REF!+#REF!</f>
        <v>#REF!</v>
      </c>
      <c r="X47" s="1"/>
      <c r="Y47" s="1"/>
      <c r="Z47">
        <v>5</v>
      </c>
      <c r="AA47">
        <v>1</v>
      </c>
      <c r="AB47">
        <v>3</v>
      </c>
      <c r="AC47" s="2" t="e">
        <f>_xlfn.XLOOKUP(#REF!,Portefeuille_MNT_PPS_Access27[Numéro projet],Portefeuille_MNT_PPS_Access27[Critère Etat Infrastructure])</f>
        <v>#REF!</v>
      </c>
      <c r="AD47" s="12" t="e">
        <f>IF(#REF!=5,100, SUM(IF(#REF!="",#REF!*$AE$8/5,#REF!*$AE$8/5),#REF!* $AE$10/5,#REF!* $AE$9/5,#REF!* $AE$7/5)*100)</f>
        <v>#REF!</v>
      </c>
      <c r="AE47" s="221"/>
      <c r="AF47" t="s">
        <v>311</v>
      </c>
      <c r="AG47">
        <v>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300</v>
      </c>
      <c r="BI47">
        <v>300</v>
      </c>
      <c r="BJ47">
        <v>300</v>
      </c>
      <c r="DP47"/>
    </row>
    <row r="48" spans="1:120" hidden="1" x14ac:dyDescent="0.3">
      <c r="A48" t="s">
        <v>286</v>
      </c>
      <c r="B48" t="s">
        <v>662</v>
      </c>
      <c r="C48" t="s">
        <v>165</v>
      </c>
      <c r="D48" t="s">
        <v>118</v>
      </c>
      <c r="E48" t="s">
        <v>102</v>
      </c>
      <c r="F48" t="s">
        <v>136</v>
      </c>
      <c r="G48" t="s">
        <v>113</v>
      </c>
      <c r="H48" t="s">
        <v>20</v>
      </c>
      <c r="I48" t="s">
        <v>20</v>
      </c>
      <c r="J48" t="s">
        <v>131</v>
      </c>
      <c r="K48" t="s">
        <v>543</v>
      </c>
      <c r="L48" t="s">
        <v>544</v>
      </c>
      <c r="M48" t="s">
        <v>187</v>
      </c>
      <c r="N48">
        <v>2026</v>
      </c>
      <c r="O48" t="s">
        <v>123</v>
      </c>
      <c r="P48" s="1"/>
      <c r="Q48" s="1">
        <v>45762</v>
      </c>
      <c r="R48" s="1" t="e">
        <f xml:space="preserve"> IF(#REF! = "", "X",IF(#REF! &lt;= DATE(#REF!- 3, 12, 15),"5.Respect OPC",IF(#REF! &lt;= DATE(#REF!-2, 4, 1),"3.À risque","1.Très à risque")))</f>
        <v>#REF!</v>
      </c>
      <c r="S48" s="1" t="e">
        <f xml:space="preserve"> IF(#REF! = "", "X",IF(#REF! &lt;= DATE(#REF!- 2, 12, 15),"5.Respect OPC",IF(#REF! &lt;= DATE(#REF!-1, 4, 1),"3.À risque","1.Très à risque")))</f>
        <v>#REF!</v>
      </c>
      <c r="T48" s="1" t="e">
        <f xml:space="preserve"> IF(#REF! = "", "X",IF(#REF! &lt;= DATE(#REF!- 1, 12, 15),"5.Respect OPC",IF(#REF! &lt;= DATE(#REF!, 4, 1),"3.À risque","1.Très à risque")))</f>
        <v>#REF!</v>
      </c>
      <c r="U48" s="1" t="e">
        <f xml:space="preserve"> (YEAR(#REF!) - YEAR(#REF!)) * 12 + MONTH(#REF!) - MONTH(#REF!)</f>
        <v>#REF!</v>
      </c>
      <c r="V48" s="1" t="e">
        <f xml:space="preserve"> (YEAR(#REF!) - YEAR(#REF!)) * 12 + MONTH(#REF!) - MONTH(#REF!)</f>
        <v>#REF!</v>
      </c>
      <c r="W48" s="1" t="e">
        <f>#REF!+#REF!</f>
        <v>#REF!</v>
      </c>
      <c r="X48" s="1">
        <v>46096</v>
      </c>
      <c r="Y48" s="1">
        <v>46096</v>
      </c>
      <c r="Z48">
        <v>5</v>
      </c>
      <c r="AA48">
        <v>1</v>
      </c>
      <c r="AC48" s="2" t="e">
        <f>_xlfn.XLOOKUP(#REF!,Portefeuille_MNT_PPS_Access27[Numéro projet],Portefeuille_MNT_PPS_Access27[Critère Etat Infrastructure])</f>
        <v>#REF!</v>
      </c>
      <c r="AD48" s="12" t="e">
        <f>IF(#REF!=5,100, SUM(IF(#REF!="",#REF!*$AE$8/5,#REF!*$AE$8/5),#REF!* $AE$10/5,#REF!* $AE$9/5,#REF!* $AE$7/5)*100)</f>
        <v>#REF!</v>
      </c>
      <c r="AE48" s="221"/>
      <c r="AF48" t="s">
        <v>125</v>
      </c>
      <c r="AG48">
        <v>3</v>
      </c>
      <c r="AH48">
        <v>0</v>
      </c>
      <c r="AI48">
        <v>0</v>
      </c>
      <c r="AJ48">
        <v>1</v>
      </c>
      <c r="AK48">
        <v>82</v>
      </c>
      <c r="AL48">
        <v>1</v>
      </c>
      <c r="AM48">
        <v>82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166</v>
      </c>
      <c r="BI48">
        <v>83</v>
      </c>
      <c r="BJ48">
        <v>83</v>
      </c>
      <c r="DP48"/>
    </row>
    <row r="49" spans="1:120" hidden="1" x14ac:dyDescent="0.3">
      <c r="A49" t="s">
        <v>286</v>
      </c>
      <c r="B49" t="s">
        <v>662</v>
      </c>
      <c r="C49" t="s">
        <v>733</v>
      </c>
      <c r="D49" t="s">
        <v>118</v>
      </c>
      <c r="E49" t="s">
        <v>102</v>
      </c>
      <c r="F49" t="s">
        <v>103</v>
      </c>
      <c r="H49" t="s">
        <v>20</v>
      </c>
      <c r="I49" t="s">
        <v>20</v>
      </c>
      <c r="J49" t="s">
        <v>131</v>
      </c>
      <c r="K49" t="s">
        <v>531</v>
      </c>
      <c r="L49" t="s">
        <v>532</v>
      </c>
      <c r="M49" t="s">
        <v>187</v>
      </c>
      <c r="N49">
        <v>2034</v>
      </c>
      <c r="O49" t="s">
        <v>291</v>
      </c>
      <c r="P49" s="1"/>
      <c r="Q49" s="1"/>
      <c r="R49" s="1" t="e">
        <f xml:space="preserve"> IF(#REF! = "", "X",IF(#REF! &lt;= DATE(#REF!- 3, 12, 15),"5.Respect OPC",IF(#REF! &lt;= DATE(#REF!-2, 4, 1),"3.À risque","1.Très à risque")))</f>
        <v>#REF!</v>
      </c>
      <c r="S49" s="1" t="e">
        <f xml:space="preserve"> IF(#REF! = "", "X",IF(#REF! &lt;= DATE(#REF!- 2, 12, 15),"5.Respect OPC",IF(#REF! &lt;= DATE(#REF!-1, 4, 1),"3.À risque","1.Très à risque")))</f>
        <v>#REF!</v>
      </c>
      <c r="T49" s="1" t="e">
        <f xml:space="preserve"> IF(#REF! = "", "X",IF(#REF! &lt;= DATE(#REF!- 1, 12, 15),"5.Respect OPC",IF(#REF! &lt;= DATE(#REF!, 4, 1),"3.À risque","1.Très à risque")))</f>
        <v>#REF!</v>
      </c>
      <c r="U49" s="1" t="e">
        <f xml:space="preserve"> (YEAR(#REF!) - YEAR(#REF!)) * 12 + MONTH(#REF!) - MONTH(#REF!)</f>
        <v>#REF!</v>
      </c>
      <c r="V49" s="1" t="e">
        <f xml:space="preserve"> (YEAR(#REF!) - YEAR(#REF!)) * 12 + MONTH(#REF!) - MONTH(#REF!)</f>
        <v>#REF!</v>
      </c>
      <c r="W49" s="1" t="e">
        <f>#REF!+#REF!</f>
        <v>#REF!</v>
      </c>
      <c r="X49" s="1"/>
      <c r="Y49" s="1"/>
      <c r="Z49">
        <v>5</v>
      </c>
      <c r="AA49">
        <v>1</v>
      </c>
      <c r="AC49" s="2" t="e">
        <f>_xlfn.XLOOKUP(#REF!,Portefeuille_MNT_PPS_Access27[Numéro projet],Portefeuille_MNT_PPS_Access27[Critère Etat Infrastructure])</f>
        <v>#REF!</v>
      </c>
      <c r="AD49" s="12" t="e">
        <f>IF(#REF!=5,100, SUM(IF(#REF!="",#REF!*$AE$8/5,#REF!*$AE$8/5),#REF!* $AE$10/5,#REF!* $AE$9/5,#REF!* $AE$7/5)*100)</f>
        <v>#REF!</v>
      </c>
      <c r="AE49" s="221"/>
      <c r="AF49" t="s">
        <v>311</v>
      </c>
      <c r="AG49">
        <v>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150</v>
      </c>
      <c r="AW49">
        <v>0</v>
      </c>
      <c r="AX49">
        <v>150</v>
      </c>
      <c r="AY49">
        <v>0</v>
      </c>
      <c r="AZ49">
        <v>500</v>
      </c>
      <c r="BA49">
        <v>8000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8800</v>
      </c>
      <c r="BJ49">
        <v>8800</v>
      </c>
      <c r="DP49"/>
    </row>
    <row r="50" spans="1:120" hidden="1" x14ac:dyDescent="0.3">
      <c r="A50" t="s">
        <v>286</v>
      </c>
      <c r="B50" t="s">
        <v>662</v>
      </c>
      <c r="C50" t="s">
        <v>733</v>
      </c>
      <c r="D50" t="s">
        <v>118</v>
      </c>
      <c r="E50" t="s">
        <v>102</v>
      </c>
      <c r="F50" t="s">
        <v>177</v>
      </c>
      <c r="H50" t="s">
        <v>20</v>
      </c>
      <c r="I50" t="s">
        <v>20</v>
      </c>
      <c r="J50" t="s">
        <v>131</v>
      </c>
      <c r="K50" t="s">
        <v>522</v>
      </c>
      <c r="L50" t="s">
        <v>523</v>
      </c>
      <c r="M50" t="s">
        <v>187</v>
      </c>
      <c r="N50">
        <v>2030</v>
      </c>
      <c r="O50" t="s">
        <v>291</v>
      </c>
      <c r="P50" s="1"/>
      <c r="Q50" s="1"/>
      <c r="R50" s="1" t="e">
        <f xml:space="preserve"> IF(#REF! = "", "X",IF(#REF! &lt;= DATE(#REF!- 3, 12, 15),"5.Respect OPC",IF(#REF! &lt;= DATE(#REF!-2, 4, 1),"3.À risque","1.Très à risque")))</f>
        <v>#REF!</v>
      </c>
      <c r="S50" s="1" t="e">
        <f xml:space="preserve"> IF(#REF! = "", "X",IF(#REF! &lt;= DATE(#REF!- 2, 12, 15),"5.Respect OPC",IF(#REF! &lt;= DATE(#REF!-1, 4, 1),"3.À risque","1.Très à risque")))</f>
        <v>#REF!</v>
      </c>
      <c r="T50" s="1" t="e">
        <f xml:space="preserve"> IF(#REF! = "", "X",IF(#REF! &lt;= DATE(#REF!- 1, 12, 15),"5.Respect OPC",IF(#REF! &lt;= DATE(#REF!, 4, 1),"3.À risque","1.Très à risque")))</f>
        <v>#REF!</v>
      </c>
      <c r="U50" s="1" t="e">
        <f xml:space="preserve"> (YEAR(#REF!) - YEAR(#REF!)) * 12 + MONTH(#REF!) - MONTH(#REF!)</f>
        <v>#REF!</v>
      </c>
      <c r="V50" s="1" t="e">
        <f xml:space="preserve"> (YEAR(#REF!) - YEAR(#REF!)) * 12 + MONTH(#REF!) - MONTH(#REF!)</f>
        <v>#REF!</v>
      </c>
      <c r="W50" s="1" t="e">
        <f>#REF!+#REF!</f>
        <v>#REF!</v>
      </c>
      <c r="X50" s="1"/>
      <c r="Y50" s="1"/>
      <c r="Z50">
        <v>5</v>
      </c>
      <c r="AA50">
        <v>1</v>
      </c>
      <c r="AC50" s="2" t="e">
        <f>_xlfn.XLOOKUP(#REF!,Portefeuille_MNT_PPS_Access27[Numéro projet],Portefeuille_MNT_PPS_Access27[Critère Etat Infrastructure])</f>
        <v>#REF!</v>
      </c>
      <c r="AD50" s="12" t="e">
        <f>IF(#REF!=5,100, SUM(IF(#REF!="",#REF!*$AE$8/5,#REF!*$AE$8/5),#REF!* $AE$10/5,#REF!* $AE$9/5,#REF!* $AE$7/5)*100)</f>
        <v>#REF!</v>
      </c>
      <c r="AE50" s="221"/>
      <c r="AF50" t="s">
        <v>311</v>
      </c>
      <c r="AG50">
        <v>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50</v>
      </c>
      <c r="AO50">
        <v>0</v>
      </c>
      <c r="AP50">
        <v>100</v>
      </c>
      <c r="AQ50">
        <v>0</v>
      </c>
      <c r="AR50">
        <v>200</v>
      </c>
      <c r="AS50">
        <v>2000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2350</v>
      </c>
      <c r="BI50">
        <v>2350</v>
      </c>
      <c r="BJ50">
        <v>2350</v>
      </c>
      <c r="DP50"/>
    </row>
    <row r="51" spans="1:120" hidden="1" x14ac:dyDescent="0.3">
      <c r="A51" t="s">
        <v>286</v>
      </c>
      <c r="B51" t="s">
        <v>662</v>
      </c>
      <c r="C51" t="s">
        <v>733</v>
      </c>
      <c r="D51" t="s">
        <v>118</v>
      </c>
      <c r="E51" t="s">
        <v>102</v>
      </c>
      <c r="F51" t="s">
        <v>136</v>
      </c>
      <c r="H51" t="s">
        <v>20</v>
      </c>
      <c r="I51" t="s">
        <v>20</v>
      </c>
      <c r="J51" t="s">
        <v>131</v>
      </c>
      <c r="K51" t="s">
        <v>470</v>
      </c>
      <c r="L51" t="s">
        <v>471</v>
      </c>
      <c r="M51" t="s">
        <v>191</v>
      </c>
      <c r="N51">
        <v>2032</v>
      </c>
      <c r="O51" t="s">
        <v>291</v>
      </c>
      <c r="P51" s="1"/>
      <c r="Q51" s="1"/>
      <c r="R51" s="1" t="e">
        <f xml:space="preserve"> IF(#REF! = "", "X",IF(#REF! &lt;= DATE(#REF!- 3, 12, 15),"5.Respect OPC",IF(#REF! &lt;= DATE(#REF!-2, 4, 1),"3.À risque","1.Très à risque")))</f>
        <v>#REF!</v>
      </c>
      <c r="S51" s="1" t="e">
        <f xml:space="preserve"> IF(#REF! = "", "X",IF(#REF! &lt;= DATE(#REF!- 2, 12, 15),"5.Respect OPC",IF(#REF! &lt;= DATE(#REF!-1, 4, 1),"3.À risque","1.Très à risque")))</f>
        <v>#REF!</v>
      </c>
      <c r="T51" s="1" t="e">
        <f xml:space="preserve"> IF(#REF! = "", "X",IF(#REF! &lt;= DATE(#REF!- 1, 12, 15),"5.Respect OPC",IF(#REF! &lt;= DATE(#REF!, 4, 1),"3.À risque","1.Très à risque")))</f>
        <v>#REF!</v>
      </c>
      <c r="U51" s="1" t="e">
        <f xml:space="preserve"> (YEAR(#REF!) - YEAR(#REF!)) * 12 + MONTH(#REF!) - MONTH(#REF!)</f>
        <v>#REF!</v>
      </c>
      <c r="V51" s="1" t="e">
        <f xml:space="preserve"> (YEAR(#REF!) - YEAR(#REF!)) * 12 + MONTH(#REF!) - MONTH(#REF!)</f>
        <v>#REF!</v>
      </c>
      <c r="W51" s="1" t="e">
        <f>#REF!+#REF!</f>
        <v>#REF!</v>
      </c>
      <c r="X51" s="1"/>
      <c r="Y51" s="1"/>
      <c r="Z51">
        <v>5</v>
      </c>
      <c r="AA51">
        <v>1</v>
      </c>
      <c r="AC51" s="2" t="e">
        <f>_xlfn.XLOOKUP(#REF!,Portefeuille_MNT_PPS_Access27[Numéro projet],Portefeuille_MNT_PPS_Access27[Critère Etat Infrastructure])</f>
        <v>#REF!</v>
      </c>
      <c r="AD51" s="12" t="e">
        <f>IF(#REF!=5,100, SUM(IF(#REF!="",#REF!*$AE$8/5,#REF!*$AE$8/5),#REF!* $AE$10/5,#REF!* $AE$9/5,#REF!* $AE$7/5)*100)</f>
        <v>#REF!</v>
      </c>
      <c r="AE51" s="221"/>
      <c r="AF51" t="s">
        <v>311</v>
      </c>
      <c r="AG51">
        <v>1.6666666666666667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100</v>
      </c>
      <c r="AQ51">
        <v>0</v>
      </c>
      <c r="AR51">
        <v>100</v>
      </c>
      <c r="AS51">
        <v>0</v>
      </c>
      <c r="AT51">
        <v>200</v>
      </c>
      <c r="AU51">
        <v>0</v>
      </c>
      <c r="AV51">
        <v>500</v>
      </c>
      <c r="AW51">
        <v>3000</v>
      </c>
      <c r="AX51">
        <v>500</v>
      </c>
      <c r="AY51">
        <v>3000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7400</v>
      </c>
      <c r="BI51">
        <v>400</v>
      </c>
      <c r="BJ51">
        <v>7400</v>
      </c>
      <c r="DP51"/>
    </row>
    <row r="52" spans="1:120" hidden="1" x14ac:dyDescent="0.3">
      <c r="A52" t="s">
        <v>286</v>
      </c>
      <c r="B52" t="s">
        <v>662</v>
      </c>
      <c r="C52" t="s">
        <v>733</v>
      </c>
      <c r="D52" t="s">
        <v>118</v>
      </c>
      <c r="E52" t="s">
        <v>102</v>
      </c>
      <c r="F52" t="s">
        <v>177</v>
      </c>
      <c r="G52" t="s">
        <v>113</v>
      </c>
      <c r="H52" t="s">
        <v>20</v>
      </c>
      <c r="I52" t="s">
        <v>20</v>
      </c>
      <c r="J52" t="s">
        <v>131</v>
      </c>
      <c r="K52" t="s">
        <v>511</v>
      </c>
      <c r="L52" t="s">
        <v>512</v>
      </c>
      <c r="M52" t="s">
        <v>187</v>
      </c>
      <c r="N52">
        <v>2028</v>
      </c>
      <c r="O52" t="s">
        <v>155</v>
      </c>
      <c r="P52" s="1"/>
      <c r="Q52" s="1">
        <v>46006</v>
      </c>
      <c r="R52" s="1" t="e">
        <f xml:space="preserve"> IF(#REF! = "", "X",IF(#REF! &lt;= DATE(#REF!- 3, 12, 15),"5.Respect OPC",IF(#REF! &lt;= DATE(#REF!-2, 4, 1),"3.À risque","1.Très à risque")))</f>
        <v>#REF!</v>
      </c>
      <c r="S52" s="1" t="e">
        <f xml:space="preserve"> IF(#REF! = "", "X",IF(#REF! &lt;= DATE(#REF!- 2, 12, 15),"5.Respect OPC",IF(#REF! &lt;= DATE(#REF!-1, 4, 1),"3.À risque","1.Très à risque")))</f>
        <v>#REF!</v>
      </c>
      <c r="T52" s="1" t="e">
        <f xml:space="preserve"> IF(#REF! = "", "X",IF(#REF! &lt;= DATE(#REF!- 1, 12, 15),"5.Respect OPC",IF(#REF! &lt;= DATE(#REF!, 4, 1),"3.À risque","1.Très à risque")))</f>
        <v>#REF!</v>
      </c>
      <c r="U52" s="1" t="e">
        <f xml:space="preserve"> (YEAR(#REF!) - YEAR(#REF!)) * 12 + MONTH(#REF!) - MONTH(#REF!)</f>
        <v>#REF!</v>
      </c>
      <c r="V52" s="1" t="e">
        <f xml:space="preserve"> (YEAR(#REF!) - YEAR(#REF!)) * 12 + MONTH(#REF!) - MONTH(#REF!)</f>
        <v>#REF!</v>
      </c>
      <c r="W52" s="1" t="e">
        <f>#REF!+#REF!</f>
        <v>#REF!</v>
      </c>
      <c r="X52" s="1">
        <v>46341</v>
      </c>
      <c r="Y52" s="1">
        <v>46706</v>
      </c>
      <c r="Z52">
        <v>5</v>
      </c>
      <c r="AA52">
        <v>1</v>
      </c>
      <c r="AB52">
        <v>5</v>
      </c>
      <c r="AC52" s="2" t="e">
        <f>_xlfn.XLOOKUP(#REF!,Portefeuille_MNT_PPS_Access27[Numéro projet],Portefeuille_MNT_PPS_Access27[Critère Etat Infrastructure])</f>
        <v>#REF!</v>
      </c>
      <c r="AD52" s="12" t="e">
        <f>IF(#REF!=5,100, SUM(IF(#REF!="",#REF!*$AE$8/5,#REF!*$AE$8/5),#REF!* $AE$10/5,#REF!* $AE$9/5,#REF!* $AE$7/5)*100)</f>
        <v>#REF!</v>
      </c>
      <c r="AE52" s="221"/>
      <c r="AF52" t="s">
        <v>156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150</v>
      </c>
      <c r="AM52">
        <v>0</v>
      </c>
      <c r="AN52">
        <v>150</v>
      </c>
      <c r="AO52">
        <v>1000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1300</v>
      </c>
      <c r="BI52">
        <v>1300</v>
      </c>
      <c r="BJ52">
        <v>1300</v>
      </c>
      <c r="DP52"/>
    </row>
    <row r="53" spans="1:120" hidden="1" x14ac:dyDescent="0.3">
      <c r="A53" t="s">
        <v>286</v>
      </c>
      <c r="B53" t="s">
        <v>664</v>
      </c>
      <c r="C53" t="s">
        <v>733</v>
      </c>
      <c r="D53" t="s">
        <v>101</v>
      </c>
      <c r="E53" t="s">
        <v>102</v>
      </c>
      <c r="F53" t="s">
        <v>389</v>
      </c>
      <c r="H53" t="s">
        <v>20</v>
      </c>
      <c r="I53" t="s">
        <v>20</v>
      </c>
      <c r="J53" t="s">
        <v>105</v>
      </c>
      <c r="K53" t="s">
        <v>601</v>
      </c>
      <c r="L53" t="s">
        <v>602</v>
      </c>
      <c r="M53" t="s">
        <v>239</v>
      </c>
      <c r="N53">
        <v>2035</v>
      </c>
      <c r="O53" t="s">
        <v>291</v>
      </c>
      <c r="P53" s="1"/>
      <c r="Q53" s="1"/>
      <c r="R53" s="1" t="e">
        <f xml:space="preserve"> IF(#REF! = "", "X",IF(#REF! &lt;= DATE(#REF!- 3, 12, 15),"5.Respect OPC",IF(#REF! &lt;= DATE(#REF!-2, 4, 1),"3.À risque","1.Très à risque")))</f>
        <v>#REF!</v>
      </c>
      <c r="S53" s="1" t="e">
        <f xml:space="preserve"> IF(#REF! = "", "X",IF(#REF! &lt;= DATE(#REF!- 2, 12, 15),"5.Respect OPC",IF(#REF! &lt;= DATE(#REF!-1, 4, 1),"3.À risque","1.Très à risque")))</f>
        <v>#REF!</v>
      </c>
      <c r="T53" s="1" t="e">
        <f xml:space="preserve"> IF(#REF! = "", "X",IF(#REF! &lt;= DATE(#REF!- 1, 12, 15),"5.Respect OPC",IF(#REF! &lt;= DATE(#REF!, 4, 1),"3.À risque","1.Très à risque")))</f>
        <v>#REF!</v>
      </c>
      <c r="U53" s="1" t="e">
        <f xml:space="preserve"> (YEAR(#REF!) - YEAR(#REF!)) * 12 + MONTH(#REF!) - MONTH(#REF!)</f>
        <v>#REF!</v>
      </c>
      <c r="V53" s="1" t="e">
        <f xml:space="preserve"> (YEAR(#REF!) - YEAR(#REF!)) * 12 + MONTH(#REF!) - MONTH(#REF!)</f>
        <v>#REF!</v>
      </c>
      <c r="W53" s="1" t="e">
        <f>#REF!+#REF!</f>
        <v>#REF!</v>
      </c>
      <c r="X53" s="1"/>
      <c r="Y53" s="1"/>
      <c r="Z53">
        <v>5</v>
      </c>
      <c r="AA53">
        <v>1</v>
      </c>
      <c r="AC53" s="2" t="e">
        <f>_xlfn.XLOOKUP(#REF!,Portefeuille_MNT_PPS_Access27[Numéro projet],Portefeuille_MNT_PPS_Access27[Critère Etat Infrastructure])</f>
        <v>#REF!</v>
      </c>
      <c r="AD53" s="12" t="e">
        <f>IF(#REF!=5,100, SUM(IF(#REF!="",#REF!*$AE$8/5,#REF!*$AE$8/5),#REF!* $AE$10/5,#REF!* $AE$9/5,#REF!* $AE$7/5)*100)</f>
        <v>#REF!</v>
      </c>
      <c r="AE53" s="221"/>
      <c r="AF53" t="s">
        <v>311</v>
      </c>
      <c r="AG53">
        <v>3.3333333333333335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100</v>
      </c>
      <c r="AY53">
        <v>0</v>
      </c>
      <c r="AZ53">
        <v>100</v>
      </c>
      <c r="BA53">
        <v>0</v>
      </c>
      <c r="BB53">
        <v>500</v>
      </c>
      <c r="BC53">
        <v>5000</v>
      </c>
      <c r="BD53">
        <v>0</v>
      </c>
      <c r="BE53">
        <v>0</v>
      </c>
      <c r="BF53">
        <v>0</v>
      </c>
      <c r="BG53">
        <v>0</v>
      </c>
      <c r="BH53">
        <v>5700</v>
      </c>
      <c r="BJ53">
        <v>5700</v>
      </c>
      <c r="DP53"/>
    </row>
    <row r="54" spans="1:120" hidden="1" x14ac:dyDescent="0.3">
      <c r="A54" t="s">
        <v>286</v>
      </c>
      <c r="B54" t="s">
        <v>664</v>
      </c>
      <c r="C54" t="s">
        <v>733</v>
      </c>
      <c r="D54" t="s">
        <v>101</v>
      </c>
      <c r="E54" t="s">
        <v>102</v>
      </c>
      <c r="F54" t="s">
        <v>103</v>
      </c>
      <c r="H54" t="s">
        <v>20</v>
      </c>
      <c r="I54" t="s">
        <v>20</v>
      </c>
      <c r="J54" t="s">
        <v>105</v>
      </c>
      <c r="K54" t="s">
        <v>393</v>
      </c>
      <c r="L54" t="s">
        <v>394</v>
      </c>
      <c r="M54" t="s">
        <v>122</v>
      </c>
      <c r="N54">
        <v>2035</v>
      </c>
      <c r="O54" t="s">
        <v>291</v>
      </c>
      <c r="P54" s="1"/>
      <c r="Q54" s="1"/>
      <c r="R54" s="1" t="e">
        <f xml:space="preserve"> IF(#REF! = "", "X",IF(#REF! &lt;= DATE(#REF!- 3, 12, 15),"5.Respect OPC",IF(#REF! &lt;= DATE(#REF!-2, 4, 1),"3.À risque","1.Très à risque")))</f>
        <v>#REF!</v>
      </c>
      <c r="S54" s="1" t="e">
        <f xml:space="preserve"> IF(#REF! = "", "X",IF(#REF! &lt;= DATE(#REF!- 2, 12, 15),"5.Respect OPC",IF(#REF! &lt;= DATE(#REF!-1, 4, 1),"3.À risque","1.Très à risque")))</f>
        <v>#REF!</v>
      </c>
      <c r="T54" s="1" t="e">
        <f xml:space="preserve"> IF(#REF! = "", "X",IF(#REF! &lt;= DATE(#REF!- 1, 12, 15),"5.Respect OPC",IF(#REF! &lt;= DATE(#REF!, 4, 1),"3.À risque","1.Très à risque")))</f>
        <v>#REF!</v>
      </c>
      <c r="U54" s="1" t="e">
        <f xml:space="preserve"> (YEAR(#REF!) - YEAR(#REF!)) * 12 + MONTH(#REF!) - MONTH(#REF!)</f>
        <v>#REF!</v>
      </c>
      <c r="V54" s="1" t="e">
        <f xml:space="preserve"> (YEAR(#REF!) - YEAR(#REF!)) * 12 + MONTH(#REF!) - MONTH(#REF!)</f>
        <v>#REF!</v>
      </c>
      <c r="W54" s="1" t="e">
        <f>#REF!+#REF!</f>
        <v>#REF!</v>
      </c>
      <c r="X54" s="1"/>
      <c r="Y54" s="1"/>
      <c r="Z54">
        <v>5</v>
      </c>
      <c r="AA54">
        <v>1</v>
      </c>
      <c r="AC54" s="2" t="e">
        <f>_xlfn.XLOOKUP(#REF!,Portefeuille_MNT_PPS_Access27[Numéro projet],Portefeuille_MNT_PPS_Access27[Critère Etat Infrastructure])</f>
        <v>#REF!</v>
      </c>
      <c r="AD54" s="12" t="e">
        <f>IF(#REF!=5,100, SUM(IF(#REF!="",#REF!*$AE$8/5,#REF!*$AE$8/5),#REF!* $AE$10/5,#REF!* $AE$9/5,#REF!* $AE$7/5)*100)</f>
        <v>#REF!</v>
      </c>
      <c r="AE54" s="221"/>
      <c r="AF54" t="s">
        <v>311</v>
      </c>
      <c r="AG54">
        <v>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</v>
      </c>
      <c r="AY54">
        <v>0</v>
      </c>
      <c r="AZ54">
        <v>100</v>
      </c>
      <c r="BA54">
        <v>0</v>
      </c>
      <c r="BB54">
        <v>500</v>
      </c>
      <c r="BC54">
        <v>12000</v>
      </c>
      <c r="BD54">
        <v>0</v>
      </c>
      <c r="BE54">
        <v>0</v>
      </c>
      <c r="BF54">
        <v>0</v>
      </c>
      <c r="BG54">
        <v>0</v>
      </c>
      <c r="BH54">
        <v>12700</v>
      </c>
      <c r="BJ54">
        <v>12700</v>
      </c>
      <c r="DP54"/>
    </row>
    <row r="55" spans="1:120" hidden="1" x14ac:dyDescent="0.3">
      <c r="A55" t="s">
        <v>286</v>
      </c>
      <c r="B55" t="s">
        <v>664</v>
      </c>
      <c r="C55" t="s">
        <v>733</v>
      </c>
      <c r="D55" t="s">
        <v>101</v>
      </c>
      <c r="E55" t="s">
        <v>102</v>
      </c>
      <c r="F55" t="s">
        <v>103</v>
      </c>
      <c r="H55" t="s">
        <v>20</v>
      </c>
      <c r="I55" t="s">
        <v>20</v>
      </c>
      <c r="J55" t="s">
        <v>105</v>
      </c>
      <c r="K55" t="s">
        <v>446</v>
      </c>
      <c r="L55" t="s">
        <v>447</v>
      </c>
      <c r="M55" t="s">
        <v>168</v>
      </c>
      <c r="N55">
        <v>2035</v>
      </c>
      <c r="O55" t="s">
        <v>291</v>
      </c>
      <c r="P55" s="1"/>
      <c r="Q55" s="1"/>
      <c r="R55" s="1" t="e">
        <f xml:space="preserve"> IF(#REF! = "", "X",IF(#REF! &lt;= DATE(#REF!- 3, 12, 15),"5.Respect OPC",IF(#REF! &lt;= DATE(#REF!-2, 4, 1),"3.À risque","1.Très à risque")))</f>
        <v>#REF!</v>
      </c>
      <c r="S55" s="1" t="e">
        <f xml:space="preserve"> IF(#REF! = "", "X",IF(#REF! &lt;= DATE(#REF!- 2, 12, 15),"5.Respect OPC",IF(#REF! &lt;= DATE(#REF!-1, 4, 1),"3.À risque","1.Très à risque")))</f>
        <v>#REF!</v>
      </c>
      <c r="T55" s="1" t="e">
        <f xml:space="preserve"> IF(#REF! = "", "X",IF(#REF! &lt;= DATE(#REF!- 1, 12, 15),"5.Respect OPC",IF(#REF! &lt;= DATE(#REF!, 4, 1),"3.À risque","1.Très à risque")))</f>
        <v>#REF!</v>
      </c>
      <c r="U55" s="1" t="e">
        <f xml:space="preserve"> (YEAR(#REF!) - YEAR(#REF!)) * 12 + MONTH(#REF!) - MONTH(#REF!)</f>
        <v>#REF!</v>
      </c>
      <c r="V55" s="1" t="e">
        <f xml:space="preserve"> (YEAR(#REF!) - YEAR(#REF!)) * 12 + MONTH(#REF!) - MONTH(#REF!)</f>
        <v>#REF!</v>
      </c>
      <c r="W55" s="1" t="e">
        <f>#REF!+#REF!</f>
        <v>#REF!</v>
      </c>
      <c r="X55" s="1"/>
      <c r="Y55" s="1"/>
      <c r="Z55">
        <v>5</v>
      </c>
      <c r="AA55">
        <v>1</v>
      </c>
      <c r="AC55" s="2" t="e">
        <f>_xlfn.XLOOKUP(#REF!,Portefeuille_MNT_PPS_Access27[Numéro projet],Portefeuille_MNT_PPS_Access27[Critère Etat Infrastructure])</f>
        <v>#REF!</v>
      </c>
      <c r="AD55" s="12" t="e">
        <f>IF(#REF!=5,100, SUM(IF(#REF!="",#REF!*$AE$8/5,#REF!*$AE$8/5),#REF!* $AE$10/5,#REF!* $AE$9/5,#REF!* $AE$7/5)*100)</f>
        <v>#REF!</v>
      </c>
      <c r="AE55" s="221"/>
      <c r="AF55" t="s">
        <v>311</v>
      </c>
      <c r="AG55">
        <v>3.3333333333333335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150</v>
      </c>
      <c r="AY55">
        <v>0</v>
      </c>
      <c r="AZ55">
        <v>150</v>
      </c>
      <c r="BA55">
        <v>0</v>
      </c>
      <c r="BB55">
        <v>600</v>
      </c>
      <c r="BC55">
        <v>12000</v>
      </c>
      <c r="BD55">
        <v>0</v>
      </c>
      <c r="BE55">
        <v>0</v>
      </c>
      <c r="BF55">
        <v>0</v>
      </c>
      <c r="BG55">
        <v>0</v>
      </c>
      <c r="BH55">
        <v>12900</v>
      </c>
      <c r="BJ55">
        <v>12900</v>
      </c>
      <c r="DP55"/>
    </row>
    <row r="56" spans="1:120" hidden="1" x14ac:dyDescent="0.3">
      <c r="A56" t="s">
        <v>286</v>
      </c>
      <c r="B56" t="s">
        <v>664</v>
      </c>
      <c r="C56" t="s">
        <v>733</v>
      </c>
      <c r="D56" t="s">
        <v>101</v>
      </c>
      <c r="E56" t="s">
        <v>102</v>
      </c>
      <c r="F56" t="s">
        <v>103</v>
      </c>
      <c r="H56" t="s">
        <v>20</v>
      </c>
      <c r="I56" t="s">
        <v>20</v>
      </c>
      <c r="J56" t="s">
        <v>105</v>
      </c>
      <c r="K56" t="s">
        <v>444</v>
      </c>
      <c r="L56" t="s">
        <v>666</v>
      </c>
      <c r="M56" t="s">
        <v>302</v>
      </c>
      <c r="N56">
        <v>2032</v>
      </c>
      <c r="O56" t="s">
        <v>291</v>
      </c>
      <c r="P56" s="1"/>
      <c r="Q56" s="1"/>
      <c r="R56" s="1" t="e">
        <f xml:space="preserve"> IF(#REF! = "", "X",IF(#REF! &lt;= DATE(#REF!- 3, 12, 15),"5.Respect OPC",IF(#REF! &lt;= DATE(#REF!-2, 4, 1),"3.À risque","1.Très à risque")))</f>
        <v>#REF!</v>
      </c>
      <c r="S56" s="1" t="e">
        <f xml:space="preserve"> IF(#REF! = "", "X",IF(#REF! &lt;= DATE(#REF!- 2, 12, 15),"5.Respect OPC",IF(#REF! &lt;= DATE(#REF!-1, 4, 1),"3.À risque","1.Très à risque")))</f>
        <v>#REF!</v>
      </c>
      <c r="T56" s="1" t="e">
        <f xml:space="preserve"> IF(#REF! = "", "X",IF(#REF! &lt;= DATE(#REF!- 1, 12, 15),"5.Respect OPC",IF(#REF! &lt;= DATE(#REF!, 4, 1),"3.À risque","1.Très à risque")))</f>
        <v>#REF!</v>
      </c>
      <c r="U56" s="1" t="e">
        <f xml:space="preserve"> (YEAR(#REF!) - YEAR(#REF!)) * 12 + MONTH(#REF!) - MONTH(#REF!)</f>
        <v>#REF!</v>
      </c>
      <c r="V56" s="1" t="e">
        <f xml:space="preserve"> (YEAR(#REF!) - YEAR(#REF!)) * 12 + MONTH(#REF!) - MONTH(#REF!)</f>
        <v>#REF!</v>
      </c>
      <c r="W56" s="1" t="e">
        <f>#REF!+#REF!</f>
        <v>#REF!</v>
      </c>
      <c r="X56" s="1"/>
      <c r="Y56" s="1"/>
      <c r="Z56">
        <v>5</v>
      </c>
      <c r="AA56">
        <v>1</v>
      </c>
      <c r="AC56" s="2" t="e">
        <f>_xlfn.XLOOKUP(#REF!,Portefeuille_MNT_PPS_Access27[Numéro projet],Portefeuille_MNT_PPS_Access27[Critère Etat Infrastructure])</f>
        <v>#REF!</v>
      </c>
      <c r="AD56" s="12" t="e">
        <f>IF(#REF!=5,100, SUM(IF(#REF!="",#REF!*$AE$8/5,#REF!*$AE$8/5),#REF!* $AE$10/5,#REF!* $AE$9/5,#REF!* $AE$7/5)*100)</f>
        <v>#REF!</v>
      </c>
      <c r="AE56" s="221"/>
      <c r="AF56" t="s">
        <v>311</v>
      </c>
      <c r="AG56">
        <v>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150</v>
      </c>
      <c r="AS56">
        <v>0</v>
      </c>
      <c r="AT56">
        <v>150</v>
      </c>
      <c r="AU56">
        <v>0</v>
      </c>
      <c r="AV56">
        <v>600</v>
      </c>
      <c r="AW56">
        <v>12000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12900</v>
      </c>
      <c r="BI56">
        <v>300</v>
      </c>
      <c r="BJ56">
        <v>12900</v>
      </c>
      <c r="DP56"/>
    </row>
    <row r="57" spans="1:120" hidden="1" x14ac:dyDescent="0.3">
      <c r="A57" t="s">
        <v>286</v>
      </c>
      <c r="B57" t="s">
        <v>663</v>
      </c>
      <c r="C57" t="s">
        <v>733</v>
      </c>
      <c r="D57" t="s">
        <v>101</v>
      </c>
      <c r="E57" t="s">
        <v>102</v>
      </c>
      <c r="F57" t="s">
        <v>136</v>
      </c>
      <c r="H57" t="s">
        <v>20</v>
      </c>
      <c r="I57" t="s">
        <v>20</v>
      </c>
      <c r="J57" t="s">
        <v>105</v>
      </c>
      <c r="K57" t="s">
        <v>464</v>
      </c>
      <c r="L57" t="s">
        <v>465</v>
      </c>
      <c r="M57" t="s">
        <v>116</v>
      </c>
      <c r="N57">
        <v>2034</v>
      </c>
      <c r="O57" t="s">
        <v>291</v>
      </c>
      <c r="P57" s="1"/>
      <c r="Q57" s="1"/>
      <c r="R57" s="1" t="e">
        <f xml:space="preserve"> IF(#REF! = "", "X",IF(#REF! &lt;= DATE(#REF!- 3, 12, 15),"5.Respect OPC",IF(#REF! &lt;= DATE(#REF!-2, 4, 1),"3.À risque","1.Très à risque")))</f>
        <v>#REF!</v>
      </c>
      <c r="S57" s="1" t="e">
        <f xml:space="preserve"> IF(#REF! = "", "X",IF(#REF! &lt;= DATE(#REF!- 2, 12, 15),"5.Respect OPC",IF(#REF! &lt;= DATE(#REF!-1, 4, 1),"3.À risque","1.Très à risque")))</f>
        <v>#REF!</v>
      </c>
      <c r="T57" s="1" t="e">
        <f xml:space="preserve"> IF(#REF! = "", "X",IF(#REF! &lt;= DATE(#REF!- 1, 12, 15),"5.Respect OPC",IF(#REF! &lt;= DATE(#REF!, 4, 1),"3.À risque","1.Très à risque")))</f>
        <v>#REF!</v>
      </c>
      <c r="U57" s="1" t="e">
        <f xml:space="preserve"> (YEAR(#REF!) - YEAR(#REF!)) * 12 + MONTH(#REF!) - MONTH(#REF!)</f>
        <v>#REF!</v>
      </c>
      <c r="V57" s="1" t="e">
        <f xml:space="preserve"> (YEAR(#REF!) - YEAR(#REF!)) * 12 + MONTH(#REF!) - MONTH(#REF!)</f>
        <v>#REF!</v>
      </c>
      <c r="W57" s="1" t="e">
        <f>#REF!+#REF!</f>
        <v>#REF!</v>
      </c>
      <c r="X57" s="1"/>
      <c r="Y57" s="1"/>
      <c r="Z57">
        <v>5</v>
      </c>
      <c r="AA57">
        <v>1</v>
      </c>
      <c r="AC57" s="2" t="e">
        <f>_xlfn.XLOOKUP(#REF!,Portefeuille_MNT_PPS_Access27[Numéro projet],Portefeuille_MNT_PPS_Access27[Critère Etat Infrastructure])</f>
        <v>#REF!</v>
      </c>
      <c r="AD57" s="12" t="e">
        <f>IF(#REF!=5,100, SUM(IF(#REF!="",#REF!*$AE$8/5,#REF!*$AE$8/5),#REF!* $AE$10/5,#REF!* $AE$9/5,#REF!* $AE$7/5)*100)</f>
        <v>#REF!</v>
      </c>
      <c r="AE57" s="221"/>
      <c r="AF57" t="s">
        <v>311</v>
      </c>
      <c r="AG57">
        <v>3.3333333333333335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150</v>
      </c>
      <c r="AU57">
        <v>0</v>
      </c>
      <c r="AV57">
        <v>150</v>
      </c>
      <c r="AW57">
        <v>0</v>
      </c>
      <c r="AX57">
        <v>150</v>
      </c>
      <c r="AY57">
        <v>0</v>
      </c>
      <c r="AZ57">
        <v>500</v>
      </c>
      <c r="BA57">
        <v>6800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7750</v>
      </c>
      <c r="BI57">
        <v>150</v>
      </c>
      <c r="BJ57">
        <v>7750</v>
      </c>
      <c r="DP57"/>
    </row>
    <row r="58" spans="1:120" hidden="1" x14ac:dyDescent="0.3">
      <c r="A58" t="s">
        <v>286</v>
      </c>
      <c r="B58" t="s">
        <v>663</v>
      </c>
      <c r="C58" t="s">
        <v>733</v>
      </c>
      <c r="D58" t="s">
        <v>101</v>
      </c>
      <c r="E58" t="s">
        <v>102</v>
      </c>
      <c r="F58" t="s">
        <v>136</v>
      </c>
      <c r="H58" t="s">
        <v>20</v>
      </c>
      <c r="I58" t="s">
        <v>20</v>
      </c>
      <c r="J58" t="s">
        <v>105</v>
      </c>
      <c r="K58" t="s">
        <v>462</v>
      </c>
      <c r="L58" t="s">
        <v>463</v>
      </c>
      <c r="M58" t="s">
        <v>230</v>
      </c>
      <c r="N58">
        <v>2033</v>
      </c>
      <c r="O58" t="s">
        <v>291</v>
      </c>
      <c r="P58" s="1"/>
      <c r="Q58" s="1"/>
      <c r="R58" s="1" t="e">
        <f xml:space="preserve"> IF(#REF! = "", "X",IF(#REF! &lt;= DATE(#REF!- 3, 12, 15),"5.Respect OPC",IF(#REF! &lt;= DATE(#REF!-2, 4, 1),"3.À risque","1.Très à risque")))</f>
        <v>#REF!</v>
      </c>
      <c r="S58" s="1" t="e">
        <f xml:space="preserve"> IF(#REF! = "", "X",IF(#REF! &lt;= DATE(#REF!- 2, 12, 15),"5.Respect OPC",IF(#REF! &lt;= DATE(#REF!-1, 4, 1),"3.À risque","1.Très à risque")))</f>
        <v>#REF!</v>
      </c>
      <c r="T58" s="1" t="e">
        <f xml:space="preserve"> IF(#REF! = "", "X",IF(#REF! &lt;= DATE(#REF!- 1, 12, 15),"5.Respect OPC",IF(#REF! &lt;= DATE(#REF!, 4, 1),"3.À risque","1.Très à risque")))</f>
        <v>#REF!</v>
      </c>
      <c r="U58" s="1" t="e">
        <f xml:space="preserve"> (YEAR(#REF!) - YEAR(#REF!)) * 12 + MONTH(#REF!) - MONTH(#REF!)</f>
        <v>#REF!</v>
      </c>
      <c r="V58" s="1" t="e">
        <f xml:space="preserve"> (YEAR(#REF!) - YEAR(#REF!)) * 12 + MONTH(#REF!) - MONTH(#REF!)</f>
        <v>#REF!</v>
      </c>
      <c r="W58" s="1" t="e">
        <f>#REF!+#REF!</f>
        <v>#REF!</v>
      </c>
      <c r="X58" s="1"/>
      <c r="Y58" s="1"/>
      <c r="Z58">
        <v>5</v>
      </c>
      <c r="AA58">
        <v>1</v>
      </c>
      <c r="AC58" s="2" t="e">
        <f>_xlfn.XLOOKUP(#REF!,Portefeuille_MNT_PPS_Access27[Numéro projet],Portefeuille_MNT_PPS_Access27[Critère Etat Infrastructure])</f>
        <v>#REF!</v>
      </c>
      <c r="AD58" s="12" t="e">
        <f>IF(#REF!=5,100, SUM(IF(#REF!="",#REF!*$AE$8/5,#REF!*$AE$8/5),#REF!* $AE$10/5,#REF!* $AE$9/5,#REF!* $AE$7/5)*100)</f>
        <v>#REF!</v>
      </c>
      <c r="AE58" s="221"/>
      <c r="AF58" t="s">
        <v>311</v>
      </c>
      <c r="AG58">
        <v>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150</v>
      </c>
      <c r="AU58">
        <v>0</v>
      </c>
      <c r="AV58">
        <v>150</v>
      </c>
      <c r="AW58">
        <v>0</v>
      </c>
      <c r="AX58">
        <v>500</v>
      </c>
      <c r="AY58">
        <v>6800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7600</v>
      </c>
      <c r="BI58">
        <v>150</v>
      </c>
      <c r="BJ58">
        <v>7600</v>
      </c>
      <c r="DP58"/>
    </row>
    <row r="59" spans="1:120" hidden="1" x14ac:dyDescent="0.3">
      <c r="A59" t="s">
        <v>286</v>
      </c>
      <c r="B59" t="s">
        <v>663</v>
      </c>
      <c r="C59" t="s">
        <v>733</v>
      </c>
      <c r="D59" t="s">
        <v>101</v>
      </c>
      <c r="E59" t="s">
        <v>102</v>
      </c>
      <c r="F59" t="s">
        <v>136</v>
      </c>
      <c r="H59" t="s">
        <v>20</v>
      </c>
      <c r="I59" t="s">
        <v>20</v>
      </c>
      <c r="J59" t="s">
        <v>105</v>
      </c>
      <c r="K59" t="s">
        <v>460</v>
      </c>
      <c r="L59" t="s">
        <v>461</v>
      </c>
      <c r="M59" t="s">
        <v>108</v>
      </c>
      <c r="N59">
        <v>2034</v>
      </c>
      <c r="O59" t="s">
        <v>291</v>
      </c>
      <c r="P59" s="1"/>
      <c r="Q59" s="1"/>
      <c r="R59" s="1" t="e">
        <f xml:space="preserve"> IF(#REF! = "", "X",IF(#REF! &lt;= DATE(#REF!- 3, 12, 15),"5.Respect OPC",IF(#REF! &lt;= DATE(#REF!-2, 4, 1),"3.À risque","1.Très à risque")))</f>
        <v>#REF!</v>
      </c>
      <c r="S59" s="1" t="e">
        <f xml:space="preserve"> IF(#REF! = "", "X",IF(#REF! &lt;= DATE(#REF!- 2, 12, 15),"5.Respect OPC",IF(#REF! &lt;= DATE(#REF!-1, 4, 1),"3.À risque","1.Très à risque")))</f>
        <v>#REF!</v>
      </c>
      <c r="T59" s="1" t="e">
        <f xml:space="preserve"> IF(#REF! = "", "X",IF(#REF! &lt;= DATE(#REF!- 1, 12, 15),"5.Respect OPC",IF(#REF! &lt;= DATE(#REF!, 4, 1),"3.À risque","1.Très à risque")))</f>
        <v>#REF!</v>
      </c>
      <c r="U59" s="1" t="e">
        <f xml:space="preserve"> (YEAR(#REF!) - YEAR(#REF!)) * 12 + MONTH(#REF!) - MONTH(#REF!)</f>
        <v>#REF!</v>
      </c>
      <c r="V59" s="1" t="e">
        <f xml:space="preserve"> (YEAR(#REF!) - YEAR(#REF!)) * 12 + MONTH(#REF!) - MONTH(#REF!)</f>
        <v>#REF!</v>
      </c>
      <c r="W59" s="1" t="e">
        <f>#REF!+#REF!</f>
        <v>#REF!</v>
      </c>
      <c r="X59" s="1"/>
      <c r="Y59" s="1"/>
      <c r="Z59">
        <v>5</v>
      </c>
      <c r="AA59">
        <v>1</v>
      </c>
      <c r="AC59" s="2" t="e">
        <f>_xlfn.XLOOKUP(#REF!,Portefeuille_MNT_PPS_Access27[Numéro projet],Portefeuille_MNT_PPS_Access27[Critère Etat Infrastructure])</f>
        <v>#REF!</v>
      </c>
      <c r="AD59" s="12" t="e">
        <f>IF(#REF!=5,100, SUM(IF(#REF!="",#REF!*$AE$8/5,#REF!*$AE$8/5),#REF!* $AE$10/5,#REF!* $AE$9/5,#REF!* $AE$7/5)*100)</f>
        <v>#REF!</v>
      </c>
      <c r="AE59" s="221"/>
      <c r="AF59" t="s">
        <v>311</v>
      </c>
      <c r="AG59">
        <v>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150</v>
      </c>
      <c r="AW59">
        <v>0</v>
      </c>
      <c r="AX59">
        <v>150</v>
      </c>
      <c r="AY59">
        <v>0</v>
      </c>
      <c r="AZ59">
        <v>500</v>
      </c>
      <c r="BA59">
        <v>7400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8200</v>
      </c>
      <c r="BJ59">
        <v>8200</v>
      </c>
      <c r="DP59"/>
    </row>
    <row r="60" spans="1:120" hidden="1" x14ac:dyDescent="0.3">
      <c r="A60" t="s">
        <v>286</v>
      </c>
      <c r="B60" t="s">
        <v>663</v>
      </c>
      <c r="C60" t="s">
        <v>733</v>
      </c>
      <c r="D60" t="s">
        <v>101</v>
      </c>
      <c r="E60" t="s">
        <v>102</v>
      </c>
      <c r="F60" t="s">
        <v>136</v>
      </c>
      <c r="H60" t="s">
        <v>20</v>
      </c>
      <c r="I60" t="s">
        <v>20</v>
      </c>
      <c r="J60" t="s">
        <v>105</v>
      </c>
      <c r="K60" t="s">
        <v>458</v>
      </c>
      <c r="L60" t="s">
        <v>459</v>
      </c>
      <c r="M60" t="s">
        <v>239</v>
      </c>
      <c r="N60">
        <v>2033</v>
      </c>
      <c r="O60" t="s">
        <v>291</v>
      </c>
      <c r="P60" s="1"/>
      <c r="Q60" s="1"/>
      <c r="R60" s="1" t="e">
        <f xml:space="preserve"> IF(#REF! = "", "X",IF(#REF! &lt;= DATE(#REF!- 3, 12, 15),"5.Respect OPC",IF(#REF! &lt;= DATE(#REF!-2, 4, 1),"3.À risque","1.Très à risque")))</f>
        <v>#REF!</v>
      </c>
      <c r="S60" s="1" t="e">
        <f xml:space="preserve"> IF(#REF! = "", "X",IF(#REF! &lt;= DATE(#REF!- 2, 12, 15),"5.Respect OPC",IF(#REF! &lt;= DATE(#REF!-1, 4, 1),"3.À risque","1.Très à risque")))</f>
        <v>#REF!</v>
      </c>
      <c r="T60" s="1" t="e">
        <f xml:space="preserve"> IF(#REF! = "", "X",IF(#REF! &lt;= DATE(#REF!- 1, 12, 15),"5.Respect OPC",IF(#REF! &lt;= DATE(#REF!, 4, 1),"3.À risque","1.Très à risque")))</f>
        <v>#REF!</v>
      </c>
      <c r="U60" s="1" t="e">
        <f xml:space="preserve"> (YEAR(#REF!) - YEAR(#REF!)) * 12 + MONTH(#REF!) - MONTH(#REF!)</f>
        <v>#REF!</v>
      </c>
      <c r="V60" s="1" t="e">
        <f xml:space="preserve"> (YEAR(#REF!) - YEAR(#REF!)) * 12 + MONTH(#REF!) - MONTH(#REF!)</f>
        <v>#REF!</v>
      </c>
      <c r="W60" s="1" t="e">
        <f>#REF!+#REF!</f>
        <v>#REF!</v>
      </c>
      <c r="X60" s="1"/>
      <c r="Y60" s="1"/>
      <c r="Z60">
        <v>5</v>
      </c>
      <c r="AA60">
        <v>1</v>
      </c>
      <c r="AC60" s="2" t="e">
        <f>_xlfn.XLOOKUP(#REF!,Portefeuille_MNT_PPS_Access27[Numéro projet],Portefeuille_MNT_PPS_Access27[Critère Etat Infrastructure])</f>
        <v>#REF!</v>
      </c>
      <c r="AD60" s="12" t="e">
        <f>IF(#REF!=5,100, SUM(IF(#REF!="",#REF!*$AE$8/5,#REF!*$AE$8/5),#REF!* $AE$10/5,#REF!* $AE$9/5,#REF!* $AE$7/5)*100)</f>
        <v>#REF!</v>
      </c>
      <c r="AE60" s="221"/>
      <c r="AF60" t="s">
        <v>311</v>
      </c>
      <c r="AG60">
        <v>3.3333333333333335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s="8">
        <v>0</v>
      </c>
      <c r="AR60">
        <v>0</v>
      </c>
      <c r="AS60">
        <v>0</v>
      </c>
      <c r="AT60">
        <v>150</v>
      </c>
      <c r="AU60">
        <v>0</v>
      </c>
      <c r="AV60">
        <v>150</v>
      </c>
      <c r="AW60">
        <v>0</v>
      </c>
      <c r="AX60">
        <v>500</v>
      </c>
      <c r="AY60">
        <v>6500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7300</v>
      </c>
      <c r="BI60">
        <v>150</v>
      </c>
      <c r="BJ60">
        <v>7300</v>
      </c>
      <c r="DP60"/>
    </row>
    <row r="61" spans="1:120" hidden="1" x14ac:dyDescent="0.3">
      <c r="A61" t="s">
        <v>286</v>
      </c>
      <c r="B61" t="s">
        <v>663</v>
      </c>
      <c r="C61" t="s">
        <v>733</v>
      </c>
      <c r="D61" t="s">
        <v>101</v>
      </c>
      <c r="E61" t="s">
        <v>102</v>
      </c>
      <c r="F61" t="s">
        <v>136</v>
      </c>
      <c r="H61" t="s">
        <v>20</v>
      </c>
      <c r="I61" t="s">
        <v>20</v>
      </c>
      <c r="J61" t="s">
        <v>105</v>
      </c>
      <c r="K61" t="s">
        <v>456</v>
      </c>
      <c r="L61" t="s">
        <v>457</v>
      </c>
      <c r="M61" t="s">
        <v>402</v>
      </c>
      <c r="N61">
        <v>2034</v>
      </c>
      <c r="O61" t="s">
        <v>291</v>
      </c>
      <c r="P61" s="1"/>
      <c r="Q61" s="1"/>
      <c r="R61" s="1" t="e">
        <f xml:space="preserve"> IF(#REF! = "", "X",IF(#REF! &lt;= DATE(#REF!- 3, 12, 15),"5.Respect OPC",IF(#REF! &lt;= DATE(#REF!-2, 4, 1),"3.À risque","1.Très à risque")))</f>
        <v>#REF!</v>
      </c>
      <c r="S61" s="1" t="e">
        <f xml:space="preserve"> IF(#REF! = "", "X",IF(#REF! &lt;= DATE(#REF!- 2, 12, 15),"5.Respect OPC",IF(#REF! &lt;= DATE(#REF!-1, 4, 1),"3.À risque","1.Très à risque")))</f>
        <v>#REF!</v>
      </c>
      <c r="T61" s="1" t="e">
        <f xml:space="preserve"> IF(#REF! = "", "X",IF(#REF! &lt;= DATE(#REF!- 1, 12, 15),"5.Respect OPC",IF(#REF! &lt;= DATE(#REF!, 4, 1),"3.À risque","1.Très à risque")))</f>
        <v>#REF!</v>
      </c>
      <c r="U61" s="1" t="e">
        <f xml:space="preserve"> (YEAR(#REF!) - YEAR(#REF!)) * 12 + MONTH(#REF!) - MONTH(#REF!)</f>
        <v>#REF!</v>
      </c>
      <c r="V61" s="1" t="e">
        <f xml:space="preserve"> (YEAR(#REF!) - YEAR(#REF!)) * 12 + MONTH(#REF!) - MONTH(#REF!)</f>
        <v>#REF!</v>
      </c>
      <c r="W61" s="1" t="e">
        <f>#REF!+#REF!</f>
        <v>#REF!</v>
      </c>
      <c r="X61" s="1"/>
      <c r="Y61" s="1"/>
      <c r="Z61">
        <v>5</v>
      </c>
      <c r="AA61">
        <v>1</v>
      </c>
      <c r="AC61" s="2" t="e">
        <f>_xlfn.XLOOKUP(#REF!,Portefeuille_MNT_PPS_Access27[Numéro projet],Portefeuille_MNT_PPS_Access27[Critère Etat Infrastructure])</f>
        <v>#REF!</v>
      </c>
      <c r="AD61" s="12" t="e">
        <f>IF(#REF!=5,100, SUM(IF(#REF!="",#REF!*$AE$8/5,#REF!*$AE$8/5),#REF!* $AE$10/5,#REF!* $AE$9/5,#REF!* $AE$7/5)*100)</f>
        <v>#REF!</v>
      </c>
      <c r="AE61" s="221"/>
      <c r="AF61" t="s">
        <v>311</v>
      </c>
      <c r="AG61">
        <v>2.6666666666666665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150</v>
      </c>
      <c r="AW61">
        <v>0</v>
      </c>
      <c r="AX61">
        <v>150</v>
      </c>
      <c r="AY61">
        <v>0</v>
      </c>
      <c r="AZ61">
        <v>500</v>
      </c>
      <c r="BA61">
        <v>6800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7600</v>
      </c>
      <c r="BJ61">
        <v>7600</v>
      </c>
      <c r="DP61"/>
    </row>
    <row r="62" spans="1:120" hidden="1" x14ac:dyDescent="0.3">
      <c r="A62" t="s">
        <v>286</v>
      </c>
      <c r="B62" t="s">
        <v>663</v>
      </c>
      <c r="C62" t="s">
        <v>733</v>
      </c>
      <c r="D62" t="s">
        <v>101</v>
      </c>
      <c r="E62" t="s">
        <v>102</v>
      </c>
      <c r="F62" t="s">
        <v>136</v>
      </c>
      <c r="H62" t="s">
        <v>20</v>
      </c>
      <c r="I62" t="s">
        <v>20</v>
      </c>
      <c r="J62" t="s">
        <v>105</v>
      </c>
      <c r="K62" t="s">
        <v>454</v>
      </c>
      <c r="L62" t="s">
        <v>455</v>
      </c>
      <c r="M62" t="s">
        <v>143</v>
      </c>
      <c r="N62">
        <v>2032</v>
      </c>
      <c r="O62" t="s">
        <v>291</v>
      </c>
      <c r="P62" s="1"/>
      <c r="Q62" s="1"/>
      <c r="R62" s="1" t="e">
        <f xml:space="preserve"> IF(#REF! = "", "X",IF(#REF! &lt;= DATE(#REF!- 3, 12, 15),"5.Respect OPC",IF(#REF! &lt;= DATE(#REF!-2, 4, 1),"3.À risque","1.Très à risque")))</f>
        <v>#REF!</v>
      </c>
      <c r="S62" s="1" t="e">
        <f xml:space="preserve"> IF(#REF! = "", "X",IF(#REF! &lt;= DATE(#REF!- 2, 12, 15),"5.Respect OPC",IF(#REF! &lt;= DATE(#REF!-1, 4, 1),"3.À risque","1.Très à risque")))</f>
        <v>#REF!</v>
      </c>
      <c r="T62" s="1" t="e">
        <f xml:space="preserve"> IF(#REF! = "", "X",IF(#REF! &lt;= DATE(#REF!- 1, 12, 15),"5.Respect OPC",IF(#REF! &lt;= DATE(#REF!, 4, 1),"3.À risque","1.Très à risque")))</f>
        <v>#REF!</v>
      </c>
      <c r="U62" s="1" t="e">
        <f xml:space="preserve"> (YEAR(#REF!) - YEAR(#REF!)) * 12 + MONTH(#REF!) - MONTH(#REF!)</f>
        <v>#REF!</v>
      </c>
      <c r="V62" s="1" t="e">
        <f xml:space="preserve"> (YEAR(#REF!) - YEAR(#REF!)) * 12 + MONTH(#REF!) - MONTH(#REF!)</f>
        <v>#REF!</v>
      </c>
      <c r="W62" s="1" t="e">
        <f>#REF!+#REF!</f>
        <v>#REF!</v>
      </c>
      <c r="X62" s="1"/>
      <c r="Y62" s="1"/>
      <c r="Z62">
        <v>5</v>
      </c>
      <c r="AA62">
        <v>1</v>
      </c>
      <c r="AC62" s="2" t="e">
        <f>_xlfn.XLOOKUP(#REF!,Portefeuille_MNT_PPS_Access27[Numéro projet],Portefeuille_MNT_PPS_Access27[Critère Etat Infrastructure])</f>
        <v>#REF!</v>
      </c>
      <c r="AD62" s="12" t="e">
        <f>IF(#REF!=5,100, SUM(IF(#REF!="",#REF!*$AE$8/5,#REF!*$AE$8/5),#REF!* $AE$10/5,#REF!* $AE$9/5,#REF!* $AE$7/5)*100)</f>
        <v>#REF!</v>
      </c>
      <c r="AE62" s="221"/>
      <c r="AF62" t="s">
        <v>311</v>
      </c>
      <c r="AG62">
        <v>4.333333333333333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150</v>
      </c>
      <c r="AQ62">
        <v>0</v>
      </c>
      <c r="AR62">
        <v>150</v>
      </c>
      <c r="AS62">
        <v>0</v>
      </c>
      <c r="AT62">
        <v>500</v>
      </c>
      <c r="AU62">
        <v>0</v>
      </c>
      <c r="AV62">
        <v>500</v>
      </c>
      <c r="AW62">
        <v>5000</v>
      </c>
      <c r="AX62">
        <v>500</v>
      </c>
      <c r="AY62">
        <v>5000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11800</v>
      </c>
      <c r="BI62">
        <v>800</v>
      </c>
      <c r="BJ62">
        <v>11800</v>
      </c>
      <c r="DP62"/>
    </row>
    <row r="63" spans="1:120" hidden="1" x14ac:dyDescent="0.3">
      <c r="A63" t="s">
        <v>286</v>
      </c>
      <c r="B63" t="s">
        <v>295</v>
      </c>
      <c r="C63" t="s">
        <v>733</v>
      </c>
      <c r="D63" t="s">
        <v>126</v>
      </c>
      <c r="E63" t="s">
        <v>127</v>
      </c>
      <c r="F63" t="s">
        <v>103</v>
      </c>
      <c r="H63" t="s">
        <v>20</v>
      </c>
      <c r="I63" t="s">
        <v>20</v>
      </c>
      <c r="J63" t="s">
        <v>105</v>
      </c>
      <c r="K63" t="s">
        <v>474</v>
      </c>
      <c r="L63" t="s">
        <v>637</v>
      </c>
      <c r="M63" t="s">
        <v>108</v>
      </c>
      <c r="N63">
        <v>2034</v>
      </c>
      <c r="O63" t="s">
        <v>291</v>
      </c>
      <c r="P63" s="1"/>
      <c r="Q63" s="1"/>
      <c r="R63" s="1" t="e">
        <f xml:space="preserve"> IF(#REF! = "", "X",IF(#REF! &lt;= DATE(#REF!- 3, 12, 15),"5.Respect OPC",IF(#REF! &lt;= DATE(#REF!-2, 4, 1),"3.À risque","1.Très à risque")))</f>
        <v>#REF!</v>
      </c>
      <c r="S63" s="1" t="e">
        <f xml:space="preserve"> IF(#REF! = "", "X",IF(#REF! &lt;= DATE(#REF!- 2, 12, 15),"5.Respect OPC",IF(#REF! &lt;= DATE(#REF!-1, 4, 1),"3.À risque","1.Très à risque")))</f>
        <v>#REF!</v>
      </c>
      <c r="T63" s="1" t="e">
        <f xml:space="preserve"> IF(#REF! = "", "X",IF(#REF! &lt;= DATE(#REF!- 1, 12, 15),"5.Respect OPC",IF(#REF! &lt;= DATE(#REF!, 4, 1),"3.À risque","1.Très à risque")))</f>
        <v>#REF!</v>
      </c>
      <c r="U63" s="1" t="e">
        <f xml:space="preserve"> (YEAR(#REF!) - YEAR(#REF!)) * 12 + MONTH(#REF!) - MONTH(#REF!)</f>
        <v>#REF!</v>
      </c>
      <c r="V63" s="1" t="e">
        <f xml:space="preserve"> (YEAR(#REF!) - YEAR(#REF!)) * 12 + MONTH(#REF!) - MONTH(#REF!)</f>
        <v>#REF!</v>
      </c>
      <c r="W63" s="1" t="e">
        <f>#REF!+#REF!</f>
        <v>#REF!</v>
      </c>
      <c r="X63" s="1"/>
      <c r="Y63" s="1"/>
      <c r="Z63">
        <v>5</v>
      </c>
      <c r="AA63">
        <v>1</v>
      </c>
      <c r="AC63" s="2" t="e">
        <f>_xlfn.XLOOKUP(#REF!,Portefeuille_MNT_PPS_Access27[Numéro projet],Portefeuille_MNT_PPS_Access27[Critère Etat Infrastructure])</f>
        <v>#REF!</v>
      </c>
      <c r="AD63" s="12" t="e">
        <f>IF(#REF!=5,100, SUM(IF(#REF!="",#REF!*$AE$8/5,#REF!*$AE$8/5),#REF!* $AE$10/5,#REF!* $AE$9/5,#REF!* $AE$7/5)*100)</f>
        <v>#REF!</v>
      </c>
      <c r="AE63" s="221"/>
      <c r="AF63" t="s">
        <v>311</v>
      </c>
      <c r="AG63">
        <v>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375</v>
      </c>
      <c r="AU63">
        <v>0</v>
      </c>
      <c r="AV63">
        <v>750</v>
      </c>
      <c r="AW63">
        <v>0</v>
      </c>
      <c r="AX63">
        <v>1125</v>
      </c>
      <c r="AY63">
        <v>0</v>
      </c>
      <c r="AZ63">
        <v>875</v>
      </c>
      <c r="BA63">
        <v>18236</v>
      </c>
      <c r="BB63">
        <v>1250</v>
      </c>
      <c r="BC63">
        <v>63764</v>
      </c>
      <c r="BD63">
        <v>0</v>
      </c>
      <c r="BE63">
        <v>0</v>
      </c>
      <c r="BF63">
        <v>0</v>
      </c>
      <c r="BG63">
        <v>0</v>
      </c>
      <c r="BH63">
        <v>86375</v>
      </c>
      <c r="BI63">
        <v>375</v>
      </c>
      <c r="BJ63">
        <v>86375</v>
      </c>
      <c r="DP63"/>
    </row>
    <row r="64" spans="1:120" hidden="1" x14ac:dyDescent="0.3">
      <c r="A64" t="s">
        <v>286</v>
      </c>
      <c r="B64" t="s">
        <v>295</v>
      </c>
      <c r="C64" t="s">
        <v>733</v>
      </c>
      <c r="D64" t="s">
        <v>126</v>
      </c>
      <c r="E64" t="s">
        <v>127</v>
      </c>
      <c r="F64" t="s">
        <v>103</v>
      </c>
      <c r="G64" t="s">
        <v>140</v>
      </c>
      <c r="H64" t="s">
        <v>20</v>
      </c>
      <c r="I64" t="s">
        <v>20</v>
      </c>
      <c r="J64" t="s">
        <v>105</v>
      </c>
      <c r="K64" t="s">
        <v>635</v>
      </c>
      <c r="L64" t="s">
        <v>636</v>
      </c>
      <c r="M64" t="s">
        <v>143</v>
      </c>
      <c r="N64">
        <v>2031</v>
      </c>
      <c r="O64" t="s">
        <v>155</v>
      </c>
      <c r="P64" s="1"/>
      <c r="Q64" s="1">
        <v>46266</v>
      </c>
      <c r="R64" s="1" t="e">
        <f xml:space="preserve"> IF(#REF! = "", "X",IF(#REF! &lt;= DATE(#REF!- 3, 12, 15),"5.Respect OPC",IF(#REF! &lt;= DATE(#REF!-2, 4, 1),"3.À risque","1.Très à risque")))</f>
        <v>#REF!</v>
      </c>
      <c r="S64" s="1" t="e">
        <f xml:space="preserve"> IF(#REF! = "", "X",IF(#REF! &lt;= DATE(#REF!- 2, 12, 15),"5.Respect OPC",IF(#REF! &lt;= DATE(#REF!-1, 4, 1),"3.À risque","1.Très à risque")))</f>
        <v>#REF!</v>
      </c>
      <c r="T64" s="1" t="e">
        <f xml:space="preserve"> IF(#REF! = "", "X",IF(#REF! &lt;= DATE(#REF!- 1, 12, 15),"5.Respect OPC",IF(#REF! &lt;= DATE(#REF!, 4, 1),"3.À risque","1.Très à risque")))</f>
        <v>#REF!</v>
      </c>
      <c r="U64" s="1" t="e">
        <f xml:space="preserve"> (YEAR(#REF!) - YEAR(#REF!)) * 12 + MONTH(#REF!) - MONTH(#REF!)</f>
        <v>#REF!</v>
      </c>
      <c r="V64" s="1" t="e">
        <f xml:space="preserve"> (YEAR(#REF!) - YEAR(#REF!)) * 12 + MONTH(#REF!) - MONTH(#REF!)</f>
        <v>#REF!</v>
      </c>
      <c r="W64" s="1" t="e">
        <f>#REF!+#REF!</f>
        <v>#REF!</v>
      </c>
      <c r="X64" s="1">
        <v>46631</v>
      </c>
      <c r="Y64" s="1">
        <v>46997</v>
      </c>
      <c r="Z64">
        <v>5</v>
      </c>
      <c r="AA64">
        <v>1</v>
      </c>
      <c r="AC64" s="2" t="e">
        <f>_xlfn.XLOOKUP(#REF!,Portefeuille_MNT_PPS_Access27[Numéro projet],Portefeuille_MNT_PPS_Access27[Critère Etat Infrastructure])</f>
        <v>#REF!</v>
      </c>
      <c r="AD64" s="12" t="e">
        <f>IF(#REF!=5,100, SUM(IF(#REF!="",#REF!*$AE$8/5,#REF!*$AE$8/5),#REF!* $AE$10/5,#REF!* $AE$9/5,#REF!* $AE$7/5)*100)</f>
        <v>#REF!</v>
      </c>
      <c r="AE64" s="221"/>
      <c r="AF64" t="s">
        <v>156</v>
      </c>
      <c r="AG64">
        <v>4.333333333333333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375</v>
      </c>
      <c r="AO64">
        <v>0</v>
      </c>
      <c r="AP64">
        <v>375</v>
      </c>
      <c r="AQ64">
        <v>0</v>
      </c>
      <c r="AR64">
        <v>750</v>
      </c>
      <c r="AS64">
        <v>0</v>
      </c>
      <c r="AT64">
        <v>875</v>
      </c>
      <c r="AU64">
        <v>5136</v>
      </c>
      <c r="AV64">
        <v>1250</v>
      </c>
      <c r="AW64">
        <v>34450</v>
      </c>
      <c r="AX64">
        <v>500</v>
      </c>
      <c r="AY64">
        <v>28275</v>
      </c>
      <c r="AZ64">
        <v>1000</v>
      </c>
      <c r="BA64">
        <v>42000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114986</v>
      </c>
      <c r="BI64">
        <v>7511</v>
      </c>
      <c r="BJ64">
        <v>114986</v>
      </c>
      <c r="DP64"/>
    </row>
    <row r="65" spans="1:120" hidden="1" x14ac:dyDescent="0.3">
      <c r="A65" t="s">
        <v>286</v>
      </c>
      <c r="B65" t="s">
        <v>295</v>
      </c>
      <c r="C65" t="s">
        <v>733</v>
      </c>
      <c r="D65" t="s">
        <v>126</v>
      </c>
      <c r="E65" t="s">
        <v>127</v>
      </c>
      <c r="F65" t="s">
        <v>103</v>
      </c>
      <c r="G65" t="s">
        <v>113</v>
      </c>
      <c r="H65" t="s">
        <v>20</v>
      </c>
      <c r="I65" t="s">
        <v>20</v>
      </c>
      <c r="J65" t="s">
        <v>105</v>
      </c>
      <c r="K65" t="s">
        <v>442</v>
      </c>
      <c r="L65" t="s">
        <v>526</v>
      </c>
      <c r="M65" t="s">
        <v>168</v>
      </c>
      <c r="N65">
        <v>2032</v>
      </c>
      <c r="O65" t="s">
        <v>291</v>
      </c>
      <c r="P65" s="1"/>
      <c r="Q65" s="1"/>
      <c r="R65" s="1" t="e">
        <f xml:space="preserve"> IF(#REF! = "", "X",IF(#REF! &lt;= DATE(#REF!- 3, 12, 15),"5.Respect OPC",IF(#REF! &lt;= DATE(#REF!-2, 4, 1),"3.À risque","1.Très à risque")))</f>
        <v>#REF!</v>
      </c>
      <c r="S65" s="1" t="e">
        <f xml:space="preserve"> IF(#REF! = "", "X",IF(#REF! &lt;= DATE(#REF!- 2, 12, 15),"5.Respect OPC",IF(#REF! &lt;= DATE(#REF!-1, 4, 1),"3.À risque","1.Très à risque")))</f>
        <v>#REF!</v>
      </c>
      <c r="T65" s="1" t="e">
        <f xml:space="preserve"> IF(#REF! = "", "X",IF(#REF! &lt;= DATE(#REF!- 1, 12, 15),"5.Respect OPC",IF(#REF! &lt;= DATE(#REF!, 4, 1),"3.À risque","1.Très à risque")))</f>
        <v>#REF!</v>
      </c>
      <c r="U65" s="1" t="e">
        <f xml:space="preserve"> (YEAR(#REF!) - YEAR(#REF!)) * 12 + MONTH(#REF!) - MONTH(#REF!)</f>
        <v>#REF!</v>
      </c>
      <c r="V65" s="1" t="e">
        <f xml:space="preserve"> (YEAR(#REF!) - YEAR(#REF!)) * 12 + MONTH(#REF!) - MONTH(#REF!)</f>
        <v>#REF!</v>
      </c>
      <c r="W65" s="1" t="e">
        <f>#REF!+#REF!</f>
        <v>#REF!</v>
      </c>
      <c r="X65" s="1"/>
      <c r="Y65" s="1"/>
      <c r="Z65">
        <v>5</v>
      </c>
      <c r="AA65">
        <v>1</v>
      </c>
      <c r="AC65" s="2" t="e">
        <f>_xlfn.XLOOKUP(#REF!,Portefeuille_MNT_PPS_Access27[Numéro projet],Portefeuille_MNT_PPS_Access27[Critère Etat Infrastructure])</f>
        <v>#REF!</v>
      </c>
      <c r="AD65" s="12" t="e">
        <f>IF(#REF!=5,100, SUM(IF(#REF!="",#REF!*$AE$8/5,#REF!*$AE$8/5),#REF!* $AE$10/5,#REF!* $AE$9/5,#REF!* $AE$7/5)*100)</f>
        <v>#REF!</v>
      </c>
      <c r="AE65" s="221"/>
      <c r="AF65" t="s">
        <v>311</v>
      </c>
      <c r="AG65">
        <v>3.3333333333333335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200</v>
      </c>
      <c r="AS65">
        <v>0</v>
      </c>
      <c r="AT65">
        <v>200</v>
      </c>
      <c r="AU65">
        <v>0</v>
      </c>
      <c r="AV65">
        <v>500</v>
      </c>
      <c r="AW65">
        <v>7500</v>
      </c>
      <c r="AX65">
        <v>500</v>
      </c>
      <c r="AY65">
        <v>7500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16400</v>
      </c>
      <c r="BI65">
        <v>400</v>
      </c>
      <c r="BJ65">
        <v>16400</v>
      </c>
      <c r="DP65"/>
    </row>
    <row r="66" spans="1:120" hidden="1" x14ac:dyDescent="0.3">
      <c r="A66" t="s">
        <v>286</v>
      </c>
      <c r="B66" t="s">
        <v>662</v>
      </c>
      <c r="C66" t="s">
        <v>733</v>
      </c>
      <c r="D66" t="s">
        <v>101</v>
      </c>
      <c r="E66" t="s">
        <v>102</v>
      </c>
      <c r="F66" t="s">
        <v>242</v>
      </c>
      <c r="G66" t="s">
        <v>129</v>
      </c>
      <c r="H66" t="s">
        <v>20</v>
      </c>
      <c r="I66" t="s">
        <v>20</v>
      </c>
      <c r="J66" t="s">
        <v>131</v>
      </c>
      <c r="K66" t="s">
        <v>415</v>
      </c>
      <c r="L66" t="s">
        <v>416</v>
      </c>
      <c r="M66" t="s">
        <v>417</v>
      </c>
      <c r="N66">
        <v>2029</v>
      </c>
      <c r="O66" t="s">
        <v>155</v>
      </c>
      <c r="P66" s="1"/>
      <c r="Q66" s="1">
        <v>46143</v>
      </c>
      <c r="R66" s="1" t="e">
        <f xml:space="preserve"> IF(#REF! = "", "X",IF(#REF! &lt;= DATE(#REF!- 3, 12, 15),"5.Respect OPC",IF(#REF! &lt;= DATE(#REF!-2, 4, 1),"3.À risque","1.Très à risque")))</f>
        <v>#REF!</v>
      </c>
      <c r="S66" s="1" t="e">
        <f xml:space="preserve"> IF(#REF! = "", "X",IF(#REF! &lt;= DATE(#REF!- 2, 12, 15),"5.Respect OPC",IF(#REF! &lt;= DATE(#REF!-1, 4, 1),"3.À risque","1.Très à risque")))</f>
        <v>#REF!</v>
      </c>
      <c r="T66" s="1" t="e">
        <f xml:space="preserve"> IF(#REF! = "", "X",IF(#REF! &lt;= DATE(#REF!- 1, 12, 15),"5.Respect OPC",IF(#REF! &lt;= DATE(#REF!, 4, 1),"3.À risque","1.Très à risque")))</f>
        <v>#REF!</v>
      </c>
      <c r="U66" s="1" t="e">
        <f xml:space="preserve"> (YEAR(#REF!) - YEAR(#REF!)) * 12 + MONTH(#REF!) - MONTH(#REF!)</f>
        <v>#REF!</v>
      </c>
      <c r="V66" s="1" t="e">
        <f xml:space="preserve"> (YEAR(#REF!) - YEAR(#REF!)) * 12 + MONTH(#REF!) - MONTH(#REF!)</f>
        <v>#REF!</v>
      </c>
      <c r="W66" s="1" t="e">
        <f>#REF!+#REF!</f>
        <v>#REF!</v>
      </c>
      <c r="X66" s="1">
        <v>46508</v>
      </c>
      <c r="Y66" s="1">
        <v>46874</v>
      </c>
      <c r="Z66">
        <v>5</v>
      </c>
      <c r="AA66">
        <v>1</v>
      </c>
      <c r="AB66">
        <v>5</v>
      </c>
      <c r="AC66" s="2" t="e">
        <f>_xlfn.XLOOKUP(#REF!,Portefeuille_MNT_PPS_Access27[Numéro projet],Portefeuille_MNT_PPS_Access27[Critère Etat Infrastructure])</f>
        <v>#REF!</v>
      </c>
      <c r="AD66" s="12" t="e">
        <f>IF(#REF!=5,100, SUM(IF(#REF!="",#REF!*$AE$8/5,#REF!*$AE$8/5),#REF!* $AE$10/5,#REF!* $AE$9/5,#REF!* $AE$7/5)*100)</f>
        <v>#REF!</v>
      </c>
      <c r="AE66" s="221"/>
      <c r="AF66" t="s">
        <v>156</v>
      </c>
      <c r="AG66">
        <v>1.3333333333333333</v>
      </c>
      <c r="AH66">
        <v>0</v>
      </c>
      <c r="AI66">
        <v>0</v>
      </c>
      <c r="AJ66">
        <v>0</v>
      </c>
      <c r="AK66">
        <v>0</v>
      </c>
      <c r="AL66">
        <v>50</v>
      </c>
      <c r="AM66">
        <v>0</v>
      </c>
      <c r="AN66">
        <v>50</v>
      </c>
      <c r="AO66">
        <v>0</v>
      </c>
      <c r="AP66">
        <v>200</v>
      </c>
      <c r="AQ66">
        <v>1000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1300</v>
      </c>
      <c r="BI66">
        <v>1300</v>
      </c>
      <c r="BJ66">
        <v>1300</v>
      </c>
      <c r="DP66"/>
    </row>
    <row r="67" spans="1:120" hidden="1" x14ac:dyDescent="0.3">
      <c r="A67" t="s">
        <v>286</v>
      </c>
      <c r="B67" t="s">
        <v>662</v>
      </c>
      <c r="C67" t="s">
        <v>733</v>
      </c>
      <c r="D67" t="s">
        <v>101</v>
      </c>
      <c r="E67" t="s">
        <v>102</v>
      </c>
      <c r="F67" t="s">
        <v>242</v>
      </c>
      <c r="G67" t="s">
        <v>129</v>
      </c>
      <c r="H67" t="s">
        <v>20</v>
      </c>
      <c r="I67" t="s">
        <v>20</v>
      </c>
      <c r="J67" t="s">
        <v>131</v>
      </c>
      <c r="K67" t="s">
        <v>409</v>
      </c>
      <c r="L67" t="s">
        <v>410</v>
      </c>
      <c r="M67" t="s">
        <v>411</v>
      </c>
      <c r="N67">
        <v>2029</v>
      </c>
      <c r="O67" t="s">
        <v>155</v>
      </c>
      <c r="P67" s="1"/>
      <c r="Q67" s="1">
        <v>46143</v>
      </c>
      <c r="R67" s="1" t="e">
        <f xml:space="preserve"> IF(#REF! = "", "X",IF(#REF! &lt;= DATE(#REF!- 3, 12, 15),"5.Respect OPC",IF(#REF! &lt;= DATE(#REF!-2, 4, 1),"3.À risque","1.Très à risque")))</f>
        <v>#REF!</v>
      </c>
      <c r="S67" s="1" t="e">
        <f xml:space="preserve"> IF(#REF! = "", "X",IF(#REF! &lt;= DATE(#REF!- 2, 12, 15),"5.Respect OPC",IF(#REF! &lt;= DATE(#REF!-1, 4, 1),"3.À risque","1.Très à risque")))</f>
        <v>#REF!</v>
      </c>
      <c r="T67" s="1" t="e">
        <f xml:space="preserve"> IF(#REF! = "", "X",IF(#REF! &lt;= DATE(#REF!- 1, 12, 15),"5.Respect OPC",IF(#REF! &lt;= DATE(#REF!, 4, 1),"3.À risque","1.Très à risque")))</f>
        <v>#REF!</v>
      </c>
      <c r="U67" s="1" t="e">
        <f xml:space="preserve"> (YEAR(#REF!) - YEAR(#REF!)) * 12 + MONTH(#REF!) - MONTH(#REF!)</f>
        <v>#REF!</v>
      </c>
      <c r="V67" s="1" t="e">
        <f xml:space="preserve"> (YEAR(#REF!) - YEAR(#REF!)) * 12 + MONTH(#REF!) - MONTH(#REF!)</f>
        <v>#REF!</v>
      </c>
      <c r="W67" s="1" t="e">
        <f>#REF!+#REF!</f>
        <v>#REF!</v>
      </c>
      <c r="X67" s="1">
        <v>46508</v>
      </c>
      <c r="Y67" s="1">
        <v>46874</v>
      </c>
      <c r="Z67">
        <v>5</v>
      </c>
      <c r="AA67">
        <v>1</v>
      </c>
      <c r="AB67">
        <v>5</v>
      </c>
      <c r="AC67" s="2" t="e">
        <f>_xlfn.XLOOKUP(#REF!,Portefeuille_MNT_PPS_Access27[Numéro projet],Portefeuille_MNT_PPS_Access27[Critère Etat Infrastructure])</f>
        <v>#REF!</v>
      </c>
      <c r="AD67" s="12" t="e">
        <f>IF(#REF!=5,100, SUM(IF(#REF!="",#REF!*$AE$8/5,#REF!*$AE$8/5),#REF!* $AE$10/5,#REF!* $AE$9/5,#REF!* $AE$7/5)*100)</f>
        <v>#REF!</v>
      </c>
      <c r="AE67" s="221"/>
      <c r="AF67" t="s">
        <v>156</v>
      </c>
      <c r="AG67">
        <v>1.3333333333333333</v>
      </c>
      <c r="AH67">
        <v>0</v>
      </c>
      <c r="AI67">
        <v>0</v>
      </c>
      <c r="AJ67">
        <v>0</v>
      </c>
      <c r="AK67">
        <v>0</v>
      </c>
      <c r="AL67">
        <v>50</v>
      </c>
      <c r="AM67">
        <v>0</v>
      </c>
      <c r="AN67">
        <v>50</v>
      </c>
      <c r="AO67">
        <v>0</v>
      </c>
      <c r="AP67">
        <v>200</v>
      </c>
      <c r="AQ67">
        <v>1000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1300</v>
      </c>
      <c r="BI67">
        <v>1300</v>
      </c>
      <c r="BJ67">
        <v>1300</v>
      </c>
      <c r="DP67"/>
    </row>
    <row r="68" spans="1:120" hidden="1" x14ac:dyDescent="0.3">
      <c r="A68" t="s">
        <v>286</v>
      </c>
      <c r="B68" t="s">
        <v>664</v>
      </c>
      <c r="C68" t="s">
        <v>125</v>
      </c>
      <c r="D68" t="s">
        <v>101</v>
      </c>
      <c r="E68" t="s">
        <v>102</v>
      </c>
      <c r="F68" t="s">
        <v>136</v>
      </c>
      <c r="G68" t="s">
        <v>129</v>
      </c>
      <c r="H68" t="s">
        <v>130</v>
      </c>
      <c r="I68" t="s">
        <v>20</v>
      </c>
      <c r="J68" t="s">
        <v>131</v>
      </c>
      <c r="K68" t="s">
        <v>405</v>
      </c>
      <c r="L68" t="s">
        <v>406</v>
      </c>
      <c r="M68" t="s">
        <v>152</v>
      </c>
      <c r="N68">
        <v>2030</v>
      </c>
      <c r="O68" t="s">
        <v>155</v>
      </c>
      <c r="P68" s="1">
        <v>45763</v>
      </c>
      <c r="Q68" s="1">
        <v>46054</v>
      </c>
      <c r="R68" s="1" t="e">
        <f xml:space="preserve"> IF(#REF! = "", "X",IF(#REF! &lt;= DATE(#REF!- 3, 12, 15),"5.Respect OPC",IF(#REF! &lt;= DATE(#REF!-2, 4, 1),"3.À risque","1.Très à risque")))</f>
        <v>#REF!</v>
      </c>
      <c r="S68" s="1" t="e">
        <f xml:space="preserve"> IF(#REF! = "", "X",IF(#REF! &lt;= DATE(#REF!- 2, 12, 15),"5.Respect OPC",IF(#REF! &lt;= DATE(#REF!-1, 4, 1),"3.À risque","1.Très à risque")))</f>
        <v>#REF!</v>
      </c>
      <c r="T68" s="1" t="e">
        <f xml:space="preserve"> IF(#REF! = "", "X",IF(#REF! &lt;= DATE(#REF!- 1, 12, 15),"5.Respect OPC",IF(#REF! &lt;= DATE(#REF!, 4, 1),"3.À risque","1.Très à risque")))</f>
        <v>#REF!</v>
      </c>
      <c r="U68" s="1" t="e">
        <f xml:space="preserve"> (YEAR(#REF!) - YEAR(#REF!)) * 12 + MONTH(#REF!) - MONTH(#REF!)</f>
        <v>#REF!</v>
      </c>
      <c r="V68" s="1" t="e">
        <f xml:space="preserve"> (YEAR(#REF!) - YEAR(#REF!)) * 12 + MONTH(#REF!) - MONTH(#REF!)</f>
        <v>#REF!</v>
      </c>
      <c r="W68" s="1" t="e">
        <f>#REF!+#REF!</f>
        <v>#REF!</v>
      </c>
      <c r="X68" s="1">
        <v>46427</v>
      </c>
      <c r="Y68" s="1">
        <v>46813</v>
      </c>
      <c r="Z68">
        <v>5</v>
      </c>
      <c r="AA68">
        <v>1</v>
      </c>
      <c r="AC68" s="2" t="e">
        <f>_xlfn.XLOOKUP(#REF!,Portefeuille_MNT_PPS_Access27[Numéro projet],Portefeuille_MNT_PPS_Access27[Critère Etat Infrastructure])</f>
        <v>#REF!</v>
      </c>
      <c r="AD68" s="12" t="e">
        <f>IF(#REF!=5,100, SUM(IF(#REF!="",#REF!*$AE$8/5,#REF!*$AE$8/5),#REF!* $AE$10/5,#REF!* $AE$9/5,#REF!* $AE$7/5)*100)</f>
        <v>#REF!</v>
      </c>
      <c r="AE68" s="221"/>
      <c r="AF68" t="s">
        <v>156</v>
      </c>
      <c r="AG68">
        <v>3.3333333333333335</v>
      </c>
      <c r="AH68">
        <v>0</v>
      </c>
      <c r="AI68">
        <v>0</v>
      </c>
      <c r="AJ68">
        <v>100</v>
      </c>
      <c r="AK68">
        <v>0</v>
      </c>
      <c r="AL68">
        <v>250</v>
      </c>
      <c r="AM68">
        <v>0</v>
      </c>
      <c r="AN68">
        <v>350</v>
      </c>
      <c r="AO68">
        <v>0</v>
      </c>
      <c r="AP68">
        <v>200</v>
      </c>
      <c r="AQ68">
        <v>0</v>
      </c>
      <c r="AR68">
        <v>600</v>
      </c>
      <c r="AS68">
        <v>5500</v>
      </c>
      <c r="AT68">
        <v>600</v>
      </c>
      <c r="AU68">
        <v>5500</v>
      </c>
      <c r="AV68">
        <v>600</v>
      </c>
      <c r="AW68">
        <v>6000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19700</v>
      </c>
      <c r="BI68">
        <v>13000</v>
      </c>
      <c r="BJ68">
        <v>19600</v>
      </c>
      <c r="DP68"/>
    </row>
    <row r="69" spans="1:120" hidden="1" x14ac:dyDescent="0.3">
      <c r="A69" t="s">
        <v>286</v>
      </c>
      <c r="B69" t="s">
        <v>663</v>
      </c>
      <c r="C69" t="s">
        <v>733</v>
      </c>
      <c r="D69" t="s">
        <v>101</v>
      </c>
      <c r="E69" t="s">
        <v>102</v>
      </c>
      <c r="F69" t="s">
        <v>136</v>
      </c>
      <c r="G69" t="s">
        <v>149</v>
      </c>
      <c r="H69" t="s">
        <v>20</v>
      </c>
      <c r="I69" t="s">
        <v>20</v>
      </c>
      <c r="J69" t="s">
        <v>131</v>
      </c>
      <c r="K69" t="s">
        <v>381</v>
      </c>
      <c r="L69" t="s">
        <v>382</v>
      </c>
      <c r="M69" t="s">
        <v>194</v>
      </c>
      <c r="N69">
        <v>2027</v>
      </c>
      <c r="O69" t="s">
        <v>291</v>
      </c>
      <c r="P69" s="1"/>
      <c r="Q69" s="1"/>
      <c r="R69" s="1" t="e">
        <f xml:space="preserve"> IF(#REF! = "", "X",IF(#REF! &lt;= DATE(#REF!- 3, 12, 15),"5.Respect OPC",IF(#REF! &lt;= DATE(#REF!-2, 4, 1),"3.À risque","1.Très à risque")))</f>
        <v>#REF!</v>
      </c>
      <c r="S69" s="1" t="e">
        <f xml:space="preserve"> IF(#REF! = "", "X",IF(#REF! &lt;= DATE(#REF!- 2, 12, 15),"5.Respect OPC",IF(#REF! &lt;= DATE(#REF!-1, 4, 1),"3.À risque","1.Très à risque")))</f>
        <v>#REF!</v>
      </c>
      <c r="T69" s="1" t="e">
        <f xml:space="preserve"> IF(#REF! = "", "X",IF(#REF! &lt;= DATE(#REF!- 1, 12, 15),"5.Respect OPC",IF(#REF! &lt;= DATE(#REF!, 4, 1),"3.À risque","1.Très à risque")))</f>
        <v>#REF!</v>
      </c>
      <c r="U69" s="1" t="e">
        <f xml:space="preserve"> (YEAR(#REF!) - YEAR(#REF!)) * 12 + MONTH(#REF!) - MONTH(#REF!)</f>
        <v>#REF!</v>
      </c>
      <c r="V69" s="1" t="e">
        <f xml:space="preserve"> (YEAR(#REF!) - YEAR(#REF!)) * 12 + MONTH(#REF!) - MONTH(#REF!)</f>
        <v>#REF!</v>
      </c>
      <c r="W69" s="1" t="e">
        <f>#REF!+#REF!</f>
        <v>#REF!</v>
      </c>
      <c r="X69" s="1"/>
      <c r="Y69" s="1"/>
      <c r="Z69">
        <v>5</v>
      </c>
      <c r="AA69">
        <v>1</v>
      </c>
      <c r="AB69">
        <v>3</v>
      </c>
      <c r="AC69" s="2" t="e">
        <f>_xlfn.XLOOKUP(#REF!,Portefeuille_MNT_PPS_Access27[Numéro projet],Portefeuille_MNT_PPS_Access27[Critère Etat Infrastructure])</f>
        <v>#REF!</v>
      </c>
      <c r="AD69" s="12" t="e">
        <f>IF(#REF!=5,100, SUM(IF(#REF!="",#REF!*$AE$8/5,#REF!*$AE$8/5),#REF!* $AE$10/5,#REF!* $AE$9/5,#REF!* $AE$7/5)*100)</f>
        <v>#REF!</v>
      </c>
      <c r="AE69" s="221"/>
      <c r="AF69" t="s">
        <v>311</v>
      </c>
      <c r="AG69">
        <v>3.3333333333333335</v>
      </c>
      <c r="AH69">
        <v>0</v>
      </c>
      <c r="AI69">
        <v>0</v>
      </c>
      <c r="AJ69">
        <v>0</v>
      </c>
      <c r="AK69">
        <v>0</v>
      </c>
      <c r="AL69">
        <v>50</v>
      </c>
      <c r="AM69">
        <v>250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300</v>
      </c>
      <c r="BI69">
        <v>300</v>
      </c>
      <c r="BJ69">
        <v>300</v>
      </c>
      <c r="DP69"/>
    </row>
    <row r="70" spans="1:120" hidden="1" x14ac:dyDescent="0.3">
      <c r="A70" t="s">
        <v>286</v>
      </c>
      <c r="B70" t="s">
        <v>662</v>
      </c>
      <c r="C70" t="s">
        <v>733</v>
      </c>
      <c r="D70" t="s">
        <v>118</v>
      </c>
      <c r="E70" t="s">
        <v>102</v>
      </c>
      <c r="F70" t="s">
        <v>389</v>
      </c>
      <c r="H70" t="s">
        <v>20</v>
      </c>
      <c r="I70" t="s">
        <v>20</v>
      </c>
      <c r="J70" t="s">
        <v>105</v>
      </c>
      <c r="K70" t="s">
        <v>424</v>
      </c>
      <c r="L70" t="s">
        <v>425</v>
      </c>
      <c r="M70" t="s">
        <v>205</v>
      </c>
      <c r="N70">
        <v>2033</v>
      </c>
      <c r="O70" t="s">
        <v>291</v>
      </c>
      <c r="P70" s="1"/>
      <c r="Q70" s="1"/>
      <c r="R70" s="1" t="e">
        <f xml:space="preserve"> IF(#REF! = "", "X",IF(#REF! &lt;= DATE(#REF!- 3, 12, 15),"5.Respect OPC",IF(#REF! &lt;= DATE(#REF!-2, 4, 1),"3.À risque","1.Très à risque")))</f>
        <v>#REF!</v>
      </c>
      <c r="S70" s="1" t="e">
        <f xml:space="preserve"> IF(#REF! = "", "X",IF(#REF! &lt;= DATE(#REF!- 2, 12, 15),"5.Respect OPC",IF(#REF! &lt;= DATE(#REF!-1, 4, 1),"3.À risque","1.Très à risque")))</f>
        <v>#REF!</v>
      </c>
      <c r="T70" s="1" t="e">
        <f xml:space="preserve"> IF(#REF! = "", "X",IF(#REF! &lt;= DATE(#REF!- 1, 12, 15),"5.Respect OPC",IF(#REF! &lt;= DATE(#REF!, 4, 1),"3.À risque","1.Très à risque")))</f>
        <v>#REF!</v>
      </c>
      <c r="U70" s="1" t="e">
        <f xml:space="preserve"> (YEAR(#REF!) - YEAR(#REF!)) * 12 + MONTH(#REF!) - MONTH(#REF!)</f>
        <v>#REF!</v>
      </c>
      <c r="V70" s="1" t="e">
        <f xml:space="preserve"> (YEAR(#REF!) - YEAR(#REF!)) * 12 + MONTH(#REF!) - MONTH(#REF!)</f>
        <v>#REF!</v>
      </c>
      <c r="W70" s="1" t="e">
        <f>#REF!+#REF!</f>
        <v>#REF!</v>
      </c>
      <c r="X70" s="1"/>
      <c r="Y70" s="1"/>
      <c r="Z70">
        <v>5</v>
      </c>
      <c r="AA70">
        <v>1</v>
      </c>
      <c r="AC70" s="2" t="e">
        <f>_xlfn.XLOOKUP(#REF!,Portefeuille_MNT_PPS_Access27[Numéro projet],Portefeuille_MNT_PPS_Access27[Critère Etat Infrastructure])</f>
        <v>#REF!</v>
      </c>
      <c r="AD70" s="12" t="e">
        <f>IF(#REF!=5,100, SUM(IF(#REF!="",#REF!*$AE$8/5,#REF!*$AE$8/5),#REF!* $AE$10/5,#REF!* $AE$9/5,#REF!* $AE$7/5)*100)</f>
        <v>#REF!</v>
      </c>
      <c r="AE70" s="221"/>
      <c r="AF70" t="s">
        <v>311</v>
      </c>
      <c r="AG70">
        <v>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0</v>
      </c>
      <c r="AV70">
        <v>100</v>
      </c>
      <c r="AW70">
        <v>0</v>
      </c>
      <c r="AX70">
        <v>200</v>
      </c>
      <c r="AY70">
        <v>5000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5400</v>
      </c>
      <c r="BI70">
        <v>100</v>
      </c>
      <c r="BJ70">
        <v>5400</v>
      </c>
      <c r="DP70"/>
    </row>
    <row r="71" spans="1:120" hidden="1" x14ac:dyDescent="0.3">
      <c r="A71" t="s">
        <v>286</v>
      </c>
      <c r="B71" t="s">
        <v>662</v>
      </c>
      <c r="C71" t="s">
        <v>733</v>
      </c>
      <c r="D71" t="s">
        <v>118</v>
      </c>
      <c r="E71" t="s">
        <v>102</v>
      </c>
      <c r="F71" t="s">
        <v>103</v>
      </c>
      <c r="G71" t="s">
        <v>113</v>
      </c>
      <c r="H71" t="s">
        <v>20</v>
      </c>
      <c r="I71" t="s">
        <v>20</v>
      </c>
      <c r="J71" t="s">
        <v>105</v>
      </c>
      <c r="K71" t="s">
        <v>426</v>
      </c>
      <c r="L71" t="s">
        <v>527</v>
      </c>
      <c r="M71" t="s">
        <v>122</v>
      </c>
      <c r="N71">
        <v>2029</v>
      </c>
      <c r="O71" t="s">
        <v>155</v>
      </c>
      <c r="P71" s="1">
        <v>45827</v>
      </c>
      <c r="Q71" s="1">
        <v>46249</v>
      </c>
      <c r="R71" s="1" t="e">
        <f xml:space="preserve"> IF(#REF! = "", "X",IF(#REF! &lt;= DATE(#REF!- 3, 12, 15),"5.Respect OPC",IF(#REF! &lt;= DATE(#REF!-2, 4, 1),"3.À risque","1.Très à risque")))</f>
        <v>#REF!</v>
      </c>
      <c r="S71" s="1" t="e">
        <f xml:space="preserve"> IF(#REF! = "", "X",IF(#REF! &lt;= DATE(#REF!- 2, 12, 15),"5.Respect OPC",IF(#REF! &lt;= DATE(#REF!-1, 4, 1),"3.À risque","1.Très à risque")))</f>
        <v>#REF!</v>
      </c>
      <c r="T71" s="1" t="e">
        <f xml:space="preserve"> IF(#REF! = "", "X",IF(#REF! &lt;= DATE(#REF!- 1, 12, 15),"5.Respect OPC",IF(#REF! &lt;= DATE(#REF!, 4, 1),"3.À risque","1.Très à risque")))</f>
        <v>#REF!</v>
      </c>
      <c r="U71" s="1" t="e">
        <f xml:space="preserve"> (YEAR(#REF!) - YEAR(#REF!)) * 12 + MONTH(#REF!) - MONTH(#REF!)</f>
        <v>#REF!</v>
      </c>
      <c r="V71" s="1" t="e">
        <f xml:space="preserve"> (YEAR(#REF!) - YEAR(#REF!)) * 12 + MONTH(#REF!) - MONTH(#REF!)</f>
        <v>#REF!</v>
      </c>
      <c r="W71" s="1" t="e">
        <f>#REF!+#REF!</f>
        <v>#REF!</v>
      </c>
      <c r="X71" s="1">
        <v>46675</v>
      </c>
      <c r="Y71" s="1">
        <v>47041</v>
      </c>
      <c r="Z71">
        <v>5</v>
      </c>
      <c r="AA71">
        <v>1</v>
      </c>
      <c r="AB71">
        <v>5</v>
      </c>
      <c r="AC71" s="2" t="e">
        <f>_xlfn.XLOOKUP(#REF!,Portefeuille_MNT_PPS_Access27[Numéro projet],Portefeuille_MNT_PPS_Access27[Critère Etat Infrastructure])</f>
        <v>#REF!</v>
      </c>
      <c r="AD71" s="12" t="e">
        <f>IF(#REF!=5,100, SUM(IF(#REF!="",#REF!*$AE$8/5,#REF!*$AE$8/5),#REF!* $AE$10/5,#REF!* $AE$9/5,#REF!* $AE$7/5)*100)</f>
        <v>#REF!</v>
      </c>
      <c r="AE71" s="221"/>
      <c r="AF71" t="s">
        <v>156</v>
      </c>
      <c r="AG71">
        <v>4</v>
      </c>
      <c r="AH71">
        <v>0</v>
      </c>
      <c r="AI71">
        <v>0</v>
      </c>
      <c r="AJ71">
        <v>0</v>
      </c>
      <c r="AK71">
        <v>0</v>
      </c>
      <c r="AL71">
        <v>100</v>
      </c>
      <c r="AM71">
        <v>0</v>
      </c>
      <c r="AN71">
        <v>150</v>
      </c>
      <c r="AO71">
        <v>0</v>
      </c>
      <c r="AP71">
        <v>500</v>
      </c>
      <c r="AQ71">
        <v>7000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7750</v>
      </c>
      <c r="BI71">
        <v>7750</v>
      </c>
      <c r="BJ71">
        <v>7750</v>
      </c>
      <c r="DP71"/>
    </row>
    <row r="72" spans="1:120" hidden="1" x14ac:dyDescent="0.3">
      <c r="A72" t="s">
        <v>286</v>
      </c>
      <c r="B72" t="s">
        <v>664</v>
      </c>
      <c r="C72" t="s">
        <v>349</v>
      </c>
      <c r="D72" t="s">
        <v>101</v>
      </c>
      <c r="E72" t="s">
        <v>102</v>
      </c>
      <c r="F72" t="s">
        <v>200</v>
      </c>
      <c r="G72" t="s">
        <v>113</v>
      </c>
      <c r="H72" t="s">
        <v>20</v>
      </c>
      <c r="I72" t="s">
        <v>20</v>
      </c>
      <c r="J72" t="s">
        <v>131</v>
      </c>
      <c r="K72" t="s">
        <v>436</v>
      </c>
      <c r="L72" t="s">
        <v>437</v>
      </c>
      <c r="M72" t="s">
        <v>139</v>
      </c>
      <c r="N72">
        <v>2029</v>
      </c>
      <c r="O72" t="s">
        <v>291</v>
      </c>
      <c r="P72" s="1"/>
      <c r="Q72" s="1"/>
      <c r="R72" s="1" t="e">
        <f xml:space="preserve"> IF(#REF! = "", "X",IF(#REF! &lt;= DATE(#REF!- 3, 12, 15),"5.Respect OPC",IF(#REF! &lt;= DATE(#REF!-2, 4, 1),"3.À risque","1.Très à risque")))</f>
        <v>#REF!</v>
      </c>
      <c r="S72" s="1" t="e">
        <f xml:space="preserve"> IF(#REF! = "", "X",IF(#REF! &lt;= DATE(#REF!- 2, 12, 15),"5.Respect OPC",IF(#REF! &lt;= DATE(#REF!-1, 4, 1),"3.À risque","1.Très à risque")))</f>
        <v>#REF!</v>
      </c>
      <c r="T72" s="1" t="e">
        <f xml:space="preserve"> IF(#REF! = "", "X",IF(#REF! &lt;= DATE(#REF!- 1, 12, 15),"5.Respect OPC",IF(#REF! &lt;= DATE(#REF!, 4, 1),"3.À risque","1.Très à risque")))</f>
        <v>#REF!</v>
      </c>
      <c r="U72" s="1" t="e">
        <f xml:space="preserve"> (YEAR(#REF!) - YEAR(#REF!)) * 12 + MONTH(#REF!) - MONTH(#REF!)</f>
        <v>#REF!</v>
      </c>
      <c r="V72" s="1" t="e">
        <f xml:space="preserve"> (YEAR(#REF!) - YEAR(#REF!)) * 12 + MONTH(#REF!) - MONTH(#REF!)</f>
        <v>#REF!</v>
      </c>
      <c r="W72" s="1" t="e">
        <f>#REF!+#REF!</f>
        <v>#REF!</v>
      </c>
      <c r="X72" s="1"/>
      <c r="Y72" s="1"/>
      <c r="Z72">
        <v>5</v>
      </c>
      <c r="AA72">
        <v>1</v>
      </c>
      <c r="AB72">
        <v>3</v>
      </c>
      <c r="AC72" s="2" t="e">
        <f>_xlfn.XLOOKUP(#REF!,Portefeuille_MNT_PPS_Access27[Numéro projet],Portefeuille_MNT_PPS_Access27[Critère Etat Infrastructure])</f>
        <v>#REF!</v>
      </c>
      <c r="AD72" s="12" t="e">
        <f>IF(#REF!=5,100, SUM(IF(#REF!="",#REF!*$AE$8/5,#REF!*$AE$8/5),#REF!* $AE$10/5,#REF!* $AE$9/5,#REF!* $AE$7/5)*100)</f>
        <v>#REF!</v>
      </c>
      <c r="AE72" s="221"/>
      <c r="AF72" t="s">
        <v>311</v>
      </c>
      <c r="AG72">
        <v>2</v>
      </c>
      <c r="AH72">
        <v>0</v>
      </c>
      <c r="AI72">
        <v>0</v>
      </c>
      <c r="AJ72">
        <v>50</v>
      </c>
      <c r="AK72">
        <v>0</v>
      </c>
      <c r="AL72">
        <v>50</v>
      </c>
      <c r="AM72">
        <v>0</v>
      </c>
      <c r="AN72">
        <v>150</v>
      </c>
      <c r="AO72">
        <v>0</v>
      </c>
      <c r="AP72">
        <v>300</v>
      </c>
      <c r="AQ72">
        <v>3000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3550</v>
      </c>
      <c r="BI72">
        <v>3500</v>
      </c>
      <c r="BJ72">
        <v>3500</v>
      </c>
      <c r="DP72"/>
    </row>
    <row r="73" spans="1:120" hidden="1" x14ac:dyDescent="0.3">
      <c r="A73" t="s">
        <v>286</v>
      </c>
      <c r="B73" t="s">
        <v>662</v>
      </c>
      <c r="C73" t="s">
        <v>733</v>
      </c>
      <c r="D73" t="s">
        <v>101</v>
      </c>
      <c r="E73" t="s">
        <v>102</v>
      </c>
      <c r="F73" t="s">
        <v>200</v>
      </c>
      <c r="G73" t="s">
        <v>129</v>
      </c>
      <c r="H73" t="s">
        <v>20</v>
      </c>
      <c r="I73" t="s">
        <v>20</v>
      </c>
      <c r="J73" t="s">
        <v>131</v>
      </c>
      <c r="K73" t="s">
        <v>412</v>
      </c>
      <c r="L73" t="s">
        <v>644</v>
      </c>
      <c r="M73" t="s">
        <v>414</v>
      </c>
      <c r="N73">
        <v>2030</v>
      </c>
      <c r="O73" t="s">
        <v>291</v>
      </c>
      <c r="P73" s="1"/>
      <c r="Q73" s="1"/>
      <c r="R73" s="1" t="e">
        <f xml:space="preserve"> IF(#REF! = "", "X",IF(#REF! &lt;= DATE(#REF!- 3, 12, 15),"5.Respect OPC",IF(#REF! &lt;= DATE(#REF!-2, 4, 1),"3.À risque","1.Très à risque")))</f>
        <v>#REF!</v>
      </c>
      <c r="S73" s="1" t="e">
        <f xml:space="preserve"> IF(#REF! = "", "X",IF(#REF! &lt;= DATE(#REF!- 2, 12, 15),"5.Respect OPC",IF(#REF! &lt;= DATE(#REF!-1, 4, 1),"3.À risque","1.Très à risque")))</f>
        <v>#REF!</v>
      </c>
      <c r="T73" s="1" t="e">
        <f xml:space="preserve"> IF(#REF! = "", "X",IF(#REF! &lt;= DATE(#REF!- 1, 12, 15),"5.Respect OPC",IF(#REF! &lt;= DATE(#REF!, 4, 1),"3.À risque","1.Très à risque")))</f>
        <v>#REF!</v>
      </c>
      <c r="U73" s="1" t="e">
        <f xml:space="preserve"> (YEAR(#REF!) - YEAR(#REF!)) * 12 + MONTH(#REF!) - MONTH(#REF!)</f>
        <v>#REF!</v>
      </c>
      <c r="V73" s="1" t="e">
        <f xml:space="preserve"> (YEAR(#REF!) - YEAR(#REF!)) * 12 + MONTH(#REF!) - MONTH(#REF!)</f>
        <v>#REF!</v>
      </c>
      <c r="W73" s="1" t="e">
        <f>#REF!+#REF!</f>
        <v>#REF!</v>
      </c>
      <c r="X73" s="1"/>
      <c r="Y73" s="1"/>
      <c r="Z73">
        <v>5</v>
      </c>
      <c r="AA73">
        <v>1</v>
      </c>
      <c r="AC73" s="2" t="e">
        <f>_xlfn.XLOOKUP(#REF!,Portefeuille_MNT_PPS_Access27[Numéro projet],Portefeuille_MNT_PPS_Access27[Critère Etat Infrastructure])</f>
        <v>#REF!</v>
      </c>
      <c r="AD73" s="12" t="e">
        <f>IF(#REF!=5,100, SUM(IF(#REF!="",#REF!*$AE$8/5,#REF!*$AE$8/5),#REF!* $AE$10/5,#REF!* $AE$9/5,#REF!* $AE$7/5)*100)</f>
        <v>#REF!</v>
      </c>
      <c r="AE73" s="221"/>
      <c r="AF73" t="s">
        <v>311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40</v>
      </c>
      <c r="AO73">
        <v>0</v>
      </c>
      <c r="AP73">
        <v>40</v>
      </c>
      <c r="AQ73">
        <v>0</v>
      </c>
      <c r="AR73">
        <v>120</v>
      </c>
      <c r="AS73">
        <v>1300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1500</v>
      </c>
      <c r="BI73">
        <v>1500</v>
      </c>
      <c r="BJ73">
        <v>1500</v>
      </c>
      <c r="DP73"/>
    </row>
    <row r="74" spans="1:120" hidden="1" x14ac:dyDescent="0.3">
      <c r="A74" t="s">
        <v>286</v>
      </c>
      <c r="B74" t="s">
        <v>662</v>
      </c>
      <c r="C74" t="s">
        <v>733</v>
      </c>
      <c r="D74" t="s">
        <v>101</v>
      </c>
      <c r="E74" t="s">
        <v>102</v>
      </c>
      <c r="F74" t="s">
        <v>200</v>
      </c>
      <c r="G74" t="s">
        <v>113</v>
      </c>
      <c r="H74" t="s">
        <v>16</v>
      </c>
      <c r="I74" t="s">
        <v>20</v>
      </c>
      <c r="J74" t="s">
        <v>131</v>
      </c>
      <c r="K74" t="s">
        <v>243</v>
      </c>
      <c r="L74" t="s">
        <v>739</v>
      </c>
      <c r="M74" t="s">
        <v>245</v>
      </c>
      <c r="N74">
        <v>2028</v>
      </c>
      <c r="O74" t="s">
        <v>155</v>
      </c>
      <c r="P74" s="1">
        <v>45588</v>
      </c>
      <c r="Q74" s="1">
        <v>45976</v>
      </c>
      <c r="R74" s="1" t="e">
        <f xml:space="preserve"> IF(#REF! = "", "X",IF(#REF! &lt;= DATE(#REF!- 3, 12, 15),"5.Respect OPC",IF(#REF! &lt;= DATE(#REF!-2, 4, 1),"3.À risque","1.Très à risque")))</f>
        <v>#REF!</v>
      </c>
      <c r="S74" s="1" t="e">
        <f xml:space="preserve"> IF(#REF! = "", "X",IF(#REF! &lt;= DATE(#REF!- 2, 12, 15),"5.Respect OPC",IF(#REF! &lt;= DATE(#REF!-1, 4, 1),"3.À risque","1.Très à risque")))</f>
        <v>#REF!</v>
      </c>
      <c r="T74" s="1" t="e">
        <f xml:space="preserve"> IF(#REF! = "", "X",IF(#REF! &lt;= DATE(#REF!- 1, 12, 15),"5.Respect OPC",IF(#REF! &lt;= DATE(#REF!, 4, 1),"3.À risque","1.Très à risque")))</f>
        <v>#REF!</v>
      </c>
      <c r="U74" s="1" t="e">
        <f xml:space="preserve"> (YEAR(#REF!) - YEAR(#REF!)) * 12 + MONTH(#REF!) - MONTH(#REF!)</f>
        <v>#REF!</v>
      </c>
      <c r="V74" s="1" t="e">
        <f xml:space="preserve"> (YEAR(#REF!) - YEAR(#REF!)) * 12 + MONTH(#REF!) - MONTH(#REF!)</f>
        <v>#REF!</v>
      </c>
      <c r="W74" s="1" t="e">
        <f>#REF!+#REF!</f>
        <v>#REF!</v>
      </c>
      <c r="X74" s="1">
        <v>46280</v>
      </c>
      <c r="Y74" s="1">
        <v>46433</v>
      </c>
      <c r="Z74">
        <v>5</v>
      </c>
      <c r="AA74">
        <v>1</v>
      </c>
      <c r="AB74">
        <v>5</v>
      </c>
      <c r="AC74" s="2" t="e">
        <f>_xlfn.XLOOKUP(#REF!,Portefeuille_MNT_PPS_Access27[Numéro projet],Portefeuille_MNT_PPS_Access27[Critère Etat Infrastructure])</f>
        <v>#REF!</v>
      </c>
      <c r="AD74" s="12" t="e">
        <f>IF(#REF!=5,100, SUM(IF(#REF!="",#REF!*$AE$8/5,#REF!*$AE$8/5),#REF!* $AE$10/5,#REF!* $AE$9/5,#REF!* $AE$7/5)*100)</f>
        <v>#REF!</v>
      </c>
      <c r="AE74" s="221"/>
      <c r="AF74" t="s">
        <v>156</v>
      </c>
      <c r="AG74">
        <v>1.6666666666666667</v>
      </c>
      <c r="AH74">
        <v>3</v>
      </c>
      <c r="AI74">
        <v>0</v>
      </c>
      <c r="AJ74">
        <v>33</v>
      </c>
      <c r="AK74">
        <v>0</v>
      </c>
      <c r="AL74">
        <v>32</v>
      </c>
      <c r="AM74">
        <v>0</v>
      </c>
      <c r="AN74">
        <v>86</v>
      </c>
      <c r="AO74">
        <v>1260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1414</v>
      </c>
      <c r="BI74">
        <v>1378</v>
      </c>
      <c r="BJ74">
        <v>1378</v>
      </c>
      <c r="DP74"/>
    </row>
    <row r="75" spans="1:120" hidden="1" x14ac:dyDescent="0.3">
      <c r="A75" t="s">
        <v>286</v>
      </c>
      <c r="B75" t="s">
        <v>662</v>
      </c>
      <c r="C75" t="s">
        <v>733</v>
      </c>
      <c r="D75" t="s">
        <v>118</v>
      </c>
      <c r="E75" t="s">
        <v>102</v>
      </c>
      <c r="F75" t="s">
        <v>136</v>
      </c>
      <c r="G75" t="s">
        <v>104</v>
      </c>
      <c r="H75" t="s">
        <v>130</v>
      </c>
      <c r="I75" t="s">
        <v>20</v>
      </c>
      <c r="J75" t="s">
        <v>105</v>
      </c>
      <c r="K75" t="s">
        <v>364</v>
      </c>
      <c r="L75" t="s">
        <v>365</v>
      </c>
      <c r="M75" t="s">
        <v>205</v>
      </c>
      <c r="N75">
        <v>2031</v>
      </c>
      <c r="O75" t="s">
        <v>291</v>
      </c>
      <c r="P75" s="1"/>
      <c r="Q75" s="1"/>
      <c r="R75" s="1" t="e">
        <f xml:space="preserve"> IF(#REF! = "", "X",IF(#REF! &lt;= DATE(#REF!- 3, 12, 15),"5.Respect OPC",IF(#REF! &lt;= DATE(#REF!-2, 4, 1),"3.À risque","1.Très à risque")))</f>
        <v>#REF!</v>
      </c>
      <c r="S75" s="1" t="e">
        <f xml:space="preserve"> IF(#REF! = "", "X",IF(#REF! &lt;= DATE(#REF!- 2, 12, 15),"5.Respect OPC",IF(#REF! &lt;= DATE(#REF!-1, 4, 1),"3.À risque","1.Très à risque")))</f>
        <v>#REF!</v>
      </c>
      <c r="T75" s="1" t="e">
        <f xml:space="preserve"> IF(#REF! = "", "X",IF(#REF! &lt;= DATE(#REF!- 1, 12, 15),"5.Respect OPC",IF(#REF! &lt;= DATE(#REF!, 4, 1),"3.À risque","1.Très à risque")))</f>
        <v>#REF!</v>
      </c>
      <c r="U75" s="1" t="e">
        <f xml:space="preserve"> (YEAR(#REF!) - YEAR(#REF!)) * 12 + MONTH(#REF!) - MONTH(#REF!)</f>
        <v>#REF!</v>
      </c>
      <c r="V75" s="1" t="e">
        <f xml:space="preserve"> (YEAR(#REF!) - YEAR(#REF!)) * 12 + MONTH(#REF!) - MONTH(#REF!)</f>
        <v>#REF!</v>
      </c>
      <c r="W75" s="1" t="e">
        <f>#REF!+#REF!</f>
        <v>#REF!</v>
      </c>
      <c r="X75" s="1"/>
      <c r="Y75" s="1"/>
      <c r="Z75">
        <v>5</v>
      </c>
      <c r="AA75">
        <v>1</v>
      </c>
      <c r="AC75" s="2" t="e">
        <f>_xlfn.XLOOKUP(#REF!,Portefeuille_MNT_PPS_Access27[Numéro projet],Portefeuille_MNT_PPS_Access27[Critère Etat Infrastructure])</f>
        <v>#REF!</v>
      </c>
      <c r="AD75" s="12" t="e">
        <f>IF(#REF!=5,100, SUM(IF(#REF!="",#REF!*$AE$8/5,#REF!*$AE$8/5),#REF!* $AE$10/5,#REF!* $AE$9/5,#REF!* $AE$7/5)*100)</f>
        <v>#REF!</v>
      </c>
      <c r="AE75" s="221"/>
      <c r="AF75" t="s">
        <v>311</v>
      </c>
      <c r="AG75">
        <v>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200</v>
      </c>
      <c r="AO75">
        <v>0</v>
      </c>
      <c r="AP75">
        <v>200</v>
      </c>
      <c r="AQ75">
        <v>0</v>
      </c>
      <c r="AR75">
        <v>400</v>
      </c>
      <c r="AS75">
        <v>0</v>
      </c>
      <c r="AT75">
        <v>400</v>
      </c>
      <c r="AU75">
        <v>4500</v>
      </c>
      <c r="AV75">
        <v>400</v>
      </c>
      <c r="AW75">
        <v>7000</v>
      </c>
      <c r="AX75">
        <v>400</v>
      </c>
      <c r="AY75">
        <v>7000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20500</v>
      </c>
      <c r="BI75">
        <v>5700</v>
      </c>
      <c r="BJ75">
        <v>20500</v>
      </c>
      <c r="DP75"/>
    </row>
    <row r="76" spans="1:120" hidden="1" x14ac:dyDescent="0.3">
      <c r="A76" t="s">
        <v>286</v>
      </c>
      <c r="B76" t="s">
        <v>663</v>
      </c>
      <c r="C76" t="s">
        <v>733</v>
      </c>
      <c r="D76" t="s">
        <v>101</v>
      </c>
      <c r="E76" t="s">
        <v>102</v>
      </c>
      <c r="F76" t="s">
        <v>136</v>
      </c>
      <c r="G76" t="s">
        <v>149</v>
      </c>
      <c r="H76" t="s">
        <v>130</v>
      </c>
      <c r="I76" t="s">
        <v>20</v>
      </c>
      <c r="J76" t="s">
        <v>105</v>
      </c>
      <c r="K76" t="s">
        <v>366</v>
      </c>
      <c r="L76" t="s">
        <v>367</v>
      </c>
      <c r="M76" t="s">
        <v>316</v>
      </c>
      <c r="N76">
        <v>2030</v>
      </c>
      <c r="O76" t="s">
        <v>155</v>
      </c>
      <c r="P76" s="1">
        <v>46006</v>
      </c>
      <c r="Q76" s="1">
        <v>46157</v>
      </c>
      <c r="R76" s="1" t="e">
        <f xml:space="preserve"> IF(#REF! = "", "X",IF(#REF! &lt;= DATE(#REF!- 3, 12, 15),"5.Respect OPC",IF(#REF! &lt;= DATE(#REF!-2, 4, 1),"3.À risque","1.Très à risque")))</f>
        <v>#REF!</v>
      </c>
      <c r="S76" s="1" t="e">
        <f xml:space="preserve"> IF(#REF! = "", "X",IF(#REF! &lt;= DATE(#REF!- 2, 12, 15),"5.Respect OPC",IF(#REF! &lt;= DATE(#REF!-1, 4, 1),"3.À risque","1.Très à risque")))</f>
        <v>#REF!</v>
      </c>
      <c r="T76" s="1" t="e">
        <f xml:space="preserve"> IF(#REF! = "", "X",IF(#REF! &lt;= DATE(#REF!- 1, 12, 15),"5.Respect OPC",IF(#REF! &lt;= DATE(#REF!, 4, 1),"3.À risque","1.Très à risque")))</f>
        <v>#REF!</v>
      </c>
      <c r="U76" s="1" t="e">
        <f xml:space="preserve"> (YEAR(#REF!) - YEAR(#REF!)) * 12 + MONTH(#REF!) - MONTH(#REF!)</f>
        <v>#REF!</v>
      </c>
      <c r="V76" s="1" t="e">
        <f xml:space="preserve"> (YEAR(#REF!) - YEAR(#REF!)) * 12 + MONTH(#REF!) - MONTH(#REF!)</f>
        <v>#REF!</v>
      </c>
      <c r="W76" s="1" t="e">
        <f>#REF!+#REF!</f>
        <v>#REF!</v>
      </c>
      <c r="X76" s="1">
        <v>46645</v>
      </c>
      <c r="Y76" s="1">
        <v>47011</v>
      </c>
      <c r="Z76">
        <v>5</v>
      </c>
      <c r="AA76">
        <v>1</v>
      </c>
      <c r="AC76" s="2" t="e">
        <f>_xlfn.XLOOKUP(#REF!,Portefeuille_MNT_PPS_Access27[Numéro projet],Portefeuille_MNT_PPS_Access27[Critère Etat Infrastructure])</f>
        <v>#REF!</v>
      </c>
      <c r="AD76" s="12" t="e">
        <f>IF(#REF!=5,100, SUM(IF(#REF!="",#REF!*$AE$8/5,#REF!*$AE$8/5),#REF!* $AE$10/5,#REF!* $AE$9/5,#REF!* $AE$7/5)*100)</f>
        <v>#REF!</v>
      </c>
      <c r="AE76" s="221"/>
      <c r="AF76" t="s">
        <v>156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430</v>
      </c>
      <c r="AM76">
        <v>0</v>
      </c>
      <c r="AN76">
        <v>600</v>
      </c>
      <c r="AO76">
        <v>0</v>
      </c>
      <c r="AP76">
        <v>670</v>
      </c>
      <c r="AQ76">
        <v>0</v>
      </c>
      <c r="AR76">
        <v>600</v>
      </c>
      <c r="AS76">
        <v>5000</v>
      </c>
      <c r="AT76">
        <v>0</v>
      </c>
      <c r="AU76">
        <v>0</v>
      </c>
      <c r="AV76">
        <v>500</v>
      </c>
      <c r="AW76">
        <v>4700</v>
      </c>
      <c r="AX76">
        <v>600</v>
      </c>
      <c r="AY76">
        <v>5000</v>
      </c>
      <c r="AZ76">
        <v>600</v>
      </c>
      <c r="BA76">
        <v>5000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23700</v>
      </c>
      <c r="BI76">
        <v>7300</v>
      </c>
      <c r="BJ76">
        <v>23700</v>
      </c>
      <c r="DP76"/>
    </row>
    <row r="77" spans="1:120" hidden="1" x14ac:dyDescent="0.3">
      <c r="A77" t="s">
        <v>286</v>
      </c>
      <c r="B77" t="s">
        <v>295</v>
      </c>
      <c r="C77" t="s">
        <v>733</v>
      </c>
      <c r="D77" t="s">
        <v>126</v>
      </c>
      <c r="E77" t="s">
        <v>127</v>
      </c>
      <c r="F77" t="s">
        <v>136</v>
      </c>
      <c r="G77" t="s">
        <v>104</v>
      </c>
      <c r="H77" t="s">
        <v>16</v>
      </c>
      <c r="I77" t="s">
        <v>16</v>
      </c>
      <c r="J77" t="s">
        <v>105</v>
      </c>
      <c r="K77" t="s">
        <v>162</v>
      </c>
      <c r="L77" t="s">
        <v>163</v>
      </c>
      <c r="M77" t="s">
        <v>122</v>
      </c>
      <c r="N77">
        <v>2025</v>
      </c>
      <c r="O77" t="s">
        <v>164</v>
      </c>
      <c r="P77" s="1"/>
      <c r="Q77" s="1"/>
      <c r="R77" s="1" t="e">
        <f xml:space="preserve"> IF(#REF! = "", "X",IF(#REF! &lt;= DATE(#REF!- 3, 12, 15),"5.Respect OPC",IF(#REF! &lt;= DATE(#REF!-2, 4, 1),"3.À risque","1.Très à risque")))</f>
        <v>#REF!</v>
      </c>
      <c r="S77" s="1" t="e">
        <f xml:space="preserve"> IF(#REF! = "", "X",IF(#REF! &lt;= DATE(#REF!- 2, 12, 15),"5.Respect OPC",IF(#REF! &lt;= DATE(#REF!-1, 4, 1),"3.À risque","1.Très à risque")))</f>
        <v>#REF!</v>
      </c>
      <c r="T77" s="1" t="e">
        <f xml:space="preserve"> IF(#REF! = "", "X",IF(#REF! &lt;= DATE(#REF!- 1, 12, 15),"5.Respect OPC",IF(#REF! &lt;= DATE(#REF!, 4, 1),"3.À risque","1.Très à risque")))</f>
        <v>#REF!</v>
      </c>
      <c r="U77" s="1" t="e">
        <f xml:space="preserve"> (YEAR(#REF!) - YEAR(#REF!)) * 12 + MONTH(#REF!) - MONTH(#REF!)</f>
        <v>#REF!</v>
      </c>
      <c r="V77" s="1" t="e">
        <f xml:space="preserve"> (YEAR(#REF!) - YEAR(#REF!)) * 12 + MONTH(#REF!) - MONTH(#REF!)</f>
        <v>#REF!</v>
      </c>
      <c r="W77" s="1" t="e">
        <f>#REF!+#REF!</f>
        <v>#REF!</v>
      </c>
      <c r="X77" s="1"/>
      <c r="Y77" s="1"/>
      <c r="Z77">
        <v>5</v>
      </c>
      <c r="AA77">
        <v>1</v>
      </c>
      <c r="AC77" s="2" t="e">
        <f>_xlfn.XLOOKUP(#REF!,Portefeuille_MNT_PPS_Access27[Numéro projet],Portefeuille_MNT_PPS_Access27[Critère Etat Infrastructure])</f>
        <v>#REF!</v>
      </c>
      <c r="AD77" s="12" t="e">
        <f>IF(#REF!=5,100, SUM(IF(#REF!="",#REF!*$AE$8/5,#REF!*$AE$8/5),#REF!* $AE$10/5,#REF!* $AE$9/5,#REF!* $AE$7/5)*100)</f>
        <v>#REF!</v>
      </c>
      <c r="AE77" s="221"/>
      <c r="AF77" t="s">
        <v>165</v>
      </c>
      <c r="AG77">
        <v>4</v>
      </c>
      <c r="AH77">
        <v>5553</v>
      </c>
      <c r="AI77">
        <v>29198</v>
      </c>
      <c r="AJ77">
        <v>45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34796</v>
      </c>
      <c r="DP77"/>
    </row>
    <row r="78" spans="1:120" hidden="1" x14ac:dyDescent="0.3">
      <c r="A78" t="s">
        <v>286</v>
      </c>
      <c r="B78" t="s">
        <v>663</v>
      </c>
      <c r="C78" t="s">
        <v>733</v>
      </c>
      <c r="D78" t="s">
        <v>101</v>
      </c>
      <c r="E78" t="s">
        <v>102</v>
      </c>
      <c r="F78" t="s">
        <v>136</v>
      </c>
      <c r="G78" t="s">
        <v>113</v>
      </c>
      <c r="H78" t="s">
        <v>16</v>
      </c>
      <c r="I78" t="s">
        <v>20</v>
      </c>
      <c r="J78" t="s">
        <v>105</v>
      </c>
      <c r="K78" t="s">
        <v>166</v>
      </c>
      <c r="L78" t="s">
        <v>167</v>
      </c>
      <c r="M78" t="s">
        <v>168</v>
      </c>
      <c r="N78">
        <v>2029</v>
      </c>
      <c r="O78" t="s">
        <v>155</v>
      </c>
      <c r="P78" s="1">
        <v>42499</v>
      </c>
      <c r="Q78" s="1">
        <v>45976</v>
      </c>
      <c r="R78" s="1" t="e">
        <f xml:space="preserve"> IF(#REF! = "", "X",IF(#REF! &lt;= DATE(#REF!- 3, 12, 15),"5.Respect OPC",IF(#REF! &lt;= DATE(#REF!-2, 4, 1),"3.À risque","1.Très à risque")))</f>
        <v>#REF!</v>
      </c>
      <c r="S78" s="1" t="e">
        <f xml:space="preserve"> IF(#REF! = "", "X",IF(#REF! &lt;= DATE(#REF!- 2, 12, 15),"5.Respect OPC",IF(#REF! &lt;= DATE(#REF!-1, 4, 1),"3.À risque","1.Très à risque")))</f>
        <v>#REF!</v>
      </c>
      <c r="T78" s="1" t="e">
        <f xml:space="preserve"> IF(#REF! = "", "X",IF(#REF! &lt;= DATE(#REF!- 1, 12, 15),"5.Respect OPC",IF(#REF! &lt;= DATE(#REF!, 4, 1),"3.À risque","1.Très à risque")))</f>
        <v>#REF!</v>
      </c>
      <c r="U78" s="1" t="e">
        <f xml:space="preserve"> (YEAR(#REF!) - YEAR(#REF!)) * 12 + MONTH(#REF!) - MONTH(#REF!)</f>
        <v>#REF!</v>
      </c>
      <c r="V78" s="1" t="e">
        <f xml:space="preserve"> (YEAR(#REF!) - YEAR(#REF!)) * 12 + MONTH(#REF!) - MONTH(#REF!)</f>
        <v>#REF!</v>
      </c>
      <c r="W78" s="1" t="e">
        <f>#REF!+#REF!</f>
        <v>#REF!</v>
      </c>
      <c r="X78" s="1">
        <v>46402</v>
      </c>
      <c r="Y78" s="1">
        <v>46980</v>
      </c>
      <c r="Z78">
        <v>5</v>
      </c>
      <c r="AA78">
        <v>1</v>
      </c>
      <c r="AB78">
        <v>5</v>
      </c>
      <c r="AC78" s="2" t="e">
        <f>_xlfn.XLOOKUP(#REF!,Portefeuille_MNT_PPS_Access27[Numéro projet],Portefeuille_MNT_PPS_Access27[Critère Etat Infrastructure])</f>
        <v>#REF!</v>
      </c>
      <c r="AD78" s="12" t="e">
        <f>IF(#REF!=5,100, SUM(IF(#REF!="",#REF!*$AE$8/5,#REF!*$AE$8/5),#REF!* $AE$10/5,#REF!* $AE$9/5,#REF!* $AE$7/5)*100)</f>
        <v>#REF!</v>
      </c>
      <c r="AE78" s="221"/>
      <c r="AF78" t="s">
        <v>156</v>
      </c>
      <c r="AG78">
        <v>3.3333333333333335</v>
      </c>
      <c r="AH78">
        <v>82</v>
      </c>
      <c r="AI78">
        <v>0</v>
      </c>
      <c r="AJ78">
        <v>210</v>
      </c>
      <c r="AK78">
        <v>0</v>
      </c>
      <c r="AL78">
        <v>310</v>
      </c>
      <c r="AM78">
        <v>0</v>
      </c>
      <c r="AN78">
        <v>310</v>
      </c>
      <c r="AO78">
        <v>0</v>
      </c>
      <c r="AP78">
        <v>395</v>
      </c>
      <c r="AQ78">
        <v>2000</v>
      </c>
      <c r="AR78">
        <v>395</v>
      </c>
      <c r="AS78">
        <v>3275</v>
      </c>
      <c r="AT78">
        <v>509</v>
      </c>
      <c r="AU78">
        <v>16319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23805</v>
      </c>
      <c r="BI78">
        <v>23513</v>
      </c>
      <c r="BJ78">
        <v>23513</v>
      </c>
      <c r="DP78"/>
    </row>
    <row r="79" spans="1:120" hidden="1" x14ac:dyDescent="0.3">
      <c r="A79" t="s">
        <v>286</v>
      </c>
      <c r="B79" t="s">
        <v>663</v>
      </c>
      <c r="C79" t="s">
        <v>156</v>
      </c>
      <c r="D79" t="s">
        <v>101</v>
      </c>
      <c r="E79" t="s">
        <v>102</v>
      </c>
      <c r="F79" t="s">
        <v>136</v>
      </c>
      <c r="G79" t="s">
        <v>104</v>
      </c>
      <c r="H79" t="s">
        <v>16</v>
      </c>
      <c r="I79" t="s">
        <v>130</v>
      </c>
      <c r="J79" t="s">
        <v>105</v>
      </c>
      <c r="K79" t="s">
        <v>170</v>
      </c>
      <c r="L79" t="s">
        <v>171</v>
      </c>
      <c r="M79" t="s">
        <v>172</v>
      </c>
      <c r="N79">
        <v>2027</v>
      </c>
      <c r="O79" t="s">
        <v>110</v>
      </c>
      <c r="P79" s="1"/>
      <c r="Q79" s="1">
        <v>44833</v>
      </c>
      <c r="R79" s="1" t="e">
        <f xml:space="preserve"> IF(#REF! = "", "X",IF(#REF! &lt;= DATE(#REF!- 3, 12, 15),"5.Respect OPC",IF(#REF! &lt;= DATE(#REF!-2, 4, 1),"3.À risque","1.Très à risque")))</f>
        <v>#REF!</v>
      </c>
      <c r="S79" s="1" t="e">
        <f xml:space="preserve"> IF(#REF! = "", "X",IF(#REF! &lt;= DATE(#REF!- 2, 12, 15),"5.Respect OPC",IF(#REF! &lt;= DATE(#REF!-1, 4, 1),"3.À risque","1.Très à risque")))</f>
        <v>#REF!</v>
      </c>
      <c r="T79" s="1" t="e">
        <f xml:space="preserve"> IF(#REF! = "", "X",IF(#REF! &lt;= DATE(#REF!- 1, 12, 15),"5.Respect OPC",IF(#REF! &lt;= DATE(#REF!, 4, 1),"3.À risque","1.Très à risque")))</f>
        <v>#REF!</v>
      </c>
      <c r="U79" s="1" t="e">
        <f xml:space="preserve"> (YEAR(#REF!) - YEAR(#REF!)) * 12 + MONTH(#REF!) - MONTH(#REF!)</f>
        <v>#REF!</v>
      </c>
      <c r="V79" s="1" t="e">
        <f xml:space="preserve"> (YEAR(#REF!) - YEAR(#REF!)) * 12 + MONTH(#REF!) - MONTH(#REF!)</f>
        <v>#REF!</v>
      </c>
      <c r="W79" s="1" t="e">
        <f>#REF!+#REF!</f>
        <v>#REF!</v>
      </c>
      <c r="X79" s="1">
        <v>45976</v>
      </c>
      <c r="Y79" s="1">
        <v>46310</v>
      </c>
      <c r="Z79">
        <v>5</v>
      </c>
      <c r="AA79">
        <v>1</v>
      </c>
      <c r="AB79">
        <v>5</v>
      </c>
      <c r="AC79" s="2" t="e">
        <f>_xlfn.XLOOKUP(#REF!,Portefeuille_MNT_PPS_Access27[Numéro projet],Portefeuille_MNT_PPS_Access27[Critère Etat Infrastructure])</f>
        <v>#REF!</v>
      </c>
      <c r="AD79" s="12" t="e">
        <f>IF(#REF!=5,100, SUM(IF(#REF!="",#REF!*$AE$8/5,#REF!*$AE$8/5),#REF!* $AE$10/5,#REF!* $AE$9/5,#REF!* $AE$7/5)*100)</f>
        <v>#REF!</v>
      </c>
      <c r="AE79" s="221"/>
      <c r="AF79" t="s">
        <v>112</v>
      </c>
      <c r="AG79">
        <v>3.6666666666666665</v>
      </c>
      <c r="AH79">
        <v>1909</v>
      </c>
      <c r="AI79">
        <v>8</v>
      </c>
      <c r="AJ79">
        <v>1008</v>
      </c>
      <c r="AK79">
        <v>0</v>
      </c>
      <c r="AL79">
        <v>842</v>
      </c>
      <c r="AM79">
        <v>12159</v>
      </c>
      <c r="AN79">
        <v>982</v>
      </c>
      <c r="AO79">
        <v>3252</v>
      </c>
      <c r="AP79">
        <v>635</v>
      </c>
      <c r="AQ79">
        <v>4326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25121</v>
      </c>
      <c r="BI79">
        <v>22196</v>
      </c>
      <c r="BJ79">
        <v>22196</v>
      </c>
      <c r="DP79"/>
    </row>
    <row r="80" spans="1:120" hidden="1" x14ac:dyDescent="0.3">
      <c r="A80" t="s">
        <v>286</v>
      </c>
      <c r="B80" t="s">
        <v>663</v>
      </c>
      <c r="C80" t="s">
        <v>733</v>
      </c>
      <c r="D80" t="s">
        <v>101</v>
      </c>
      <c r="E80" t="s">
        <v>102</v>
      </c>
      <c r="F80" t="s">
        <v>136</v>
      </c>
      <c r="G80" t="s">
        <v>113</v>
      </c>
      <c r="H80" t="s">
        <v>16</v>
      </c>
      <c r="I80" t="s">
        <v>16</v>
      </c>
      <c r="J80" t="s">
        <v>131</v>
      </c>
      <c r="K80" t="s">
        <v>137</v>
      </c>
      <c r="L80" t="s">
        <v>138</v>
      </c>
      <c r="M80" t="s">
        <v>139</v>
      </c>
      <c r="N80">
        <v>2026</v>
      </c>
      <c r="O80" t="s">
        <v>123</v>
      </c>
      <c r="P80" s="1"/>
      <c r="Q80" s="1">
        <v>45062</v>
      </c>
      <c r="R80" s="1" t="e">
        <f xml:space="preserve"> IF(#REF! = "", "X",IF(#REF! &lt;= DATE(#REF!- 3, 12, 15),"5.Respect OPC",IF(#REF! &lt;= DATE(#REF!-2, 4, 1),"3.À risque","1.Très à risque")))</f>
        <v>#REF!</v>
      </c>
      <c r="S80" s="1" t="e">
        <f xml:space="preserve"> IF(#REF! = "", "X",IF(#REF! &lt;= DATE(#REF!- 2, 12, 15),"5.Respect OPC",IF(#REF! &lt;= DATE(#REF!-1, 4, 1),"3.À risque","1.Très à risque")))</f>
        <v>#REF!</v>
      </c>
      <c r="T80" s="1" t="e">
        <f xml:space="preserve"> IF(#REF! = "", "X",IF(#REF! &lt;= DATE(#REF!- 1, 12, 15),"5.Respect OPC",IF(#REF! &lt;= DATE(#REF!, 4, 1),"3.À risque","1.Très à risque")))</f>
        <v>#REF!</v>
      </c>
      <c r="U80" s="1" t="e">
        <f xml:space="preserve"> (YEAR(#REF!) - YEAR(#REF!)) * 12 + MONTH(#REF!) - MONTH(#REF!)</f>
        <v>#REF!</v>
      </c>
      <c r="V80" s="1" t="e">
        <f xml:space="preserve"> (YEAR(#REF!) - YEAR(#REF!)) * 12 + MONTH(#REF!) - MONTH(#REF!)</f>
        <v>#REF!</v>
      </c>
      <c r="W80" s="1" t="e">
        <f>#REF!+#REF!</f>
        <v>#REF!</v>
      </c>
      <c r="X80" s="1">
        <v>45754</v>
      </c>
      <c r="Y80" s="1">
        <v>45945</v>
      </c>
      <c r="Z80">
        <v>5</v>
      </c>
      <c r="AA80">
        <v>1</v>
      </c>
      <c r="AC80" s="2" t="e">
        <f>_xlfn.XLOOKUP(#REF!,Portefeuille_MNT_PPS_Access27[Numéro projet],Portefeuille_MNT_PPS_Access27[Critère Etat Infrastructure])</f>
        <v>#REF!</v>
      </c>
      <c r="AD80" s="12" t="e">
        <f>IF(#REF!=5,100, SUM(IF(#REF!="",#REF!*$AE$8/5,#REF!*$AE$8/5),#REF!* $AE$10/5,#REF!* $AE$9/5,#REF!* $AE$7/5)*100)</f>
        <v>#REF!</v>
      </c>
      <c r="AE80" s="221"/>
      <c r="AF80" t="s">
        <v>125</v>
      </c>
      <c r="AG80">
        <v>2</v>
      </c>
      <c r="AH80">
        <v>1027</v>
      </c>
      <c r="AI80">
        <v>41</v>
      </c>
      <c r="AJ80">
        <v>907</v>
      </c>
      <c r="AK80">
        <v>5500</v>
      </c>
      <c r="AL80">
        <v>99</v>
      </c>
      <c r="AM80">
        <v>370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7944</v>
      </c>
      <c r="BI80">
        <v>469</v>
      </c>
      <c r="BJ80">
        <v>469</v>
      </c>
      <c r="DP80"/>
    </row>
    <row r="81" spans="1:120" hidden="1" x14ac:dyDescent="0.3">
      <c r="A81" t="s">
        <v>286</v>
      </c>
      <c r="B81" t="s">
        <v>664</v>
      </c>
      <c r="C81" t="s">
        <v>733</v>
      </c>
      <c r="D81" t="s">
        <v>101</v>
      </c>
      <c r="E81" t="s">
        <v>102</v>
      </c>
      <c r="F81" t="s">
        <v>103</v>
      </c>
      <c r="G81" t="s">
        <v>104</v>
      </c>
      <c r="H81" t="s">
        <v>16</v>
      </c>
      <c r="I81" t="s">
        <v>16</v>
      </c>
      <c r="J81" t="s">
        <v>105</v>
      </c>
      <c r="K81" t="s">
        <v>106</v>
      </c>
      <c r="L81" t="s">
        <v>107</v>
      </c>
      <c r="M81" t="s">
        <v>108</v>
      </c>
      <c r="N81">
        <v>2026</v>
      </c>
      <c r="O81" t="s">
        <v>123</v>
      </c>
      <c r="P81" s="1"/>
      <c r="Q81" s="1">
        <v>45014</v>
      </c>
      <c r="R81" s="1" t="e">
        <f xml:space="preserve"> IF(#REF! = "", "X",IF(#REF! &lt;= DATE(#REF!- 3, 12, 15),"5.Respect OPC",IF(#REF! &lt;= DATE(#REF!-2, 4, 1),"3.À risque","1.Très à risque")))</f>
        <v>#REF!</v>
      </c>
      <c r="S81" s="1" t="e">
        <f xml:space="preserve"> IF(#REF! = "", "X",IF(#REF! &lt;= DATE(#REF!- 2, 12, 15),"5.Respect OPC",IF(#REF! &lt;= DATE(#REF!-1, 4, 1),"3.À risque","1.Très à risque")))</f>
        <v>#REF!</v>
      </c>
      <c r="T81" s="1" t="e">
        <f xml:space="preserve"> IF(#REF! = "", "X",IF(#REF! &lt;= DATE(#REF!- 1, 12, 15),"5.Respect OPC",IF(#REF! &lt;= DATE(#REF!, 4, 1),"3.À risque","1.Très à risque")))</f>
        <v>#REF!</v>
      </c>
      <c r="U81" s="1" t="e">
        <f xml:space="preserve"> (YEAR(#REF!) - YEAR(#REF!)) * 12 + MONTH(#REF!) - MONTH(#REF!)</f>
        <v>#REF!</v>
      </c>
      <c r="V81" s="1" t="e">
        <f xml:space="preserve"> (YEAR(#REF!) - YEAR(#REF!)) * 12 + MONTH(#REF!) - MONTH(#REF!)</f>
        <v>#REF!</v>
      </c>
      <c r="W81" s="1" t="e">
        <f>#REF!+#REF!</f>
        <v>#REF!</v>
      </c>
      <c r="X81" s="1">
        <v>45799</v>
      </c>
      <c r="Y81" s="1">
        <v>46006</v>
      </c>
      <c r="Z81">
        <v>5</v>
      </c>
      <c r="AA81">
        <v>5</v>
      </c>
      <c r="AC81" s="2" t="e">
        <f>_xlfn.XLOOKUP(#REF!,Portefeuille_MNT_PPS_Access27[Numéro projet],Portefeuille_MNT_PPS_Access27[Critère Etat Infrastructure])</f>
        <v>#REF!</v>
      </c>
      <c r="AD81" s="12" t="e">
        <f>IF(#REF!=5,100, SUM(IF(#REF!="",#REF!*$AE$8/5,#REF!*$AE$8/5),#REF!* $AE$10/5,#REF!* $AE$9/5,#REF!* $AE$7/5)*100)</f>
        <v>#REF!</v>
      </c>
      <c r="AE81" s="221"/>
      <c r="AF81" t="s">
        <v>125</v>
      </c>
      <c r="AG81">
        <v>4</v>
      </c>
      <c r="AH81">
        <v>578</v>
      </c>
      <c r="AI81">
        <v>0</v>
      </c>
      <c r="AJ81">
        <v>318</v>
      </c>
      <c r="AK81">
        <v>12253</v>
      </c>
      <c r="AL81">
        <v>294</v>
      </c>
      <c r="AM81">
        <v>4254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17697</v>
      </c>
      <c r="BI81">
        <v>4548</v>
      </c>
      <c r="BJ81">
        <v>4548</v>
      </c>
      <c r="DP81"/>
    </row>
    <row r="82" spans="1:120" hidden="1" x14ac:dyDescent="0.3">
      <c r="A82" t="s">
        <v>286</v>
      </c>
      <c r="B82" t="s">
        <v>663</v>
      </c>
      <c r="C82" t="s">
        <v>165</v>
      </c>
      <c r="D82" t="s">
        <v>101</v>
      </c>
      <c r="E82" t="s">
        <v>102</v>
      </c>
      <c r="F82" t="s">
        <v>136</v>
      </c>
      <c r="G82" t="s">
        <v>140</v>
      </c>
      <c r="H82" t="s">
        <v>16</v>
      </c>
      <c r="I82" t="s">
        <v>20</v>
      </c>
      <c r="J82" t="s">
        <v>131</v>
      </c>
      <c r="K82" t="s">
        <v>181</v>
      </c>
      <c r="L82" t="s">
        <v>296</v>
      </c>
      <c r="M82" t="s">
        <v>183</v>
      </c>
      <c r="N82">
        <v>2027</v>
      </c>
      <c r="O82" t="s">
        <v>110</v>
      </c>
      <c r="P82" s="1"/>
      <c r="Q82" s="1">
        <v>45590</v>
      </c>
      <c r="R82" s="1" t="e">
        <f xml:space="preserve"> IF(#REF! = "", "X",IF(#REF! &lt;= DATE(#REF!- 3, 12, 15),"5.Respect OPC",IF(#REF! &lt;= DATE(#REF!-2, 4, 1),"3.À risque","1.Très à risque")))</f>
        <v>#REF!</v>
      </c>
      <c r="S82" s="1" t="e">
        <f xml:space="preserve"> IF(#REF! = "", "X",IF(#REF! &lt;= DATE(#REF!- 2, 12, 15),"5.Respect OPC",IF(#REF! &lt;= DATE(#REF!-1, 4, 1),"3.À risque","1.Très à risque")))</f>
        <v>#REF!</v>
      </c>
      <c r="T82" s="1" t="e">
        <f xml:space="preserve"> IF(#REF! = "", "X",IF(#REF! &lt;= DATE(#REF!- 1, 12, 15),"5.Respect OPC",IF(#REF! &lt;= DATE(#REF!, 4, 1),"3.À risque","1.Très à risque")))</f>
        <v>#REF!</v>
      </c>
      <c r="U82" s="1" t="e">
        <f xml:space="preserve"> (YEAR(#REF!) - YEAR(#REF!)) * 12 + MONTH(#REF!) - MONTH(#REF!)</f>
        <v>#REF!</v>
      </c>
      <c r="V82" s="1" t="e">
        <f xml:space="preserve"> (YEAR(#REF!) - YEAR(#REF!)) * 12 + MONTH(#REF!) - MONTH(#REF!)</f>
        <v>#REF!</v>
      </c>
      <c r="W82" s="1" t="e">
        <f>#REF!+#REF!</f>
        <v>#REF!</v>
      </c>
      <c r="X82" s="1">
        <v>46157</v>
      </c>
      <c r="Y82" s="1">
        <v>46157</v>
      </c>
      <c r="Z82">
        <v>5</v>
      </c>
      <c r="AA82">
        <v>1</v>
      </c>
      <c r="AB82">
        <v>5</v>
      </c>
      <c r="AC82" s="2" t="e">
        <f>_xlfn.XLOOKUP(#REF!,Portefeuille_MNT_PPS_Access27[Numéro projet],Portefeuille_MNT_PPS_Access27[Critère Etat Infrastructure])</f>
        <v>#REF!</v>
      </c>
      <c r="AD82" s="12" t="e">
        <f>IF(#REF!=5,100, SUM(IF(#REF!="",#REF!*$AE$8/5,#REF!*$AE$8/5),#REF!* $AE$10/5,#REF!* $AE$9/5,#REF!* $AE$7/5)*100)</f>
        <v>#REF!</v>
      </c>
      <c r="AE82" s="221"/>
      <c r="AF82" t="s">
        <v>112</v>
      </c>
      <c r="AG82">
        <v>2.3333333333333335</v>
      </c>
      <c r="AH82">
        <v>99</v>
      </c>
      <c r="AI82">
        <v>0</v>
      </c>
      <c r="AJ82">
        <v>656</v>
      </c>
      <c r="AK82">
        <v>0</v>
      </c>
      <c r="AL82">
        <v>654</v>
      </c>
      <c r="AM82">
        <v>1461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2870</v>
      </c>
      <c r="BI82">
        <v>2115</v>
      </c>
      <c r="BJ82">
        <v>2115</v>
      </c>
      <c r="DP82"/>
    </row>
    <row r="83" spans="1:120" hidden="1" x14ac:dyDescent="0.3">
      <c r="A83" t="s">
        <v>286</v>
      </c>
      <c r="B83" t="s">
        <v>664</v>
      </c>
      <c r="C83" t="s">
        <v>112</v>
      </c>
      <c r="D83" t="s">
        <v>101</v>
      </c>
      <c r="E83" t="s">
        <v>102</v>
      </c>
      <c r="F83" t="s">
        <v>103</v>
      </c>
      <c r="G83" t="s">
        <v>129</v>
      </c>
      <c r="H83" t="s">
        <v>20</v>
      </c>
      <c r="I83" t="s">
        <v>20</v>
      </c>
      <c r="J83" t="s">
        <v>105</v>
      </c>
      <c r="K83" t="s">
        <v>400</v>
      </c>
      <c r="L83" t="s">
        <v>401</v>
      </c>
      <c r="M83" t="s">
        <v>402</v>
      </c>
      <c r="N83">
        <v>2028</v>
      </c>
      <c r="O83" t="s">
        <v>155</v>
      </c>
      <c r="P83" s="1">
        <v>45946</v>
      </c>
      <c r="Q83" s="1">
        <v>46002</v>
      </c>
      <c r="R83" s="1" t="e">
        <f xml:space="preserve"> IF(#REF! = "", "X",IF(#REF! &lt;= DATE(#REF!- 3, 12, 15),"5.Respect OPC",IF(#REF! &lt;= DATE(#REF!-2, 4, 1),"3.À risque","1.Très à risque")))</f>
        <v>#REF!</v>
      </c>
      <c r="S83" s="1" t="e">
        <f xml:space="preserve"> IF(#REF! = "", "X",IF(#REF! &lt;= DATE(#REF!- 2, 12, 15),"5.Respect OPC",IF(#REF! &lt;= DATE(#REF!-1, 4, 1),"3.À risque","1.Très à risque")))</f>
        <v>#REF!</v>
      </c>
      <c r="T83" s="1" t="e">
        <f xml:space="preserve"> IF(#REF! = "", "X",IF(#REF! &lt;= DATE(#REF!- 1, 12, 15),"5.Respect OPC",IF(#REF! &lt;= DATE(#REF!, 4, 1),"3.À risque","1.Très à risque")))</f>
        <v>#REF!</v>
      </c>
      <c r="U83" s="1" t="e">
        <f xml:space="preserve"> (YEAR(#REF!) - YEAR(#REF!)) * 12 + MONTH(#REF!) - MONTH(#REF!)</f>
        <v>#REF!</v>
      </c>
      <c r="V83" s="1" t="e">
        <f xml:space="preserve"> (YEAR(#REF!) - YEAR(#REF!)) * 12 + MONTH(#REF!) - MONTH(#REF!)</f>
        <v>#REF!</v>
      </c>
      <c r="W83" s="1" t="e">
        <f>#REF!+#REF!</f>
        <v>#REF!</v>
      </c>
      <c r="X83" s="1">
        <v>46461</v>
      </c>
      <c r="Y83" s="1">
        <v>46794</v>
      </c>
      <c r="Z83">
        <v>5</v>
      </c>
      <c r="AA83">
        <v>1</v>
      </c>
      <c r="AB83">
        <v>3</v>
      </c>
      <c r="AC83" s="2" t="e">
        <f>_xlfn.XLOOKUP(#REF!,Portefeuille_MNT_PPS_Access27[Numéro projet],Portefeuille_MNT_PPS_Access27[Critère Etat Infrastructure])</f>
        <v>#REF!</v>
      </c>
      <c r="AD83" s="12" t="e">
        <f>IF(#REF!=5,100, SUM(IF(#REF!="",#REF!*$AE$8/5,#REF!*$AE$8/5),#REF!* $AE$10/5,#REF!* $AE$9/5,#REF!* $AE$7/5)*100)</f>
        <v>#REF!</v>
      </c>
      <c r="AE83" s="221"/>
      <c r="AF83" t="s">
        <v>156</v>
      </c>
      <c r="AG83">
        <v>2.6666666666666665</v>
      </c>
      <c r="AH83">
        <v>0</v>
      </c>
      <c r="AI83">
        <v>0</v>
      </c>
      <c r="AJ83">
        <v>632</v>
      </c>
      <c r="AK83">
        <v>0</v>
      </c>
      <c r="AL83">
        <v>184</v>
      </c>
      <c r="AM83">
        <v>0</v>
      </c>
      <c r="AN83">
        <v>992</v>
      </c>
      <c r="AO83">
        <v>14702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16510</v>
      </c>
      <c r="BI83">
        <v>15878</v>
      </c>
      <c r="BJ83">
        <v>15878</v>
      </c>
      <c r="DP83"/>
    </row>
    <row r="84" spans="1:120" hidden="1" x14ac:dyDescent="0.3">
      <c r="A84" t="s">
        <v>286</v>
      </c>
      <c r="B84" t="s">
        <v>664</v>
      </c>
      <c r="C84" t="s">
        <v>738</v>
      </c>
      <c r="D84" t="s">
        <v>101</v>
      </c>
      <c r="E84" t="s">
        <v>102</v>
      </c>
      <c r="F84" t="s">
        <v>103</v>
      </c>
      <c r="G84" t="s">
        <v>149</v>
      </c>
      <c r="H84" t="s">
        <v>16</v>
      </c>
      <c r="I84" t="s">
        <v>20</v>
      </c>
      <c r="J84" t="s">
        <v>105</v>
      </c>
      <c r="K84" t="s">
        <v>237</v>
      </c>
      <c r="L84" t="s">
        <v>665</v>
      </c>
      <c r="M84" t="s">
        <v>239</v>
      </c>
      <c r="N84">
        <v>2027</v>
      </c>
      <c r="O84" t="s">
        <v>110</v>
      </c>
      <c r="P84" s="1"/>
      <c r="Q84" s="1">
        <v>45915</v>
      </c>
      <c r="R84" s="1" t="e">
        <f xml:space="preserve"> IF(#REF! = "", "X",IF(#REF! &lt;= DATE(#REF!- 3, 12, 15),"5.Respect OPC",IF(#REF! &lt;= DATE(#REF!-2, 4, 1),"3.À risque","1.Très à risque")))</f>
        <v>#REF!</v>
      </c>
      <c r="S84" s="1" t="e">
        <f xml:space="preserve"> IF(#REF! = "", "X",IF(#REF! &lt;= DATE(#REF!- 2, 12, 15),"5.Respect OPC",IF(#REF! &lt;= DATE(#REF!-1, 4, 1),"3.À risque","1.Très à risque")))</f>
        <v>#REF!</v>
      </c>
      <c r="T84" s="1" t="e">
        <f xml:space="preserve"> IF(#REF! = "", "X",IF(#REF! &lt;= DATE(#REF!- 1, 12, 15),"5.Respect OPC",IF(#REF! &lt;= DATE(#REF!, 4, 1),"3.À risque","1.Très à risque")))</f>
        <v>#REF!</v>
      </c>
      <c r="U84" s="1" t="e">
        <f xml:space="preserve"> (YEAR(#REF!) - YEAR(#REF!)) * 12 + MONTH(#REF!) - MONTH(#REF!)</f>
        <v>#REF!</v>
      </c>
      <c r="V84" s="1" t="e">
        <f xml:space="preserve"> (YEAR(#REF!) - YEAR(#REF!)) * 12 + MONTH(#REF!) - MONTH(#REF!)</f>
        <v>#REF!</v>
      </c>
      <c r="W84" s="1" t="e">
        <f>#REF!+#REF!</f>
        <v>#REF!</v>
      </c>
      <c r="X84" s="1">
        <v>46037</v>
      </c>
      <c r="Y84" s="1">
        <v>46310</v>
      </c>
      <c r="Z84">
        <v>5</v>
      </c>
      <c r="AA84">
        <v>1</v>
      </c>
      <c r="AB84">
        <v>5</v>
      </c>
      <c r="AC84" s="2" t="e">
        <f>_xlfn.XLOOKUP(#REF!,Portefeuille_MNT_PPS_Access27[Numéro projet],Portefeuille_MNT_PPS_Access27[Critère Etat Infrastructure])</f>
        <v>#REF!</v>
      </c>
      <c r="AD84" s="12" t="e">
        <f>IF(#REF!=5,100, SUM(IF(#REF!="",#REF!*$AE$8/5,#REF!*$AE$8/5),#REF!* $AE$10/5,#REF!* $AE$9/5,#REF!* $AE$7/5)*100)</f>
        <v>#REF!</v>
      </c>
      <c r="AE84" s="221"/>
      <c r="AF84" t="s">
        <v>112</v>
      </c>
      <c r="AG84">
        <v>3.3333333333333335</v>
      </c>
      <c r="AH84">
        <v>25</v>
      </c>
      <c r="AI84">
        <v>0</v>
      </c>
      <c r="AJ84">
        <v>26</v>
      </c>
      <c r="AK84">
        <v>0</v>
      </c>
      <c r="AL84">
        <v>723</v>
      </c>
      <c r="AM84">
        <v>10494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11268</v>
      </c>
      <c r="BI84">
        <v>11217</v>
      </c>
      <c r="BJ84">
        <v>11217</v>
      </c>
      <c r="DP84"/>
    </row>
    <row r="85" spans="1:120" hidden="1" x14ac:dyDescent="0.3">
      <c r="A85" t="s">
        <v>286</v>
      </c>
      <c r="B85" t="s">
        <v>664</v>
      </c>
      <c r="C85" t="s">
        <v>733</v>
      </c>
      <c r="D85" t="s">
        <v>101</v>
      </c>
      <c r="E85" t="s">
        <v>102</v>
      </c>
      <c r="F85" t="s">
        <v>103</v>
      </c>
      <c r="G85" t="s">
        <v>104</v>
      </c>
      <c r="H85" t="s">
        <v>20</v>
      </c>
      <c r="I85" t="s">
        <v>20</v>
      </c>
      <c r="J85" t="s">
        <v>105</v>
      </c>
      <c r="K85" t="s">
        <v>398</v>
      </c>
      <c r="L85" t="s">
        <v>541</v>
      </c>
      <c r="M85" t="s">
        <v>172</v>
      </c>
      <c r="N85">
        <v>2030</v>
      </c>
      <c r="O85" t="s">
        <v>291</v>
      </c>
      <c r="P85" s="1"/>
      <c r="Q85" s="1"/>
      <c r="R85" s="1" t="e">
        <f xml:space="preserve"> IF(#REF! = "", "X",IF(#REF! &lt;= DATE(#REF!- 3, 12, 15),"5.Respect OPC",IF(#REF! &lt;= DATE(#REF!-2, 4, 1),"3.À risque","1.Très à risque")))</f>
        <v>#REF!</v>
      </c>
      <c r="S85" s="1" t="e">
        <f xml:space="preserve"> IF(#REF! = "", "X",IF(#REF! &lt;= DATE(#REF!- 2, 12, 15),"5.Respect OPC",IF(#REF! &lt;= DATE(#REF!-1, 4, 1),"3.À risque","1.Très à risque")))</f>
        <v>#REF!</v>
      </c>
      <c r="T85" s="1" t="e">
        <f xml:space="preserve"> IF(#REF! = "", "X",IF(#REF! &lt;= DATE(#REF!- 1, 12, 15),"5.Respect OPC",IF(#REF! &lt;= DATE(#REF!, 4, 1),"3.À risque","1.Très à risque")))</f>
        <v>#REF!</v>
      </c>
      <c r="U85" s="1" t="e">
        <f xml:space="preserve"> (YEAR(#REF!) - YEAR(#REF!)) * 12 + MONTH(#REF!) - MONTH(#REF!)</f>
        <v>#REF!</v>
      </c>
      <c r="V85" s="1" t="e">
        <f xml:space="preserve"> (YEAR(#REF!) - YEAR(#REF!)) * 12 + MONTH(#REF!) - MONTH(#REF!)</f>
        <v>#REF!</v>
      </c>
      <c r="W85" s="1" t="e">
        <f>#REF!+#REF!</f>
        <v>#REF!</v>
      </c>
      <c r="X85" s="1"/>
      <c r="Y85" s="1"/>
      <c r="Z85">
        <v>5</v>
      </c>
      <c r="AA85">
        <v>1</v>
      </c>
      <c r="AC85" s="2" t="e">
        <f>_xlfn.XLOOKUP(#REF!,Portefeuille_MNT_PPS_Access27[Numéro projet],Portefeuille_MNT_PPS_Access27[Critère Etat Infrastructure])</f>
        <v>#REF!</v>
      </c>
      <c r="AD85" s="12" t="e">
        <f>IF(#REF!=5,100, SUM(IF(#REF!="",#REF!*$AE$8/5,#REF!*$AE$8/5),#REF!* $AE$10/5,#REF!* $AE$9/5,#REF!* $AE$7/5)*100)</f>
        <v>#REF!</v>
      </c>
      <c r="AE85" s="221"/>
      <c r="AF85" t="s">
        <v>311</v>
      </c>
      <c r="AG85">
        <v>3.6666666666666665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100</v>
      </c>
      <c r="AO85">
        <v>0</v>
      </c>
      <c r="AP85">
        <v>100</v>
      </c>
      <c r="AQ85">
        <v>0</v>
      </c>
      <c r="AR85">
        <v>700</v>
      </c>
      <c r="AS85">
        <v>15000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15900</v>
      </c>
      <c r="BI85">
        <v>15900</v>
      </c>
      <c r="BJ85">
        <v>15900</v>
      </c>
      <c r="DP85"/>
    </row>
    <row r="86" spans="1:120" hidden="1" x14ac:dyDescent="0.3">
      <c r="A86" t="s">
        <v>286</v>
      </c>
      <c r="B86" t="s">
        <v>664</v>
      </c>
      <c r="C86" t="s">
        <v>734</v>
      </c>
      <c r="D86" t="s">
        <v>101</v>
      </c>
      <c r="E86" t="s">
        <v>102</v>
      </c>
      <c r="F86" t="s">
        <v>103</v>
      </c>
      <c r="G86" t="s">
        <v>149</v>
      </c>
      <c r="H86" t="s">
        <v>16</v>
      </c>
      <c r="I86" t="s">
        <v>20</v>
      </c>
      <c r="J86" t="s">
        <v>105</v>
      </c>
      <c r="K86" t="s">
        <v>235</v>
      </c>
      <c r="L86" t="s">
        <v>510</v>
      </c>
      <c r="M86" t="s">
        <v>205</v>
      </c>
      <c r="N86">
        <v>2027</v>
      </c>
      <c r="O86" t="s">
        <v>110</v>
      </c>
      <c r="P86" s="1"/>
      <c r="Q86" s="1">
        <v>45706</v>
      </c>
      <c r="R86" s="1" t="e">
        <f xml:space="preserve"> IF(#REF! = "", "X",IF(#REF! &lt;= DATE(#REF!- 3, 12, 15),"5.Respect OPC",IF(#REF! &lt;= DATE(#REF!-2, 4, 1),"3.À risque","1.Très à risque")))</f>
        <v>#REF!</v>
      </c>
      <c r="S86" s="1" t="e">
        <f xml:space="preserve"> IF(#REF! = "", "X",IF(#REF! &lt;= DATE(#REF!- 2, 12, 15),"5.Respect OPC",IF(#REF! &lt;= DATE(#REF!-1, 4, 1),"3.À risque","1.Très à risque")))</f>
        <v>#REF!</v>
      </c>
      <c r="T86" s="1" t="e">
        <f xml:space="preserve"> IF(#REF! = "", "X",IF(#REF! &lt;= DATE(#REF!- 1, 12, 15),"5.Respect OPC",IF(#REF! &lt;= DATE(#REF!, 4, 1),"3.À risque","1.Très à risque")))</f>
        <v>#REF!</v>
      </c>
      <c r="U86" s="1" t="e">
        <f xml:space="preserve"> (YEAR(#REF!) - YEAR(#REF!)) * 12 + MONTH(#REF!) - MONTH(#REF!)</f>
        <v>#REF!</v>
      </c>
      <c r="V86" s="1" t="e">
        <f xml:space="preserve"> (YEAR(#REF!) - YEAR(#REF!)) * 12 + MONTH(#REF!) - MONTH(#REF!)</f>
        <v>#REF!</v>
      </c>
      <c r="W86" s="1" t="e">
        <f>#REF!+#REF!</f>
        <v>#REF!</v>
      </c>
      <c r="X86" s="1">
        <v>46055</v>
      </c>
      <c r="Y86" s="1">
        <v>46273</v>
      </c>
      <c r="Z86">
        <v>5</v>
      </c>
      <c r="AA86">
        <v>1</v>
      </c>
      <c r="AB86">
        <v>5</v>
      </c>
      <c r="AC86" s="2" t="e">
        <f>_xlfn.XLOOKUP(#REF!,Portefeuille_MNT_PPS_Access27[Numéro projet],Portefeuille_MNT_PPS_Access27[Critère Etat Infrastructure])</f>
        <v>#REF!</v>
      </c>
      <c r="AD86" s="12" t="e">
        <f>IF(#REF!=5,100, SUM(IF(#REF!="",#REF!*$AE$8/5,#REF!*$AE$8/5),#REF!* $AE$10/5,#REF!* $AE$9/5,#REF!* $AE$7/5)*100)</f>
        <v>#REF!</v>
      </c>
      <c r="AE86" s="221"/>
      <c r="AF86" t="s">
        <v>112</v>
      </c>
      <c r="AG86">
        <v>3</v>
      </c>
      <c r="AH86">
        <v>102</v>
      </c>
      <c r="AI86">
        <v>0</v>
      </c>
      <c r="AJ86">
        <v>200</v>
      </c>
      <c r="AK86">
        <v>0</v>
      </c>
      <c r="AL86">
        <v>958</v>
      </c>
      <c r="AM86">
        <v>13608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14868</v>
      </c>
      <c r="BI86">
        <v>14566</v>
      </c>
      <c r="BJ86">
        <v>14566</v>
      </c>
      <c r="DP86"/>
    </row>
    <row r="87" spans="1:120" hidden="1" x14ac:dyDescent="0.3">
      <c r="A87" t="s">
        <v>286</v>
      </c>
      <c r="B87" t="s">
        <v>295</v>
      </c>
      <c r="C87" t="s">
        <v>733</v>
      </c>
      <c r="D87" t="s">
        <v>126</v>
      </c>
      <c r="E87" t="s">
        <v>127</v>
      </c>
      <c r="F87" t="s">
        <v>103</v>
      </c>
      <c r="G87" t="s">
        <v>149</v>
      </c>
      <c r="H87" t="s">
        <v>16</v>
      </c>
      <c r="I87" t="s">
        <v>20</v>
      </c>
      <c r="J87" t="s">
        <v>131</v>
      </c>
      <c r="K87" t="s">
        <v>233</v>
      </c>
      <c r="L87" t="s">
        <v>542</v>
      </c>
      <c r="M87" t="s">
        <v>152</v>
      </c>
      <c r="N87">
        <v>2029</v>
      </c>
      <c r="O87" t="s">
        <v>155</v>
      </c>
      <c r="P87" s="1"/>
      <c r="Q87" s="1">
        <v>46127</v>
      </c>
      <c r="R87" s="1" t="e">
        <f xml:space="preserve"> IF(#REF! = "", "X",IF(#REF! &lt;= DATE(#REF!- 3, 12, 15),"5.Respect OPC",IF(#REF! &lt;= DATE(#REF!-2, 4, 1),"3.À risque","1.Très à risque")))</f>
        <v>#REF!</v>
      </c>
      <c r="S87" s="1" t="e">
        <f xml:space="preserve"> IF(#REF! = "", "X",IF(#REF! &lt;= DATE(#REF!- 2, 12, 15),"5.Respect OPC",IF(#REF! &lt;= DATE(#REF!-1, 4, 1),"3.À risque","1.Très à risque")))</f>
        <v>#REF!</v>
      </c>
      <c r="T87" s="1" t="e">
        <f xml:space="preserve"> IF(#REF! = "", "X",IF(#REF! &lt;= DATE(#REF!- 1, 12, 15),"5.Respect OPC",IF(#REF! &lt;= DATE(#REF!, 4, 1),"3.À risque","1.Très à risque")))</f>
        <v>#REF!</v>
      </c>
      <c r="U87" s="1" t="e">
        <f xml:space="preserve"> (YEAR(#REF!) - YEAR(#REF!)) * 12 + MONTH(#REF!) - MONTH(#REF!)</f>
        <v>#REF!</v>
      </c>
      <c r="V87" s="1" t="e">
        <f xml:space="preserve"> (YEAR(#REF!) - YEAR(#REF!)) * 12 + MONTH(#REF!) - MONTH(#REF!)</f>
        <v>#REF!</v>
      </c>
      <c r="W87" s="1" t="e">
        <f>#REF!+#REF!</f>
        <v>#REF!</v>
      </c>
      <c r="X87" s="1">
        <v>46553</v>
      </c>
      <c r="Y87" s="1">
        <v>46980</v>
      </c>
      <c r="Z87">
        <v>5</v>
      </c>
      <c r="AA87">
        <v>1</v>
      </c>
      <c r="AB87">
        <v>5</v>
      </c>
      <c r="AC87" s="2" t="e">
        <f>_xlfn.XLOOKUP(#REF!,Portefeuille_MNT_PPS_Access27[Numéro projet],Portefeuille_MNT_PPS_Access27[Critère Etat Infrastructure])</f>
        <v>#REF!</v>
      </c>
      <c r="AD87" s="12" t="e">
        <f>IF(#REF!=5,100, SUM(IF(#REF!="",#REF!*$AE$8/5,#REF!*$AE$8/5),#REF!* $AE$10/5,#REF!* $AE$9/5,#REF!* $AE$7/5)*100)</f>
        <v>#REF!</v>
      </c>
      <c r="AE87" s="221"/>
      <c r="AF87" t="s">
        <v>156</v>
      </c>
      <c r="AG87">
        <v>3.3333333333333335</v>
      </c>
      <c r="AH87">
        <v>0</v>
      </c>
      <c r="AI87">
        <v>0</v>
      </c>
      <c r="AJ87">
        <v>100</v>
      </c>
      <c r="AK87">
        <v>0</v>
      </c>
      <c r="AL87">
        <v>167</v>
      </c>
      <c r="AM87">
        <v>0</v>
      </c>
      <c r="AN87">
        <v>100</v>
      </c>
      <c r="AO87">
        <v>0</v>
      </c>
      <c r="AP87">
        <v>588</v>
      </c>
      <c r="AQ87">
        <v>7500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8455</v>
      </c>
      <c r="BI87">
        <v>8355</v>
      </c>
      <c r="BJ87">
        <v>8355</v>
      </c>
      <c r="DP87"/>
    </row>
    <row r="88" spans="1:120" hidden="1" x14ac:dyDescent="0.3">
      <c r="A88" t="s">
        <v>286</v>
      </c>
      <c r="B88" t="s">
        <v>295</v>
      </c>
      <c r="C88" t="s">
        <v>156</v>
      </c>
      <c r="D88" t="s">
        <v>126</v>
      </c>
      <c r="E88" t="s">
        <v>127</v>
      </c>
      <c r="F88" t="s">
        <v>136</v>
      </c>
      <c r="G88" t="s">
        <v>144</v>
      </c>
      <c r="H88" t="s">
        <v>16</v>
      </c>
      <c r="I88" t="s">
        <v>20</v>
      </c>
      <c r="J88" t="s">
        <v>131</v>
      </c>
      <c r="K88" t="s">
        <v>231</v>
      </c>
      <c r="L88" t="s">
        <v>232</v>
      </c>
      <c r="M88" t="s">
        <v>147</v>
      </c>
      <c r="N88">
        <v>2027</v>
      </c>
      <c r="O88" t="s">
        <v>110</v>
      </c>
      <c r="P88" s="1"/>
      <c r="Q88" s="1">
        <v>45099</v>
      </c>
      <c r="R88" s="1" t="e">
        <f xml:space="preserve"> IF(#REF! = "", "X",IF(#REF! &lt;= DATE(#REF!- 3, 12, 15),"5.Respect OPC",IF(#REF! &lt;= DATE(#REF!-2, 4, 1),"3.À risque","1.Très à risque")))</f>
        <v>#REF!</v>
      </c>
      <c r="S88" s="1" t="e">
        <f xml:space="preserve"> IF(#REF! = "", "X",IF(#REF! &lt;= DATE(#REF!- 2, 12, 15),"5.Respect OPC",IF(#REF! &lt;= DATE(#REF!-1, 4, 1),"3.À risque","1.Très à risque")))</f>
        <v>#REF!</v>
      </c>
      <c r="T88" s="1" t="e">
        <f xml:space="preserve"> IF(#REF! = "", "X",IF(#REF! &lt;= DATE(#REF!- 1, 12, 15),"5.Respect OPC",IF(#REF! &lt;= DATE(#REF!, 4, 1),"3.À risque","1.Très à risque")))</f>
        <v>#REF!</v>
      </c>
      <c r="U88" s="1" t="e">
        <f xml:space="preserve"> (YEAR(#REF!) - YEAR(#REF!)) * 12 + MONTH(#REF!) - MONTH(#REF!)</f>
        <v>#REF!</v>
      </c>
      <c r="V88" s="1" t="e">
        <f xml:space="preserve"> (YEAR(#REF!) - YEAR(#REF!)) * 12 + MONTH(#REF!) - MONTH(#REF!)</f>
        <v>#REF!</v>
      </c>
      <c r="W88" s="1" t="e">
        <f>#REF!+#REF!</f>
        <v>#REF!</v>
      </c>
      <c r="X88" s="1">
        <v>46037</v>
      </c>
      <c r="Y88" s="1">
        <v>46283</v>
      </c>
      <c r="Z88">
        <v>5</v>
      </c>
      <c r="AA88">
        <v>1</v>
      </c>
      <c r="AB88">
        <v>5</v>
      </c>
      <c r="AC88" s="2" t="e">
        <f>_xlfn.XLOOKUP(#REF!,Portefeuille_MNT_PPS_Access27[Numéro projet],Portefeuille_MNT_PPS_Access27[Critère Etat Infrastructure])</f>
        <v>#REF!</v>
      </c>
      <c r="AD88" s="12" t="e">
        <f>IF(#REF!=5,100, SUM(IF(#REF!="",#REF!*$AE$8/5,#REF!*$AE$8/5),#REF!* $AE$10/5,#REF!* $AE$9/5,#REF!* $AE$7/5)*100)</f>
        <v>#REF!</v>
      </c>
      <c r="AE88" s="221"/>
      <c r="AF88" t="s">
        <v>112</v>
      </c>
      <c r="AG88">
        <v>2.6666666666666665</v>
      </c>
      <c r="AH88">
        <v>661</v>
      </c>
      <c r="AI88">
        <v>0</v>
      </c>
      <c r="AJ88">
        <v>457</v>
      </c>
      <c r="AK88">
        <v>0</v>
      </c>
      <c r="AL88">
        <v>987</v>
      </c>
      <c r="AM88">
        <v>9725</v>
      </c>
      <c r="AN88">
        <v>1927</v>
      </c>
      <c r="AO88">
        <v>3427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17184</v>
      </c>
      <c r="BI88">
        <v>16066</v>
      </c>
      <c r="BJ88">
        <v>16066</v>
      </c>
      <c r="DP88"/>
    </row>
    <row r="89" spans="1:120" hidden="1" x14ac:dyDescent="0.3">
      <c r="A89" t="s">
        <v>286</v>
      </c>
      <c r="B89" t="s">
        <v>295</v>
      </c>
      <c r="C89" t="s">
        <v>733</v>
      </c>
      <c r="D89" t="s">
        <v>101</v>
      </c>
      <c r="E89" t="s">
        <v>127</v>
      </c>
      <c r="F89" t="s">
        <v>103</v>
      </c>
      <c r="G89" t="s">
        <v>144</v>
      </c>
      <c r="H89" t="s">
        <v>16</v>
      </c>
      <c r="I89" t="s">
        <v>16</v>
      </c>
      <c r="J89" t="s">
        <v>131</v>
      </c>
      <c r="K89" t="s">
        <v>145</v>
      </c>
      <c r="L89" t="s">
        <v>720</v>
      </c>
      <c r="M89" t="s">
        <v>147</v>
      </c>
      <c r="N89">
        <v>2028</v>
      </c>
      <c r="O89" t="s">
        <v>110</v>
      </c>
      <c r="P89" s="1"/>
      <c r="Q89" s="1">
        <v>44609</v>
      </c>
      <c r="R89" s="1" t="e">
        <f xml:space="preserve"> IF(#REF! = "", "X",IF(#REF! &lt;= DATE(#REF!- 3, 12, 15),"5.Respect OPC",IF(#REF! &lt;= DATE(#REF!-2, 4, 1),"3.À risque","1.Très à risque")))</f>
        <v>#REF!</v>
      </c>
      <c r="S89" s="1" t="e">
        <f xml:space="preserve"> IF(#REF! = "", "X",IF(#REF! &lt;= DATE(#REF!- 2, 12, 15),"5.Respect OPC",IF(#REF! &lt;= DATE(#REF!-1, 4, 1),"3.À risque","1.Très à risque")))</f>
        <v>#REF!</v>
      </c>
      <c r="T89" s="1" t="e">
        <f xml:space="preserve"> IF(#REF! = "", "X",IF(#REF! &lt;= DATE(#REF!- 1, 12, 15),"5.Respect OPC",IF(#REF! &lt;= DATE(#REF!, 4, 1),"3.À risque","1.Très à risque")))</f>
        <v>#REF!</v>
      </c>
      <c r="U89" s="1" t="e">
        <f xml:space="preserve"> (YEAR(#REF!) - YEAR(#REF!)) * 12 + MONTH(#REF!) - MONTH(#REF!)</f>
        <v>#REF!</v>
      </c>
      <c r="V89" s="1" t="e">
        <f xml:space="preserve"> (YEAR(#REF!) - YEAR(#REF!)) * 12 + MONTH(#REF!) - MONTH(#REF!)</f>
        <v>#REF!</v>
      </c>
      <c r="W89" s="1" t="e">
        <f>#REF!+#REF!</f>
        <v>#REF!</v>
      </c>
      <c r="X89" s="1">
        <v>45996</v>
      </c>
      <c r="Y89" s="1">
        <v>46310</v>
      </c>
      <c r="Z89">
        <v>5</v>
      </c>
      <c r="AA89">
        <v>1</v>
      </c>
      <c r="AB89">
        <v>5</v>
      </c>
      <c r="AC89" s="2" t="e">
        <f>_xlfn.XLOOKUP(#REF!,Portefeuille_MNT_PPS_Access27[Numéro projet],Portefeuille_MNT_PPS_Access27[Critère Etat Infrastructure])</f>
        <v>#REF!</v>
      </c>
      <c r="AD89" s="12" t="e">
        <f>IF(#REF!=5,100, SUM(IF(#REF!="",#REF!*$AE$8/5,#REF!*$AE$8/5),#REF!* $AE$10/5,#REF!* $AE$9/5,#REF!* $AE$7/5)*100)</f>
        <v>#REF!</v>
      </c>
      <c r="AE89" s="221"/>
      <c r="AF89" t="s">
        <v>112</v>
      </c>
      <c r="AG89">
        <v>2.6666666666666665</v>
      </c>
      <c r="AH89">
        <v>396</v>
      </c>
      <c r="AI89">
        <v>0</v>
      </c>
      <c r="AJ89">
        <v>125</v>
      </c>
      <c r="AK89">
        <v>0</v>
      </c>
      <c r="AL89">
        <v>102</v>
      </c>
      <c r="AM89">
        <v>0</v>
      </c>
      <c r="AN89">
        <v>100</v>
      </c>
      <c r="AO89">
        <v>9684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10407</v>
      </c>
      <c r="BI89">
        <v>9886</v>
      </c>
      <c r="BJ89">
        <v>9886</v>
      </c>
      <c r="DP89"/>
    </row>
    <row r="90" spans="1:120" hidden="1" x14ac:dyDescent="0.3">
      <c r="A90" t="s">
        <v>286</v>
      </c>
      <c r="B90" t="s">
        <v>663</v>
      </c>
      <c r="C90" t="s">
        <v>733</v>
      </c>
      <c r="D90" t="s">
        <v>101</v>
      </c>
      <c r="E90" t="s">
        <v>102</v>
      </c>
      <c r="F90" t="s">
        <v>136</v>
      </c>
      <c r="G90" t="s">
        <v>113</v>
      </c>
      <c r="H90" t="s">
        <v>16</v>
      </c>
      <c r="I90" t="s">
        <v>20</v>
      </c>
      <c r="J90" t="s">
        <v>131</v>
      </c>
      <c r="K90" t="s">
        <v>185</v>
      </c>
      <c r="L90" t="s">
        <v>186</v>
      </c>
      <c r="M90" t="s">
        <v>187</v>
      </c>
      <c r="N90">
        <v>2028</v>
      </c>
      <c r="O90" t="s">
        <v>110</v>
      </c>
      <c r="P90" s="1"/>
      <c r="Q90" s="1">
        <v>44823</v>
      </c>
      <c r="R90" s="1" t="e">
        <f xml:space="preserve"> IF(#REF! = "", "X",IF(#REF! &lt;= DATE(#REF!- 3, 12, 15),"5.Respect OPC",IF(#REF! &lt;= DATE(#REF!-2, 4, 1),"3.À risque","1.Très à risque")))</f>
        <v>#REF!</v>
      </c>
      <c r="S90" s="1" t="e">
        <f xml:space="preserve"> IF(#REF! = "", "X",IF(#REF! &lt;= DATE(#REF!- 2, 12, 15),"5.Respect OPC",IF(#REF! &lt;= DATE(#REF!-1, 4, 1),"3.À risque","1.Très à risque")))</f>
        <v>#REF!</v>
      </c>
      <c r="T90" s="1" t="e">
        <f xml:space="preserve"> IF(#REF! = "", "X",IF(#REF! &lt;= DATE(#REF!- 1, 12, 15),"5.Respect OPC",IF(#REF! &lt;= DATE(#REF!, 4, 1),"3.À risque","1.Très à risque")))</f>
        <v>#REF!</v>
      </c>
      <c r="U90" s="1" t="e">
        <f xml:space="preserve"> (YEAR(#REF!) - YEAR(#REF!)) * 12 + MONTH(#REF!) - MONTH(#REF!)</f>
        <v>#REF!</v>
      </c>
      <c r="V90" s="1" t="e">
        <f xml:space="preserve"> (YEAR(#REF!) - YEAR(#REF!)) * 12 + MONTH(#REF!) - MONTH(#REF!)</f>
        <v>#REF!</v>
      </c>
      <c r="W90" s="1" t="e">
        <f>#REF!+#REF!</f>
        <v>#REF!</v>
      </c>
      <c r="X90" s="1">
        <v>46310</v>
      </c>
      <c r="Y90" s="1">
        <v>46521</v>
      </c>
      <c r="Z90">
        <v>5</v>
      </c>
      <c r="AA90">
        <v>1</v>
      </c>
      <c r="AB90">
        <v>5</v>
      </c>
      <c r="AC90" s="2" t="e">
        <f>_xlfn.XLOOKUP(#REF!,Portefeuille_MNT_PPS_Access27[Numéro projet],Portefeuille_MNT_PPS_Access27[Critère Etat Infrastructure])</f>
        <v>#REF!</v>
      </c>
      <c r="AD90" s="12" t="e">
        <f>IF(#REF!=5,100, SUM(IF(#REF!="",#REF!*$AE$8/5,#REF!*$AE$8/5),#REF!* $AE$10/5,#REF!* $AE$9/5,#REF!* $AE$7/5)*100)</f>
        <v>#REF!</v>
      </c>
      <c r="AE90" s="221"/>
      <c r="AF90" t="s">
        <v>112</v>
      </c>
      <c r="AG90">
        <v>3</v>
      </c>
      <c r="AH90">
        <v>881</v>
      </c>
      <c r="AI90">
        <v>0</v>
      </c>
      <c r="AJ90">
        <v>835</v>
      </c>
      <c r="AK90">
        <v>0</v>
      </c>
      <c r="AL90">
        <v>657</v>
      </c>
      <c r="AM90">
        <v>0</v>
      </c>
      <c r="AN90">
        <v>212</v>
      </c>
      <c r="AO90">
        <v>5369</v>
      </c>
      <c r="AP90">
        <v>289</v>
      </c>
      <c r="AQ90">
        <v>10806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19049</v>
      </c>
      <c r="BI90">
        <v>17333</v>
      </c>
      <c r="BJ90">
        <v>17333</v>
      </c>
      <c r="DP90"/>
    </row>
    <row r="91" spans="1:120" hidden="1" x14ac:dyDescent="0.3">
      <c r="A91" t="s">
        <v>286</v>
      </c>
      <c r="B91" t="s">
        <v>295</v>
      </c>
      <c r="C91" t="s">
        <v>733</v>
      </c>
      <c r="D91" t="s">
        <v>126</v>
      </c>
      <c r="E91" t="s">
        <v>127</v>
      </c>
      <c r="F91" t="s">
        <v>136</v>
      </c>
      <c r="G91" t="s">
        <v>113</v>
      </c>
      <c r="H91" t="s">
        <v>16</v>
      </c>
      <c r="I91" t="s">
        <v>20</v>
      </c>
      <c r="J91" t="s">
        <v>131</v>
      </c>
      <c r="K91" t="s">
        <v>226</v>
      </c>
      <c r="L91" t="s">
        <v>227</v>
      </c>
      <c r="M91" t="s">
        <v>139</v>
      </c>
      <c r="N91">
        <v>2031</v>
      </c>
      <c r="O91" t="s">
        <v>110</v>
      </c>
      <c r="P91" s="1"/>
      <c r="Q91" s="1">
        <v>45330</v>
      </c>
      <c r="R91" s="1" t="e">
        <f xml:space="preserve"> IF(#REF! = "", "X",IF(#REF! &lt;= DATE(#REF!- 3, 12, 15),"5.Respect OPC",IF(#REF! &lt;= DATE(#REF!-2, 4, 1),"3.À risque","1.Très à risque")))</f>
        <v>#REF!</v>
      </c>
      <c r="S91" s="1" t="e">
        <f xml:space="preserve"> IF(#REF! = "", "X",IF(#REF! &lt;= DATE(#REF!- 2, 12, 15),"5.Respect OPC",IF(#REF! &lt;= DATE(#REF!-1, 4, 1),"3.À risque","1.Très à risque")))</f>
        <v>#REF!</v>
      </c>
      <c r="T91" s="1" t="e">
        <f xml:space="preserve"> IF(#REF! = "", "X",IF(#REF! &lt;= DATE(#REF!- 1, 12, 15),"5.Respect OPC",IF(#REF! &lt;= DATE(#REF!, 4, 1),"3.À risque","1.Très à risque")))</f>
        <v>#REF!</v>
      </c>
      <c r="U91" s="1" t="e">
        <f xml:space="preserve"> (YEAR(#REF!) - YEAR(#REF!)) * 12 + MONTH(#REF!) - MONTH(#REF!)</f>
        <v>#REF!</v>
      </c>
      <c r="V91" s="1" t="e">
        <f xml:space="preserve"> (YEAR(#REF!) - YEAR(#REF!)) * 12 + MONTH(#REF!) - MONTH(#REF!)</f>
        <v>#REF!</v>
      </c>
      <c r="W91" s="1" t="e">
        <f>#REF!+#REF!</f>
        <v>#REF!</v>
      </c>
      <c r="X91" s="1">
        <v>46690</v>
      </c>
      <c r="Y91" s="1">
        <v>47376</v>
      </c>
      <c r="Z91">
        <v>5</v>
      </c>
      <c r="AA91">
        <v>1</v>
      </c>
      <c r="AC91" s="2" t="e">
        <f>_xlfn.XLOOKUP(#REF!,Portefeuille_MNT_PPS_Access27[Numéro projet],Portefeuille_MNT_PPS_Access27[Critère Etat Infrastructure])</f>
        <v>#REF!</v>
      </c>
      <c r="AD91" s="12" t="e">
        <f>IF(#REF!=5,100, SUM(IF(#REF!="",#REF!*$AE$8/5,#REF!*$AE$8/5),#REF!* $AE$10/5,#REF!* $AE$9/5,#REF!* $AE$7/5)*100)</f>
        <v>#REF!</v>
      </c>
      <c r="AE91" s="221"/>
      <c r="AF91" t="s">
        <v>112</v>
      </c>
      <c r="AG91">
        <v>2</v>
      </c>
      <c r="AH91">
        <v>179</v>
      </c>
      <c r="AI91">
        <v>0</v>
      </c>
      <c r="AJ91">
        <v>288</v>
      </c>
      <c r="AK91">
        <v>0</v>
      </c>
      <c r="AL91">
        <v>475</v>
      </c>
      <c r="AM91">
        <v>0</v>
      </c>
      <c r="AN91">
        <v>475</v>
      </c>
      <c r="AO91">
        <v>0</v>
      </c>
      <c r="AP91">
        <v>573</v>
      </c>
      <c r="AQ91">
        <v>0</v>
      </c>
      <c r="AR91">
        <v>1000</v>
      </c>
      <c r="AS91">
        <v>0</v>
      </c>
      <c r="AT91">
        <v>1087</v>
      </c>
      <c r="AU91">
        <v>17162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21239</v>
      </c>
      <c r="BI91">
        <v>20772</v>
      </c>
      <c r="BJ91">
        <v>20772</v>
      </c>
      <c r="DP91"/>
    </row>
    <row r="92" spans="1:120" hidden="1" x14ac:dyDescent="0.3">
      <c r="A92" t="s">
        <v>286</v>
      </c>
      <c r="B92" t="s">
        <v>664</v>
      </c>
      <c r="C92" t="s">
        <v>736</v>
      </c>
      <c r="D92" t="s">
        <v>101</v>
      </c>
      <c r="E92" t="s">
        <v>102</v>
      </c>
      <c r="F92" t="s">
        <v>136</v>
      </c>
      <c r="G92" t="s">
        <v>104</v>
      </c>
      <c r="H92" t="s">
        <v>130</v>
      </c>
      <c r="I92" t="s">
        <v>20</v>
      </c>
      <c r="J92" t="s">
        <v>131</v>
      </c>
      <c r="K92" t="s">
        <v>373</v>
      </c>
      <c r="L92" t="s">
        <v>374</v>
      </c>
      <c r="M92" t="s">
        <v>159</v>
      </c>
      <c r="N92">
        <v>2030</v>
      </c>
      <c r="O92" t="s">
        <v>155</v>
      </c>
      <c r="P92" s="1">
        <v>45833</v>
      </c>
      <c r="Q92" s="1">
        <v>45960</v>
      </c>
      <c r="R92" s="1" t="e">
        <f xml:space="preserve"> IF(#REF! = "", "X",IF(#REF! &lt;= DATE(#REF!- 3, 12, 15),"5.Respect OPC",IF(#REF! &lt;= DATE(#REF!-2, 4, 1),"3.À risque","1.Très à risque")))</f>
        <v>#REF!</v>
      </c>
      <c r="S92" s="1" t="e">
        <f xml:space="preserve"> IF(#REF! = "", "X",IF(#REF! &lt;= DATE(#REF!- 2, 12, 15),"5.Respect OPC",IF(#REF! &lt;= DATE(#REF!-1, 4, 1),"3.À risque","1.Très à risque")))</f>
        <v>#REF!</v>
      </c>
      <c r="T92" s="1" t="e">
        <f xml:space="preserve"> IF(#REF! = "", "X",IF(#REF! &lt;= DATE(#REF!- 1, 12, 15),"5.Respect OPC",IF(#REF! &lt;= DATE(#REF!, 4, 1),"3.À risque","1.Très à risque")))</f>
        <v>#REF!</v>
      </c>
      <c r="U92" s="1" t="e">
        <f xml:space="preserve"> (YEAR(#REF!) - YEAR(#REF!)) * 12 + MONTH(#REF!) - MONTH(#REF!)</f>
        <v>#REF!</v>
      </c>
      <c r="V92" s="1" t="e">
        <f xml:space="preserve"> (YEAR(#REF!) - YEAR(#REF!)) * 12 + MONTH(#REF!) - MONTH(#REF!)</f>
        <v>#REF!</v>
      </c>
      <c r="W92" s="1" t="e">
        <f>#REF!+#REF!</f>
        <v>#REF!</v>
      </c>
      <c r="X92" s="1">
        <v>46280</v>
      </c>
      <c r="Y92" s="1">
        <v>46645</v>
      </c>
      <c r="Z92">
        <v>5</v>
      </c>
      <c r="AA92">
        <v>1</v>
      </c>
      <c r="AC92" s="2" t="e">
        <f>_xlfn.XLOOKUP(#REF!,Portefeuille_MNT_PPS_Access27[Numéro projet],Portefeuille_MNT_PPS_Access27[Critère Etat Infrastructure])</f>
        <v>#REF!</v>
      </c>
      <c r="AD92" s="12" t="e">
        <f>IF(#REF!=5,100, SUM(IF(#REF!="",#REF!*$AE$8/5,#REF!*$AE$8/5),#REF!* $AE$10/5,#REF!* $AE$9/5,#REF!* $AE$7/5)*100)</f>
        <v>#REF!</v>
      </c>
      <c r="AE92" s="221"/>
      <c r="AF92" t="s">
        <v>156</v>
      </c>
      <c r="AG92">
        <v>4.333333333333333</v>
      </c>
      <c r="AH92">
        <v>0</v>
      </c>
      <c r="AI92">
        <v>0</v>
      </c>
      <c r="AJ92">
        <v>100</v>
      </c>
      <c r="AK92">
        <v>0</v>
      </c>
      <c r="AL92">
        <v>250</v>
      </c>
      <c r="AM92">
        <v>0</v>
      </c>
      <c r="AN92">
        <v>350</v>
      </c>
      <c r="AO92">
        <v>0</v>
      </c>
      <c r="AP92">
        <v>500</v>
      </c>
      <c r="AQ92">
        <v>0</v>
      </c>
      <c r="AR92">
        <v>500</v>
      </c>
      <c r="AS92">
        <v>8000</v>
      </c>
      <c r="AT92">
        <v>500</v>
      </c>
      <c r="AU92">
        <v>8000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18200</v>
      </c>
      <c r="BI92">
        <v>18100</v>
      </c>
      <c r="BJ92">
        <v>18100</v>
      </c>
      <c r="DP92"/>
    </row>
    <row r="93" spans="1:120" hidden="1" x14ac:dyDescent="0.3">
      <c r="A93" t="s">
        <v>286</v>
      </c>
      <c r="B93" t="s">
        <v>662</v>
      </c>
      <c r="C93" t="s">
        <v>156</v>
      </c>
      <c r="D93" t="s">
        <v>118</v>
      </c>
      <c r="E93" t="s">
        <v>102</v>
      </c>
      <c r="F93" t="s">
        <v>188</v>
      </c>
      <c r="G93" t="s">
        <v>113</v>
      </c>
      <c r="H93" t="s">
        <v>16</v>
      </c>
      <c r="I93" t="s">
        <v>130</v>
      </c>
      <c r="J93" t="s">
        <v>131</v>
      </c>
      <c r="K93" t="s">
        <v>189</v>
      </c>
      <c r="L93" t="s">
        <v>190</v>
      </c>
      <c r="M93" t="s">
        <v>191</v>
      </c>
      <c r="N93">
        <v>2026</v>
      </c>
      <c r="O93" t="s">
        <v>123</v>
      </c>
      <c r="P93" s="1"/>
      <c r="Q93" s="1">
        <v>45684</v>
      </c>
      <c r="R93" s="1" t="e">
        <f xml:space="preserve"> IF(#REF! = "", "X",IF(#REF! &lt;= DATE(#REF!- 3, 12, 15),"5.Respect OPC",IF(#REF! &lt;= DATE(#REF!-2, 4, 1),"3.À risque","1.Très à risque")))</f>
        <v>#REF!</v>
      </c>
      <c r="S93" s="1" t="e">
        <f xml:space="preserve"> IF(#REF! = "", "X",IF(#REF! &lt;= DATE(#REF!- 2, 12, 15),"5.Respect OPC",IF(#REF! &lt;= DATE(#REF!-1, 4, 1),"3.À risque","1.Très à risque")))</f>
        <v>#REF!</v>
      </c>
      <c r="T93" s="1" t="e">
        <f xml:space="preserve"> IF(#REF! = "", "X",IF(#REF! &lt;= DATE(#REF!- 1, 12, 15),"5.Respect OPC",IF(#REF! &lt;= DATE(#REF!, 4, 1),"3.À risque","1.Très à risque")))</f>
        <v>#REF!</v>
      </c>
      <c r="U93" s="1" t="e">
        <f xml:space="preserve"> (YEAR(#REF!) - YEAR(#REF!)) * 12 + MONTH(#REF!) - MONTH(#REF!)</f>
        <v>#REF!</v>
      </c>
      <c r="V93" s="1" t="e">
        <f xml:space="preserve"> (YEAR(#REF!) - YEAR(#REF!)) * 12 + MONTH(#REF!) - MONTH(#REF!)</f>
        <v>#REF!</v>
      </c>
      <c r="W93" s="1" t="e">
        <f>#REF!+#REF!</f>
        <v>#REF!</v>
      </c>
      <c r="X93" s="1"/>
      <c r="Y93" s="1">
        <v>46006</v>
      </c>
      <c r="Z93">
        <v>5</v>
      </c>
      <c r="AA93">
        <v>5</v>
      </c>
      <c r="AC93" s="2" t="e">
        <f>_xlfn.XLOOKUP(#REF!,Portefeuille_MNT_PPS_Access27[Numéro projet],Portefeuille_MNT_PPS_Access27[Critère Etat Infrastructure])</f>
        <v>#REF!</v>
      </c>
      <c r="AD93" s="12" t="e">
        <f>IF(#REF!=5,100, SUM(IF(#REF!="",#REF!*$AE$8/5,#REF!*$AE$8/5),#REF!* $AE$10/5,#REF!* $AE$9/5,#REF!* $AE$7/5)*100)</f>
        <v>#REF!</v>
      </c>
      <c r="AE93" s="221"/>
      <c r="AF93" t="s">
        <v>125</v>
      </c>
      <c r="AG93">
        <v>1.6666666666666667</v>
      </c>
      <c r="AH93">
        <v>132</v>
      </c>
      <c r="AI93">
        <v>0</v>
      </c>
      <c r="AJ93">
        <v>262</v>
      </c>
      <c r="AK93">
        <v>899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1293</v>
      </c>
      <c r="DP93"/>
    </row>
    <row r="94" spans="1:120" hidden="1" x14ac:dyDescent="0.3">
      <c r="A94" t="s">
        <v>286</v>
      </c>
      <c r="B94" t="s">
        <v>295</v>
      </c>
      <c r="C94" t="s">
        <v>733</v>
      </c>
      <c r="D94" t="s">
        <v>126</v>
      </c>
      <c r="E94" t="s">
        <v>127</v>
      </c>
      <c r="F94" t="s">
        <v>177</v>
      </c>
      <c r="G94" t="s">
        <v>206</v>
      </c>
      <c r="H94" t="s">
        <v>16</v>
      </c>
      <c r="I94" t="s">
        <v>16</v>
      </c>
      <c r="J94" t="s">
        <v>223</v>
      </c>
      <c r="K94" t="s">
        <v>224</v>
      </c>
      <c r="L94" t="s">
        <v>520</v>
      </c>
      <c r="M94" t="s">
        <v>725</v>
      </c>
      <c r="N94">
        <v>2026</v>
      </c>
      <c r="O94" t="s">
        <v>123</v>
      </c>
      <c r="P94" s="1">
        <v>44365</v>
      </c>
      <c r="Q94" s="1">
        <v>44623</v>
      </c>
      <c r="R94" s="1" t="e">
        <f xml:space="preserve"> IF(#REF! = "", "X",IF(#REF! &lt;= DATE(#REF!- 3, 12, 15),"5.Respect OPC",IF(#REF! &lt;= DATE(#REF!-2, 4, 1),"3.À risque","1.Très à risque")))</f>
        <v>#REF!</v>
      </c>
      <c r="S94" s="1" t="e">
        <f xml:space="preserve"> IF(#REF! = "", "X",IF(#REF! &lt;= DATE(#REF!- 2, 12, 15),"5.Respect OPC",IF(#REF! &lt;= DATE(#REF!-1, 4, 1),"3.À risque","1.Très à risque")))</f>
        <v>#REF!</v>
      </c>
      <c r="T94" s="1" t="e">
        <f xml:space="preserve"> IF(#REF! = "", "X",IF(#REF! &lt;= DATE(#REF!- 1, 12, 15),"5.Respect OPC",IF(#REF! &lt;= DATE(#REF!, 4, 1),"3.À risque","1.Très à risque")))</f>
        <v>#REF!</v>
      </c>
      <c r="U94" s="1" t="e">
        <f xml:space="preserve"> (YEAR(#REF!) - YEAR(#REF!)) * 12 + MONTH(#REF!) - MONTH(#REF!)</f>
        <v>#REF!</v>
      </c>
      <c r="V94" s="1" t="e">
        <f xml:space="preserve"> (YEAR(#REF!) - YEAR(#REF!)) * 12 + MONTH(#REF!) - MONTH(#REF!)</f>
        <v>#REF!</v>
      </c>
      <c r="W94" s="1" t="e">
        <f>#REF!+#REF!</f>
        <v>#REF!</v>
      </c>
      <c r="X94" s="1">
        <v>45698</v>
      </c>
      <c r="Y94" s="1">
        <v>46341</v>
      </c>
      <c r="Z94">
        <v>5</v>
      </c>
      <c r="AA94">
        <v>1</v>
      </c>
      <c r="AC94" s="2" t="e">
        <f>_xlfn.XLOOKUP(#REF!,Portefeuille_MNT_PPS_Access27[Numéro projet],Portefeuille_MNT_PPS_Access27[Critère Etat Infrastructure])</f>
        <v>#REF!</v>
      </c>
      <c r="AD94" s="12" t="e">
        <f>IF(#REF!=5,100, SUM(IF(#REF!="",#REF!*$AE$8/5,#REF!*$AE$8/5),#REF!* $AE$10/5,#REF!* $AE$9/5,#REF!* $AE$7/5)*100)</f>
        <v>#REF!</v>
      </c>
      <c r="AE94" s="221"/>
      <c r="AF94" t="s">
        <v>125</v>
      </c>
      <c r="AG94">
        <v>3.35</v>
      </c>
      <c r="AH94">
        <v>577</v>
      </c>
      <c r="AI94">
        <v>0</v>
      </c>
      <c r="AJ94">
        <v>50</v>
      </c>
      <c r="AK94">
        <v>100</v>
      </c>
      <c r="AL94">
        <v>200</v>
      </c>
      <c r="AM94">
        <v>1594.9999999999998</v>
      </c>
      <c r="AN94">
        <v>106.00000000000001</v>
      </c>
      <c r="AO94">
        <v>3411.0000000000005</v>
      </c>
      <c r="AP94">
        <v>212.00000000000003</v>
      </c>
      <c r="AQ94">
        <v>5141.0000000000009</v>
      </c>
      <c r="AR94">
        <v>27.999999999999993</v>
      </c>
      <c r="AS94">
        <v>5153.0000000000009</v>
      </c>
      <c r="AT94">
        <v>28</v>
      </c>
      <c r="AU94">
        <v>5046.9999999999991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21648</v>
      </c>
      <c r="BI94">
        <v>20921</v>
      </c>
      <c r="BJ94">
        <v>20921</v>
      </c>
      <c r="DP94"/>
    </row>
    <row r="95" spans="1:120" x14ac:dyDescent="0.3">
      <c r="A95" t="s">
        <v>286</v>
      </c>
      <c r="B95" t="s">
        <v>664</v>
      </c>
      <c r="C95" t="s">
        <v>733</v>
      </c>
      <c r="D95" t="s">
        <v>101</v>
      </c>
      <c r="E95" t="s">
        <v>102</v>
      </c>
      <c r="F95" t="s">
        <v>103</v>
      </c>
      <c r="G95" t="s">
        <v>129</v>
      </c>
      <c r="H95" t="s">
        <v>16</v>
      </c>
      <c r="I95" t="s">
        <v>16</v>
      </c>
      <c r="J95" t="s">
        <v>131</v>
      </c>
      <c r="K95" t="s">
        <v>132</v>
      </c>
      <c r="L95" t="s">
        <v>288</v>
      </c>
      <c r="M95" t="s">
        <v>134</v>
      </c>
      <c r="N95">
        <v>2026</v>
      </c>
      <c r="O95" t="s">
        <v>123</v>
      </c>
      <c r="P95" s="1"/>
      <c r="Q95" s="1">
        <v>45218</v>
      </c>
      <c r="R95" s="1" t="e">
        <f xml:space="preserve"> IF(#REF! = "", "X",IF(#REF! &lt;= DATE(#REF!- 3, 12, 15),"5.Respect OPC",IF(#REF! &lt;= DATE(#REF!-2, 4, 1),"3.À risque","1.Très à risque")))</f>
        <v>#REF!</v>
      </c>
      <c r="S95" s="1" t="e">
        <f xml:space="preserve"> IF(#REF! = "", "X",IF(#REF! &lt;= DATE(#REF!- 2, 12, 15),"5.Respect OPC",IF(#REF! &lt;= DATE(#REF!-1, 4, 1),"3.À risque","1.Très à risque")))</f>
        <v>#REF!</v>
      </c>
      <c r="T95" s="1" t="e">
        <f xml:space="preserve"> IF(#REF! = "", "X",IF(#REF! &lt;= DATE(#REF!- 1, 12, 15),"5.Respect OPC",IF(#REF! &lt;= DATE(#REF!, 4, 1),"3.À risque","1.Très à risque")))</f>
        <v>#REF!</v>
      </c>
      <c r="U95" s="1" t="e">
        <f xml:space="preserve"> (YEAR(#REF!) - YEAR(#REF!)) * 12 + MONTH(#REF!) - MONTH(#REF!)</f>
        <v>#REF!</v>
      </c>
      <c r="V95" s="1" t="e">
        <f xml:space="preserve"> (YEAR(#REF!) - YEAR(#REF!)) * 12 + MONTH(#REF!) - MONTH(#REF!)</f>
        <v>#REF!</v>
      </c>
      <c r="W95" s="1" t="e">
        <f>#REF!+#REF!</f>
        <v>#REF!</v>
      </c>
      <c r="X95" s="1">
        <v>45722</v>
      </c>
      <c r="Y95" s="1">
        <v>45976</v>
      </c>
      <c r="Z95">
        <v>5</v>
      </c>
      <c r="AA95">
        <v>5</v>
      </c>
      <c r="AC95" s="2" t="e">
        <f>_xlfn.XLOOKUP(#REF!,Portefeuille_MNT_PPS_Access27[Numéro projet],Portefeuille_MNT_PPS_Access27[Critère Etat Infrastructure])</f>
        <v>#REF!</v>
      </c>
      <c r="AD95" s="12" t="e">
        <f>IF(#REF!=5,100, SUM(IF(#REF!="",#REF!*$AE$8/5,#REF!*$AE$8/5),#REF!* $AE$10/5,#REF!* $AE$9/5,#REF!* $AE$7/5)*100)</f>
        <v>#REF!</v>
      </c>
      <c r="AE95" s="221"/>
      <c r="AF95" t="s">
        <v>125</v>
      </c>
      <c r="AG95">
        <v>2.3333333333333335</v>
      </c>
      <c r="AH95">
        <v>133</v>
      </c>
      <c r="AI95">
        <v>0</v>
      </c>
      <c r="AJ95">
        <v>362</v>
      </c>
      <c r="AK95">
        <v>4776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5271</v>
      </c>
      <c r="DP95"/>
    </row>
    <row r="96" spans="1:120" hidden="1" x14ac:dyDescent="0.3">
      <c r="A96" t="s">
        <v>286</v>
      </c>
      <c r="B96" t="s">
        <v>295</v>
      </c>
      <c r="C96" t="s">
        <v>733</v>
      </c>
      <c r="D96" t="s">
        <v>126</v>
      </c>
      <c r="E96" t="s">
        <v>127</v>
      </c>
      <c r="F96" t="s">
        <v>103</v>
      </c>
      <c r="G96" t="s">
        <v>104</v>
      </c>
      <c r="H96" t="s">
        <v>16</v>
      </c>
      <c r="I96" t="s">
        <v>130</v>
      </c>
      <c r="J96" t="s">
        <v>131</v>
      </c>
      <c r="K96" t="s">
        <v>220</v>
      </c>
      <c r="L96" t="s">
        <v>221</v>
      </c>
      <c r="M96" t="s">
        <v>159</v>
      </c>
      <c r="N96">
        <v>2028</v>
      </c>
      <c r="O96" t="s">
        <v>155</v>
      </c>
      <c r="P96" s="1"/>
      <c r="Q96" s="1">
        <v>45976</v>
      </c>
      <c r="R96" s="1" t="e">
        <f xml:space="preserve"> IF(#REF! = "", "X",IF(#REF! &lt;= DATE(#REF!- 3, 12, 15),"5.Respect OPC",IF(#REF! &lt;= DATE(#REF!-2, 4, 1),"3.À risque","1.Très à risque")))</f>
        <v>#REF!</v>
      </c>
      <c r="S96" s="1" t="e">
        <f xml:space="preserve"> IF(#REF! = "", "X",IF(#REF! &lt;= DATE(#REF!- 2, 12, 15),"5.Respect OPC",IF(#REF! &lt;= DATE(#REF!-1, 4, 1),"3.À risque","1.Très à risque")))</f>
        <v>#REF!</v>
      </c>
      <c r="T96" s="1" t="e">
        <f xml:space="preserve"> IF(#REF! = "", "X",IF(#REF! &lt;= DATE(#REF!- 1, 12, 15),"5.Respect OPC",IF(#REF! &lt;= DATE(#REF!, 4, 1),"3.À risque","1.Très à risque")))</f>
        <v>#REF!</v>
      </c>
      <c r="U96" s="1" t="e">
        <f xml:space="preserve"> (YEAR(#REF!) - YEAR(#REF!)) * 12 + MONTH(#REF!) - MONTH(#REF!)</f>
        <v>#REF!</v>
      </c>
      <c r="V96" s="1" t="e">
        <f xml:space="preserve"> (YEAR(#REF!) - YEAR(#REF!)) * 12 + MONTH(#REF!) - MONTH(#REF!)</f>
        <v>#REF!</v>
      </c>
      <c r="W96" s="1" t="e">
        <f>#REF!+#REF!</f>
        <v>#REF!</v>
      </c>
      <c r="X96" s="1">
        <v>46264</v>
      </c>
      <c r="Y96" s="1">
        <v>46553</v>
      </c>
      <c r="Z96">
        <v>5</v>
      </c>
      <c r="AA96">
        <v>1</v>
      </c>
      <c r="AB96">
        <v>5</v>
      </c>
      <c r="AC96" s="2" t="e">
        <f>_xlfn.XLOOKUP(#REF!,Portefeuille_MNT_PPS_Access27[Numéro projet],Portefeuille_MNT_PPS_Access27[Critère Etat Infrastructure])</f>
        <v>#REF!</v>
      </c>
      <c r="AD96" s="12" t="e">
        <f>IF(#REF!=5,100, SUM(IF(#REF!="",#REF!*$AE$8/5,#REF!*$AE$8/5),#REF!* $AE$10/5,#REF!* $AE$9/5,#REF!* $AE$7/5)*100)</f>
        <v>#REF!</v>
      </c>
      <c r="AE96" s="221"/>
      <c r="AF96" t="s">
        <v>156</v>
      </c>
      <c r="AG96">
        <v>4.333333333333333</v>
      </c>
      <c r="AH96">
        <v>44</v>
      </c>
      <c r="AI96">
        <v>0</v>
      </c>
      <c r="AJ96">
        <v>130</v>
      </c>
      <c r="AK96">
        <v>0</v>
      </c>
      <c r="AL96">
        <v>94</v>
      </c>
      <c r="AM96">
        <v>0</v>
      </c>
      <c r="AN96">
        <v>106</v>
      </c>
      <c r="AO96">
        <v>10000</v>
      </c>
      <c r="AP96">
        <v>106</v>
      </c>
      <c r="AQ96">
        <v>20662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31142</v>
      </c>
      <c r="BI96">
        <v>30968</v>
      </c>
      <c r="BJ96">
        <v>30968</v>
      </c>
      <c r="DP96"/>
    </row>
    <row r="97" spans="1:120" hidden="1" x14ac:dyDescent="0.3">
      <c r="A97" t="s">
        <v>286</v>
      </c>
      <c r="B97" t="s">
        <v>664</v>
      </c>
      <c r="C97" t="s">
        <v>733</v>
      </c>
      <c r="D97" t="s">
        <v>101</v>
      </c>
      <c r="E97" t="s">
        <v>102</v>
      </c>
      <c r="F97" t="s">
        <v>128</v>
      </c>
      <c r="G97" t="s">
        <v>140</v>
      </c>
      <c r="H97" t="s">
        <v>16</v>
      </c>
      <c r="I97" t="s">
        <v>16</v>
      </c>
      <c r="J97" t="s">
        <v>105</v>
      </c>
      <c r="K97" t="s">
        <v>141</v>
      </c>
      <c r="L97" t="s">
        <v>142</v>
      </c>
      <c r="M97" t="s">
        <v>143</v>
      </c>
      <c r="N97">
        <v>2026</v>
      </c>
      <c r="O97" t="s">
        <v>123</v>
      </c>
      <c r="P97" s="1">
        <v>42499</v>
      </c>
      <c r="Q97" s="1">
        <v>42900</v>
      </c>
      <c r="R97" s="1" t="e">
        <f xml:space="preserve"> IF(#REF! = "", "X",IF(#REF! &lt;= DATE(#REF!- 3, 12, 15),"5.Respect OPC",IF(#REF! &lt;= DATE(#REF!-2, 4, 1),"3.À risque","1.Très à risque")))</f>
        <v>#REF!</v>
      </c>
      <c r="S97" s="1" t="e">
        <f xml:space="preserve"> IF(#REF! = "", "X",IF(#REF! &lt;= DATE(#REF!- 2, 12, 15),"5.Respect OPC",IF(#REF! &lt;= DATE(#REF!-1, 4, 1),"3.À risque","1.Très à risque")))</f>
        <v>#REF!</v>
      </c>
      <c r="T97" s="1" t="e">
        <f xml:space="preserve"> IF(#REF! = "", "X",IF(#REF! &lt;= DATE(#REF!- 1, 12, 15),"5.Respect OPC",IF(#REF! &lt;= DATE(#REF!, 4, 1),"3.À risque","1.Très à risque")))</f>
        <v>#REF!</v>
      </c>
      <c r="U97" s="1" t="e">
        <f xml:space="preserve"> (YEAR(#REF!) - YEAR(#REF!)) * 12 + MONTH(#REF!) - MONTH(#REF!)</f>
        <v>#REF!</v>
      </c>
      <c r="V97" s="1" t="e">
        <f xml:space="preserve"> (YEAR(#REF!) - YEAR(#REF!)) * 12 + MONTH(#REF!) - MONTH(#REF!)</f>
        <v>#REF!</v>
      </c>
      <c r="W97" s="1" t="e">
        <f>#REF!+#REF!</f>
        <v>#REF!</v>
      </c>
      <c r="X97" s="1">
        <v>45323</v>
      </c>
      <c r="Y97" s="1">
        <v>45889</v>
      </c>
      <c r="Z97">
        <v>5</v>
      </c>
      <c r="AA97">
        <v>1</v>
      </c>
      <c r="AC97" s="2" t="e">
        <f>_xlfn.XLOOKUP(#REF!,Portefeuille_MNT_PPS_Access27[Numéro projet],Portefeuille_MNT_PPS_Access27[Critère Etat Infrastructure])</f>
        <v>#REF!</v>
      </c>
      <c r="AD97" s="12" t="e">
        <f>IF(#REF!=5,100, SUM(IF(#REF!="",#REF!*$AE$8/5,#REF!*$AE$8/5),#REF!* $AE$10/5,#REF!* $AE$9/5,#REF!* $AE$7/5)*100)</f>
        <v>#REF!</v>
      </c>
      <c r="AE97" s="221"/>
      <c r="AF97" t="s">
        <v>125</v>
      </c>
      <c r="AG97">
        <v>4.333333333333333</v>
      </c>
      <c r="AH97">
        <v>61</v>
      </c>
      <c r="AI97">
        <v>0</v>
      </c>
      <c r="AJ97">
        <v>400</v>
      </c>
      <c r="AK97">
        <v>5141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5602</v>
      </c>
      <c r="DP97"/>
    </row>
    <row r="98" spans="1:120" hidden="1" x14ac:dyDescent="0.3">
      <c r="A98" t="s">
        <v>286</v>
      </c>
      <c r="B98" t="s">
        <v>663</v>
      </c>
      <c r="C98" t="s">
        <v>733</v>
      </c>
      <c r="D98" t="s">
        <v>101</v>
      </c>
      <c r="E98" t="s">
        <v>102</v>
      </c>
      <c r="F98" t="s">
        <v>136</v>
      </c>
      <c r="G98" t="s">
        <v>104</v>
      </c>
      <c r="H98" t="s">
        <v>20</v>
      </c>
      <c r="I98" t="s">
        <v>20</v>
      </c>
      <c r="J98" t="s">
        <v>105</v>
      </c>
      <c r="K98" t="s">
        <v>368</v>
      </c>
      <c r="L98" t="s">
        <v>369</v>
      </c>
      <c r="M98" t="s">
        <v>217</v>
      </c>
      <c r="N98">
        <v>2031</v>
      </c>
      <c r="O98" t="s">
        <v>291</v>
      </c>
      <c r="P98" s="1"/>
      <c r="Q98" s="1"/>
      <c r="R98" s="1" t="e">
        <f xml:space="preserve"> IF(#REF! = "", "X",IF(#REF! &lt;= DATE(#REF!- 3, 12, 15),"5.Respect OPC",IF(#REF! &lt;= DATE(#REF!-2, 4, 1),"3.À risque","1.Très à risque")))</f>
        <v>#REF!</v>
      </c>
      <c r="S98" s="1" t="e">
        <f xml:space="preserve"> IF(#REF! = "", "X",IF(#REF! &lt;= DATE(#REF!- 2, 12, 15),"5.Respect OPC",IF(#REF! &lt;= DATE(#REF!-1, 4, 1),"3.À risque","1.Très à risque")))</f>
        <v>#REF!</v>
      </c>
      <c r="T98" s="1" t="e">
        <f xml:space="preserve"> IF(#REF! = "", "X",IF(#REF! &lt;= DATE(#REF!- 1, 12, 15),"5.Respect OPC",IF(#REF! &lt;= DATE(#REF!, 4, 1),"3.À risque","1.Très à risque")))</f>
        <v>#REF!</v>
      </c>
      <c r="U98" s="1" t="e">
        <f xml:space="preserve"> (YEAR(#REF!) - YEAR(#REF!)) * 12 + MONTH(#REF!) - MONTH(#REF!)</f>
        <v>#REF!</v>
      </c>
      <c r="V98" s="1" t="e">
        <f xml:space="preserve"> (YEAR(#REF!) - YEAR(#REF!)) * 12 + MONTH(#REF!) - MONTH(#REF!)</f>
        <v>#REF!</v>
      </c>
      <c r="W98" s="1" t="e">
        <f>#REF!+#REF!</f>
        <v>#REF!</v>
      </c>
      <c r="X98" s="1"/>
      <c r="Y98" s="1"/>
      <c r="Z98">
        <v>5</v>
      </c>
      <c r="AA98">
        <v>1</v>
      </c>
      <c r="AC98" s="2" t="e">
        <f>_xlfn.XLOOKUP(#REF!,Portefeuille_MNT_PPS_Access27[Numéro projet],Portefeuille_MNT_PPS_Access27[Critère Etat Infrastructure])</f>
        <v>#REF!</v>
      </c>
      <c r="AD98" s="12" t="e">
        <f>IF(#REF!=5,100, SUM(IF(#REF!="",#REF!*$AE$8/5,#REF!*$AE$8/5),#REF!* $AE$10/5,#REF!* $AE$9/5,#REF!* $AE$7/5)*100)</f>
        <v>#REF!</v>
      </c>
      <c r="AE98" s="221"/>
      <c r="AF98" t="s">
        <v>311</v>
      </c>
      <c r="AG98">
        <v>2.6666666666666665</v>
      </c>
      <c r="AH98">
        <v>0</v>
      </c>
      <c r="AI98">
        <v>0</v>
      </c>
      <c r="AJ98">
        <v>0</v>
      </c>
      <c r="AK98">
        <v>0</v>
      </c>
      <c r="AL98">
        <v>250</v>
      </c>
      <c r="AM98">
        <v>0</v>
      </c>
      <c r="AN98">
        <v>250</v>
      </c>
      <c r="AO98">
        <v>0</v>
      </c>
      <c r="AP98">
        <v>200</v>
      </c>
      <c r="AQ98">
        <v>0</v>
      </c>
      <c r="AR98">
        <v>200</v>
      </c>
      <c r="AS98">
        <v>0</v>
      </c>
      <c r="AT98">
        <v>500</v>
      </c>
      <c r="AU98">
        <v>5700</v>
      </c>
      <c r="AV98">
        <v>500</v>
      </c>
      <c r="AW98">
        <v>5500</v>
      </c>
      <c r="AX98">
        <v>500</v>
      </c>
      <c r="AY98">
        <v>6700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20300</v>
      </c>
      <c r="BI98">
        <v>7100</v>
      </c>
      <c r="BJ98">
        <v>20300</v>
      </c>
      <c r="DP98"/>
    </row>
    <row r="99" spans="1:120" hidden="1" x14ac:dyDescent="0.3">
      <c r="A99" t="s">
        <v>286</v>
      </c>
      <c r="B99" t="s">
        <v>664</v>
      </c>
      <c r="C99" t="s">
        <v>733</v>
      </c>
      <c r="D99" t="s">
        <v>101</v>
      </c>
      <c r="E99" t="s">
        <v>102</v>
      </c>
      <c r="F99" t="s">
        <v>128</v>
      </c>
      <c r="G99" t="s">
        <v>113</v>
      </c>
      <c r="H99" t="s">
        <v>16</v>
      </c>
      <c r="I99" t="s">
        <v>16</v>
      </c>
      <c r="J99" t="s">
        <v>105</v>
      </c>
      <c r="K99" t="s">
        <v>160</v>
      </c>
      <c r="L99" t="s">
        <v>161</v>
      </c>
      <c r="M99" t="s">
        <v>122</v>
      </c>
      <c r="N99">
        <v>2025</v>
      </c>
      <c r="O99" t="s">
        <v>164</v>
      </c>
      <c r="P99" s="1">
        <v>43013</v>
      </c>
      <c r="Q99" s="1">
        <v>44956</v>
      </c>
      <c r="R99" s="1" t="e">
        <f xml:space="preserve"> IF(#REF! = "", "X",IF(#REF! &lt;= DATE(#REF!- 3, 12, 15),"5.Respect OPC",IF(#REF! &lt;= DATE(#REF!-2, 4, 1),"3.À risque","1.Très à risque")))</f>
        <v>#REF!</v>
      </c>
      <c r="S99" s="1" t="e">
        <f xml:space="preserve"> IF(#REF! = "", "X",IF(#REF! &lt;= DATE(#REF!- 2, 12, 15),"5.Respect OPC",IF(#REF! &lt;= DATE(#REF!-1, 4, 1),"3.À risque","1.Très à risque")))</f>
        <v>#REF!</v>
      </c>
      <c r="T99" s="1" t="e">
        <f xml:space="preserve"> IF(#REF! = "", "X",IF(#REF! &lt;= DATE(#REF!- 1, 12, 15),"5.Respect OPC",IF(#REF! &lt;= DATE(#REF!, 4, 1),"3.À risque","1.Très à risque")))</f>
        <v>#REF!</v>
      </c>
      <c r="U99" s="1" t="e">
        <f xml:space="preserve"> (YEAR(#REF!) - YEAR(#REF!)) * 12 + MONTH(#REF!) - MONTH(#REF!)</f>
        <v>#REF!</v>
      </c>
      <c r="V99" s="1" t="e">
        <f xml:space="preserve"> (YEAR(#REF!) - YEAR(#REF!)) * 12 + MONTH(#REF!) - MONTH(#REF!)</f>
        <v>#REF!</v>
      </c>
      <c r="W99" s="1" t="e">
        <f>#REF!+#REF!</f>
        <v>#REF!</v>
      </c>
      <c r="X99" s="1">
        <v>45321</v>
      </c>
      <c r="Y99" s="1">
        <v>45687</v>
      </c>
      <c r="Z99">
        <v>5</v>
      </c>
      <c r="AA99">
        <v>1</v>
      </c>
      <c r="AC99" s="2" t="e">
        <f>_xlfn.XLOOKUP(#REF!,Portefeuille_MNT_PPS_Access27[Numéro projet],Portefeuille_MNT_PPS_Access27[Critère Etat Infrastructure])</f>
        <v>#REF!</v>
      </c>
      <c r="AD99" s="12" t="e">
        <f>IF(#REF!=5,100, SUM(IF(#REF!="",#REF!*$AE$8/5,#REF!*$AE$8/5),#REF!* $AE$10/5,#REF!* $AE$9/5,#REF!* $AE$7/5)*100)</f>
        <v>#REF!</v>
      </c>
      <c r="AE99" s="221"/>
      <c r="AF99" t="s">
        <v>165</v>
      </c>
      <c r="AG99">
        <v>4</v>
      </c>
      <c r="AH99">
        <v>311</v>
      </c>
      <c r="AI99">
        <v>4537</v>
      </c>
      <c r="AJ99">
        <v>34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4882</v>
      </c>
      <c r="DP99"/>
    </row>
    <row r="100" spans="1:120" hidden="1" x14ac:dyDescent="0.3">
      <c r="A100" t="s">
        <v>286</v>
      </c>
      <c r="B100" t="s">
        <v>662</v>
      </c>
      <c r="C100" t="s">
        <v>733</v>
      </c>
      <c r="D100" t="s">
        <v>118</v>
      </c>
      <c r="E100" t="s">
        <v>102</v>
      </c>
      <c r="F100" t="s">
        <v>103</v>
      </c>
      <c r="H100" t="s">
        <v>20</v>
      </c>
      <c r="I100" t="s">
        <v>20</v>
      </c>
      <c r="J100" t="s">
        <v>131</v>
      </c>
      <c r="K100" t="s">
        <v>371</v>
      </c>
      <c r="L100" t="s">
        <v>372</v>
      </c>
      <c r="M100" t="s">
        <v>152</v>
      </c>
      <c r="N100">
        <v>2031</v>
      </c>
      <c r="O100" t="s">
        <v>291</v>
      </c>
      <c r="P100" s="1"/>
      <c r="Q100" s="1"/>
      <c r="R100" s="1" t="e">
        <f xml:space="preserve"> IF(#REF! = "", "X",IF(#REF! &lt;= DATE(#REF!- 3, 12, 15),"5.Respect OPC",IF(#REF! &lt;= DATE(#REF!-2, 4, 1),"3.À risque","1.Très à risque")))</f>
        <v>#REF!</v>
      </c>
      <c r="S100" s="1" t="e">
        <f xml:space="preserve"> IF(#REF! = "", "X",IF(#REF! &lt;= DATE(#REF!- 2, 12, 15),"5.Respect OPC",IF(#REF! &lt;= DATE(#REF!-1, 4, 1),"3.À risque","1.Très à risque")))</f>
        <v>#REF!</v>
      </c>
      <c r="T100" s="1" t="e">
        <f xml:space="preserve"> IF(#REF! = "", "X",IF(#REF! &lt;= DATE(#REF!- 1, 12, 15),"5.Respect OPC",IF(#REF! &lt;= DATE(#REF!, 4, 1),"3.À risque","1.Très à risque")))</f>
        <v>#REF!</v>
      </c>
      <c r="U100" s="1" t="e">
        <f xml:space="preserve"> (YEAR(#REF!) - YEAR(#REF!)) * 12 + MONTH(#REF!) - MONTH(#REF!)</f>
        <v>#REF!</v>
      </c>
      <c r="V100" s="1" t="e">
        <f xml:space="preserve"> (YEAR(#REF!) - YEAR(#REF!)) * 12 + MONTH(#REF!) - MONTH(#REF!)</f>
        <v>#REF!</v>
      </c>
      <c r="W100" s="1" t="e">
        <f>#REF!+#REF!</f>
        <v>#REF!</v>
      </c>
      <c r="X100" s="1"/>
      <c r="Y100" s="1"/>
      <c r="Z100">
        <v>5</v>
      </c>
      <c r="AA100">
        <v>1</v>
      </c>
      <c r="AC100" s="2" t="e">
        <f>_xlfn.XLOOKUP(#REF!,Portefeuille_MNT_PPS_Access27[Numéro projet],Portefeuille_MNT_PPS_Access27[Critère Etat Infrastructure])</f>
        <v>#REF!</v>
      </c>
      <c r="AD100" s="12" t="e">
        <f>IF(#REF!=5,100, SUM(IF(#REF!="",#REF!*$AE$8/5,#REF!*$AE$8/5),#REF!* $AE$10/5,#REF!* $AE$9/5,#REF!* $AE$7/5)*100)</f>
        <v>#REF!</v>
      </c>
      <c r="AE100" s="221"/>
      <c r="AF100" t="s">
        <v>311</v>
      </c>
      <c r="AG100">
        <v>3.3333333333333335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100</v>
      </c>
      <c r="AQ100">
        <v>0</v>
      </c>
      <c r="AR100">
        <v>200</v>
      </c>
      <c r="AS100">
        <v>0</v>
      </c>
      <c r="AT100">
        <v>450</v>
      </c>
      <c r="AU100">
        <v>7500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8250</v>
      </c>
      <c r="BI100">
        <v>8250</v>
      </c>
      <c r="BJ100">
        <v>8250</v>
      </c>
      <c r="DP100"/>
    </row>
    <row r="101" spans="1:120" hidden="1" x14ac:dyDescent="0.3">
      <c r="A101" t="s">
        <v>286</v>
      </c>
      <c r="B101" t="s">
        <v>663</v>
      </c>
      <c r="C101" t="s">
        <v>733</v>
      </c>
      <c r="D101" t="s">
        <v>101</v>
      </c>
      <c r="E101" t="s">
        <v>102</v>
      </c>
      <c r="F101" t="s">
        <v>136</v>
      </c>
      <c r="G101" t="s">
        <v>144</v>
      </c>
      <c r="H101" t="s">
        <v>16</v>
      </c>
      <c r="I101" t="s">
        <v>20</v>
      </c>
      <c r="K101" t="s">
        <v>195</v>
      </c>
      <c r="L101" t="s">
        <v>196</v>
      </c>
      <c r="M101" t="s">
        <v>725</v>
      </c>
      <c r="N101">
        <v>2028</v>
      </c>
      <c r="O101" t="s">
        <v>110</v>
      </c>
      <c r="P101" s="1"/>
      <c r="Q101" s="1">
        <v>44889</v>
      </c>
      <c r="R101" s="1" t="e">
        <f xml:space="preserve"> IF(#REF! = "", "X",IF(#REF! &lt;= DATE(#REF!- 3, 12, 15),"5.Respect OPC",IF(#REF! &lt;= DATE(#REF!-2, 4, 1),"3.À risque","1.Très à risque")))</f>
        <v>#REF!</v>
      </c>
      <c r="S101" s="1" t="e">
        <f xml:space="preserve"> IF(#REF! = "", "X",IF(#REF! &lt;= DATE(#REF!- 2, 12, 15),"5.Respect OPC",IF(#REF! &lt;= DATE(#REF!-1, 4, 1),"3.À risque","1.Très à risque")))</f>
        <v>#REF!</v>
      </c>
      <c r="T101" s="1" t="e">
        <f xml:space="preserve"> IF(#REF! = "", "X",IF(#REF! &lt;= DATE(#REF!- 1, 12, 15),"5.Respect OPC",IF(#REF! &lt;= DATE(#REF!, 4, 1),"3.À risque","1.Très à risque")))</f>
        <v>#REF!</v>
      </c>
      <c r="U101" s="1" t="e">
        <f xml:space="preserve"> (YEAR(#REF!) - YEAR(#REF!)) * 12 + MONTH(#REF!) - MONTH(#REF!)</f>
        <v>#REF!</v>
      </c>
      <c r="V101" s="1" t="e">
        <f xml:space="preserve"> (YEAR(#REF!) - YEAR(#REF!)) * 12 + MONTH(#REF!) - MONTH(#REF!)</f>
        <v>#REF!</v>
      </c>
      <c r="W101" s="1" t="e">
        <f>#REF!+#REF!</f>
        <v>#REF!</v>
      </c>
      <c r="X101" s="1">
        <v>46068</v>
      </c>
      <c r="Y101" s="1">
        <v>46583</v>
      </c>
      <c r="Z101">
        <v>5</v>
      </c>
      <c r="AA101">
        <v>1</v>
      </c>
      <c r="AB101">
        <v>5</v>
      </c>
      <c r="AC101" s="2" t="e">
        <f>_xlfn.XLOOKUP(#REF!,Portefeuille_MNT_PPS_Access27[Numéro projet],Portefeuille_MNT_PPS_Access27[Critère Etat Infrastructure])</f>
        <v>#REF!</v>
      </c>
      <c r="AD101" s="12" t="e">
        <f>IF(#REF!=5,100, SUM(IF(#REF!="",#REF!*$AE$8/5,#REF!*$AE$8/5),#REF!* $AE$10/5,#REF!* $AE$9/5,#REF!* $AE$7/5)*100)</f>
        <v>#REF!</v>
      </c>
      <c r="AE101" s="221"/>
      <c r="AF101" t="s">
        <v>112</v>
      </c>
      <c r="AG101">
        <v>2.6666666666666665</v>
      </c>
      <c r="AH101">
        <v>1948</v>
      </c>
      <c r="AI101">
        <v>0</v>
      </c>
      <c r="AJ101">
        <v>1611</v>
      </c>
      <c r="AK101">
        <v>0</v>
      </c>
      <c r="AL101">
        <v>1611</v>
      </c>
      <c r="AM101">
        <v>0</v>
      </c>
      <c r="AN101">
        <v>1611</v>
      </c>
      <c r="AO101">
        <v>2500</v>
      </c>
      <c r="AP101">
        <v>1200</v>
      </c>
      <c r="AQ101">
        <v>11500</v>
      </c>
      <c r="AR101">
        <v>112</v>
      </c>
      <c r="AS101">
        <v>21000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43093</v>
      </c>
      <c r="BI101">
        <v>39534</v>
      </c>
      <c r="BJ101">
        <v>39534</v>
      </c>
      <c r="DP101"/>
    </row>
    <row r="102" spans="1:120" hidden="1" x14ac:dyDescent="0.3">
      <c r="A102" t="s">
        <v>286</v>
      </c>
      <c r="B102" t="s">
        <v>663</v>
      </c>
      <c r="C102" t="s">
        <v>733</v>
      </c>
      <c r="D102" t="s">
        <v>101</v>
      </c>
      <c r="E102" t="s">
        <v>102</v>
      </c>
      <c r="F102" t="s">
        <v>136</v>
      </c>
      <c r="G102" t="s">
        <v>206</v>
      </c>
      <c r="H102" t="s">
        <v>130</v>
      </c>
      <c r="I102" t="s">
        <v>20</v>
      </c>
      <c r="J102" t="s">
        <v>131</v>
      </c>
      <c r="K102" t="s">
        <v>375</v>
      </c>
      <c r="L102" t="s">
        <v>376</v>
      </c>
      <c r="M102" t="s">
        <v>209</v>
      </c>
      <c r="N102">
        <v>2029</v>
      </c>
      <c r="O102" t="s">
        <v>155</v>
      </c>
      <c r="P102" s="1">
        <v>46006</v>
      </c>
      <c r="Q102" s="1">
        <v>46280</v>
      </c>
      <c r="R102" s="1" t="e">
        <f xml:space="preserve"> IF(#REF! = "", "X",IF(#REF! &lt;= DATE(#REF!- 3, 12, 15),"5.Respect OPC",IF(#REF! &lt;= DATE(#REF!-2, 4, 1),"3.À risque","1.Très à risque")))</f>
        <v>#REF!</v>
      </c>
      <c r="S102" s="1" t="e">
        <f xml:space="preserve"> IF(#REF! = "", "X",IF(#REF! &lt;= DATE(#REF!- 2, 12, 15),"5.Respect OPC",IF(#REF! &lt;= DATE(#REF!-1, 4, 1),"3.À risque","1.Très à risque")))</f>
        <v>#REF!</v>
      </c>
      <c r="T102" s="1" t="e">
        <f xml:space="preserve"> IF(#REF! = "", "X",IF(#REF! &lt;= DATE(#REF!- 1, 12, 15),"5.Respect OPC",IF(#REF! &lt;= DATE(#REF!, 4, 1),"3.À risque","1.Très à risque")))</f>
        <v>#REF!</v>
      </c>
      <c r="U102" s="1" t="e">
        <f xml:space="preserve"> (YEAR(#REF!) - YEAR(#REF!)) * 12 + MONTH(#REF!) - MONTH(#REF!)</f>
        <v>#REF!</v>
      </c>
      <c r="V102" s="1" t="e">
        <f xml:space="preserve"> (YEAR(#REF!) - YEAR(#REF!)) * 12 + MONTH(#REF!) - MONTH(#REF!)</f>
        <v>#REF!</v>
      </c>
      <c r="W102" s="1" t="e">
        <f>#REF!+#REF!</f>
        <v>#REF!</v>
      </c>
      <c r="X102" s="1">
        <v>46645</v>
      </c>
      <c r="Y102" s="1">
        <v>47011</v>
      </c>
      <c r="Z102">
        <v>5</v>
      </c>
      <c r="AA102">
        <v>1</v>
      </c>
      <c r="AB102">
        <v>5</v>
      </c>
      <c r="AC102" s="2" t="e">
        <f>_xlfn.XLOOKUP(#REF!,Portefeuille_MNT_PPS_Access27[Numéro projet],Portefeuille_MNT_PPS_Access27[Critère Etat Infrastructure])</f>
        <v>#REF!</v>
      </c>
      <c r="AD102" s="12" t="e">
        <f>IF(#REF!=5,100, SUM(IF(#REF!="",#REF!*$AE$8/5,#REF!*$AE$8/5),#REF!* $AE$10/5,#REF!* $AE$9/5,#REF!* $AE$7/5)*100)</f>
        <v>#REF!</v>
      </c>
      <c r="AE102" s="221"/>
      <c r="AF102" t="s">
        <v>156</v>
      </c>
      <c r="AG102">
        <v>3.3333333333333335</v>
      </c>
      <c r="AH102">
        <v>0</v>
      </c>
      <c r="AI102">
        <v>0</v>
      </c>
      <c r="AJ102">
        <v>0</v>
      </c>
      <c r="AK102">
        <v>0</v>
      </c>
      <c r="AL102">
        <v>250</v>
      </c>
      <c r="AM102">
        <v>0</v>
      </c>
      <c r="AN102">
        <v>350</v>
      </c>
      <c r="AO102">
        <v>0</v>
      </c>
      <c r="AP102">
        <v>500</v>
      </c>
      <c r="AQ102">
        <v>1500</v>
      </c>
      <c r="AR102">
        <v>500</v>
      </c>
      <c r="AS102">
        <v>6000</v>
      </c>
      <c r="AT102">
        <v>600</v>
      </c>
      <c r="AU102">
        <v>10000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19700</v>
      </c>
      <c r="BI102">
        <v>19700</v>
      </c>
      <c r="BJ102">
        <v>19700</v>
      </c>
      <c r="DP102"/>
    </row>
    <row r="103" spans="1:120" hidden="1" x14ac:dyDescent="0.3">
      <c r="A103" t="s">
        <v>286</v>
      </c>
      <c r="B103" t="s">
        <v>664</v>
      </c>
      <c r="C103" t="s">
        <v>733</v>
      </c>
      <c r="D103" t="s">
        <v>101</v>
      </c>
      <c r="E103" t="s">
        <v>102</v>
      </c>
      <c r="F103" t="s">
        <v>103</v>
      </c>
      <c r="G103" t="s">
        <v>140</v>
      </c>
      <c r="H103" t="s">
        <v>16</v>
      </c>
      <c r="I103" t="s">
        <v>16</v>
      </c>
      <c r="J103" t="s">
        <v>105</v>
      </c>
      <c r="K103" t="s">
        <v>174</v>
      </c>
      <c r="L103" t="s">
        <v>175</v>
      </c>
      <c r="M103" t="s">
        <v>143</v>
      </c>
      <c r="N103">
        <v>2025</v>
      </c>
      <c r="O103" t="s">
        <v>164</v>
      </c>
      <c r="P103" s="1">
        <v>44014</v>
      </c>
      <c r="Q103" s="1">
        <v>44014</v>
      </c>
      <c r="R103" s="1" t="e">
        <f xml:space="preserve"> IF(#REF! = "", "X",IF(#REF! &lt;= DATE(#REF!- 3, 12, 15),"5.Respect OPC",IF(#REF! &lt;= DATE(#REF!-2, 4, 1),"3.À risque","1.Très à risque")))</f>
        <v>#REF!</v>
      </c>
      <c r="S103" s="1" t="e">
        <f xml:space="preserve"> IF(#REF! = "", "X",IF(#REF! &lt;= DATE(#REF!- 2, 12, 15),"5.Respect OPC",IF(#REF! &lt;= DATE(#REF!-1, 4, 1),"3.À risque","1.Très à risque")))</f>
        <v>#REF!</v>
      </c>
      <c r="T103" s="1" t="e">
        <f xml:space="preserve"> IF(#REF! = "", "X",IF(#REF! &lt;= DATE(#REF!- 1, 12, 15),"5.Respect OPC",IF(#REF! &lt;= DATE(#REF!, 4, 1),"3.À risque","1.Très à risque")))</f>
        <v>#REF!</v>
      </c>
      <c r="U103" s="1" t="e">
        <f xml:space="preserve"> (YEAR(#REF!) - YEAR(#REF!)) * 12 + MONTH(#REF!) - MONTH(#REF!)</f>
        <v>#REF!</v>
      </c>
      <c r="V103" s="1" t="e">
        <f xml:space="preserve"> (YEAR(#REF!) - YEAR(#REF!)) * 12 + MONTH(#REF!) - MONTH(#REF!)</f>
        <v>#REF!</v>
      </c>
      <c r="W103" s="1" t="e">
        <f>#REF!+#REF!</f>
        <v>#REF!</v>
      </c>
      <c r="X103" s="1">
        <v>44294</v>
      </c>
      <c r="Y103" s="1">
        <v>45239</v>
      </c>
      <c r="Z103">
        <v>5</v>
      </c>
      <c r="AA103">
        <v>1</v>
      </c>
      <c r="AC103" s="2" t="e">
        <f>_xlfn.XLOOKUP(#REF!,Portefeuille_MNT_PPS_Access27[Numéro projet],Portefeuille_MNT_PPS_Access27[Critère Etat Infrastructure])</f>
        <v>#REF!</v>
      </c>
      <c r="AD103" s="12" t="e">
        <f>IF(#REF!=5,100, SUM(IF(#REF!="",#REF!*$AE$8/5,#REF!*$AE$8/5),#REF!* $AE$10/5,#REF!* $AE$9/5,#REF!* $AE$7/5)*100)</f>
        <v>#REF!</v>
      </c>
      <c r="AE103" s="221"/>
      <c r="AF103" t="s">
        <v>165</v>
      </c>
      <c r="AG103">
        <v>4.333333333333333</v>
      </c>
      <c r="AH103">
        <v>1462</v>
      </c>
      <c r="AI103">
        <v>44226</v>
      </c>
      <c r="AJ103">
        <v>55</v>
      </c>
      <c r="AK103">
        <v>1361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47104</v>
      </c>
      <c r="DP103"/>
    </row>
    <row r="104" spans="1:120" hidden="1" x14ac:dyDescent="0.3">
      <c r="A104" t="s">
        <v>286</v>
      </c>
      <c r="B104" t="s">
        <v>663</v>
      </c>
      <c r="C104" t="s">
        <v>733</v>
      </c>
      <c r="D104" t="s">
        <v>101</v>
      </c>
      <c r="E104" t="s">
        <v>102</v>
      </c>
      <c r="F104" t="s">
        <v>136</v>
      </c>
      <c r="G104" t="s">
        <v>149</v>
      </c>
      <c r="H104" t="s">
        <v>16</v>
      </c>
      <c r="I104" t="s">
        <v>20</v>
      </c>
      <c r="J104" t="s">
        <v>105</v>
      </c>
      <c r="K104" t="s">
        <v>203</v>
      </c>
      <c r="L104" t="s">
        <v>204</v>
      </c>
      <c r="M104" t="s">
        <v>205</v>
      </c>
      <c r="N104">
        <v>2028</v>
      </c>
      <c r="O104" t="s">
        <v>155</v>
      </c>
      <c r="P104" s="1">
        <v>45730</v>
      </c>
      <c r="Q104" s="1">
        <v>45960</v>
      </c>
      <c r="R104" s="1" t="e">
        <f xml:space="preserve"> IF(#REF! = "", "X",IF(#REF! &lt;= DATE(#REF!- 3, 12, 15),"5.Respect OPC",IF(#REF! &lt;= DATE(#REF!-2, 4, 1),"3.À risque","1.Très à risque")))</f>
        <v>#REF!</v>
      </c>
      <c r="S104" s="1" t="e">
        <f xml:space="preserve"> IF(#REF! = "", "X",IF(#REF! &lt;= DATE(#REF!- 2, 12, 15),"5.Respect OPC",IF(#REF! &lt;= DATE(#REF!-1, 4, 1),"3.À risque","1.Très à risque")))</f>
        <v>#REF!</v>
      </c>
      <c r="T104" s="1" t="e">
        <f xml:space="preserve"> IF(#REF! = "", "X",IF(#REF! &lt;= DATE(#REF!- 1, 12, 15),"5.Respect OPC",IF(#REF! &lt;= DATE(#REF!, 4, 1),"3.À risque","1.Très à risque")))</f>
        <v>#REF!</v>
      </c>
      <c r="U104" s="1" t="e">
        <f xml:space="preserve"> (YEAR(#REF!) - YEAR(#REF!)) * 12 + MONTH(#REF!) - MONTH(#REF!)</f>
        <v>#REF!</v>
      </c>
      <c r="V104" s="1" t="e">
        <f xml:space="preserve"> (YEAR(#REF!) - YEAR(#REF!)) * 12 + MONTH(#REF!) - MONTH(#REF!)</f>
        <v>#REF!</v>
      </c>
      <c r="W104" s="1" t="e">
        <f>#REF!+#REF!</f>
        <v>#REF!</v>
      </c>
      <c r="X104" s="1">
        <v>46264</v>
      </c>
      <c r="Y104" s="1">
        <v>46629</v>
      </c>
      <c r="Z104">
        <v>5</v>
      </c>
      <c r="AA104">
        <v>1</v>
      </c>
      <c r="AB104">
        <v>5</v>
      </c>
      <c r="AC104" s="2" t="e">
        <f>_xlfn.XLOOKUP(#REF!,Portefeuille_MNT_PPS_Access27[Numéro projet],Portefeuille_MNT_PPS_Access27[Critère Etat Infrastructure])</f>
        <v>#REF!</v>
      </c>
      <c r="AD104" s="12" t="e">
        <f>IF(#REF!=5,100, SUM(IF(#REF!="",#REF!*$AE$8/5,#REF!*$AE$8/5),#REF!* $AE$10/5,#REF!* $AE$9/5,#REF!* $AE$7/5)*100)</f>
        <v>#REF!</v>
      </c>
      <c r="AE104" s="221"/>
      <c r="AF104" t="s">
        <v>156</v>
      </c>
      <c r="AG104">
        <v>3</v>
      </c>
      <c r="AH104">
        <v>0</v>
      </c>
      <c r="AI104">
        <v>0</v>
      </c>
      <c r="AJ104">
        <v>85</v>
      </c>
      <c r="AK104">
        <v>0</v>
      </c>
      <c r="AL104">
        <v>85</v>
      </c>
      <c r="AM104">
        <v>0</v>
      </c>
      <c r="AN104">
        <v>170</v>
      </c>
      <c r="AO104">
        <v>2000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2340</v>
      </c>
      <c r="BI104">
        <v>2255</v>
      </c>
      <c r="BJ104">
        <v>2255</v>
      </c>
      <c r="DP104"/>
    </row>
    <row r="105" spans="1:120" hidden="1" x14ac:dyDescent="0.3">
      <c r="A105" t="s">
        <v>286</v>
      </c>
      <c r="B105" t="s">
        <v>664</v>
      </c>
      <c r="C105" t="s">
        <v>733</v>
      </c>
      <c r="D105" t="s">
        <v>101</v>
      </c>
      <c r="E105" t="s">
        <v>102</v>
      </c>
      <c r="F105" t="s">
        <v>103</v>
      </c>
      <c r="G105" t="s">
        <v>113</v>
      </c>
      <c r="H105" t="s">
        <v>16</v>
      </c>
      <c r="I105" t="s">
        <v>16</v>
      </c>
      <c r="J105" t="s">
        <v>105</v>
      </c>
      <c r="K105" t="s">
        <v>114</v>
      </c>
      <c r="L105" t="s">
        <v>719</v>
      </c>
      <c r="M105" t="s">
        <v>116</v>
      </c>
      <c r="N105">
        <v>2026</v>
      </c>
      <c r="O105" t="s">
        <v>123</v>
      </c>
      <c r="P105" s="1"/>
      <c r="Q105" s="1">
        <v>45105</v>
      </c>
      <c r="R105" s="1" t="e">
        <f xml:space="preserve"> IF(#REF! = "", "X",IF(#REF! &lt;= DATE(#REF!- 3, 12, 15),"5.Respect OPC",IF(#REF! &lt;= DATE(#REF!-2, 4, 1),"3.À risque","1.Très à risque")))</f>
        <v>#REF!</v>
      </c>
      <c r="S105" s="1" t="e">
        <f xml:space="preserve"> IF(#REF! = "", "X",IF(#REF! &lt;= DATE(#REF!- 2, 12, 15),"5.Respect OPC",IF(#REF! &lt;= DATE(#REF!-1, 4, 1),"3.À risque","1.Très à risque")))</f>
        <v>#REF!</v>
      </c>
      <c r="T105" s="1" t="e">
        <f xml:space="preserve"> IF(#REF! = "", "X",IF(#REF! &lt;= DATE(#REF!- 1, 12, 15),"5.Respect OPC",IF(#REF! &lt;= DATE(#REF!, 4, 1),"3.À risque","1.Très à risque")))</f>
        <v>#REF!</v>
      </c>
      <c r="U105" s="1" t="e">
        <f xml:space="preserve"> (YEAR(#REF!) - YEAR(#REF!)) * 12 + MONTH(#REF!) - MONTH(#REF!)</f>
        <v>#REF!</v>
      </c>
      <c r="V105" s="1" t="e">
        <f xml:space="preserve"> (YEAR(#REF!) - YEAR(#REF!)) * 12 + MONTH(#REF!) - MONTH(#REF!)</f>
        <v>#REF!</v>
      </c>
      <c r="W105" s="1" t="e">
        <f>#REF!+#REF!</f>
        <v>#REF!</v>
      </c>
      <c r="X105" s="1">
        <v>45789</v>
      </c>
      <c r="Y105" s="1">
        <v>45932</v>
      </c>
      <c r="Z105">
        <v>5</v>
      </c>
      <c r="AA105">
        <v>5</v>
      </c>
      <c r="AC105" s="2" t="e">
        <f>_xlfn.XLOOKUP(#REF!,Portefeuille_MNT_PPS_Access27[Numéro projet],Portefeuille_MNT_PPS_Access27[Critère Etat Infrastructure])</f>
        <v>#REF!</v>
      </c>
      <c r="AD105" s="12" t="e">
        <f>IF(#REF!=5,100, SUM(IF(#REF!="",#REF!*$AE$8/5,#REF!*$AE$8/5),#REF!* $AE$10/5,#REF!* $AE$9/5,#REF!* $AE$7/5)*100)</f>
        <v>#REF!</v>
      </c>
      <c r="AE105" s="221"/>
      <c r="AF105" t="s">
        <v>125</v>
      </c>
      <c r="AG105">
        <v>3.3333333333333335</v>
      </c>
      <c r="AH105">
        <v>220</v>
      </c>
      <c r="AI105">
        <v>0</v>
      </c>
      <c r="AJ105">
        <v>820</v>
      </c>
      <c r="AK105">
        <v>16672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17712</v>
      </c>
      <c r="DP105"/>
    </row>
    <row r="106" spans="1:120" hidden="1" x14ac:dyDescent="0.3">
      <c r="A106" t="s">
        <v>286</v>
      </c>
      <c r="B106" t="s">
        <v>662</v>
      </c>
      <c r="C106" t="s">
        <v>733</v>
      </c>
      <c r="D106" t="s">
        <v>118</v>
      </c>
      <c r="E106" t="s">
        <v>102</v>
      </c>
      <c r="F106" t="s">
        <v>119</v>
      </c>
      <c r="G106" t="s">
        <v>206</v>
      </c>
      <c r="H106" t="s">
        <v>16</v>
      </c>
      <c r="I106" t="s">
        <v>130</v>
      </c>
      <c r="J106" t="s">
        <v>131</v>
      </c>
      <c r="K106" t="s">
        <v>207</v>
      </c>
      <c r="L106" t="s">
        <v>208</v>
      </c>
      <c r="M106" t="s">
        <v>209</v>
      </c>
      <c r="N106">
        <v>2028</v>
      </c>
      <c r="O106" t="s">
        <v>155</v>
      </c>
      <c r="P106" s="1">
        <v>44476</v>
      </c>
      <c r="Q106" s="1">
        <v>45976</v>
      </c>
      <c r="R106" s="1" t="e">
        <f xml:space="preserve"> IF(#REF! = "", "X",IF(#REF! &lt;= DATE(#REF!- 3, 12, 15),"5.Respect OPC",IF(#REF! &lt;= DATE(#REF!-2, 4, 1),"3.À risque","1.Très à risque")))</f>
        <v>#REF!</v>
      </c>
      <c r="S106" s="1" t="e">
        <f xml:space="preserve"> IF(#REF! = "", "X",IF(#REF! &lt;= DATE(#REF!- 2, 12, 15),"5.Respect OPC",IF(#REF! &lt;= DATE(#REF!-1, 4, 1),"3.À risque","1.Très à risque")))</f>
        <v>#REF!</v>
      </c>
      <c r="T106" s="1" t="e">
        <f xml:space="preserve"> IF(#REF! = "", "X",IF(#REF! &lt;= DATE(#REF!- 1, 12, 15),"5.Respect OPC",IF(#REF! &lt;= DATE(#REF!, 4, 1),"3.À risque","1.Très à risque")))</f>
        <v>#REF!</v>
      </c>
      <c r="U106" s="1" t="e">
        <f xml:space="preserve"> (YEAR(#REF!) - YEAR(#REF!)) * 12 + MONTH(#REF!) - MONTH(#REF!)</f>
        <v>#REF!</v>
      </c>
      <c r="V106" s="1" t="e">
        <f xml:space="preserve"> (YEAR(#REF!) - YEAR(#REF!)) * 12 + MONTH(#REF!) - MONTH(#REF!)</f>
        <v>#REF!</v>
      </c>
      <c r="W106" s="1" t="e">
        <f>#REF!+#REF!</f>
        <v>#REF!</v>
      </c>
      <c r="X106" s="1">
        <v>46096</v>
      </c>
      <c r="Y106" s="1">
        <v>46280</v>
      </c>
      <c r="Z106">
        <v>5</v>
      </c>
      <c r="AA106">
        <v>5</v>
      </c>
      <c r="AB106">
        <v>5</v>
      </c>
      <c r="AC106" s="2" t="e">
        <f>_xlfn.XLOOKUP(#REF!,Portefeuille_MNT_PPS_Access27[Numéro projet],Portefeuille_MNT_PPS_Access27[Critère Etat Infrastructure])</f>
        <v>#REF!</v>
      </c>
      <c r="AD106" s="12" t="e">
        <f>IF(#REF!=5,100, SUM(IF(#REF!="",#REF!*$AE$8/5,#REF!*$AE$8/5),#REF!* $AE$10/5,#REF!* $AE$9/5,#REF!* $AE$7/5)*100)</f>
        <v>#REF!</v>
      </c>
      <c r="AE106" s="221"/>
      <c r="AF106" t="s">
        <v>156</v>
      </c>
      <c r="AG106">
        <v>3.3333333333333335</v>
      </c>
      <c r="AH106">
        <v>236</v>
      </c>
      <c r="AI106">
        <v>0</v>
      </c>
      <c r="AJ106">
        <v>255</v>
      </c>
      <c r="AK106">
        <v>0</v>
      </c>
      <c r="AL106">
        <v>396</v>
      </c>
      <c r="AM106">
        <v>0</v>
      </c>
      <c r="AN106">
        <v>0</v>
      </c>
      <c r="AO106">
        <v>1500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2387</v>
      </c>
      <c r="BI106">
        <v>1896</v>
      </c>
      <c r="BJ106">
        <v>1896</v>
      </c>
      <c r="DP106"/>
    </row>
    <row r="107" spans="1:120" hidden="1" x14ac:dyDescent="0.3">
      <c r="A107" t="s">
        <v>286</v>
      </c>
      <c r="B107" t="s">
        <v>662</v>
      </c>
      <c r="C107" t="s">
        <v>736</v>
      </c>
      <c r="D107" t="s">
        <v>118</v>
      </c>
      <c r="E107" t="s">
        <v>102</v>
      </c>
      <c r="F107" t="s">
        <v>103</v>
      </c>
      <c r="G107" t="s">
        <v>113</v>
      </c>
      <c r="H107" t="s">
        <v>20</v>
      </c>
      <c r="I107" t="s">
        <v>20</v>
      </c>
      <c r="J107" t="s">
        <v>131</v>
      </c>
      <c r="K107" t="s">
        <v>377</v>
      </c>
      <c r="L107" t="s">
        <v>378</v>
      </c>
      <c r="M107" t="s">
        <v>191</v>
      </c>
      <c r="N107">
        <v>2028</v>
      </c>
      <c r="O107" t="s">
        <v>155</v>
      </c>
      <c r="P107" s="1"/>
      <c r="Q107" s="1">
        <v>46068</v>
      </c>
      <c r="R107" s="1" t="e">
        <f xml:space="preserve"> IF(#REF! = "", "X",IF(#REF! &lt;= DATE(#REF!- 3, 12, 15),"5.Respect OPC",IF(#REF! &lt;= DATE(#REF!-2, 4, 1),"3.À risque","1.Très à risque")))</f>
        <v>#REF!</v>
      </c>
      <c r="S107" s="1" t="e">
        <f xml:space="preserve"> IF(#REF! = "", "X",IF(#REF! &lt;= DATE(#REF!- 2, 12, 15),"5.Respect OPC",IF(#REF! &lt;= DATE(#REF!-1, 4, 1),"3.À risque","1.Très à risque")))</f>
        <v>#REF!</v>
      </c>
      <c r="T107" s="1" t="e">
        <f xml:space="preserve"> IF(#REF! = "", "X",IF(#REF! &lt;= DATE(#REF!- 1, 12, 15),"5.Respect OPC",IF(#REF! &lt;= DATE(#REF!, 4, 1),"3.À risque","1.Très à risque")))</f>
        <v>#REF!</v>
      </c>
      <c r="U107" s="1" t="e">
        <f xml:space="preserve"> (YEAR(#REF!) - YEAR(#REF!)) * 12 + MONTH(#REF!) - MONTH(#REF!)</f>
        <v>#REF!</v>
      </c>
      <c r="V107" s="1" t="e">
        <f xml:space="preserve"> (YEAR(#REF!) - YEAR(#REF!)) * 12 + MONTH(#REF!) - MONTH(#REF!)</f>
        <v>#REF!</v>
      </c>
      <c r="W107" s="1" t="e">
        <f>#REF!+#REF!</f>
        <v>#REF!</v>
      </c>
      <c r="X107" s="1">
        <v>46461</v>
      </c>
      <c r="Y107" s="1">
        <v>46888</v>
      </c>
      <c r="Z107">
        <v>5</v>
      </c>
      <c r="AA107">
        <v>1</v>
      </c>
      <c r="AB107">
        <v>3</v>
      </c>
      <c r="AC107" s="2" t="e">
        <f>_xlfn.XLOOKUP(#REF!,Portefeuille_MNT_PPS_Access27[Numéro projet],Portefeuille_MNT_PPS_Access27[Critère Etat Infrastructure])</f>
        <v>#REF!</v>
      </c>
      <c r="AD107" s="12" t="e">
        <f>IF(#REF!=5,100, SUM(IF(#REF!="",#REF!*$AE$8/5,#REF!*$AE$8/5),#REF!* $AE$10/5,#REF!* $AE$9/5,#REF!* $AE$7/5)*100)</f>
        <v>#REF!</v>
      </c>
      <c r="AE107" s="221"/>
      <c r="AF107" t="s">
        <v>156</v>
      </c>
      <c r="AG107">
        <v>1.6666666666666667</v>
      </c>
      <c r="AH107">
        <v>0</v>
      </c>
      <c r="AI107">
        <v>0</v>
      </c>
      <c r="AJ107">
        <v>100</v>
      </c>
      <c r="AK107">
        <v>0</v>
      </c>
      <c r="AL107">
        <v>200</v>
      </c>
      <c r="AM107">
        <v>0</v>
      </c>
      <c r="AN107">
        <v>495</v>
      </c>
      <c r="AO107">
        <v>8000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8795</v>
      </c>
      <c r="BI107">
        <v>8695</v>
      </c>
      <c r="BJ107">
        <v>8695</v>
      </c>
      <c r="DP107"/>
    </row>
    <row r="108" spans="1:120" hidden="1" x14ac:dyDescent="0.3">
      <c r="A108" t="s">
        <v>286</v>
      </c>
      <c r="B108" t="s">
        <v>662</v>
      </c>
      <c r="C108" t="s">
        <v>733</v>
      </c>
      <c r="D108" t="s">
        <v>118</v>
      </c>
      <c r="E108" t="s">
        <v>102</v>
      </c>
      <c r="F108" t="s">
        <v>103</v>
      </c>
      <c r="G108" t="s">
        <v>206</v>
      </c>
      <c r="H108" t="s">
        <v>16</v>
      </c>
      <c r="I108" t="s">
        <v>20</v>
      </c>
      <c r="J108" t="s">
        <v>131</v>
      </c>
      <c r="K108" t="s">
        <v>210</v>
      </c>
      <c r="L108" t="s">
        <v>211</v>
      </c>
      <c r="M108" t="s">
        <v>209</v>
      </c>
      <c r="N108">
        <v>2028</v>
      </c>
      <c r="O108" t="s">
        <v>155</v>
      </c>
      <c r="P108" s="1"/>
      <c r="Q108" s="1">
        <v>45976</v>
      </c>
      <c r="R108" s="1" t="e">
        <f xml:space="preserve"> IF(#REF! = "", "X",IF(#REF! &lt;= DATE(#REF!- 3, 12, 15),"5.Respect OPC",IF(#REF! &lt;= DATE(#REF!-2, 4, 1),"3.À risque","1.Très à risque")))</f>
        <v>#REF!</v>
      </c>
      <c r="S108" s="1" t="e">
        <f xml:space="preserve"> IF(#REF! = "", "X",IF(#REF! &lt;= DATE(#REF!- 2, 12, 15),"5.Respect OPC",IF(#REF! &lt;= DATE(#REF!-1, 4, 1),"3.À risque","1.Très à risque")))</f>
        <v>#REF!</v>
      </c>
      <c r="T108" s="1" t="e">
        <f xml:space="preserve"> IF(#REF! = "", "X",IF(#REF! &lt;= DATE(#REF!- 1, 12, 15),"5.Respect OPC",IF(#REF! &lt;= DATE(#REF!, 4, 1),"3.À risque","1.Très à risque")))</f>
        <v>#REF!</v>
      </c>
      <c r="U108" s="1" t="e">
        <f xml:space="preserve"> (YEAR(#REF!) - YEAR(#REF!)) * 12 + MONTH(#REF!) - MONTH(#REF!)</f>
        <v>#REF!</v>
      </c>
      <c r="V108" s="1" t="e">
        <f xml:space="preserve"> (YEAR(#REF!) - YEAR(#REF!)) * 12 + MONTH(#REF!) - MONTH(#REF!)</f>
        <v>#REF!</v>
      </c>
      <c r="W108" s="1" t="e">
        <f>#REF!+#REF!</f>
        <v>#REF!</v>
      </c>
      <c r="X108" s="1">
        <v>46341</v>
      </c>
      <c r="Y108" s="1">
        <v>46706</v>
      </c>
      <c r="Z108">
        <v>5</v>
      </c>
      <c r="AA108">
        <v>1</v>
      </c>
      <c r="AB108">
        <v>5</v>
      </c>
      <c r="AC108" s="2" t="e">
        <f>_xlfn.XLOOKUP(#REF!,Portefeuille_MNT_PPS_Access27[Numéro projet],Portefeuille_MNT_PPS_Access27[Critère Etat Infrastructure])</f>
        <v>#REF!</v>
      </c>
      <c r="AD108" s="12" t="e">
        <f>IF(#REF!=5,100, SUM(IF(#REF!="",#REF!*$AE$8/5,#REF!*$AE$8/5),#REF!* $AE$10/5,#REF!* $AE$9/5,#REF!* $AE$7/5)*100)</f>
        <v>#REF!</v>
      </c>
      <c r="AE108" s="221"/>
      <c r="AF108" t="s">
        <v>156</v>
      </c>
      <c r="AG108">
        <v>3.3333333333333335</v>
      </c>
      <c r="AH108">
        <v>108</v>
      </c>
      <c r="AI108">
        <v>0</v>
      </c>
      <c r="AJ108">
        <v>100</v>
      </c>
      <c r="AK108">
        <v>0</v>
      </c>
      <c r="AL108">
        <v>100</v>
      </c>
      <c r="AM108">
        <v>0</v>
      </c>
      <c r="AN108">
        <v>250</v>
      </c>
      <c r="AO108">
        <v>7500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8058</v>
      </c>
      <c r="BI108">
        <v>7850</v>
      </c>
      <c r="BJ108">
        <v>7850</v>
      </c>
      <c r="DP108"/>
    </row>
    <row r="109" spans="1:120" hidden="1" x14ac:dyDescent="0.3">
      <c r="A109" t="s">
        <v>286</v>
      </c>
      <c r="B109" t="s">
        <v>664</v>
      </c>
      <c r="C109" t="s">
        <v>733</v>
      </c>
      <c r="D109" t="s">
        <v>101</v>
      </c>
      <c r="E109" t="s">
        <v>102</v>
      </c>
      <c r="F109" t="s">
        <v>103</v>
      </c>
      <c r="H109" t="s">
        <v>20</v>
      </c>
      <c r="I109" t="s">
        <v>20</v>
      </c>
      <c r="J109" t="s">
        <v>131</v>
      </c>
      <c r="K109" t="s">
        <v>379</v>
      </c>
      <c r="L109" t="s">
        <v>380</v>
      </c>
      <c r="M109" t="s">
        <v>134</v>
      </c>
      <c r="N109">
        <v>2035</v>
      </c>
      <c r="O109" t="s">
        <v>291</v>
      </c>
      <c r="P109" s="1"/>
      <c r="Q109" s="1"/>
      <c r="R109" s="1" t="e">
        <f xml:space="preserve"> IF(#REF! = "", "X",IF(#REF! &lt;= DATE(#REF!- 3, 12, 15),"5.Respect OPC",IF(#REF! &lt;= DATE(#REF!-2, 4, 1),"3.À risque","1.Très à risque")))</f>
        <v>#REF!</v>
      </c>
      <c r="S109" s="1" t="e">
        <f xml:space="preserve"> IF(#REF! = "", "X",IF(#REF! &lt;= DATE(#REF!- 2, 12, 15),"5.Respect OPC",IF(#REF! &lt;= DATE(#REF!-1, 4, 1),"3.À risque","1.Très à risque")))</f>
        <v>#REF!</v>
      </c>
      <c r="T109" s="1" t="e">
        <f xml:space="preserve"> IF(#REF! = "", "X",IF(#REF! &lt;= DATE(#REF!- 1, 12, 15),"5.Respect OPC",IF(#REF! &lt;= DATE(#REF!, 4, 1),"3.À risque","1.Très à risque")))</f>
        <v>#REF!</v>
      </c>
      <c r="U109" s="1" t="e">
        <f xml:space="preserve"> (YEAR(#REF!) - YEAR(#REF!)) * 12 + MONTH(#REF!) - MONTH(#REF!)</f>
        <v>#REF!</v>
      </c>
      <c r="V109" s="1" t="e">
        <f xml:space="preserve"> (YEAR(#REF!) - YEAR(#REF!)) * 12 + MONTH(#REF!) - MONTH(#REF!)</f>
        <v>#REF!</v>
      </c>
      <c r="W109" s="1" t="e">
        <f>#REF!+#REF!</f>
        <v>#REF!</v>
      </c>
      <c r="X109" s="1"/>
      <c r="Y109" s="1"/>
      <c r="Z109">
        <v>5</v>
      </c>
      <c r="AA109">
        <v>1</v>
      </c>
      <c r="AC109" s="2" t="e">
        <f>_xlfn.XLOOKUP(#REF!,Portefeuille_MNT_PPS_Access27[Numéro projet],Portefeuille_MNT_PPS_Access27[Critère Etat Infrastructure])</f>
        <v>#REF!</v>
      </c>
      <c r="AD109" s="12" t="e">
        <f>IF(#REF!=5,100, SUM(IF(#REF!="",#REF!*$AE$8/5,#REF!*$AE$8/5),#REF!* $AE$10/5,#REF!* $AE$9/5,#REF!* $AE$7/5)*100)</f>
        <v>#REF!</v>
      </c>
      <c r="AE109" s="221"/>
      <c r="AF109" t="s">
        <v>311</v>
      </c>
      <c r="AG109">
        <v>2.3333333333333335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150</v>
      </c>
      <c r="BA109">
        <v>0</v>
      </c>
      <c r="BB109">
        <v>250</v>
      </c>
      <c r="BC109">
        <v>5000</v>
      </c>
      <c r="BD109">
        <v>0</v>
      </c>
      <c r="BE109">
        <v>0</v>
      </c>
      <c r="BF109">
        <v>0</v>
      </c>
      <c r="BG109">
        <v>0</v>
      </c>
      <c r="BH109">
        <v>5400</v>
      </c>
      <c r="BJ109">
        <v>5400</v>
      </c>
      <c r="DP109"/>
    </row>
    <row r="110" spans="1:120" hidden="1" x14ac:dyDescent="0.3">
      <c r="A110" t="s">
        <v>286</v>
      </c>
      <c r="B110" t="s">
        <v>664</v>
      </c>
      <c r="C110" t="s">
        <v>733</v>
      </c>
      <c r="D110" t="s">
        <v>101</v>
      </c>
      <c r="E110" t="s">
        <v>102</v>
      </c>
      <c r="F110" t="s">
        <v>103</v>
      </c>
      <c r="H110" t="s">
        <v>20</v>
      </c>
      <c r="I110" t="s">
        <v>20</v>
      </c>
      <c r="J110" t="s">
        <v>131</v>
      </c>
      <c r="K110" t="s">
        <v>383</v>
      </c>
      <c r="L110" t="s">
        <v>384</v>
      </c>
      <c r="M110" t="s">
        <v>183</v>
      </c>
      <c r="N110">
        <v>2035</v>
      </c>
      <c r="O110" t="s">
        <v>291</v>
      </c>
      <c r="P110" s="1"/>
      <c r="Q110" s="1"/>
      <c r="R110" s="1" t="e">
        <f xml:space="preserve"> IF(#REF! = "", "X",IF(#REF! &lt;= DATE(#REF!- 3, 12, 15),"5.Respect OPC",IF(#REF! &lt;= DATE(#REF!-2, 4, 1),"3.À risque","1.Très à risque")))</f>
        <v>#REF!</v>
      </c>
      <c r="S110" s="1" t="e">
        <f xml:space="preserve"> IF(#REF! = "", "X",IF(#REF! &lt;= DATE(#REF!- 2, 12, 15),"5.Respect OPC",IF(#REF! &lt;= DATE(#REF!-1, 4, 1),"3.À risque","1.Très à risque")))</f>
        <v>#REF!</v>
      </c>
      <c r="T110" s="1" t="e">
        <f xml:space="preserve"> IF(#REF! = "", "X",IF(#REF! &lt;= DATE(#REF!- 1, 12, 15),"5.Respect OPC",IF(#REF! &lt;= DATE(#REF!, 4, 1),"3.À risque","1.Très à risque")))</f>
        <v>#REF!</v>
      </c>
      <c r="U110" s="1" t="e">
        <f xml:space="preserve"> (YEAR(#REF!) - YEAR(#REF!)) * 12 + MONTH(#REF!) - MONTH(#REF!)</f>
        <v>#REF!</v>
      </c>
      <c r="V110" s="1" t="e">
        <f xml:space="preserve"> (YEAR(#REF!) - YEAR(#REF!)) * 12 + MONTH(#REF!) - MONTH(#REF!)</f>
        <v>#REF!</v>
      </c>
      <c r="W110" s="1" t="e">
        <f>#REF!+#REF!</f>
        <v>#REF!</v>
      </c>
      <c r="X110" s="1"/>
      <c r="Y110" s="1"/>
      <c r="Z110">
        <v>5</v>
      </c>
      <c r="AA110">
        <v>1</v>
      </c>
      <c r="AC110" s="2" t="e">
        <f>_xlfn.XLOOKUP(#REF!,Portefeuille_MNT_PPS_Access27[Numéro projet],Portefeuille_MNT_PPS_Access27[Critère Etat Infrastructure])</f>
        <v>#REF!</v>
      </c>
      <c r="AD110" s="12" t="e">
        <f>IF(#REF!=5,100, SUM(IF(#REF!="",#REF!*$AE$8/5,#REF!*$AE$8/5),#REF!* $AE$10/5,#REF!* $AE$9/5,#REF!* $AE$7/5)*100)</f>
        <v>#REF!</v>
      </c>
      <c r="AE110" s="221"/>
      <c r="AF110" t="s">
        <v>311</v>
      </c>
      <c r="AG110">
        <v>2.3333333333333335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150</v>
      </c>
      <c r="BA110">
        <v>0</v>
      </c>
      <c r="BB110">
        <v>250</v>
      </c>
      <c r="BC110">
        <v>5000</v>
      </c>
      <c r="BD110">
        <v>0</v>
      </c>
      <c r="BE110">
        <v>0</v>
      </c>
      <c r="BF110">
        <v>0</v>
      </c>
      <c r="BG110">
        <v>0</v>
      </c>
      <c r="BH110">
        <v>5400</v>
      </c>
      <c r="BJ110">
        <v>5400</v>
      </c>
      <c r="DP110"/>
    </row>
    <row r="111" spans="1:120" hidden="1" x14ac:dyDescent="0.3">
      <c r="A111" t="s">
        <v>286</v>
      </c>
      <c r="B111" t="s">
        <v>664</v>
      </c>
      <c r="C111" t="s">
        <v>733</v>
      </c>
      <c r="D111" t="s">
        <v>101</v>
      </c>
      <c r="E111" t="s">
        <v>102</v>
      </c>
      <c r="F111" t="s">
        <v>136</v>
      </c>
      <c r="G111" t="s">
        <v>149</v>
      </c>
      <c r="H111" t="s">
        <v>16</v>
      </c>
      <c r="I111" t="s">
        <v>20</v>
      </c>
      <c r="J111" t="s">
        <v>131</v>
      </c>
      <c r="K111" t="s">
        <v>212</v>
      </c>
      <c r="L111" t="s">
        <v>213</v>
      </c>
      <c r="M111" t="s">
        <v>214</v>
      </c>
      <c r="N111">
        <v>2030</v>
      </c>
      <c r="O111" t="s">
        <v>155</v>
      </c>
      <c r="P111" s="1">
        <v>45337</v>
      </c>
      <c r="Q111" s="1">
        <v>46127</v>
      </c>
      <c r="R111" s="1" t="e">
        <f xml:space="preserve"> IF(#REF! = "", "X",IF(#REF! &lt;= DATE(#REF!- 3, 12, 15),"5.Respect OPC",IF(#REF! &lt;= DATE(#REF!-2, 4, 1),"3.À risque","1.Très à risque")))</f>
        <v>#REF!</v>
      </c>
      <c r="S111" s="1" t="e">
        <f xml:space="preserve"> IF(#REF! = "", "X",IF(#REF! &lt;= DATE(#REF!- 2, 12, 15),"5.Respect OPC",IF(#REF! &lt;= DATE(#REF!-1, 4, 1),"3.À risque","1.Très à risque")))</f>
        <v>#REF!</v>
      </c>
      <c r="T111" s="1" t="e">
        <f xml:space="preserve"> IF(#REF! = "", "X",IF(#REF! &lt;= DATE(#REF!- 1, 12, 15),"5.Respect OPC",IF(#REF! &lt;= DATE(#REF!, 4, 1),"3.À risque","1.Très à risque")))</f>
        <v>#REF!</v>
      </c>
      <c r="U111" s="1" t="e">
        <f xml:space="preserve"> (YEAR(#REF!) - YEAR(#REF!)) * 12 + MONTH(#REF!) - MONTH(#REF!)</f>
        <v>#REF!</v>
      </c>
      <c r="V111" s="1" t="e">
        <f xml:space="preserve"> (YEAR(#REF!) - YEAR(#REF!)) * 12 + MONTH(#REF!) - MONTH(#REF!)</f>
        <v>#REF!</v>
      </c>
      <c r="W111" s="1" t="e">
        <f>#REF!+#REF!</f>
        <v>#REF!</v>
      </c>
      <c r="X111" s="1">
        <v>46798</v>
      </c>
      <c r="Y111" s="1">
        <v>47192</v>
      </c>
      <c r="Z111">
        <v>5</v>
      </c>
      <c r="AA111">
        <v>1</v>
      </c>
      <c r="AC111" s="2" t="e">
        <f>_xlfn.XLOOKUP(#REF!,Portefeuille_MNT_PPS_Access27[Numéro projet],Portefeuille_MNT_PPS_Access27[Critère Etat Infrastructure])</f>
        <v>#REF!</v>
      </c>
      <c r="AD111" s="12" t="e">
        <f>IF(#REF!=5,100, SUM(IF(#REF!="",#REF!*$AE$8/5,#REF!*$AE$8/5),#REF!* $AE$10/5,#REF!* $AE$9/5,#REF!* $AE$7/5)*100)</f>
        <v>#REF!</v>
      </c>
      <c r="AE111" s="221"/>
      <c r="AF111" t="s">
        <v>156</v>
      </c>
      <c r="AG111">
        <v>3</v>
      </c>
      <c r="AH111">
        <v>247</v>
      </c>
      <c r="AI111">
        <v>0</v>
      </c>
      <c r="AJ111">
        <v>125</v>
      </c>
      <c r="AK111">
        <v>0</v>
      </c>
      <c r="AL111">
        <v>125</v>
      </c>
      <c r="AM111">
        <v>0</v>
      </c>
      <c r="AN111">
        <v>125</v>
      </c>
      <c r="AO111">
        <v>0</v>
      </c>
      <c r="AP111">
        <v>125</v>
      </c>
      <c r="AQ111">
        <v>0</v>
      </c>
      <c r="AR111">
        <v>300</v>
      </c>
      <c r="AS111">
        <v>5000</v>
      </c>
      <c r="AT111">
        <v>474</v>
      </c>
      <c r="AU111">
        <v>10000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16521</v>
      </c>
      <c r="BI111">
        <v>16149</v>
      </c>
      <c r="BJ111">
        <v>16149</v>
      </c>
      <c r="DP111"/>
    </row>
    <row r="112" spans="1:120" hidden="1" x14ac:dyDescent="0.3">
      <c r="A112" t="s">
        <v>286</v>
      </c>
      <c r="B112" t="s">
        <v>662</v>
      </c>
      <c r="C112" t="s">
        <v>733</v>
      </c>
      <c r="D112" t="s">
        <v>101</v>
      </c>
      <c r="E112" t="s">
        <v>102</v>
      </c>
      <c r="F112" t="s">
        <v>200</v>
      </c>
      <c r="G112" t="s">
        <v>129</v>
      </c>
      <c r="H112" t="s">
        <v>16</v>
      </c>
      <c r="I112" t="s">
        <v>20</v>
      </c>
      <c r="J112" t="s">
        <v>131</v>
      </c>
      <c r="K112" t="s">
        <v>385</v>
      </c>
      <c r="L112" t="s">
        <v>740</v>
      </c>
      <c r="M112" t="s">
        <v>134</v>
      </c>
      <c r="N112">
        <v>2028</v>
      </c>
      <c r="O112" t="s">
        <v>155</v>
      </c>
      <c r="P112" s="1">
        <v>45672</v>
      </c>
      <c r="Q112" s="1">
        <v>45960</v>
      </c>
      <c r="R112" s="1" t="e">
        <f xml:space="preserve"> IF(#REF! = "", "X",IF(#REF! &lt;= DATE(#REF!- 3, 12, 15),"5.Respect OPC",IF(#REF! &lt;= DATE(#REF!-2, 4, 1),"3.À risque","1.Très à risque")))</f>
        <v>#REF!</v>
      </c>
      <c r="S112" s="1" t="e">
        <f xml:space="preserve"> IF(#REF! = "", "X",IF(#REF! &lt;= DATE(#REF!- 2, 12, 15),"5.Respect OPC",IF(#REF! &lt;= DATE(#REF!-1, 4, 1),"3.À risque","1.Très à risque")))</f>
        <v>#REF!</v>
      </c>
      <c r="T112" s="1" t="e">
        <f xml:space="preserve"> IF(#REF! = "", "X",IF(#REF! &lt;= DATE(#REF!- 1, 12, 15),"5.Respect OPC",IF(#REF! &lt;= DATE(#REF!, 4, 1),"3.À risque","1.Très à risque")))</f>
        <v>#REF!</v>
      </c>
      <c r="U112" s="1" t="e">
        <f xml:space="preserve"> (YEAR(#REF!) - YEAR(#REF!)) * 12 + MONTH(#REF!) - MONTH(#REF!)</f>
        <v>#REF!</v>
      </c>
      <c r="V112" s="1" t="e">
        <f xml:space="preserve"> (YEAR(#REF!) - YEAR(#REF!)) * 12 + MONTH(#REF!) - MONTH(#REF!)</f>
        <v>#REF!</v>
      </c>
      <c r="W112" s="1" t="e">
        <f>#REF!+#REF!</f>
        <v>#REF!</v>
      </c>
      <c r="X112" s="1">
        <v>46266</v>
      </c>
      <c r="Y112" s="1">
        <v>46631</v>
      </c>
      <c r="Z112">
        <v>5</v>
      </c>
      <c r="AA112">
        <v>1</v>
      </c>
      <c r="AB112">
        <v>5</v>
      </c>
      <c r="AC112" s="2" t="e">
        <f>_xlfn.XLOOKUP(#REF!,Portefeuille_MNT_PPS_Access27[Numéro projet],Portefeuille_MNT_PPS_Access27[Critère Etat Infrastructure])</f>
        <v>#REF!</v>
      </c>
      <c r="AD112" s="12" t="e">
        <f>IF(#REF!=5,100, SUM(IF(#REF!="",#REF!*$AE$8/5,#REF!*$AE$8/5),#REF!* $AE$10/5,#REF!* $AE$9/5,#REF!* $AE$7/5)*100)</f>
        <v>#REF!</v>
      </c>
      <c r="AE112" s="221"/>
      <c r="AF112" t="s">
        <v>156</v>
      </c>
      <c r="AG112">
        <v>1.3333333333333333</v>
      </c>
      <c r="AH112">
        <v>0</v>
      </c>
      <c r="AI112">
        <v>0</v>
      </c>
      <c r="AJ112">
        <v>30</v>
      </c>
      <c r="AK112">
        <v>0</v>
      </c>
      <c r="AL112">
        <v>30</v>
      </c>
      <c r="AM112">
        <v>0</v>
      </c>
      <c r="AN112">
        <v>110</v>
      </c>
      <c r="AO112">
        <v>1161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1331</v>
      </c>
      <c r="BI112">
        <v>1301</v>
      </c>
      <c r="BJ112">
        <v>1301</v>
      </c>
      <c r="DP112"/>
    </row>
    <row r="113" spans="1:120" hidden="1" x14ac:dyDescent="0.3">
      <c r="A113" t="s">
        <v>286</v>
      </c>
      <c r="C113" t="s">
        <v>733</v>
      </c>
      <c r="D113" t="s">
        <v>118</v>
      </c>
      <c r="F113" t="s">
        <v>242</v>
      </c>
      <c r="H113" t="s">
        <v>20</v>
      </c>
      <c r="I113" t="s">
        <v>20</v>
      </c>
      <c r="J113" t="s">
        <v>131</v>
      </c>
      <c r="K113" t="s">
        <v>712</v>
      </c>
      <c r="L113" t="s">
        <v>686</v>
      </c>
      <c r="M113" t="s">
        <v>687</v>
      </c>
      <c r="N113">
        <v>2030</v>
      </c>
      <c r="P113" s="1"/>
      <c r="Q113" s="1"/>
      <c r="R113" s="1" t="e">
        <f xml:space="preserve"> IF(#REF! = "", "X",IF(#REF! &lt;= DATE(#REF!- 3, 12, 15),"5.Respect OPC",IF(#REF! &lt;= DATE(#REF!-2, 4, 1),"3.À risque","1.Très à risque")))</f>
        <v>#REF!</v>
      </c>
      <c r="S113" s="1" t="e">
        <f xml:space="preserve"> IF(#REF! = "", "X",IF(#REF! &lt;= DATE(#REF!- 2, 12, 15),"5.Respect OPC",IF(#REF! &lt;= DATE(#REF!-1, 4, 1),"3.À risque","1.Très à risque")))</f>
        <v>#REF!</v>
      </c>
      <c r="T113" s="1" t="e">
        <f xml:space="preserve"> IF(#REF! = "", "X",IF(#REF! &lt;= DATE(#REF!- 1, 12, 15),"5.Respect OPC",IF(#REF! &lt;= DATE(#REF!, 4, 1),"3.À risque","1.Très à risque")))</f>
        <v>#REF!</v>
      </c>
      <c r="U113" s="1" t="e">
        <f xml:space="preserve"> (YEAR(#REF!) - YEAR(#REF!)) * 12 + MONTH(#REF!) - MONTH(#REF!)</f>
        <v>#REF!</v>
      </c>
      <c r="V113" s="1" t="e">
        <f xml:space="preserve"> (YEAR(#REF!) - YEAR(#REF!)) * 12 + MONTH(#REF!) - MONTH(#REF!)</f>
        <v>#REF!</v>
      </c>
      <c r="W113" s="1" t="e">
        <f>#REF!+#REF!</f>
        <v>#REF!</v>
      </c>
      <c r="X113" s="1"/>
      <c r="Y113" s="1"/>
      <c r="Z113">
        <v>5</v>
      </c>
      <c r="AA113">
        <v>1</v>
      </c>
      <c r="AC113" s="2" t="e">
        <f>_xlfn.XLOOKUP(#REF!,Portefeuille_MNT_PPS_Access27[Numéro projet],Portefeuille_MNT_PPS_Access27[Critère Etat Infrastructure])</f>
        <v>#REF!</v>
      </c>
      <c r="AD113" s="12" t="e">
        <f>IF(#REF!=5,100, SUM(IF(#REF!="",#REF!*$AE$8/5,#REF!*$AE$8/5),#REF!* $AE$10/5,#REF!* $AE$9/5,#REF!* $AE$7/5)*100)</f>
        <v>#REF!</v>
      </c>
      <c r="AE113" s="221"/>
      <c r="AG113">
        <v>1.6666666666666667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50</v>
      </c>
      <c r="AO113">
        <v>0</v>
      </c>
      <c r="AP113">
        <v>100</v>
      </c>
      <c r="AQ113">
        <v>0</v>
      </c>
      <c r="AR113">
        <v>200</v>
      </c>
      <c r="AS113">
        <v>1500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1850</v>
      </c>
      <c r="BI113">
        <v>1850</v>
      </c>
      <c r="BJ113">
        <v>1850</v>
      </c>
      <c r="DP113"/>
    </row>
    <row r="114" spans="1:120" hidden="1" x14ac:dyDescent="0.3">
      <c r="A114" t="s">
        <v>286</v>
      </c>
      <c r="C114" t="s">
        <v>733</v>
      </c>
      <c r="D114" t="s">
        <v>118</v>
      </c>
      <c r="F114" t="s">
        <v>136</v>
      </c>
      <c r="H114" t="s">
        <v>20</v>
      </c>
      <c r="I114" t="s">
        <v>20</v>
      </c>
      <c r="J114" t="s">
        <v>105</v>
      </c>
      <c r="K114" t="s">
        <v>713</v>
      </c>
      <c r="L114" t="s">
        <v>693</v>
      </c>
      <c r="M114" t="s">
        <v>239</v>
      </c>
      <c r="N114">
        <v>2028</v>
      </c>
      <c r="P114" s="1"/>
      <c r="Q114" s="1"/>
      <c r="R114" s="1" t="e">
        <f xml:space="preserve"> IF(#REF! = "", "X",IF(#REF! &lt;= DATE(#REF!- 3, 12, 15),"5.Respect OPC",IF(#REF! &lt;= DATE(#REF!-2, 4, 1),"3.À risque","1.Très à risque")))</f>
        <v>#REF!</v>
      </c>
      <c r="S114" s="1" t="e">
        <f xml:space="preserve"> IF(#REF! = "", "X",IF(#REF! &lt;= DATE(#REF!- 2, 12, 15),"5.Respect OPC",IF(#REF! &lt;= DATE(#REF!-1, 4, 1),"3.À risque","1.Très à risque")))</f>
        <v>#REF!</v>
      </c>
      <c r="T114" s="1" t="e">
        <f xml:space="preserve"> IF(#REF! = "", "X",IF(#REF! &lt;= DATE(#REF!- 1, 12, 15),"5.Respect OPC",IF(#REF! &lt;= DATE(#REF!, 4, 1),"3.À risque","1.Très à risque")))</f>
        <v>#REF!</v>
      </c>
      <c r="U114" s="1" t="e">
        <f xml:space="preserve"> (YEAR(#REF!) - YEAR(#REF!)) * 12 + MONTH(#REF!) - MONTH(#REF!)</f>
        <v>#REF!</v>
      </c>
      <c r="V114" s="1" t="e">
        <f xml:space="preserve"> (YEAR(#REF!) - YEAR(#REF!)) * 12 + MONTH(#REF!) - MONTH(#REF!)</f>
        <v>#REF!</v>
      </c>
      <c r="W114" s="1" t="e">
        <f>#REF!+#REF!</f>
        <v>#REF!</v>
      </c>
      <c r="X114" s="1"/>
      <c r="Y114" s="1"/>
      <c r="Z114">
        <v>5</v>
      </c>
      <c r="AA114">
        <v>1</v>
      </c>
      <c r="AB114">
        <v>3</v>
      </c>
      <c r="AC114" s="2" t="e">
        <f>_xlfn.XLOOKUP(#REF!,Portefeuille_MNT_PPS_Access27[Numéro projet],Portefeuille_MNT_PPS_Access27[Critère Etat Infrastructure])</f>
        <v>#REF!</v>
      </c>
      <c r="AD114" s="12" t="e">
        <f>IF(#REF!=5,100, SUM(IF(#REF!="",#REF!*$AE$8/5,#REF!*$AE$8/5),#REF!* $AE$10/5,#REF!* $AE$9/5,#REF!* $AE$7/5)*100)</f>
        <v>#REF!</v>
      </c>
      <c r="AE114" s="221"/>
      <c r="AG114">
        <v>3.3333333333333335</v>
      </c>
      <c r="AH114">
        <v>0</v>
      </c>
      <c r="AI114">
        <v>0</v>
      </c>
      <c r="AJ114">
        <v>0</v>
      </c>
      <c r="AK114">
        <v>0</v>
      </c>
      <c r="AL114">
        <v>75</v>
      </c>
      <c r="AM114">
        <v>0</v>
      </c>
      <c r="AN114">
        <v>75</v>
      </c>
      <c r="AO114">
        <v>1500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1650</v>
      </c>
      <c r="BI114">
        <v>1650</v>
      </c>
      <c r="BJ114">
        <v>1650</v>
      </c>
      <c r="DP114"/>
    </row>
    <row r="115" spans="1:120" hidden="1" x14ac:dyDescent="0.3">
      <c r="A115" t="s">
        <v>286</v>
      </c>
      <c r="C115" t="s">
        <v>733</v>
      </c>
      <c r="D115" t="s">
        <v>118</v>
      </c>
      <c r="F115" t="s">
        <v>136</v>
      </c>
      <c r="H115" t="s">
        <v>20</v>
      </c>
      <c r="I115" t="s">
        <v>20</v>
      </c>
      <c r="J115" t="s">
        <v>105</v>
      </c>
      <c r="K115" t="s">
        <v>714</v>
      </c>
      <c r="L115" t="s">
        <v>697</v>
      </c>
      <c r="M115" t="s">
        <v>230</v>
      </c>
      <c r="N115">
        <v>2029</v>
      </c>
      <c r="P115" s="1"/>
      <c r="Q115" s="1"/>
      <c r="R115" s="1" t="e">
        <f xml:space="preserve"> IF(#REF! = "", "X",IF(#REF! &lt;= DATE(#REF!- 3, 12, 15),"5.Respect OPC",IF(#REF! &lt;= DATE(#REF!-2, 4, 1),"3.À risque","1.Très à risque")))</f>
        <v>#REF!</v>
      </c>
      <c r="S115" s="1" t="e">
        <f xml:space="preserve"> IF(#REF! = "", "X",IF(#REF! &lt;= DATE(#REF!- 2, 12, 15),"5.Respect OPC",IF(#REF! &lt;= DATE(#REF!-1, 4, 1),"3.À risque","1.Très à risque")))</f>
        <v>#REF!</v>
      </c>
      <c r="T115" s="1" t="e">
        <f xml:space="preserve"> IF(#REF! = "", "X",IF(#REF! &lt;= DATE(#REF!- 1, 12, 15),"5.Respect OPC",IF(#REF! &lt;= DATE(#REF!, 4, 1),"3.À risque","1.Très à risque")))</f>
        <v>#REF!</v>
      </c>
      <c r="U115" s="1" t="e">
        <f xml:space="preserve"> (YEAR(#REF!) - YEAR(#REF!)) * 12 + MONTH(#REF!) - MONTH(#REF!)</f>
        <v>#REF!</v>
      </c>
      <c r="V115" s="1" t="e">
        <f xml:space="preserve"> (YEAR(#REF!) - YEAR(#REF!)) * 12 + MONTH(#REF!) - MONTH(#REF!)</f>
        <v>#REF!</v>
      </c>
      <c r="W115" s="1" t="e">
        <f>#REF!+#REF!</f>
        <v>#REF!</v>
      </c>
      <c r="X115" s="1"/>
      <c r="Y115" s="1"/>
      <c r="Z115">
        <v>5</v>
      </c>
      <c r="AA115">
        <v>1</v>
      </c>
      <c r="AB115">
        <v>3</v>
      </c>
      <c r="AC115" s="2" t="e">
        <f>_xlfn.XLOOKUP(#REF!,Portefeuille_MNT_PPS_Access27[Numéro projet],Portefeuille_MNT_PPS_Access27[Critère Etat Infrastructure])</f>
        <v>#REF!</v>
      </c>
      <c r="AD115" s="12" t="e">
        <f>IF(#REF!=5,100, SUM(IF(#REF!="",#REF!*$AE$8/5,#REF!*$AE$8/5),#REF!* $AE$10/5,#REF!* $AE$9/5,#REF!* $AE$7/5)*100)</f>
        <v>#REF!</v>
      </c>
      <c r="AE115" s="221"/>
      <c r="AG115">
        <v>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75</v>
      </c>
      <c r="AO115">
        <v>0</v>
      </c>
      <c r="AP115">
        <v>75</v>
      </c>
      <c r="AQ115">
        <v>1500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1650</v>
      </c>
      <c r="BI115">
        <v>1650</v>
      </c>
      <c r="BJ115">
        <v>1650</v>
      </c>
      <c r="DP115"/>
    </row>
    <row r="116" spans="1:120" hidden="1" x14ac:dyDescent="0.3">
      <c r="A116" t="s">
        <v>286</v>
      </c>
      <c r="C116" t="s">
        <v>733</v>
      </c>
      <c r="D116" t="s">
        <v>118</v>
      </c>
      <c r="F116" t="s">
        <v>136</v>
      </c>
      <c r="H116" t="s">
        <v>20</v>
      </c>
      <c r="I116" t="s">
        <v>20</v>
      </c>
      <c r="J116" t="s">
        <v>105</v>
      </c>
      <c r="K116" t="s">
        <v>715</v>
      </c>
      <c r="L116" t="s">
        <v>694</v>
      </c>
      <c r="M116" t="s">
        <v>402</v>
      </c>
      <c r="N116">
        <v>2028</v>
      </c>
      <c r="P116" s="1"/>
      <c r="Q116" s="1"/>
      <c r="R116" s="1" t="e">
        <f xml:space="preserve"> IF(#REF! = "", "X",IF(#REF! &lt;= DATE(#REF!- 3, 12, 15),"5.Respect OPC",IF(#REF! &lt;= DATE(#REF!-2, 4, 1),"3.À risque","1.Très à risque")))</f>
        <v>#REF!</v>
      </c>
      <c r="S116" s="1" t="e">
        <f xml:space="preserve"> IF(#REF! = "", "X",IF(#REF! &lt;= DATE(#REF!- 2, 12, 15),"5.Respect OPC",IF(#REF! &lt;= DATE(#REF!-1, 4, 1),"3.À risque","1.Très à risque")))</f>
        <v>#REF!</v>
      </c>
      <c r="T116" s="1" t="e">
        <f xml:space="preserve"> IF(#REF! = "", "X",IF(#REF! &lt;= DATE(#REF!- 1, 12, 15),"5.Respect OPC",IF(#REF! &lt;= DATE(#REF!, 4, 1),"3.À risque","1.Très à risque")))</f>
        <v>#REF!</v>
      </c>
      <c r="U116" s="1" t="e">
        <f xml:space="preserve"> (YEAR(#REF!) - YEAR(#REF!)) * 12 + MONTH(#REF!) - MONTH(#REF!)</f>
        <v>#REF!</v>
      </c>
      <c r="V116" s="1" t="e">
        <f xml:space="preserve"> (YEAR(#REF!) - YEAR(#REF!)) * 12 + MONTH(#REF!) - MONTH(#REF!)</f>
        <v>#REF!</v>
      </c>
      <c r="W116" s="1" t="e">
        <f>#REF!+#REF!</f>
        <v>#REF!</v>
      </c>
      <c r="X116" s="1"/>
      <c r="Y116" s="1"/>
      <c r="Z116">
        <v>5</v>
      </c>
      <c r="AA116">
        <v>1</v>
      </c>
      <c r="AB116">
        <v>3</v>
      </c>
      <c r="AC116" s="2" t="e">
        <f>_xlfn.XLOOKUP(#REF!,Portefeuille_MNT_PPS_Access27[Numéro projet],Portefeuille_MNT_PPS_Access27[Critère Etat Infrastructure])</f>
        <v>#REF!</v>
      </c>
      <c r="AD116" s="12" t="e">
        <f>IF(#REF!=5,100, SUM(IF(#REF!="",#REF!*$AE$8/5,#REF!*$AE$8/5),#REF!* $AE$10/5,#REF!* $AE$9/5,#REF!* $AE$7/5)*100)</f>
        <v>#REF!</v>
      </c>
      <c r="AE116" s="221"/>
      <c r="AG116">
        <v>2.6666666666666665</v>
      </c>
      <c r="AH116">
        <v>0</v>
      </c>
      <c r="AI116">
        <v>0</v>
      </c>
      <c r="AJ116">
        <v>0</v>
      </c>
      <c r="AK116">
        <v>0</v>
      </c>
      <c r="AL116">
        <v>75</v>
      </c>
      <c r="AM116">
        <v>0</v>
      </c>
      <c r="AN116">
        <v>75</v>
      </c>
      <c r="AO116">
        <v>1500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1650</v>
      </c>
      <c r="BI116">
        <v>1650</v>
      </c>
      <c r="BJ116">
        <v>1650</v>
      </c>
      <c r="DP116"/>
    </row>
    <row r="117" spans="1:120" hidden="1" x14ac:dyDescent="0.3">
      <c r="A117" t="s">
        <v>286</v>
      </c>
      <c r="C117" t="s">
        <v>733</v>
      </c>
      <c r="D117" t="s">
        <v>101</v>
      </c>
      <c r="F117" t="s">
        <v>136</v>
      </c>
      <c r="H117" t="s">
        <v>20</v>
      </c>
      <c r="I117" t="s">
        <v>20</v>
      </c>
      <c r="J117" t="s">
        <v>131</v>
      </c>
      <c r="K117" t="s">
        <v>716</v>
      </c>
      <c r="L117" t="s">
        <v>702</v>
      </c>
      <c r="M117" t="s">
        <v>245</v>
      </c>
      <c r="N117">
        <v>2029</v>
      </c>
      <c r="P117" s="1"/>
      <c r="Q117" s="1"/>
      <c r="R117" s="1" t="e">
        <f xml:space="preserve"> IF(#REF! = "", "X",IF(#REF! &lt;= DATE(#REF!- 3, 12, 15),"5.Respect OPC",IF(#REF! &lt;= DATE(#REF!-2, 4, 1),"3.À risque","1.Très à risque")))</f>
        <v>#REF!</v>
      </c>
      <c r="S117" s="1" t="e">
        <f xml:space="preserve"> IF(#REF! = "", "X",IF(#REF! &lt;= DATE(#REF!- 2, 12, 15),"5.Respect OPC",IF(#REF! &lt;= DATE(#REF!-1, 4, 1),"3.À risque","1.Très à risque")))</f>
        <v>#REF!</v>
      </c>
      <c r="T117" s="1" t="e">
        <f xml:space="preserve"> IF(#REF! = "", "X",IF(#REF! &lt;= DATE(#REF!- 1, 12, 15),"5.Respect OPC",IF(#REF! &lt;= DATE(#REF!, 4, 1),"3.À risque","1.Très à risque")))</f>
        <v>#REF!</v>
      </c>
      <c r="U117" s="1" t="e">
        <f xml:space="preserve"> (YEAR(#REF!) - YEAR(#REF!)) * 12 + MONTH(#REF!) - MONTH(#REF!)</f>
        <v>#REF!</v>
      </c>
      <c r="V117" s="1" t="e">
        <f xml:space="preserve"> (YEAR(#REF!) - YEAR(#REF!)) * 12 + MONTH(#REF!) - MONTH(#REF!)</f>
        <v>#REF!</v>
      </c>
      <c r="W117" s="1" t="e">
        <f>#REF!+#REF!</f>
        <v>#REF!</v>
      </c>
      <c r="X117" s="1"/>
      <c r="Y117" s="1"/>
      <c r="Z117">
        <v>5</v>
      </c>
      <c r="AA117">
        <v>1</v>
      </c>
      <c r="AB117">
        <v>3</v>
      </c>
      <c r="AC117" s="2" t="e">
        <f>_xlfn.XLOOKUP(#REF!,Portefeuille_MNT_PPS_Access27[Numéro projet],Portefeuille_MNT_PPS_Access27[Critère Etat Infrastructure])</f>
        <v>#REF!</v>
      </c>
      <c r="AD117" s="12" t="e">
        <f>IF(#REF!=5,100, SUM(IF(#REF!="",#REF!*$AE$8/5,#REF!*$AE$8/5),#REF!* $AE$10/5,#REF!* $AE$9/5,#REF!* $AE$7/5)*100)</f>
        <v>#REF!</v>
      </c>
      <c r="AE117" s="221"/>
      <c r="AG117">
        <v>1.6666666666666667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50</v>
      </c>
      <c r="AO117">
        <v>0</v>
      </c>
      <c r="AP117">
        <v>100</v>
      </c>
      <c r="AQ117">
        <v>875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1025</v>
      </c>
      <c r="BI117">
        <v>1025</v>
      </c>
      <c r="BJ117">
        <v>1025</v>
      </c>
      <c r="DP117"/>
    </row>
    <row r="118" spans="1:120" hidden="1" x14ac:dyDescent="0.3">
      <c r="A118" t="s">
        <v>286</v>
      </c>
      <c r="C118" t="s">
        <v>733</v>
      </c>
      <c r="D118" t="s">
        <v>118</v>
      </c>
      <c r="F118" t="s">
        <v>136</v>
      </c>
      <c r="H118" t="s">
        <v>20</v>
      </c>
      <c r="I118" t="s">
        <v>20</v>
      </c>
      <c r="K118" t="s">
        <v>717</v>
      </c>
      <c r="L118" t="s">
        <v>695</v>
      </c>
      <c r="M118" t="s">
        <v>725</v>
      </c>
      <c r="N118">
        <v>2029</v>
      </c>
      <c r="P118" s="1"/>
      <c r="Q118" s="1"/>
      <c r="R118" s="1" t="e">
        <f xml:space="preserve"> IF(#REF! = "", "X",IF(#REF! &lt;= DATE(#REF!- 3, 12, 15),"5.Respect OPC",IF(#REF! &lt;= DATE(#REF!-2, 4, 1),"3.À risque","1.Très à risque")))</f>
        <v>#REF!</v>
      </c>
      <c r="S118" s="1" t="e">
        <f xml:space="preserve"> IF(#REF! = "", "X",IF(#REF! &lt;= DATE(#REF!- 2, 12, 15),"5.Respect OPC",IF(#REF! &lt;= DATE(#REF!-1, 4, 1),"3.À risque","1.Très à risque")))</f>
        <v>#REF!</v>
      </c>
      <c r="T118" s="1" t="e">
        <f xml:space="preserve"> IF(#REF! = "", "X",IF(#REF! &lt;= DATE(#REF!- 1, 12, 15),"5.Respect OPC",IF(#REF! &lt;= DATE(#REF!, 4, 1),"3.À risque","1.Très à risque")))</f>
        <v>#REF!</v>
      </c>
      <c r="U118" s="1" t="e">
        <f xml:space="preserve"> (YEAR(#REF!) - YEAR(#REF!)) * 12 + MONTH(#REF!) - MONTH(#REF!)</f>
        <v>#REF!</v>
      </c>
      <c r="V118" s="1" t="e">
        <f xml:space="preserve"> (YEAR(#REF!) - YEAR(#REF!)) * 12 + MONTH(#REF!) - MONTH(#REF!)</f>
        <v>#REF!</v>
      </c>
      <c r="W118" s="1" t="e">
        <f>#REF!+#REF!</f>
        <v>#REF!</v>
      </c>
      <c r="X118" s="1"/>
      <c r="Y118" s="1"/>
      <c r="Z118">
        <v>5</v>
      </c>
      <c r="AA118">
        <v>1</v>
      </c>
      <c r="AB118">
        <v>3</v>
      </c>
      <c r="AC118" s="2" t="e">
        <f>_xlfn.XLOOKUP(#REF!,Portefeuille_MNT_PPS_Access27[Numéro projet],Portefeuille_MNT_PPS_Access27[Critère Etat Infrastructure])</f>
        <v>#REF!</v>
      </c>
      <c r="AD118" s="12" t="e">
        <f>IF(#REF!=5,100, SUM(IF(#REF!="",#REF!*$AE$8/5,#REF!*$AE$8/5),#REF!* $AE$10/5,#REF!* $AE$9/5,#REF!* $AE$7/5)*100)</f>
        <v>#REF!</v>
      </c>
      <c r="AE118" s="221"/>
      <c r="AG118">
        <v>1.3333333333333333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50</v>
      </c>
      <c r="AO118">
        <v>0</v>
      </c>
      <c r="AP118">
        <v>50</v>
      </c>
      <c r="AQ118">
        <v>500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600</v>
      </c>
      <c r="BI118">
        <v>600</v>
      </c>
      <c r="BJ118">
        <v>600</v>
      </c>
      <c r="DP118"/>
    </row>
    <row r="119" spans="1:120" hidden="1" x14ac:dyDescent="0.3">
      <c r="A119" t="s">
        <v>286</v>
      </c>
      <c r="C119" t="s">
        <v>733</v>
      </c>
      <c r="D119" t="s">
        <v>118</v>
      </c>
      <c r="F119" t="s">
        <v>136</v>
      </c>
      <c r="H119" t="s">
        <v>20</v>
      </c>
      <c r="I119" t="s">
        <v>20</v>
      </c>
      <c r="K119" t="s">
        <v>718</v>
      </c>
      <c r="L119" t="s">
        <v>696</v>
      </c>
      <c r="M119" t="s">
        <v>725</v>
      </c>
      <c r="N119">
        <v>2028</v>
      </c>
      <c r="P119" s="1"/>
      <c r="Q119" s="1"/>
      <c r="R119" s="1" t="e">
        <f xml:space="preserve"> IF(#REF! = "", "X",IF(#REF! &lt;= DATE(#REF!- 3, 12, 15),"5.Respect OPC",IF(#REF! &lt;= DATE(#REF!-2, 4, 1),"3.À risque","1.Très à risque")))</f>
        <v>#REF!</v>
      </c>
      <c r="S119" s="1" t="e">
        <f xml:space="preserve"> IF(#REF! = "", "X",IF(#REF! &lt;= DATE(#REF!- 2, 12, 15),"5.Respect OPC",IF(#REF! &lt;= DATE(#REF!-1, 4, 1),"3.À risque","1.Très à risque")))</f>
        <v>#REF!</v>
      </c>
      <c r="T119" s="1" t="e">
        <f xml:space="preserve"> IF(#REF! = "", "X",IF(#REF! &lt;= DATE(#REF!- 1, 12, 15),"5.Respect OPC",IF(#REF! &lt;= DATE(#REF!, 4, 1),"3.À risque","1.Très à risque")))</f>
        <v>#REF!</v>
      </c>
      <c r="U119" s="1" t="e">
        <f xml:space="preserve"> (YEAR(#REF!) - YEAR(#REF!)) * 12 + MONTH(#REF!) - MONTH(#REF!)</f>
        <v>#REF!</v>
      </c>
      <c r="V119" s="1" t="e">
        <f xml:space="preserve"> (YEAR(#REF!) - YEAR(#REF!)) * 12 + MONTH(#REF!) - MONTH(#REF!)</f>
        <v>#REF!</v>
      </c>
      <c r="W119" s="1" t="e">
        <f>#REF!+#REF!</f>
        <v>#REF!</v>
      </c>
      <c r="X119" s="1"/>
      <c r="Y119" s="1"/>
      <c r="Z119">
        <v>5</v>
      </c>
      <c r="AA119">
        <v>1</v>
      </c>
      <c r="AB119">
        <v>3</v>
      </c>
      <c r="AC119" s="2" t="e">
        <f>_xlfn.XLOOKUP(#REF!,Portefeuille_MNT_PPS_Access27[Numéro projet],Portefeuille_MNT_PPS_Access27[Critère Etat Infrastructure])</f>
        <v>#REF!</v>
      </c>
      <c r="AD119" s="12" t="e">
        <f>IF(#REF!=5,100, SUM(IF(#REF!="",#REF!*$AE$8/5,#REF!*$AE$8/5),#REF!* $AE$10/5,#REF!* $AE$9/5,#REF!* $AE$7/5)*100)</f>
        <v>#REF!</v>
      </c>
      <c r="AE119" s="221"/>
      <c r="AG119">
        <v>3.0833333333333335</v>
      </c>
      <c r="AH119">
        <v>0</v>
      </c>
      <c r="AI119">
        <v>0</v>
      </c>
      <c r="AJ119">
        <v>0</v>
      </c>
      <c r="AK119">
        <v>0</v>
      </c>
      <c r="AL119">
        <v>300</v>
      </c>
      <c r="AM119">
        <v>0</v>
      </c>
      <c r="AN119">
        <v>300</v>
      </c>
      <c r="AO119">
        <v>1532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2132</v>
      </c>
      <c r="BI119">
        <v>2132</v>
      </c>
      <c r="BJ119">
        <v>2132</v>
      </c>
      <c r="DP119"/>
    </row>
    <row r="120" spans="1:120" x14ac:dyDescent="0.3">
      <c r="K120">
        <f>SUBTOTAL(103,PLANIFICATION[Numéro projet])</f>
        <v>1</v>
      </c>
      <c r="AE120" s="25"/>
      <c r="AH120" s="14">
        <f>SUBTOTAL(109,PLANIFICATION[AC ANT])</f>
        <v>133</v>
      </c>
      <c r="AI120" s="14">
        <f>SUBTOTAL(109,PLANIFICATION[TR ANT])</f>
        <v>0</v>
      </c>
      <c r="AJ120" s="14">
        <f>SUBTOTAL(109,PLANIFICATION[AC 2026])</f>
        <v>362</v>
      </c>
      <c r="AK120" s="14">
        <f>SUBTOTAL(109,PLANIFICATION[TR 2026])</f>
        <v>4776</v>
      </c>
      <c r="AL120" s="14">
        <f>SUBTOTAL(109,PLANIFICATION[AC 2027])</f>
        <v>0</v>
      </c>
      <c r="AM120" s="14">
        <f>SUBTOTAL(109,PLANIFICATION[TR 2027])</f>
        <v>0</v>
      </c>
      <c r="AN120" s="14">
        <f>SUBTOTAL(109,PLANIFICATION[AC 2028])</f>
        <v>0</v>
      </c>
      <c r="AO120" s="14">
        <f>SUBTOTAL(109,PLANIFICATION[TR 2028])</f>
        <v>0</v>
      </c>
      <c r="AP120" s="14">
        <f>SUBTOTAL(109,PLANIFICATION[AC 2029])</f>
        <v>0</v>
      </c>
      <c r="AQ120" s="14">
        <f>SUBTOTAL(109,PLANIFICATION[TR 2029])</f>
        <v>0</v>
      </c>
      <c r="AR120" s="14">
        <f>SUBTOTAL(109,PLANIFICATION[AC 2030])</f>
        <v>0</v>
      </c>
      <c r="AS120" s="14">
        <f>SUBTOTAL(109,PLANIFICATION[TR 2030])</f>
        <v>0</v>
      </c>
      <c r="AT120" s="14">
        <f>SUBTOTAL(109,PLANIFICATION[AC 2031])</f>
        <v>0</v>
      </c>
      <c r="AU120" s="14">
        <f>SUBTOTAL(109,PLANIFICATION[TR 2031])</f>
        <v>0</v>
      </c>
      <c r="AV120" s="14">
        <f>SUBTOTAL(109,PLANIFICATION[AC 2032])</f>
        <v>0</v>
      </c>
      <c r="AW120" s="14">
        <f>SUBTOTAL(109,PLANIFICATION[TR 2032])</f>
        <v>0</v>
      </c>
      <c r="BH120" s="14">
        <f>SUBTOTAL(109,PLANIFICATION[Total Projet])</f>
        <v>5271</v>
      </c>
      <c r="DP120"/>
    </row>
    <row r="121" spans="1:120" x14ac:dyDescent="0.3">
      <c r="AK121" s="14" t="e">
        <f>#REF!+#REF!</f>
        <v>#REF!</v>
      </c>
      <c r="AL121" s="14"/>
      <c r="AM121" s="14">
        <f>PLANIFICATION[[#Totals],[AC 2026]]+PLANIFICATION[[#Totals],[TR 2026]]</f>
        <v>5138</v>
      </c>
      <c r="AN121" s="14"/>
      <c r="AO121" s="14">
        <f>PLANIFICATION[[#Totals],[AC 2027]]+PLANIFICATION[[#Totals],[TR 2027]]</f>
        <v>0</v>
      </c>
      <c r="AP121" s="14"/>
      <c r="AQ121" s="14">
        <f>PLANIFICATION[[#Totals],[AC 2028]]+PLANIFICATION[[#Totals],[TR 2028]]</f>
        <v>0</v>
      </c>
      <c r="AR121" s="14"/>
      <c r="AS121" s="14">
        <f>PLANIFICATION[[#Totals],[AC 2029]]+PLANIFICATION[[#Totals],[TR 2029]]</f>
        <v>0</v>
      </c>
      <c r="AT121" s="14"/>
      <c r="AU121" s="14">
        <f>PLANIFICATION[[#Totals],[AC 2030]]+PLANIFICATION[[#Totals],[TR 2030]]</f>
        <v>0</v>
      </c>
      <c r="AV121" s="14"/>
      <c r="AW121" s="14">
        <f>PLANIFICATION[[#Totals],[AC 2031]]+PLANIFICATION[[#Totals],[TR 2031]]</f>
        <v>0</v>
      </c>
      <c r="AX121" s="14"/>
      <c r="AY121" s="14">
        <f>PLANIFICATION[[#Totals],[AC 2032]]+PLANIFICATION[[#Totals],[TR 2032]]</f>
        <v>0</v>
      </c>
      <c r="AZ121" s="14"/>
      <c r="BA121" s="14" t="e">
        <f>#REF!+#REF!</f>
        <v>#REF!</v>
      </c>
      <c r="BB121" s="14"/>
      <c r="BC121" s="14"/>
      <c r="BD121" s="14"/>
      <c r="BE121" s="14"/>
      <c r="BF121" s="14"/>
      <c r="BG121" s="14"/>
      <c r="BH121" s="14"/>
      <c r="BI121" s="14"/>
      <c r="BJ121" s="14"/>
      <c r="BK121" s="14" t="e">
        <f>#REF!+#REF!</f>
        <v>#REF!</v>
      </c>
      <c r="BL121" s="14"/>
      <c r="BM121" s="14" t="e">
        <f>#REF!+#REF!</f>
        <v>#REF!</v>
      </c>
      <c r="BN121" s="14"/>
      <c r="BO121" s="14"/>
      <c r="DP121"/>
    </row>
    <row r="122" spans="1:120" x14ac:dyDescent="0.3">
      <c r="DP122"/>
    </row>
    <row r="123" spans="1:120" x14ac:dyDescent="0.3">
      <c r="DP123"/>
    </row>
    <row r="124" spans="1:120" x14ac:dyDescent="0.3">
      <c r="DP124"/>
    </row>
    <row r="125" spans="1:120" x14ac:dyDescent="0.3">
      <c r="DP125"/>
    </row>
    <row r="126" spans="1:120" x14ac:dyDescent="0.3">
      <c r="DP126"/>
    </row>
    <row r="127" spans="1:120" x14ac:dyDescent="0.3">
      <c r="DP127"/>
    </row>
    <row r="128" spans="1:120" x14ac:dyDescent="0.3">
      <c r="DP128"/>
    </row>
    <row r="129" spans="120:120" x14ac:dyDescent="0.3">
      <c r="DP129"/>
    </row>
    <row r="130" spans="120:120" x14ac:dyDescent="0.3">
      <c r="DP130"/>
    </row>
    <row r="131" spans="120:120" x14ac:dyDescent="0.3">
      <c r="DP131"/>
    </row>
    <row r="132" spans="120:120" x14ac:dyDescent="0.3">
      <c r="DP132"/>
    </row>
    <row r="133" spans="120:120" x14ac:dyDescent="0.3">
      <c r="DP133"/>
    </row>
    <row r="134" spans="120:120" x14ac:dyDescent="0.3">
      <c r="DP134"/>
    </row>
    <row r="135" spans="120:120" x14ac:dyDescent="0.3">
      <c r="DP135"/>
    </row>
    <row r="136" spans="120:120" x14ac:dyDescent="0.3">
      <c r="DP136"/>
    </row>
    <row r="137" spans="120:120" x14ac:dyDescent="0.3">
      <c r="DP137"/>
    </row>
    <row r="138" spans="120:120" x14ac:dyDescent="0.3">
      <c r="DP138"/>
    </row>
    <row r="139" spans="120:120" x14ac:dyDescent="0.3">
      <c r="DP139"/>
    </row>
    <row r="140" spans="120:120" x14ac:dyDescent="0.3">
      <c r="DP140"/>
    </row>
    <row r="141" spans="120:120" x14ac:dyDescent="0.3">
      <c r="DP141"/>
    </row>
    <row r="142" spans="120:120" x14ac:dyDescent="0.3">
      <c r="DP142"/>
    </row>
    <row r="143" spans="120:120" x14ac:dyDescent="0.3">
      <c r="DP143"/>
    </row>
    <row r="144" spans="120:120" x14ac:dyDescent="0.3">
      <c r="DP144"/>
    </row>
    <row r="145" spans="63:122" x14ac:dyDescent="0.3">
      <c r="DP145"/>
    </row>
    <row r="146" spans="63:122" x14ac:dyDescent="0.3">
      <c r="DP146"/>
    </row>
    <row r="147" spans="63:122" x14ac:dyDescent="0.3">
      <c r="BK147" s="14"/>
      <c r="BL147" s="14"/>
      <c r="BM147" s="14"/>
      <c r="BN147" s="14"/>
      <c r="BO147" s="14"/>
      <c r="BP147" s="14"/>
      <c r="BU147" s="14"/>
      <c r="BV147" s="14"/>
      <c r="BW147" s="14"/>
      <c r="BY147" s="14"/>
      <c r="BZ147" s="14"/>
      <c r="CA147" s="14" t="e">
        <f>#REF!+#REF!</f>
        <v>#REF!</v>
      </c>
      <c r="DP147"/>
    </row>
    <row r="148" spans="63:122" x14ac:dyDescent="0.3">
      <c r="CE148" s="57"/>
      <c r="DP148"/>
    </row>
    <row r="149" spans="63:122" x14ac:dyDescent="0.3">
      <c r="DP149"/>
    </row>
    <row r="150" spans="63:122" x14ac:dyDescent="0.3">
      <c r="DP150"/>
    </row>
    <row r="151" spans="63:122" x14ac:dyDescent="0.3">
      <c r="DP151"/>
    </row>
    <row r="152" spans="63:122" x14ac:dyDescent="0.3">
      <c r="CE152" s="57"/>
      <c r="DP152"/>
    </row>
    <row r="153" spans="63:122" x14ac:dyDescent="0.3">
      <c r="DP153"/>
    </row>
    <row r="154" spans="63:122" x14ac:dyDescent="0.3">
      <c r="DP154"/>
    </row>
    <row r="155" spans="63:122" x14ac:dyDescent="0.3">
      <c r="DP155"/>
    </row>
    <row r="156" spans="63:122" x14ac:dyDescent="0.3">
      <c r="DP156"/>
    </row>
    <row r="157" spans="63:122" x14ac:dyDescent="0.3">
      <c r="DP157"/>
    </row>
    <row r="158" spans="63:122" x14ac:dyDescent="0.3">
      <c r="CV158" s="14">
        <f>PLANIFICATION[[#Totals],[TR 2026]]+PLANIFICATION[[#Totals],[AC 2026]]</f>
        <v>5138</v>
      </c>
      <c r="DB158" s="8"/>
      <c r="DP158" s="14"/>
    </row>
    <row r="159" spans="63:122" x14ac:dyDescent="0.3">
      <c r="CX159" s="14">
        <f>PLANIFICATION[[#Totals],[TR 2027]]+PLANIFICATION[[#Totals],[AC 2027]]</f>
        <v>0</v>
      </c>
      <c r="CZ159" s="14">
        <f>PLANIFICATION[[#Totals],[TR 2028]]+PLANIFICATION[[#Totals],[AC 2028]]</f>
        <v>0</v>
      </c>
      <c r="DB159" s="238">
        <f>PLANIFICATION[[#Totals],[TR 2029]]+PLANIFICATION[[#Totals],[AC 2029]]</f>
        <v>0</v>
      </c>
      <c r="DD159" s="57">
        <f>PLANIFICATION[[#Totals],[TR 2030]]+PLANIFICATION[[#Totals],[AC 2030]]</f>
        <v>0</v>
      </c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14">
        <f>SUM(CV159:DD159)</f>
        <v>0</v>
      </c>
      <c r="DR159" s="57"/>
    </row>
    <row r="160" spans="63:122" x14ac:dyDescent="0.3">
      <c r="DB160" s="8"/>
      <c r="DP160"/>
    </row>
    <row r="161" spans="63:129" x14ac:dyDescent="0.3">
      <c r="DB161" s="8"/>
      <c r="DP161" s="57"/>
    </row>
    <row r="162" spans="63:129" x14ac:dyDescent="0.3">
      <c r="DB162" s="8"/>
      <c r="DP162"/>
    </row>
    <row r="163" spans="63:129" x14ac:dyDescent="0.3">
      <c r="DB163" s="8"/>
      <c r="DP163"/>
      <c r="DQ163" s="57"/>
    </row>
    <row r="164" spans="63:129" x14ac:dyDescent="0.3">
      <c r="BQ164" s="14"/>
      <c r="BR164" s="14"/>
      <c r="BS164" s="14"/>
      <c r="BT164" s="14"/>
      <c r="DF164" s="8"/>
      <c r="DP164"/>
    </row>
    <row r="165" spans="63:129" x14ac:dyDescent="0.3">
      <c r="DF165" s="8"/>
      <c r="DP165"/>
    </row>
    <row r="166" spans="63:129" x14ac:dyDescent="0.3">
      <c r="DF166" s="8"/>
      <c r="DP166"/>
    </row>
    <row r="167" spans="63:129" x14ac:dyDescent="0.3">
      <c r="DF167" s="8"/>
      <c r="DP167"/>
    </row>
    <row r="168" spans="63:129" x14ac:dyDescent="0.3">
      <c r="DF168" s="8"/>
      <c r="DP168"/>
    </row>
    <row r="169" spans="63:129" x14ac:dyDescent="0.3">
      <c r="BU169" s="14"/>
      <c r="BV169" s="14"/>
      <c r="DH169" s="8"/>
      <c r="DP169"/>
      <c r="DX169" s="57"/>
      <c r="DY169" s="57"/>
    </row>
    <row r="170" spans="63:129" x14ac:dyDescent="0.3">
      <c r="DH170" s="8"/>
      <c r="DP170"/>
    </row>
    <row r="171" spans="63:129" x14ac:dyDescent="0.3">
      <c r="DH171" s="8"/>
      <c r="DP171"/>
    </row>
    <row r="172" spans="63:129" x14ac:dyDescent="0.3">
      <c r="DH172" s="8"/>
      <c r="DP172"/>
    </row>
    <row r="173" spans="63:129" x14ac:dyDescent="0.3">
      <c r="BK173" s="14"/>
      <c r="BL173" s="14"/>
      <c r="BM173" s="14"/>
      <c r="BN173" s="14"/>
      <c r="BO173" s="14"/>
      <c r="BP173" s="14"/>
      <c r="BQ173" s="14"/>
      <c r="BR173" s="14"/>
    </row>
  </sheetData>
  <mergeCells count="5">
    <mergeCell ref="J3:K3"/>
    <mergeCell ref="AF3:AG3"/>
    <mergeCell ref="AH3:AI3"/>
    <mergeCell ref="AF11:AG11"/>
    <mergeCell ref="AF13:AG13"/>
  </mergeCells>
  <phoneticPr fontId="14" type="noConversion"/>
  <conditionalFormatting sqref="B19:BJ119">
    <cfRule type="containsText" dxfId="72" priority="1" operator="containsText" text="1.Très à risque">
      <formula>NOT(ISERROR(SEARCH("1.Très à risque",B19)))</formula>
    </cfRule>
    <cfRule type="containsText" dxfId="71" priority="2" operator="containsText" text="3.À risque">
      <formula>NOT(ISERROR(SEARCH("3.À risque",B19)))</formula>
    </cfRule>
    <cfRule type="containsText" dxfId="70" priority="3" operator="containsText" text="5.Respect OPC">
      <formula>NOT(ISERROR(SEARCH("5.Respect OPC",B19)))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43" id="{31E223E3-70F4-4E2A-B995-A251BF7E007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AC19:AE119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D247-3CFC-4BCF-AF15-B23653E37BF8}">
  <dimension ref="A1:L1112"/>
  <sheetViews>
    <sheetView tabSelected="1" workbookViewId="0">
      <selection sqref="A1:XFD1"/>
    </sheetView>
  </sheetViews>
  <sheetFormatPr baseColWidth="10" defaultRowHeight="14.4" x14ac:dyDescent="0.3"/>
  <cols>
    <col min="1" max="1" width="8.6640625" bestFit="1" customWidth="1"/>
    <col min="2" max="2" width="15.6640625" bestFit="1" customWidth="1"/>
    <col min="3" max="3" width="80.88671875" bestFit="1" customWidth="1"/>
    <col min="4" max="4" width="20.109375" bestFit="1" customWidth="1"/>
    <col min="5" max="8" width="11.44140625" bestFit="1" customWidth="1"/>
    <col min="9" max="9" width="5.5546875" bestFit="1" customWidth="1"/>
    <col min="10" max="10" width="6" bestFit="1" customWidth="1"/>
    <col min="11" max="11" width="14.88671875" customWidth="1"/>
    <col min="12" max="13" width="16.109375" bestFit="1" customWidth="1"/>
  </cols>
  <sheetData>
    <row r="1" spans="1:12" x14ac:dyDescent="0.3">
      <c r="A1" t="s">
        <v>745</v>
      </c>
      <c r="B1" t="s">
        <v>45</v>
      </c>
      <c r="C1" t="s">
        <v>46</v>
      </c>
      <c r="D1" t="s">
        <v>49</v>
      </c>
      <c r="E1" t="s">
        <v>750</v>
      </c>
      <c r="F1" t="s">
        <v>751</v>
      </c>
      <c r="G1" t="s">
        <v>752</v>
      </c>
      <c r="H1" t="s">
        <v>753</v>
      </c>
      <c r="I1" t="s">
        <v>9</v>
      </c>
      <c r="J1" t="s">
        <v>12</v>
      </c>
      <c r="K1" t="s">
        <v>746</v>
      </c>
      <c r="L1" t="s">
        <v>747</v>
      </c>
    </row>
    <row r="2" spans="1:12" x14ac:dyDescent="0.3">
      <c r="A2">
        <v>2026</v>
      </c>
      <c r="B2" t="s">
        <v>364</v>
      </c>
      <c r="C2" t="s">
        <v>365</v>
      </c>
      <c r="D2" t="s">
        <v>291</v>
      </c>
      <c r="E2" s="1"/>
      <c r="F2" s="1"/>
      <c r="G2" s="1"/>
      <c r="H2" s="1"/>
      <c r="I2">
        <v>0</v>
      </c>
      <c r="J2">
        <v>0</v>
      </c>
      <c r="K2">
        <v>0</v>
      </c>
      <c r="L2" t="s">
        <v>748</v>
      </c>
    </row>
    <row r="3" spans="1:12" x14ac:dyDescent="0.3">
      <c r="A3">
        <v>2026</v>
      </c>
      <c r="B3" t="s">
        <v>366</v>
      </c>
      <c r="C3" t="s">
        <v>367</v>
      </c>
      <c r="D3" t="s">
        <v>155</v>
      </c>
      <c r="E3" s="1">
        <v>46006</v>
      </c>
      <c r="F3" s="1">
        <v>46157</v>
      </c>
      <c r="G3" s="1">
        <v>46645</v>
      </c>
      <c r="H3" s="1">
        <v>47011</v>
      </c>
      <c r="I3">
        <v>0</v>
      </c>
      <c r="J3">
        <v>0</v>
      </c>
      <c r="K3">
        <v>0</v>
      </c>
      <c r="L3" t="s">
        <v>748</v>
      </c>
    </row>
    <row r="4" spans="1:12" x14ac:dyDescent="0.3">
      <c r="A4">
        <v>2026</v>
      </c>
      <c r="B4" t="s">
        <v>162</v>
      </c>
      <c r="C4" t="s">
        <v>163</v>
      </c>
      <c r="D4" t="s">
        <v>164</v>
      </c>
      <c r="E4" s="1"/>
      <c r="F4" s="1"/>
      <c r="G4" s="1"/>
      <c r="H4" s="1"/>
      <c r="I4">
        <v>45</v>
      </c>
      <c r="J4">
        <v>0</v>
      </c>
      <c r="K4">
        <v>45</v>
      </c>
      <c r="L4" t="s">
        <v>748</v>
      </c>
    </row>
    <row r="5" spans="1:12" x14ac:dyDescent="0.3">
      <c r="A5">
        <v>2026</v>
      </c>
      <c r="B5" t="s">
        <v>166</v>
      </c>
      <c r="C5" t="s">
        <v>167</v>
      </c>
      <c r="D5" t="s">
        <v>155</v>
      </c>
      <c r="E5" s="1">
        <v>42499</v>
      </c>
      <c r="F5" s="1">
        <v>45976</v>
      </c>
      <c r="G5" s="1">
        <v>46402</v>
      </c>
      <c r="H5" s="1">
        <v>46980</v>
      </c>
      <c r="I5">
        <v>210</v>
      </c>
      <c r="J5">
        <v>0</v>
      </c>
      <c r="K5">
        <v>210</v>
      </c>
      <c r="L5" t="s">
        <v>748</v>
      </c>
    </row>
    <row r="6" spans="1:12" x14ac:dyDescent="0.3">
      <c r="A6">
        <v>2026</v>
      </c>
      <c r="B6" t="s">
        <v>170</v>
      </c>
      <c r="C6" t="s">
        <v>171</v>
      </c>
      <c r="D6" t="s">
        <v>110</v>
      </c>
      <c r="E6" s="1"/>
      <c r="F6" s="1">
        <v>44833</v>
      </c>
      <c r="G6" s="1">
        <v>45976</v>
      </c>
      <c r="H6" s="1">
        <v>46310</v>
      </c>
      <c r="I6">
        <v>1008</v>
      </c>
      <c r="J6">
        <v>0</v>
      </c>
      <c r="K6">
        <v>1008</v>
      </c>
      <c r="L6" t="s">
        <v>748</v>
      </c>
    </row>
    <row r="7" spans="1:12" x14ac:dyDescent="0.3">
      <c r="A7">
        <v>2026</v>
      </c>
      <c r="B7" t="s">
        <v>137</v>
      </c>
      <c r="C7" t="s">
        <v>138</v>
      </c>
      <c r="D7" t="s">
        <v>123</v>
      </c>
      <c r="E7" s="1"/>
      <c r="F7" s="1">
        <v>45062</v>
      </c>
      <c r="G7" s="1">
        <v>45754</v>
      </c>
      <c r="H7" s="1">
        <v>45945</v>
      </c>
      <c r="I7">
        <v>907</v>
      </c>
      <c r="J7">
        <v>5500</v>
      </c>
      <c r="K7">
        <v>6407</v>
      </c>
      <c r="L7" t="s">
        <v>748</v>
      </c>
    </row>
    <row r="8" spans="1:12" x14ac:dyDescent="0.3">
      <c r="A8">
        <v>2026</v>
      </c>
      <c r="B8" t="s">
        <v>181</v>
      </c>
      <c r="C8" t="s">
        <v>296</v>
      </c>
      <c r="D8" t="s">
        <v>110</v>
      </c>
      <c r="E8" s="1"/>
      <c r="F8" s="1">
        <v>45590</v>
      </c>
      <c r="G8" s="1">
        <v>46157</v>
      </c>
      <c r="H8" s="1">
        <v>46157</v>
      </c>
      <c r="I8">
        <v>656</v>
      </c>
      <c r="J8">
        <v>0</v>
      </c>
      <c r="K8">
        <v>656</v>
      </c>
      <c r="L8" t="s">
        <v>748</v>
      </c>
    </row>
    <row r="9" spans="1:12" x14ac:dyDescent="0.3">
      <c r="A9">
        <v>2026</v>
      </c>
      <c r="B9" t="s">
        <v>185</v>
      </c>
      <c r="C9" t="s">
        <v>186</v>
      </c>
      <c r="D9" t="s">
        <v>110</v>
      </c>
      <c r="E9" s="1"/>
      <c r="F9" s="1">
        <v>44823</v>
      </c>
      <c r="G9" s="1">
        <v>46310</v>
      </c>
      <c r="H9" s="1">
        <v>46521</v>
      </c>
      <c r="I9">
        <v>835</v>
      </c>
      <c r="J9">
        <v>0</v>
      </c>
      <c r="K9">
        <v>835</v>
      </c>
      <c r="L9" t="s">
        <v>748</v>
      </c>
    </row>
    <row r="10" spans="1:12" x14ac:dyDescent="0.3">
      <c r="A10">
        <v>2026</v>
      </c>
      <c r="B10" t="s">
        <v>189</v>
      </c>
      <c r="C10" t="s">
        <v>190</v>
      </c>
      <c r="D10" t="s">
        <v>123</v>
      </c>
      <c r="E10" s="1"/>
      <c r="F10" s="1">
        <v>45684</v>
      </c>
      <c r="G10" s="1"/>
      <c r="H10" s="1">
        <v>46006</v>
      </c>
      <c r="I10">
        <v>262</v>
      </c>
      <c r="J10">
        <v>899</v>
      </c>
      <c r="K10">
        <v>1161</v>
      </c>
      <c r="L10" t="s">
        <v>749</v>
      </c>
    </row>
    <row r="11" spans="1:12" x14ac:dyDescent="0.3">
      <c r="A11">
        <v>2026</v>
      </c>
      <c r="B11" t="s">
        <v>132</v>
      </c>
      <c r="C11" t="s">
        <v>288</v>
      </c>
      <c r="D11" t="s">
        <v>123</v>
      </c>
      <c r="E11" s="1"/>
      <c r="F11" s="1">
        <v>45218</v>
      </c>
      <c r="G11" s="1">
        <v>45722</v>
      </c>
      <c r="H11" s="1">
        <v>45976</v>
      </c>
      <c r="I11">
        <v>362</v>
      </c>
      <c r="J11">
        <v>4776</v>
      </c>
      <c r="K11">
        <v>5138</v>
      </c>
      <c r="L11" t="s">
        <v>749</v>
      </c>
    </row>
    <row r="12" spans="1:12" x14ac:dyDescent="0.3">
      <c r="A12">
        <v>2026</v>
      </c>
      <c r="B12" t="s">
        <v>141</v>
      </c>
      <c r="C12" t="s">
        <v>142</v>
      </c>
      <c r="D12" t="s">
        <v>123</v>
      </c>
      <c r="E12" s="1">
        <v>42499</v>
      </c>
      <c r="F12" s="1">
        <v>42900</v>
      </c>
      <c r="G12" s="1">
        <v>45323</v>
      </c>
      <c r="H12" s="1">
        <v>45889</v>
      </c>
      <c r="I12">
        <v>400</v>
      </c>
      <c r="J12">
        <v>5141</v>
      </c>
      <c r="K12">
        <v>5541</v>
      </c>
      <c r="L12" t="s">
        <v>748</v>
      </c>
    </row>
    <row r="13" spans="1:12" x14ac:dyDescent="0.3">
      <c r="A13">
        <v>2026</v>
      </c>
      <c r="B13" t="s">
        <v>368</v>
      </c>
      <c r="C13" t="s">
        <v>369</v>
      </c>
      <c r="D13" t="s">
        <v>291</v>
      </c>
      <c r="E13" s="1"/>
      <c r="F13" s="1"/>
      <c r="G13" s="1"/>
      <c r="H13" s="1"/>
      <c r="I13">
        <v>0</v>
      </c>
      <c r="J13">
        <v>0</v>
      </c>
      <c r="K13">
        <v>0</v>
      </c>
      <c r="L13" t="s">
        <v>748</v>
      </c>
    </row>
    <row r="14" spans="1:12" x14ac:dyDescent="0.3">
      <c r="A14">
        <v>2026</v>
      </c>
      <c r="B14" t="s">
        <v>160</v>
      </c>
      <c r="C14" t="s">
        <v>161</v>
      </c>
      <c r="D14" t="s">
        <v>164</v>
      </c>
      <c r="E14" s="1">
        <v>43013</v>
      </c>
      <c r="F14" s="1">
        <v>44956</v>
      </c>
      <c r="G14" s="1">
        <v>45321</v>
      </c>
      <c r="H14" s="1">
        <v>45687</v>
      </c>
      <c r="I14">
        <v>34</v>
      </c>
      <c r="J14">
        <v>0</v>
      </c>
      <c r="K14">
        <v>34</v>
      </c>
      <c r="L14" t="s">
        <v>748</v>
      </c>
    </row>
    <row r="15" spans="1:12" x14ac:dyDescent="0.3">
      <c r="A15">
        <v>2026</v>
      </c>
      <c r="B15" t="s">
        <v>371</v>
      </c>
      <c r="C15" t="s">
        <v>372</v>
      </c>
      <c r="D15" t="s">
        <v>291</v>
      </c>
      <c r="E15" s="1"/>
      <c r="F15" s="1"/>
      <c r="G15" s="1"/>
      <c r="H15" s="1"/>
      <c r="I15">
        <v>0</v>
      </c>
      <c r="J15">
        <v>0</v>
      </c>
      <c r="K15">
        <v>0</v>
      </c>
      <c r="L15" t="s">
        <v>748</v>
      </c>
    </row>
    <row r="16" spans="1:12" x14ac:dyDescent="0.3">
      <c r="A16">
        <v>2026</v>
      </c>
      <c r="B16" t="s">
        <v>195</v>
      </c>
      <c r="C16" t="s">
        <v>196</v>
      </c>
      <c r="D16" t="s">
        <v>110</v>
      </c>
      <c r="E16" s="1"/>
      <c r="F16" s="1">
        <v>44889</v>
      </c>
      <c r="G16" s="1">
        <v>46068</v>
      </c>
      <c r="H16" s="1">
        <v>46583</v>
      </c>
      <c r="I16">
        <v>1611</v>
      </c>
      <c r="J16">
        <v>0</v>
      </c>
      <c r="K16">
        <v>1611</v>
      </c>
      <c r="L16" t="s">
        <v>748</v>
      </c>
    </row>
    <row r="17" spans="1:12" x14ac:dyDescent="0.3">
      <c r="A17">
        <v>2026</v>
      </c>
      <c r="B17" t="s">
        <v>375</v>
      </c>
      <c r="C17" t="s">
        <v>376</v>
      </c>
      <c r="D17" t="s">
        <v>155</v>
      </c>
      <c r="E17" s="1">
        <v>46006</v>
      </c>
      <c r="F17" s="1">
        <v>46280</v>
      </c>
      <c r="G17" s="1">
        <v>46645</v>
      </c>
      <c r="H17" s="1">
        <v>47011</v>
      </c>
      <c r="I17">
        <v>0</v>
      </c>
      <c r="J17">
        <v>0</v>
      </c>
      <c r="K17">
        <v>0</v>
      </c>
      <c r="L17" t="s">
        <v>748</v>
      </c>
    </row>
    <row r="18" spans="1:12" x14ac:dyDescent="0.3">
      <c r="A18">
        <v>2026</v>
      </c>
      <c r="B18" t="s">
        <v>174</v>
      </c>
      <c r="C18" t="s">
        <v>175</v>
      </c>
      <c r="D18" t="s">
        <v>164</v>
      </c>
      <c r="E18" s="1">
        <v>44014</v>
      </c>
      <c r="F18" s="1">
        <v>44014</v>
      </c>
      <c r="G18" s="1">
        <v>44294</v>
      </c>
      <c r="H18" s="1">
        <v>45239</v>
      </c>
      <c r="I18">
        <v>55</v>
      </c>
      <c r="J18">
        <v>1361</v>
      </c>
      <c r="K18">
        <v>1416</v>
      </c>
      <c r="L18" t="s">
        <v>748</v>
      </c>
    </row>
    <row r="19" spans="1:12" x14ac:dyDescent="0.3">
      <c r="A19">
        <v>2026</v>
      </c>
      <c r="B19" t="s">
        <v>203</v>
      </c>
      <c r="C19" t="s">
        <v>204</v>
      </c>
      <c r="D19" t="s">
        <v>155</v>
      </c>
      <c r="E19" s="1">
        <v>45730</v>
      </c>
      <c r="F19" s="1">
        <v>45960</v>
      </c>
      <c r="G19" s="1">
        <v>46264</v>
      </c>
      <c r="H19" s="1">
        <v>46629</v>
      </c>
      <c r="I19">
        <v>85</v>
      </c>
      <c r="J19">
        <v>0</v>
      </c>
      <c r="K19">
        <v>85</v>
      </c>
      <c r="L19" t="s">
        <v>748</v>
      </c>
    </row>
    <row r="20" spans="1:12" x14ac:dyDescent="0.3">
      <c r="A20">
        <v>2026</v>
      </c>
      <c r="B20" t="s">
        <v>114</v>
      </c>
      <c r="C20" t="s">
        <v>719</v>
      </c>
      <c r="D20" t="s">
        <v>123</v>
      </c>
      <c r="E20" s="1"/>
      <c r="F20" s="1">
        <v>45105</v>
      </c>
      <c r="G20" s="1">
        <v>45789</v>
      </c>
      <c r="H20" s="1">
        <v>45932</v>
      </c>
      <c r="I20">
        <v>820</v>
      </c>
      <c r="J20">
        <v>16672</v>
      </c>
      <c r="K20">
        <v>17492</v>
      </c>
      <c r="L20" t="s">
        <v>749</v>
      </c>
    </row>
    <row r="21" spans="1:12" x14ac:dyDescent="0.3">
      <c r="A21">
        <v>2026</v>
      </c>
      <c r="B21" t="s">
        <v>207</v>
      </c>
      <c r="C21" t="s">
        <v>208</v>
      </c>
      <c r="D21" t="s">
        <v>155</v>
      </c>
      <c r="E21" s="1">
        <v>44476</v>
      </c>
      <c r="F21" s="1">
        <v>45976</v>
      </c>
      <c r="G21" s="1">
        <v>46096</v>
      </c>
      <c r="H21" s="1">
        <v>46280</v>
      </c>
      <c r="I21">
        <v>255</v>
      </c>
      <c r="J21">
        <v>0</v>
      </c>
      <c r="K21">
        <v>255</v>
      </c>
      <c r="L21" t="s">
        <v>749</v>
      </c>
    </row>
    <row r="22" spans="1:12" x14ac:dyDescent="0.3">
      <c r="A22">
        <v>2026</v>
      </c>
      <c r="B22" t="s">
        <v>377</v>
      </c>
      <c r="C22" t="s">
        <v>378</v>
      </c>
      <c r="D22" t="s">
        <v>155</v>
      </c>
      <c r="E22" s="1"/>
      <c r="F22" s="1">
        <v>46068</v>
      </c>
      <c r="G22" s="1">
        <v>46461</v>
      </c>
      <c r="H22" s="1">
        <v>46888</v>
      </c>
      <c r="I22">
        <v>100</v>
      </c>
      <c r="J22">
        <v>0</v>
      </c>
      <c r="K22">
        <v>100</v>
      </c>
      <c r="L22" t="s">
        <v>748</v>
      </c>
    </row>
    <row r="23" spans="1:12" x14ac:dyDescent="0.3">
      <c r="A23">
        <v>2026</v>
      </c>
      <c r="B23" t="s">
        <v>210</v>
      </c>
      <c r="C23" t="s">
        <v>211</v>
      </c>
      <c r="D23" t="s">
        <v>155</v>
      </c>
      <c r="E23" s="1"/>
      <c r="F23" s="1">
        <v>45976</v>
      </c>
      <c r="G23" s="1">
        <v>46341</v>
      </c>
      <c r="H23" s="1">
        <v>46706</v>
      </c>
      <c r="I23">
        <v>100</v>
      </c>
      <c r="J23">
        <v>0</v>
      </c>
      <c r="K23">
        <v>100</v>
      </c>
      <c r="L23" t="s">
        <v>748</v>
      </c>
    </row>
    <row r="24" spans="1:12" x14ac:dyDescent="0.3">
      <c r="A24">
        <v>2026</v>
      </c>
      <c r="B24" t="s">
        <v>379</v>
      </c>
      <c r="C24" t="s">
        <v>380</v>
      </c>
      <c r="D24" t="s">
        <v>291</v>
      </c>
      <c r="E24" s="1"/>
      <c r="F24" s="1"/>
      <c r="G24" s="1"/>
      <c r="H24" s="1"/>
      <c r="I24">
        <v>0</v>
      </c>
      <c r="J24">
        <v>0</v>
      </c>
      <c r="K24">
        <v>0</v>
      </c>
      <c r="L24" t="s">
        <v>748</v>
      </c>
    </row>
    <row r="25" spans="1:12" x14ac:dyDescent="0.3">
      <c r="A25">
        <v>2026</v>
      </c>
      <c r="B25" t="s">
        <v>383</v>
      </c>
      <c r="C25" t="s">
        <v>384</v>
      </c>
      <c r="D25" t="s">
        <v>291</v>
      </c>
      <c r="E25" s="1"/>
      <c r="F25" s="1"/>
      <c r="G25" s="1"/>
      <c r="H25" s="1"/>
      <c r="I25">
        <v>0</v>
      </c>
      <c r="J25">
        <v>0</v>
      </c>
      <c r="K25">
        <v>0</v>
      </c>
      <c r="L25" t="s">
        <v>748</v>
      </c>
    </row>
    <row r="26" spans="1:12" x14ac:dyDescent="0.3">
      <c r="A26">
        <v>2026</v>
      </c>
      <c r="B26" t="s">
        <v>212</v>
      </c>
      <c r="C26" t="s">
        <v>213</v>
      </c>
      <c r="D26" t="s">
        <v>155</v>
      </c>
      <c r="E26" s="1">
        <v>45337</v>
      </c>
      <c r="F26" s="1">
        <v>46127</v>
      </c>
      <c r="G26" s="1">
        <v>46798</v>
      </c>
      <c r="H26" s="1">
        <v>47192</v>
      </c>
      <c r="I26">
        <v>125</v>
      </c>
      <c r="J26">
        <v>0</v>
      </c>
      <c r="K26">
        <v>125</v>
      </c>
      <c r="L26" t="s">
        <v>748</v>
      </c>
    </row>
    <row r="27" spans="1:12" x14ac:dyDescent="0.3">
      <c r="A27">
        <v>2026</v>
      </c>
      <c r="B27" t="s">
        <v>385</v>
      </c>
      <c r="C27" t="s">
        <v>740</v>
      </c>
      <c r="D27" t="s">
        <v>155</v>
      </c>
      <c r="E27" s="1">
        <v>45672</v>
      </c>
      <c r="F27" s="1">
        <v>45960</v>
      </c>
      <c r="G27" s="1">
        <v>46266</v>
      </c>
      <c r="H27" s="1">
        <v>46631</v>
      </c>
      <c r="I27">
        <v>30</v>
      </c>
      <c r="J27">
        <v>0</v>
      </c>
      <c r="K27">
        <v>30</v>
      </c>
      <c r="L27" t="s">
        <v>748</v>
      </c>
    </row>
    <row r="28" spans="1:12" x14ac:dyDescent="0.3">
      <c r="A28">
        <v>2026</v>
      </c>
      <c r="B28" t="s">
        <v>220</v>
      </c>
      <c r="C28" t="s">
        <v>221</v>
      </c>
      <c r="D28" t="s">
        <v>155</v>
      </c>
      <c r="E28" s="1"/>
      <c r="F28" s="1">
        <v>45976</v>
      </c>
      <c r="G28" s="1">
        <v>46264</v>
      </c>
      <c r="H28" s="1">
        <v>46553</v>
      </c>
      <c r="I28">
        <v>130</v>
      </c>
      <c r="J28">
        <v>0</v>
      </c>
      <c r="K28">
        <v>130</v>
      </c>
      <c r="L28" t="s">
        <v>748</v>
      </c>
    </row>
    <row r="29" spans="1:12" x14ac:dyDescent="0.3">
      <c r="A29">
        <v>2026</v>
      </c>
      <c r="B29" t="s">
        <v>224</v>
      </c>
      <c r="C29" t="s">
        <v>520</v>
      </c>
      <c r="D29" t="s">
        <v>123</v>
      </c>
      <c r="E29" s="1">
        <v>44365</v>
      </c>
      <c r="F29" s="1">
        <v>44623</v>
      </c>
      <c r="G29" s="1">
        <v>45698</v>
      </c>
      <c r="H29" s="1">
        <v>46341</v>
      </c>
      <c r="I29">
        <v>50</v>
      </c>
      <c r="J29">
        <v>100</v>
      </c>
      <c r="K29">
        <v>150</v>
      </c>
      <c r="L29" t="s">
        <v>748</v>
      </c>
    </row>
    <row r="30" spans="1:12" x14ac:dyDescent="0.3">
      <c r="A30">
        <v>2026</v>
      </c>
      <c r="B30" t="s">
        <v>373</v>
      </c>
      <c r="C30" t="s">
        <v>374</v>
      </c>
      <c r="D30" t="s">
        <v>155</v>
      </c>
      <c r="E30" s="1">
        <v>45833</v>
      </c>
      <c r="F30" s="1">
        <v>45960</v>
      </c>
      <c r="G30" s="1">
        <v>46280</v>
      </c>
      <c r="H30" s="1">
        <v>46645</v>
      </c>
      <c r="I30">
        <v>100</v>
      </c>
      <c r="J30">
        <v>0</v>
      </c>
      <c r="K30">
        <v>100</v>
      </c>
      <c r="L30" t="s">
        <v>748</v>
      </c>
    </row>
    <row r="31" spans="1:12" x14ac:dyDescent="0.3">
      <c r="A31">
        <v>2026</v>
      </c>
      <c r="B31" t="s">
        <v>226</v>
      </c>
      <c r="C31" t="s">
        <v>227</v>
      </c>
      <c r="D31" t="s">
        <v>110</v>
      </c>
      <c r="E31" s="1"/>
      <c r="F31" s="1">
        <v>45330</v>
      </c>
      <c r="G31" s="1">
        <v>46690</v>
      </c>
      <c r="H31" s="1">
        <v>47376</v>
      </c>
      <c r="I31">
        <v>288</v>
      </c>
      <c r="J31">
        <v>0</v>
      </c>
      <c r="K31">
        <v>288</v>
      </c>
      <c r="L31" t="s">
        <v>748</v>
      </c>
    </row>
    <row r="32" spans="1:12" x14ac:dyDescent="0.3">
      <c r="A32">
        <v>2026</v>
      </c>
      <c r="B32" t="s">
        <v>145</v>
      </c>
      <c r="C32" t="s">
        <v>720</v>
      </c>
      <c r="D32" t="s">
        <v>110</v>
      </c>
      <c r="E32" s="1"/>
      <c r="F32" s="1">
        <v>44609</v>
      </c>
      <c r="G32" s="1">
        <v>45996</v>
      </c>
      <c r="H32" s="1">
        <v>46310</v>
      </c>
      <c r="I32">
        <v>125</v>
      </c>
      <c r="J32">
        <v>0</v>
      </c>
      <c r="K32">
        <v>125</v>
      </c>
      <c r="L32" t="s">
        <v>748</v>
      </c>
    </row>
    <row r="33" spans="1:12" x14ac:dyDescent="0.3">
      <c r="A33">
        <v>2026</v>
      </c>
      <c r="B33" t="s">
        <v>231</v>
      </c>
      <c r="C33" t="s">
        <v>232</v>
      </c>
      <c r="D33" t="s">
        <v>110</v>
      </c>
      <c r="E33" s="1"/>
      <c r="F33" s="1">
        <v>45099</v>
      </c>
      <c r="G33" s="1">
        <v>46037</v>
      </c>
      <c r="H33" s="1">
        <v>46283</v>
      </c>
      <c r="I33">
        <v>457</v>
      </c>
      <c r="J33">
        <v>0</v>
      </c>
      <c r="K33">
        <v>457</v>
      </c>
      <c r="L33" t="s">
        <v>748</v>
      </c>
    </row>
    <row r="34" spans="1:12" x14ac:dyDescent="0.3">
      <c r="A34">
        <v>2026</v>
      </c>
      <c r="B34" t="s">
        <v>233</v>
      </c>
      <c r="C34" t="s">
        <v>542</v>
      </c>
      <c r="D34" t="s">
        <v>155</v>
      </c>
      <c r="E34" s="1"/>
      <c r="F34" s="1">
        <v>46127</v>
      </c>
      <c r="G34" s="1">
        <v>46553</v>
      </c>
      <c r="H34" s="1">
        <v>46980</v>
      </c>
      <c r="I34">
        <v>100</v>
      </c>
      <c r="J34">
        <v>0</v>
      </c>
      <c r="K34">
        <v>100</v>
      </c>
      <c r="L34" t="s">
        <v>748</v>
      </c>
    </row>
    <row r="35" spans="1:12" x14ac:dyDescent="0.3">
      <c r="A35">
        <v>2026</v>
      </c>
      <c r="B35" t="s">
        <v>235</v>
      </c>
      <c r="C35" t="s">
        <v>510</v>
      </c>
      <c r="D35" t="s">
        <v>110</v>
      </c>
      <c r="E35" s="1"/>
      <c r="F35" s="1">
        <v>45706</v>
      </c>
      <c r="G35" s="1">
        <v>46055</v>
      </c>
      <c r="H35" s="1">
        <v>46273</v>
      </c>
      <c r="I35">
        <v>200</v>
      </c>
      <c r="J35">
        <v>0</v>
      </c>
      <c r="K35">
        <v>200</v>
      </c>
      <c r="L35" t="s">
        <v>748</v>
      </c>
    </row>
    <row r="36" spans="1:12" x14ac:dyDescent="0.3">
      <c r="A36">
        <v>2026</v>
      </c>
      <c r="B36" t="s">
        <v>398</v>
      </c>
      <c r="C36" t="s">
        <v>541</v>
      </c>
      <c r="D36" t="s">
        <v>291</v>
      </c>
      <c r="E36" s="1"/>
      <c r="F36" s="1"/>
      <c r="G36" s="1"/>
      <c r="H36" s="1"/>
      <c r="I36">
        <v>0</v>
      </c>
      <c r="J36">
        <v>0</v>
      </c>
      <c r="K36">
        <v>0</v>
      </c>
      <c r="L36" t="s">
        <v>748</v>
      </c>
    </row>
    <row r="37" spans="1:12" x14ac:dyDescent="0.3">
      <c r="A37">
        <v>2026</v>
      </c>
      <c r="B37" t="s">
        <v>237</v>
      </c>
      <c r="C37" t="s">
        <v>665</v>
      </c>
      <c r="D37" t="s">
        <v>110</v>
      </c>
      <c r="E37" s="1"/>
      <c r="F37" s="1">
        <v>45915</v>
      </c>
      <c r="G37" s="1">
        <v>46037</v>
      </c>
      <c r="H37" s="1">
        <v>46310</v>
      </c>
      <c r="I37">
        <v>26</v>
      </c>
      <c r="J37">
        <v>0</v>
      </c>
      <c r="K37">
        <v>26</v>
      </c>
      <c r="L37" t="s">
        <v>748</v>
      </c>
    </row>
    <row r="38" spans="1:12" x14ac:dyDescent="0.3">
      <c r="A38">
        <v>2026</v>
      </c>
      <c r="B38" t="s">
        <v>400</v>
      </c>
      <c r="C38" t="s">
        <v>401</v>
      </c>
      <c r="D38" t="s">
        <v>155</v>
      </c>
      <c r="E38" s="1">
        <v>45946</v>
      </c>
      <c r="F38" s="1">
        <v>46002</v>
      </c>
      <c r="G38" s="1">
        <v>46461</v>
      </c>
      <c r="H38" s="1">
        <v>46794</v>
      </c>
      <c r="I38">
        <v>632</v>
      </c>
      <c r="J38">
        <v>0</v>
      </c>
      <c r="K38">
        <v>632</v>
      </c>
      <c r="L38" t="s">
        <v>748</v>
      </c>
    </row>
    <row r="39" spans="1:12" x14ac:dyDescent="0.3">
      <c r="A39">
        <v>2026</v>
      </c>
      <c r="B39" t="s">
        <v>106</v>
      </c>
      <c r="C39" t="s">
        <v>107</v>
      </c>
      <c r="D39" t="s">
        <v>123</v>
      </c>
      <c r="E39" s="1"/>
      <c r="F39" s="1">
        <v>45014</v>
      </c>
      <c r="G39" s="1">
        <v>45799</v>
      </c>
      <c r="H39" s="1">
        <v>46006</v>
      </c>
      <c r="I39">
        <v>318</v>
      </c>
      <c r="J39">
        <v>12253</v>
      </c>
      <c r="K39">
        <v>12571</v>
      </c>
      <c r="L39" t="s">
        <v>749</v>
      </c>
    </row>
    <row r="40" spans="1:12" x14ac:dyDescent="0.3">
      <c r="A40">
        <v>2026</v>
      </c>
      <c r="B40" t="s">
        <v>240</v>
      </c>
      <c r="C40" t="s">
        <v>241</v>
      </c>
      <c r="D40" t="s">
        <v>110</v>
      </c>
      <c r="E40" s="1"/>
      <c r="F40" s="1">
        <v>45708</v>
      </c>
      <c r="G40" s="1">
        <v>45923</v>
      </c>
      <c r="H40" s="1">
        <v>46296</v>
      </c>
      <c r="I40">
        <v>72</v>
      </c>
      <c r="J40">
        <v>0</v>
      </c>
      <c r="K40">
        <v>72</v>
      </c>
      <c r="L40" t="s">
        <v>748</v>
      </c>
    </row>
    <row r="41" spans="1:12" x14ac:dyDescent="0.3">
      <c r="A41">
        <v>2026</v>
      </c>
      <c r="B41" t="s">
        <v>153</v>
      </c>
      <c r="C41" t="s">
        <v>154</v>
      </c>
      <c r="D41" t="s">
        <v>123</v>
      </c>
      <c r="E41" s="1"/>
      <c r="F41" s="1">
        <v>45601</v>
      </c>
      <c r="G41" s="1">
        <v>45731</v>
      </c>
      <c r="H41" s="1">
        <v>45976</v>
      </c>
      <c r="I41">
        <v>55</v>
      </c>
      <c r="J41">
        <v>543</v>
      </c>
      <c r="K41">
        <v>598</v>
      </c>
      <c r="L41" t="s">
        <v>749</v>
      </c>
    </row>
    <row r="42" spans="1:12" x14ac:dyDescent="0.3">
      <c r="A42">
        <v>2026</v>
      </c>
      <c r="B42" t="s">
        <v>403</v>
      </c>
      <c r="C42" t="s">
        <v>643</v>
      </c>
      <c r="D42" t="s">
        <v>155</v>
      </c>
      <c r="E42" s="1">
        <v>46006</v>
      </c>
      <c r="F42" s="1">
        <v>46218</v>
      </c>
      <c r="G42" s="1">
        <v>46722</v>
      </c>
      <c r="H42" s="1">
        <v>47011</v>
      </c>
      <c r="I42">
        <v>0</v>
      </c>
      <c r="J42">
        <v>0</v>
      </c>
      <c r="K42">
        <v>0</v>
      </c>
      <c r="L42" t="s">
        <v>748</v>
      </c>
    </row>
    <row r="43" spans="1:12" x14ac:dyDescent="0.3">
      <c r="A43">
        <v>2026</v>
      </c>
      <c r="B43" t="s">
        <v>150</v>
      </c>
      <c r="C43" t="s">
        <v>721</v>
      </c>
      <c r="D43" t="s">
        <v>123</v>
      </c>
      <c r="E43" s="1"/>
      <c r="F43" s="1">
        <v>45079</v>
      </c>
      <c r="G43" s="1">
        <v>45685</v>
      </c>
      <c r="H43" s="1">
        <v>46142</v>
      </c>
      <c r="I43">
        <v>172</v>
      </c>
      <c r="J43">
        <v>6837</v>
      </c>
      <c r="K43">
        <v>7009</v>
      </c>
      <c r="L43" t="s">
        <v>748</v>
      </c>
    </row>
    <row r="44" spans="1:12" x14ac:dyDescent="0.3">
      <c r="A44">
        <v>2026</v>
      </c>
      <c r="B44" t="s">
        <v>407</v>
      </c>
      <c r="C44" t="s">
        <v>514</v>
      </c>
      <c r="D44" t="s">
        <v>155</v>
      </c>
      <c r="E44" s="1"/>
      <c r="F44" s="1">
        <v>46127</v>
      </c>
      <c r="G44" s="1">
        <v>46492</v>
      </c>
      <c r="H44" s="1">
        <v>46706</v>
      </c>
      <c r="I44">
        <v>150</v>
      </c>
      <c r="J44">
        <v>0</v>
      </c>
      <c r="K44">
        <v>150</v>
      </c>
      <c r="L44" t="s">
        <v>749</v>
      </c>
    </row>
    <row r="45" spans="1:12" x14ac:dyDescent="0.3">
      <c r="A45">
        <v>2026</v>
      </c>
      <c r="B45" t="s">
        <v>405</v>
      </c>
      <c r="C45" t="s">
        <v>406</v>
      </c>
      <c r="D45" t="s">
        <v>155</v>
      </c>
      <c r="E45" s="1">
        <v>45763</v>
      </c>
      <c r="F45" s="1">
        <v>46054</v>
      </c>
      <c r="G45" s="1">
        <v>46427</v>
      </c>
      <c r="H45" s="1">
        <v>46813</v>
      </c>
      <c r="I45">
        <v>100</v>
      </c>
      <c r="J45">
        <v>0</v>
      </c>
      <c r="K45">
        <v>100</v>
      </c>
      <c r="L45" t="s">
        <v>748</v>
      </c>
    </row>
    <row r="46" spans="1:12" x14ac:dyDescent="0.3">
      <c r="A46">
        <v>2026</v>
      </c>
      <c r="B46" t="s">
        <v>243</v>
      </c>
      <c r="C46" t="s">
        <v>739</v>
      </c>
      <c r="D46" t="s">
        <v>155</v>
      </c>
      <c r="E46" s="1">
        <v>45588</v>
      </c>
      <c r="F46" s="1">
        <v>45976</v>
      </c>
      <c r="G46" s="1">
        <v>46280</v>
      </c>
      <c r="H46" s="1">
        <v>46433</v>
      </c>
      <c r="I46">
        <v>33</v>
      </c>
      <c r="J46">
        <v>0</v>
      </c>
      <c r="K46">
        <v>33</v>
      </c>
      <c r="L46" t="s">
        <v>748</v>
      </c>
    </row>
    <row r="47" spans="1:12" x14ac:dyDescent="0.3">
      <c r="A47">
        <v>2026</v>
      </c>
      <c r="B47" t="s">
        <v>246</v>
      </c>
      <c r="C47" t="s">
        <v>515</v>
      </c>
      <c r="D47" t="s">
        <v>110</v>
      </c>
      <c r="E47" s="1"/>
      <c r="F47" s="1">
        <v>45679</v>
      </c>
      <c r="G47" s="1">
        <v>46096</v>
      </c>
      <c r="H47" s="1">
        <v>46371</v>
      </c>
      <c r="I47">
        <v>110</v>
      </c>
      <c r="J47">
        <v>0</v>
      </c>
      <c r="K47">
        <v>110</v>
      </c>
      <c r="L47" t="s">
        <v>748</v>
      </c>
    </row>
    <row r="48" spans="1:12" x14ac:dyDescent="0.3">
      <c r="A48">
        <v>2026</v>
      </c>
      <c r="B48" t="s">
        <v>409</v>
      </c>
      <c r="C48" t="s">
        <v>410</v>
      </c>
      <c r="D48" t="s">
        <v>155</v>
      </c>
      <c r="E48" s="1"/>
      <c r="F48" s="1">
        <v>46143</v>
      </c>
      <c r="G48" s="1">
        <v>46508</v>
      </c>
      <c r="H48" s="1">
        <v>46874</v>
      </c>
      <c r="I48">
        <v>0</v>
      </c>
      <c r="J48">
        <v>0</v>
      </c>
      <c r="K48">
        <v>0</v>
      </c>
      <c r="L48" t="s">
        <v>748</v>
      </c>
    </row>
    <row r="49" spans="1:12" x14ac:dyDescent="0.3">
      <c r="A49">
        <v>2026</v>
      </c>
      <c r="B49" t="s">
        <v>412</v>
      </c>
      <c r="C49" t="s">
        <v>644</v>
      </c>
      <c r="D49" t="s">
        <v>291</v>
      </c>
      <c r="E49" s="1"/>
      <c r="F49" s="1"/>
      <c r="G49" s="1"/>
      <c r="H49" s="1"/>
      <c r="I49">
        <v>0</v>
      </c>
      <c r="J49">
        <v>0</v>
      </c>
      <c r="K49">
        <v>0</v>
      </c>
      <c r="L49" t="s">
        <v>748</v>
      </c>
    </row>
    <row r="50" spans="1:12" x14ac:dyDescent="0.3">
      <c r="A50">
        <v>2026</v>
      </c>
      <c r="B50" t="s">
        <v>415</v>
      </c>
      <c r="C50" t="s">
        <v>416</v>
      </c>
      <c r="D50" t="s">
        <v>155</v>
      </c>
      <c r="E50" s="1"/>
      <c r="F50" s="1">
        <v>46143</v>
      </c>
      <c r="G50" s="1">
        <v>46508</v>
      </c>
      <c r="H50" s="1">
        <v>46874</v>
      </c>
      <c r="I50">
        <v>0</v>
      </c>
      <c r="J50">
        <v>0</v>
      </c>
      <c r="K50">
        <v>0</v>
      </c>
      <c r="L50" t="s">
        <v>748</v>
      </c>
    </row>
    <row r="51" spans="1:12" x14ac:dyDescent="0.3">
      <c r="A51">
        <v>2026</v>
      </c>
      <c r="B51" t="s">
        <v>381</v>
      </c>
      <c r="C51" t="s">
        <v>382</v>
      </c>
      <c r="D51" t="s">
        <v>291</v>
      </c>
      <c r="E51" s="1"/>
      <c r="F51" s="1"/>
      <c r="G51" s="1"/>
      <c r="H51" s="1"/>
      <c r="I51">
        <v>0</v>
      </c>
      <c r="J51">
        <v>0</v>
      </c>
      <c r="K51">
        <v>0</v>
      </c>
      <c r="L51" t="s">
        <v>748</v>
      </c>
    </row>
    <row r="52" spans="1:12" x14ac:dyDescent="0.3">
      <c r="A52">
        <v>2026</v>
      </c>
      <c r="B52" t="s">
        <v>635</v>
      </c>
      <c r="C52" t="s">
        <v>636</v>
      </c>
      <c r="D52" t="s">
        <v>155</v>
      </c>
      <c r="E52" s="1"/>
      <c r="F52" s="1">
        <v>46266</v>
      </c>
      <c r="G52" s="1">
        <v>46631</v>
      </c>
      <c r="H52" s="1">
        <v>46997</v>
      </c>
      <c r="I52">
        <v>0</v>
      </c>
      <c r="J52">
        <v>0</v>
      </c>
      <c r="K52">
        <v>0</v>
      </c>
      <c r="L52" t="s">
        <v>748</v>
      </c>
    </row>
    <row r="53" spans="1:12" x14ac:dyDescent="0.3">
      <c r="A53">
        <v>2026</v>
      </c>
      <c r="B53" t="s">
        <v>393</v>
      </c>
      <c r="C53" t="s">
        <v>394</v>
      </c>
      <c r="D53" t="s">
        <v>291</v>
      </c>
      <c r="E53" s="1"/>
      <c r="F53" s="1"/>
      <c r="G53" s="1"/>
      <c r="H53" s="1"/>
      <c r="I53">
        <v>0</v>
      </c>
      <c r="J53">
        <v>0</v>
      </c>
      <c r="K53">
        <v>0</v>
      </c>
      <c r="L53" t="s">
        <v>748</v>
      </c>
    </row>
    <row r="54" spans="1:12" x14ac:dyDescent="0.3">
      <c r="A54">
        <v>2026</v>
      </c>
      <c r="B54" t="s">
        <v>396</v>
      </c>
      <c r="C54" t="s">
        <v>397</v>
      </c>
      <c r="D54" t="s">
        <v>155</v>
      </c>
      <c r="E54" s="1">
        <v>46068</v>
      </c>
      <c r="F54" s="1">
        <v>46371</v>
      </c>
      <c r="G54" s="1">
        <v>46736</v>
      </c>
      <c r="H54" s="1">
        <v>47102</v>
      </c>
      <c r="I54">
        <v>0</v>
      </c>
      <c r="J54">
        <v>0</v>
      </c>
      <c r="K54">
        <v>0</v>
      </c>
      <c r="L54" t="s">
        <v>748</v>
      </c>
    </row>
    <row r="55" spans="1:12" x14ac:dyDescent="0.3">
      <c r="A55">
        <v>2026</v>
      </c>
      <c r="B55" t="s">
        <v>418</v>
      </c>
      <c r="C55" t="s">
        <v>530</v>
      </c>
      <c r="D55" t="s">
        <v>291</v>
      </c>
      <c r="E55" s="1"/>
      <c r="F55" s="1"/>
      <c r="G55" s="1"/>
      <c r="H55" s="1"/>
      <c r="I55">
        <v>0</v>
      </c>
      <c r="J55">
        <v>0</v>
      </c>
      <c r="K55">
        <v>0</v>
      </c>
      <c r="L55" t="s">
        <v>748</v>
      </c>
    </row>
    <row r="56" spans="1:12" x14ac:dyDescent="0.3">
      <c r="A56">
        <v>2026</v>
      </c>
      <c r="B56" t="s">
        <v>422</v>
      </c>
      <c r="C56" t="s">
        <v>423</v>
      </c>
      <c r="D56" t="s">
        <v>291</v>
      </c>
      <c r="E56" s="1"/>
      <c r="F56" s="1"/>
      <c r="G56" s="1"/>
      <c r="H56" s="1"/>
      <c r="I56">
        <v>0</v>
      </c>
      <c r="J56">
        <v>0</v>
      </c>
      <c r="K56">
        <v>0</v>
      </c>
      <c r="L56" t="s">
        <v>748</v>
      </c>
    </row>
    <row r="57" spans="1:12" x14ac:dyDescent="0.3">
      <c r="A57">
        <v>2026</v>
      </c>
      <c r="B57" t="s">
        <v>424</v>
      </c>
      <c r="C57" t="s">
        <v>425</v>
      </c>
      <c r="D57" t="s">
        <v>291</v>
      </c>
      <c r="E57" s="1"/>
      <c r="F57" s="1"/>
      <c r="G57" s="1"/>
      <c r="H57" s="1"/>
      <c r="I57">
        <v>0</v>
      </c>
      <c r="J57">
        <v>0</v>
      </c>
      <c r="K57">
        <v>0</v>
      </c>
      <c r="L57" t="s">
        <v>748</v>
      </c>
    </row>
    <row r="58" spans="1:12" x14ac:dyDescent="0.3">
      <c r="A58">
        <v>2026</v>
      </c>
      <c r="B58" t="s">
        <v>428</v>
      </c>
      <c r="C58" t="s">
        <v>429</v>
      </c>
      <c r="D58" t="s">
        <v>291</v>
      </c>
      <c r="E58" s="1"/>
      <c r="F58" s="1"/>
      <c r="G58" s="1"/>
      <c r="H58" s="1"/>
      <c r="I58">
        <v>0</v>
      </c>
      <c r="J58">
        <v>0</v>
      </c>
      <c r="K58">
        <v>0</v>
      </c>
      <c r="L58" t="s">
        <v>748</v>
      </c>
    </row>
    <row r="59" spans="1:12" x14ac:dyDescent="0.3">
      <c r="A59">
        <v>2026</v>
      </c>
      <c r="B59" t="s">
        <v>432</v>
      </c>
      <c r="C59" t="s">
        <v>433</v>
      </c>
      <c r="D59" t="s">
        <v>291</v>
      </c>
      <c r="E59" s="1"/>
      <c r="F59" s="1"/>
      <c r="G59" s="1"/>
      <c r="H59" s="1"/>
      <c r="I59">
        <v>0</v>
      </c>
      <c r="J59">
        <v>0</v>
      </c>
      <c r="K59">
        <v>0</v>
      </c>
      <c r="L59" t="s">
        <v>748</v>
      </c>
    </row>
    <row r="60" spans="1:12" x14ac:dyDescent="0.3">
      <c r="A60">
        <v>2026</v>
      </c>
      <c r="B60" t="s">
        <v>426</v>
      </c>
      <c r="C60" t="s">
        <v>527</v>
      </c>
      <c r="D60" t="s">
        <v>155</v>
      </c>
      <c r="E60" s="1">
        <v>45827</v>
      </c>
      <c r="F60" s="1">
        <v>46249</v>
      </c>
      <c r="G60" s="1">
        <v>46675</v>
      </c>
      <c r="H60" s="1">
        <v>47041</v>
      </c>
      <c r="I60">
        <v>0</v>
      </c>
      <c r="J60">
        <v>0</v>
      </c>
      <c r="K60">
        <v>0</v>
      </c>
      <c r="L60" t="s">
        <v>748</v>
      </c>
    </row>
    <row r="61" spans="1:12" x14ac:dyDescent="0.3">
      <c r="A61">
        <v>2026</v>
      </c>
      <c r="B61" t="s">
        <v>430</v>
      </c>
      <c r="C61" t="s">
        <v>639</v>
      </c>
      <c r="D61" t="s">
        <v>291</v>
      </c>
      <c r="E61" s="1"/>
      <c r="F61" s="1"/>
      <c r="G61" s="1"/>
      <c r="H61" s="1"/>
      <c r="I61">
        <v>0</v>
      </c>
      <c r="J61">
        <v>0</v>
      </c>
      <c r="K61">
        <v>0</v>
      </c>
      <c r="L61" t="s">
        <v>748</v>
      </c>
    </row>
    <row r="62" spans="1:12" x14ac:dyDescent="0.3">
      <c r="A62">
        <v>2026</v>
      </c>
      <c r="B62" t="s">
        <v>436</v>
      </c>
      <c r="C62" t="s">
        <v>437</v>
      </c>
      <c r="D62" t="s">
        <v>291</v>
      </c>
      <c r="E62" s="1"/>
      <c r="F62" s="1"/>
      <c r="G62" s="1"/>
      <c r="H62" s="1"/>
      <c r="I62">
        <v>50</v>
      </c>
      <c r="J62">
        <v>0</v>
      </c>
      <c r="K62">
        <v>50</v>
      </c>
      <c r="L62" t="s">
        <v>748</v>
      </c>
    </row>
    <row r="63" spans="1:12" x14ac:dyDescent="0.3">
      <c r="A63">
        <v>2026</v>
      </c>
      <c r="B63" t="s">
        <v>248</v>
      </c>
      <c r="C63" t="s">
        <v>722</v>
      </c>
      <c r="D63" t="s">
        <v>110</v>
      </c>
      <c r="E63" s="1"/>
      <c r="F63" s="1">
        <v>45476</v>
      </c>
      <c r="G63" s="1">
        <v>46006</v>
      </c>
      <c r="H63" s="1">
        <v>46006</v>
      </c>
      <c r="I63">
        <v>110</v>
      </c>
      <c r="J63">
        <v>3307.0000000000005</v>
      </c>
      <c r="K63">
        <v>3417.0000000000005</v>
      </c>
      <c r="L63" t="s">
        <v>748</v>
      </c>
    </row>
    <row r="64" spans="1:12" x14ac:dyDescent="0.3">
      <c r="A64">
        <v>2026</v>
      </c>
      <c r="B64" t="s">
        <v>438</v>
      </c>
      <c r="C64" t="s">
        <v>439</v>
      </c>
      <c r="D64" t="s">
        <v>291</v>
      </c>
      <c r="E64" s="1"/>
      <c r="F64" s="1"/>
      <c r="G64" s="1"/>
      <c r="H64" s="1"/>
      <c r="I64">
        <v>0</v>
      </c>
      <c r="J64">
        <v>0</v>
      </c>
      <c r="K64">
        <v>0</v>
      </c>
      <c r="L64" t="s">
        <v>748</v>
      </c>
    </row>
    <row r="65" spans="1:12" x14ac:dyDescent="0.3">
      <c r="A65">
        <v>2026</v>
      </c>
      <c r="B65" t="s">
        <v>157</v>
      </c>
      <c r="C65" t="s">
        <v>158</v>
      </c>
      <c r="D65" t="s">
        <v>155</v>
      </c>
      <c r="E65" s="1"/>
      <c r="F65" s="1">
        <v>45991</v>
      </c>
      <c r="G65" s="1"/>
      <c r="H65" s="1">
        <v>46249</v>
      </c>
      <c r="I65">
        <v>75</v>
      </c>
      <c r="J65">
        <v>600</v>
      </c>
      <c r="K65">
        <v>675</v>
      </c>
      <c r="L65" t="s">
        <v>748</v>
      </c>
    </row>
    <row r="66" spans="1:12" x14ac:dyDescent="0.3">
      <c r="A66">
        <v>2026</v>
      </c>
      <c r="B66" t="s">
        <v>440</v>
      </c>
      <c r="C66" t="s">
        <v>441</v>
      </c>
      <c r="D66" t="s">
        <v>155</v>
      </c>
      <c r="E66" s="1"/>
      <c r="F66" s="1">
        <v>45992</v>
      </c>
      <c r="G66" s="1"/>
      <c r="H66" s="1">
        <v>45992</v>
      </c>
      <c r="I66">
        <v>55</v>
      </c>
      <c r="J66">
        <v>543</v>
      </c>
      <c r="K66">
        <v>598</v>
      </c>
      <c r="L66" t="s">
        <v>748</v>
      </c>
    </row>
    <row r="67" spans="1:12" x14ac:dyDescent="0.3">
      <c r="A67">
        <v>2026</v>
      </c>
      <c r="B67" t="s">
        <v>442</v>
      </c>
      <c r="C67" t="s">
        <v>526</v>
      </c>
      <c r="D67" t="s">
        <v>291</v>
      </c>
      <c r="E67" s="1"/>
      <c r="F67" s="1"/>
      <c r="G67" s="1"/>
      <c r="H67" s="1"/>
      <c r="I67">
        <v>0</v>
      </c>
      <c r="J67">
        <v>0</v>
      </c>
      <c r="K67">
        <v>0</v>
      </c>
      <c r="L67" t="s">
        <v>748</v>
      </c>
    </row>
    <row r="68" spans="1:12" x14ac:dyDescent="0.3">
      <c r="A68">
        <v>2026</v>
      </c>
      <c r="B68" t="s">
        <v>250</v>
      </c>
      <c r="C68" t="s">
        <v>251</v>
      </c>
      <c r="D68" t="s">
        <v>110</v>
      </c>
      <c r="E68" s="1"/>
      <c r="F68" s="1">
        <v>45490</v>
      </c>
      <c r="G68" s="1"/>
      <c r="H68" s="1">
        <v>46447</v>
      </c>
      <c r="I68">
        <v>10</v>
      </c>
      <c r="J68">
        <v>0</v>
      </c>
      <c r="K68">
        <v>10</v>
      </c>
      <c r="L68" t="s">
        <v>748</v>
      </c>
    </row>
    <row r="69" spans="1:12" x14ac:dyDescent="0.3">
      <c r="A69">
        <v>2026</v>
      </c>
      <c r="B69" t="s">
        <v>253</v>
      </c>
      <c r="C69" t="s">
        <v>254</v>
      </c>
      <c r="D69" t="s">
        <v>291</v>
      </c>
      <c r="E69" s="1"/>
      <c r="F69" s="1"/>
      <c r="G69" s="1"/>
      <c r="H69" s="1"/>
      <c r="I69">
        <v>10</v>
      </c>
      <c r="J69">
        <v>39</v>
      </c>
      <c r="K69">
        <v>49</v>
      </c>
      <c r="L69" t="s">
        <v>748</v>
      </c>
    </row>
    <row r="70" spans="1:12" x14ac:dyDescent="0.3">
      <c r="A70">
        <v>2026</v>
      </c>
      <c r="B70" t="s">
        <v>444</v>
      </c>
      <c r="C70" t="s">
        <v>666</v>
      </c>
      <c r="D70" t="s">
        <v>291</v>
      </c>
      <c r="E70" s="1"/>
      <c r="F70" s="1"/>
      <c r="G70" s="1"/>
      <c r="H70" s="1"/>
      <c r="I70">
        <v>0</v>
      </c>
      <c r="J70">
        <v>0</v>
      </c>
      <c r="K70">
        <v>0</v>
      </c>
      <c r="L70" t="s">
        <v>748</v>
      </c>
    </row>
    <row r="71" spans="1:12" x14ac:dyDescent="0.3">
      <c r="A71">
        <v>2026</v>
      </c>
      <c r="B71" t="s">
        <v>446</v>
      </c>
      <c r="C71" t="s">
        <v>447</v>
      </c>
      <c r="D71" t="s">
        <v>291</v>
      </c>
      <c r="E71" s="1"/>
      <c r="F71" s="1"/>
      <c r="G71" s="1"/>
      <c r="H71" s="1"/>
      <c r="I71">
        <v>0</v>
      </c>
      <c r="J71">
        <v>0</v>
      </c>
      <c r="K71">
        <v>0</v>
      </c>
      <c r="L71" t="s">
        <v>748</v>
      </c>
    </row>
    <row r="72" spans="1:12" x14ac:dyDescent="0.3">
      <c r="A72">
        <v>2026</v>
      </c>
      <c r="B72" t="s">
        <v>448</v>
      </c>
      <c r="C72" t="s">
        <v>449</v>
      </c>
      <c r="D72" t="s">
        <v>291</v>
      </c>
      <c r="E72" s="1"/>
      <c r="F72" s="1"/>
      <c r="G72" s="1"/>
      <c r="H72" s="1"/>
      <c r="I72">
        <v>0</v>
      </c>
      <c r="J72">
        <v>0</v>
      </c>
      <c r="K72">
        <v>0</v>
      </c>
      <c r="L72" t="s">
        <v>748</v>
      </c>
    </row>
    <row r="73" spans="1:12" x14ac:dyDescent="0.3">
      <c r="A73">
        <v>2026</v>
      </c>
      <c r="B73" t="s">
        <v>255</v>
      </c>
      <c r="C73" t="s">
        <v>529</v>
      </c>
      <c r="D73" t="s">
        <v>291</v>
      </c>
      <c r="E73" s="1"/>
      <c r="F73" s="1"/>
      <c r="G73" s="1"/>
      <c r="H73" s="1">
        <v>46006</v>
      </c>
      <c r="I73">
        <v>20</v>
      </c>
      <c r="J73">
        <v>540</v>
      </c>
      <c r="K73">
        <v>560</v>
      </c>
      <c r="L73" t="s">
        <v>748</v>
      </c>
    </row>
    <row r="74" spans="1:12" x14ac:dyDescent="0.3">
      <c r="A74">
        <v>2026</v>
      </c>
      <c r="B74" t="s">
        <v>259</v>
      </c>
      <c r="C74" t="s">
        <v>260</v>
      </c>
      <c r="D74" t="s">
        <v>291</v>
      </c>
      <c r="E74" s="1"/>
      <c r="F74" s="1"/>
      <c r="G74" s="1"/>
      <c r="H74" s="1"/>
      <c r="I74">
        <v>15</v>
      </c>
      <c r="J74">
        <v>85</v>
      </c>
      <c r="K74">
        <v>100</v>
      </c>
      <c r="L74" t="s">
        <v>749</v>
      </c>
    </row>
    <row r="75" spans="1:12" x14ac:dyDescent="0.3">
      <c r="A75">
        <v>2026</v>
      </c>
      <c r="B75" t="s">
        <v>454</v>
      </c>
      <c r="C75" t="s">
        <v>455</v>
      </c>
      <c r="D75" t="s">
        <v>291</v>
      </c>
      <c r="E75" s="1"/>
      <c r="F75" s="1"/>
      <c r="G75" s="1"/>
      <c r="H75" s="1"/>
      <c r="I75">
        <v>0</v>
      </c>
      <c r="J75">
        <v>0</v>
      </c>
      <c r="K75">
        <v>0</v>
      </c>
      <c r="L75" t="s">
        <v>748</v>
      </c>
    </row>
    <row r="76" spans="1:12" x14ac:dyDescent="0.3">
      <c r="A76">
        <v>2026</v>
      </c>
      <c r="B76" t="s">
        <v>456</v>
      </c>
      <c r="C76" t="s">
        <v>457</v>
      </c>
      <c r="D76" t="s">
        <v>291</v>
      </c>
      <c r="E76" s="1"/>
      <c r="F76" s="1"/>
      <c r="G76" s="1"/>
      <c r="H76" s="1"/>
      <c r="I76">
        <v>0</v>
      </c>
      <c r="J76">
        <v>0</v>
      </c>
      <c r="K76">
        <v>0</v>
      </c>
      <c r="L76" t="s">
        <v>748</v>
      </c>
    </row>
    <row r="77" spans="1:12" x14ac:dyDescent="0.3">
      <c r="A77">
        <v>2026</v>
      </c>
      <c r="B77" t="s">
        <v>458</v>
      </c>
      <c r="C77" t="s">
        <v>459</v>
      </c>
      <c r="D77" t="s">
        <v>291</v>
      </c>
      <c r="E77" s="1"/>
      <c r="F77" s="1"/>
      <c r="G77" s="1"/>
      <c r="H77" s="1"/>
      <c r="I77">
        <v>0</v>
      </c>
      <c r="J77">
        <v>0</v>
      </c>
      <c r="K77">
        <v>0</v>
      </c>
      <c r="L77" t="s">
        <v>748</v>
      </c>
    </row>
    <row r="78" spans="1:12" x14ac:dyDescent="0.3">
      <c r="A78">
        <v>2026</v>
      </c>
      <c r="B78" t="s">
        <v>460</v>
      </c>
      <c r="C78" t="s">
        <v>461</v>
      </c>
      <c r="D78" t="s">
        <v>291</v>
      </c>
      <c r="E78" s="1"/>
      <c r="F78" s="1"/>
      <c r="G78" s="1"/>
      <c r="H78" s="1"/>
      <c r="I78">
        <v>0</v>
      </c>
      <c r="J78">
        <v>0</v>
      </c>
      <c r="K78">
        <v>0</v>
      </c>
      <c r="L78" t="s">
        <v>748</v>
      </c>
    </row>
    <row r="79" spans="1:12" x14ac:dyDescent="0.3">
      <c r="A79">
        <v>2026</v>
      </c>
      <c r="B79" t="s">
        <v>462</v>
      </c>
      <c r="C79" t="s">
        <v>463</v>
      </c>
      <c r="D79" t="s">
        <v>291</v>
      </c>
      <c r="E79" s="1"/>
      <c r="F79" s="1"/>
      <c r="G79" s="1"/>
      <c r="H79" s="1"/>
      <c r="I79">
        <v>0</v>
      </c>
      <c r="J79">
        <v>0</v>
      </c>
      <c r="K79">
        <v>0</v>
      </c>
      <c r="L79" t="s">
        <v>748</v>
      </c>
    </row>
    <row r="80" spans="1:12" x14ac:dyDescent="0.3">
      <c r="A80">
        <v>2026</v>
      </c>
      <c r="B80" t="s">
        <v>464</v>
      </c>
      <c r="C80" t="s">
        <v>465</v>
      </c>
      <c r="D80" t="s">
        <v>291</v>
      </c>
      <c r="E80" s="1"/>
      <c r="F80" s="1"/>
      <c r="G80" s="1"/>
      <c r="H80" s="1"/>
      <c r="I80">
        <v>0</v>
      </c>
      <c r="J80">
        <v>0</v>
      </c>
      <c r="K80">
        <v>0</v>
      </c>
      <c r="L80" t="s">
        <v>748</v>
      </c>
    </row>
    <row r="81" spans="1:12" x14ac:dyDescent="0.3">
      <c r="A81">
        <v>2026</v>
      </c>
      <c r="B81" t="s">
        <v>470</v>
      </c>
      <c r="C81" t="s">
        <v>471</v>
      </c>
      <c r="D81" t="s">
        <v>291</v>
      </c>
      <c r="E81" s="1"/>
      <c r="F81" s="1"/>
      <c r="G81" s="1"/>
      <c r="H81" s="1"/>
      <c r="I81">
        <v>0</v>
      </c>
      <c r="J81">
        <v>0</v>
      </c>
      <c r="K81">
        <v>0</v>
      </c>
      <c r="L81" t="s">
        <v>748</v>
      </c>
    </row>
    <row r="82" spans="1:12" x14ac:dyDescent="0.3">
      <c r="A82">
        <v>2026</v>
      </c>
      <c r="B82" t="s">
        <v>474</v>
      </c>
      <c r="C82" t="s">
        <v>637</v>
      </c>
      <c r="D82" t="s">
        <v>291</v>
      </c>
      <c r="E82" s="1"/>
      <c r="F82" s="1"/>
      <c r="G82" s="1"/>
      <c r="H82" s="1"/>
      <c r="I82">
        <v>0</v>
      </c>
      <c r="J82">
        <v>0</v>
      </c>
      <c r="K82">
        <v>0</v>
      </c>
      <c r="L82" t="s">
        <v>748</v>
      </c>
    </row>
    <row r="83" spans="1:12" x14ac:dyDescent="0.3">
      <c r="A83">
        <v>2026</v>
      </c>
      <c r="B83" t="s">
        <v>511</v>
      </c>
      <c r="C83" t="s">
        <v>512</v>
      </c>
      <c r="D83" t="s">
        <v>155</v>
      </c>
      <c r="E83" s="1"/>
      <c r="F83" s="1">
        <v>46006</v>
      </c>
      <c r="G83" s="1">
        <v>46341</v>
      </c>
      <c r="H83" s="1">
        <v>46706</v>
      </c>
      <c r="I83">
        <v>0</v>
      </c>
      <c r="J83">
        <v>0</v>
      </c>
      <c r="K83">
        <v>0</v>
      </c>
      <c r="L83" t="s">
        <v>748</v>
      </c>
    </row>
    <row r="84" spans="1:12" x14ac:dyDescent="0.3">
      <c r="A84">
        <v>2026</v>
      </c>
      <c r="B84" t="s">
        <v>516</v>
      </c>
      <c r="C84" t="s">
        <v>517</v>
      </c>
      <c r="D84" t="s">
        <v>110</v>
      </c>
      <c r="E84" s="1"/>
      <c r="F84" s="1">
        <v>45904</v>
      </c>
      <c r="G84" s="1"/>
      <c r="H84" s="1">
        <v>46096</v>
      </c>
      <c r="I84">
        <v>131</v>
      </c>
      <c r="J84">
        <v>478</v>
      </c>
      <c r="K84">
        <v>609</v>
      </c>
      <c r="L84" t="s">
        <v>748</v>
      </c>
    </row>
    <row r="85" spans="1:12" x14ac:dyDescent="0.3">
      <c r="A85">
        <v>2026</v>
      </c>
      <c r="B85" t="s">
        <v>518</v>
      </c>
      <c r="C85" t="s">
        <v>519</v>
      </c>
      <c r="D85" t="s">
        <v>155</v>
      </c>
      <c r="E85" s="1"/>
      <c r="F85" s="1">
        <v>46127</v>
      </c>
      <c r="G85" s="1"/>
      <c r="H85" s="1"/>
      <c r="I85">
        <v>10</v>
      </c>
      <c r="J85">
        <v>0</v>
      </c>
      <c r="K85">
        <v>10</v>
      </c>
      <c r="L85" t="s">
        <v>748</v>
      </c>
    </row>
    <row r="86" spans="1:12" x14ac:dyDescent="0.3">
      <c r="A86">
        <v>2026</v>
      </c>
      <c r="B86" t="s">
        <v>522</v>
      </c>
      <c r="C86" t="s">
        <v>523</v>
      </c>
      <c r="D86" t="s">
        <v>291</v>
      </c>
      <c r="E86" s="1"/>
      <c r="F86" s="1"/>
      <c r="G86" s="1"/>
      <c r="H86" s="1"/>
      <c r="I86">
        <v>0</v>
      </c>
      <c r="J86">
        <v>0</v>
      </c>
      <c r="K86">
        <v>0</v>
      </c>
      <c r="L86" t="s">
        <v>748</v>
      </c>
    </row>
    <row r="87" spans="1:12" x14ac:dyDescent="0.3">
      <c r="A87">
        <v>2026</v>
      </c>
      <c r="B87" t="s">
        <v>531</v>
      </c>
      <c r="C87" t="s">
        <v>532</v>
      </c>
      <c r="D87" t="s">
        <v>291</v>
      </c>
      <c r="E87" s="1"/>
      <c r="F87" s="1"/>
      <c r="G87" s="1"/>
      <c r="H87" s="1"/>
      <c r="I87">
        <v>0</v>
      </c>
      <c r="J87">
        <v>0</v>
      </c>
      <c r="K87">
        <v>0</v>
      </c>
      <c r="L87" t="s">
        <v>748</v>
      </c>
    </row>
    <row r="88" spans="1:12" x14ac:dyDescent="0.3">
      <c r="A88">
        <v>2026</v>
      </c>
      <c r="B88" t="s">
        <v>543</v>
      </c>
      <c r="C88" t="s">
        <v>544</v>
      </c>
      <c r="D88" t="s">
        <v>123</v>
      </c>
      <c r="E88" s="1"/>
      <c r="F88" s="1">
        <v>45762</v>
      </c>
      <c r="G88" s="1">
        <v>46096</v>
      </c>
      <c r="H88" s="1">
        <v>46096</v>
      </c>
      <c r="I88">
        <v>1</v>
      </c>
      <c r="J88">
        <v>82</v>
      </c>
      <c r="K88">
        <v>83</v>
      </c>
      <c r="L88" t="s">
        <v>748</v>
      </c>
    </row>
    <row r="89" spans="1:12" x14ac:dyDescent="0.3">
      <c r="A89">
        <v>2026</v>
      </c>
      <c r="B89" t="s">
        <v>597</v>
      </c>
      <c r="C89" t="s">
        <v>598</v>
      </c>
      <c r="D89" t="s">
        <v>291</v>
      </c>
      <c r="E89" s="1"/>
      <c r="F89" s="1"/>
      <c r="G89" s="1"/>
      <c r="H89" s="1"/>
      <c r="I89">
        <v>0</v>
      </c>
      <c r="J89">
        <v>160</v>
      </c>
      <c r="K89">
        <v>160</v>
      </c>
      <c r="L89" t="s">
        <v>748</v>
      </c>
    </row>
    <row r="90" spans="1:12" x14ac:dyDescent="0.3">
      <c r="A90">
        <v>2026</v>
      </c>
      <c r="B90" t="s">
        <v>601</v>
      </c>
      <c r="C90" t="s">
        <v>602</v>
      </c>
      <c r="D90" t="s">
        <v>291</v>
      </c>
      <c r="E90" s="1"/>
      <c r="F90" s="1"/>
      <c r="G90" s="1"/>
      <c r="H90" s="1"/>
      <c r="I90">
        <v>0</v>
      </c>
      <c r="J90">
        <v>0</v>
      </c>
      <c r="K90">
        <v>0</v>
      </c>
      <c r="L90" t="s">
        <v>748</v>
      </c>
    </row>
    <row r="91" spans="1:12" x14ac:dyDescent="0.3">
      <c r="A91">
        <v>2026</v>
      </c>
      <c r="B91" t="s">
        <v>606</v>
      </c>
      <c r="C91" t="s">
        <v>607</v>
      </c>
      <c r="D91" t="s">
        <v>291</v>
      </c>
      <c r="E91" s="1"/>
      <c r="F91" s="1"/>
      <c r="G91" s="1"/>
      <c r="H91" s="1"/>
      <c r="I91">
        <v>0</v>
      </c>
      <c r="J91">
        <v>0</v>
      </c>
      <c r="K91">
        <v>0</v>
      </c>
      <c r="L91" t="s">
        <v>748</v>
      </c>
    </row>
    <row r="92" spans="1:12" x14ac:dyDescent="0.3">
      <c r="A92">
        <v>2026</v>
      </c>
      <c r="B92" t="s">
        <v>647</v>
      </c>
      <c r="C92" t="s">
        <v>648</v>
      </c>
      <c r="D92" t="s">
        <v>291</v>
      </c>
      <c r="E92" s="1"/>
      <c r="F92" s="1"/>
      <c r="G92" s="1"/>
      <c r="H92" s="1"/>
      <c r="I92">
        <v>0</v>
      </c>
      <c r="J92">
        <v>0</v>
      </c>
      <c r="K92">
        <v>0</v>
      </c>
      <c r="L92" t="s">
        <v>748</v>
      </c>
    </row>
    <row r="93" spans="1:12" x14ac:dyDescent="0.3">
      <c r="A93">
        <v>2026</v>
      </c>
      <c r="B93" t="s">
        <v>649</v>
      </c>
      <c r="C93" t="s">
        <v>650</v>
      </c>
      <c r="D93" t="s">
        <v>291</v>
      </c>
      <c r="E93" s="1"/>
      <c r="F93" s="1"/>
      <c r="G93" s="1"/>
      <c r="H93" s="1"/>
      <c r="I93">
        <v>0</v>
      </c>
      <c r="J93">
        <v>0</v>
      </c>
      <c r="K93">
        <v>0</v>
      </c>
      <c r="L93" t="s">
        <v>748</v>
      </c>
    </row>
    <row r="94" spans="1:12" x14ac:dyDescent="0.3">
      <c r="A94">
        <v>2026</v>
      </c>
      <c r="B94" t="s">
        <v>651</v>
      </c>
      <c r="C94" t="s">
        <v>652</v>
      </c>
      <c r="D94" t="s">
        <v>291</v>
      </c>
      <c r="E94" s="1"/>
      <c r="F94" s="1"/>
      <c r="G94" s="1"/>
      <c r="H94" s="1"/>
      <c r="I94">
        <v>0</v>
      </c>
      <c r="J94">
        <v>15</v>
      </c>
      <c r="K94">
        <v>15</v>
      </c>
      <c r="L94" t="s">
        <v>748</v>
      </c>
    </row>
    <row r="95" spans="1:12" x14ac:dyDescent="0.3">
      <c r="A95">
        <v>2026</v>
      </c>
      <c r="B95" t="s">
        <v>653</v>
      </c>
      <c r="C95" t="s">
        <v>654</v>
      </c>
      <c r="D95" t="s">
        <v>291</v>
      </c>
      <c r="E95" s="1"/>
      <c r="F95" s="1"/>
      <c r="G95" s="1"/>
      <c r="H95" s="1"/>
      <c r="I95">
        <v>0</v>
      </c>
      <c r="J95">
        <v>0</v>
      </c>
      <c r="K95">
        <v>0</v>
      </c>
      <c r="L95" t="s">
        <v>748</v>
      </c>
    </row>
    <row r="96" spans="1:12" x14ac:dyDescent="0.3">
      <c r="A96">
        <v>2026</v>
      </c>
      <c r="B96" t="s">
        <v>712</v>
      </c>
      <c r="C96" t="s">
        <v>686</v>
      </c>
      <c r="E96" s="1"/>
      <c r="F96" s="1"/>
      <c r="G96" s="1"/>
      <c r="H96" s="1"/>
      <c r="I96">
        <v>0</v>
      </c>
      <c r="J96">
        <v>0</v>
      </c>
      <c r="K96">
        <v>0</v>
      </c>
      <c r="L96" t="s">
        <v>748</v>
      </c>
    </row>
    <row r="97" spans="1:12" x14ac:dyDescent="0.3">
      <c r="A97">
        <v>2026</v>
      </c>
      <c r="B97" t="s">
        <v>713</v>
      </c>
      <c r="C97" t="s">
        <v>693</v>
      </c>
      <c r="E97" s="1"/>
      <c r="F97" s="1"/>
      <c r="G97" s="1"/>
      <c r="H97" s="1"/>
      <c r="I97">
        <v>0</v>
      </c>
      <c r="J97">
        <v>0</v>
      </c>
      <c r="K97">
        <v>0</v>
      </c>
      <c r="L97" t="s">
        <v>748</v>
      </c>
    </row>
    <row r="98" spans="1:12" x14ac:dyDescent="0.3">
      <c r="A98">
        <v>2026</v>
      </c>
      <c r="B98" t="s">
        <v>714</v>
      </c>
      <c r="C98" t="s">
        <v>697</v>
      </c>
      <c r="E98" s="1"/>
      <c r="F98" s="1"/>
      <c r="G98" s="1"/>
      <c r="H98" s="1"/>
      <c r="I98">
        <v>0</v>
      </c>
      <c r="J98">
        <v>0</v>
      </c>
      <c r="K98">
        <v>0</v>
      </c>
      <c r="L98" t="s">
        <v>748</v>
      </c>
    </row>
    <row r="99" spans="1:12" x14ac:dyDescent="0.3">
      <c r="A99">
        <v>2026</v>
      </c>
      <c r="B99" t="s">
        <v>715</v>
      </c>
      <c r="C99" t="s">
        <v>694</v>
      </c>
      <c r="E99" s="1"/>
      <c r="F99" s="1"/>
      <c r="G99" s="1"/>
      <c r="H99" s="1"/>
      <c r="I99">
        <v>0</v>
      </c>
      <c r="J99">
        <v>0</v>
      </c>
      <c r="K99">
        <v>0</v>
      </c>
      <c r="L99" t="s">
        <v>748</v>
      </c>
    </row>
    <row r="100" spans="1:12" x14ac:dyDescent="0.3">
      <c r="A100">
        <v>2026</v>
      </c>
      <c r="B100" t="s">
        <v>716</v>
      </c>
      <c r="C100" t="s">
        <v>702</v>
      </c>
      <c r="E100" s="1"/>
      <c r="F100" s="1"/>
      <c r="G100" s="1"/>
      <c r="H100" s="1"/>
      <c r="I100">
        <v>0</v>
      </c>
      <c r="J100">
        <v>0</v>
      </c>
      <c r="K100">
        <v>0</v>
      </c>
      <c r="L100" t="s">
        <v>748</v>
      </c>
    </row>
    <row r="101" spans="1:12" x14ac:dyDescent="0.3">
      <c r="A101">
        <v>2026</v>
      </c>
      <c r="B101" t="s">
        <v>717</v>
      </c>
      <c r="C101" t="s">
        <v>695</v>
      </c>
      <c r="E101" s="1"/>
      <c r="F101" s="1"/>
      <c r="G101" s="1"/>
      <c r="H101" s="1"/>
      <c r="I101">
        <v>0</v>
      </c>
      <c r="J101">
        <v>0</v>
      </c>
      <c r="K101">
        <v>0</v>
      </c>
      <c r="L101" t="s">
        <v>748</v>
      </c>
    </row>
    <row r="102" spans="1:12" x14ac:dyDescent="0.3">
      <c r="A102">
        <v>2026</v>
      </c>
      <c r="B102" t="s">
        <v>718</v>
      </c>
      <c r="C102" t="s">
        <v>696</v>
      </c>
      <c r="E102" s="1"/>
      <c r="F102" s="1"/>
      <c r="G102" s="1"/>
      <c r="H102" s="1"/>
      <c r="I102">
        <v>0</v>
      </c>
      <c r="J102">
        <v>0</v>
      </c>
      <c r="K102">
        <v>0</v>
      </c>
      <c r="L102" t="s">
        <v>748</v>
      </c>
    </row>
    <row r="103" spans="1:12" x14ac:dyDescent="0.3">
      <c r="A103">
        <v>2027</v>
      </c>
      <c r="B103" t="s">
        <v>364</v>
      </c>
      <c r="C103" t="s">
        <v>365</v>
      </c>
      <c r="D103" t="s">
        <v>291</v>
      </c>
      <c r="E103" s="1"/>
      <c r="F103" s="1"/>
      <c r="G103" s="1"/>
      <c r="H103" s="1"/>
      <c r="I103">
        <v>0</v>
      </c>
      <c r="J103">
        <v>0</v>
      </c>
      <c r="K103">
        <v>0</v>
      </c>
      <c r="L103" t="s">
        <v>748</v>
      </c>
    </row>
    <row r="104" spans="1:12" x14ac:dyDescent="0.3">
      <c r="A104">
        <v>2027</v>
      </c>
      <c r="B104" t="s">
        <v>366</v>
      </c>
      <c r="C104" t="s">
        <v>367</v>
      </c>
      <c r="D104" t="s">
        <v>155</v>
      </c>
      <c r="E104" s="1">
        <v>46006</v>
      </c>
      <c r="F104" s="1">
        <v>46157</v>
      </c>
      <c r="G104" s="1">
        <v>46645</v>
      </c>
      <c r="H104" s="1">
        <v>47011</v>
      </c>
      <c r="I104">
        <v>430</v>
      </c>
      <c r="J104">
        <v>0</v>
      </c>
      <c r="K104">
        <v>430</v>
      </c>
      <c r="L104" t="s">
        <v>748</v>
      </c>
    </row>
    <row r="105" spans="1:12" x14ac:dyDescent="0.3">
      <c r="A105">
        <v>2027</v>
      </c>
      <c r="B105" t="s">
        <v>162</v>
      </c>
      <c r="C105" t="s">
        <v>163</v>
      </c>
      <c r="D105" t="s">
        <v>164</v>
      </c>
      <c r="E105" s="1"/>
      <c r="F105" s="1"/>
      <c r="G105" s="1"/>
      <c r="H105" s="1"/>
      <c r="I105">
        <v>0</v>
      </c>
      <c r="J105">
        <v>0</v>
      </c>
      <c r="K105">
        <v>0</v>
      </c>
      <c r="L105" t="s">
        <v>748</v>
      </c>
    </row>
    <row r="106" spans="1:12" x14ac:dyDescent="0.3">
      <c r="A106">
        <v>2027</v>
      </c>
      <c r="B106" t="s">
        <v>166</v>
      </c>
      <c r="C106" t="s">
        <v>167</v>
      </c>
      <c r="D106" t="s">
        <v>155</v>
      </c>
      <c r="E106" s="1">
        <v>42499</v>
      </c>
      <c r="F106" s="1">
        <v>45976</v>
      </c>
      <c r="G106" s="1">
        <v>46402</v>
      </c>
      <c r="H106" s="1">
        <v>46980</v>
      </c>
      <c r="I106">
        <v>310</v>
      </c>
      <c r="J106">
        <v>0</v>
      </c>
      <c r="K106">
        <v>310</v>
      </c>
      <c r="L106" t="s">
        <v>748</v>
      </c>
    </row>
    <row r="107" spans="1:12" x14ac:dyDescent="0.3">
      <c r="A107">
        <v>2027</v>
      </c>
      <c r="B107" t="s">
        <v>170</v>
      </c>
      <c r="C107" t="s">
        <v>171</v>
      </c>
      <c r="D107" t="s">
        <v>110</v>
      </c>
      <c r="E107" s="1"/>
      <c r="F107" s="1">
        <v>44833</v>
      </c>
      <c r="G107" s="1">
        <v>45976</v>
      </c>
      <c r="H107" s="1">
        <v>46310</v>
      </c>
      <c r="I107">
        <v>842</v>
      </c>
      <c r="J107">
        <v>12159</v>
      </c>
      <c r="K107">
        <v>13001</v>
      </c>
      <c r="L107" t="s">
        <v>748</v>
      </c>
    </row>
    <row r="108" spans="1:12" x14ac:dyDescent="0.3">
      <c r="A108">
        <v>2027</v>
      </c>
      <c r="B108" t="s">
        <v>137</v>
      </c>
      <c r="C108" t="s">
        <v>138</v>
      </c>
      <c r="D108" t="s">
        <v>123</v>
      </c>
      <c r="E108" s="1"/>
      <c r="F108" s="1">
        <v>45062</v>
      </c>
      <c r="G108" s="1">
        <v>45754</v>
      </c>
      <c r="H108" s="1">
        <v>45945</v>
      </c>
      <c r="I108">
        <v>99</v>
      </c>
      <c r="J108">
        <v>370</v>
      </c>
      <c r="K108">
        <v>469</v>
      </c>
      <c r="L108" t="s">
        <v>748</v>
      </c>
    </row>
    <row r="109" spans="1:12" x14ac:dyDescent="0.3">
      <c r="A109">
        <v>2027</v>
      </c>
      <c r="B109" t="s">
        <v>181</v>
      </c>
      <c r="C109" t="s">
        <v>296</v>
      </c>
      <c r="D109" t="s">
        <v>110</v>
      </c>
      <c r="E109" s="1"/>
      <c r="F109" s="1">
        <v>45590</v>
      </c>
      <c r="G109" s="1">
        <v>46157</v>
      </c>
      <c r="H109" s="1">
        <v>46157</v>
      </c>
      <c r="I109">
        <v>654</v>
      </c>
      <c r="J109">
        <v>1461</v>
      </c>
      <c r="K109">
        <v>2115</v>
      </c>
      <c r="L109" t="s">
        <v>748</v>
      </c>
    </row>
    <row r="110" spans="1:12" x14ac:dyDescent="0.3">
      <c r="A110">
        <v>2027</v>
      </c>
      <c r="B110" t="s">
        <v>185</v>
      </c>
      <c r="C110" t="s">
        <v>186</v>
      </c>
      <c r="D110" t="s">
        <v>110</v>
      </c>
      <c r="E110" s="1"/>
      <c r="F110" s="1">
        <v>44823</v>
      </c>
      <c r="G110" s="1">
        <v>46310</v>
      </c>
      <c r="H110" s="1">
        <v>46521</v>
      </c>
      <c r="I110">
        <v>657</v>
      </c>
      <c r="J110">
        <v>0</v>
      </c>
      <c r="K110">
        <v>657</v>
      </c>
      <c r="L110" t="s">
        <v>748</v>
      </c>
    </row>
    <row r="111" spans="1:12" x14ac:dyDescent="0.3">
      <c r="A111">
        <v>2027</v>
      </c>
      <c r="B111" t="s">
        <v>189</v>
      </c>
      <c r="C111" t="s">
        <v>190</v>
      </c>
      <c r="D111" t="s">
        <v>123</v>
      </c>
      <c r="E111" s="1"/>
      <c r="F111" s="1">
        <v>45684</v>
      </c>
      <c r="G111" s="1"/>
      <c r="H111" s="1">
        <v>46006</v>
      </c>
      <c r="I111">
        <v>0</v>
      </c>
      <c r="J111">
        <v>0</v>
      </c>
      <c r="K111">
        <v>0</v>
      </c>
      <c r="L111" t="s">
        <v>749</v>
      </c>
    </row>
    <row r="112" spans="1:12" x14ac:dyDescent="0.3">
      <c r="A112">
        <v>2027</v>
      </c>
      <c r="B112" t="s">
        <v>132</v>
      </c>
      <c r="C112" t="s">
        <v>288</v>
      </c>
      <c r="D112" t="s">
        <v>123</v>
      </c>
      <c r="E112" s="1"/>
      <c r="F112" s="1">
        <v>45218</v>
      </c>
      <c r="G112" s="1">
        <v>45722</v>
      </c>
      <c r="H112" s="1">
        <v>45976</v>
      </c>
      <c r="I112">
        <v>0</v>
      </c>
      <c r="J112">
        <v>0</v>
      </c>
      <c r="K112">
        <v>0</v>
      </c>
      <c r="L112" t="s">
        <v>749</v>
      </c>
    </row>
    <row r="113" spans="1:12" x14ac:dyDescent="0.3">
      <c r="A113">
        <v>2027</v>
      </c>
      <c r="B113" t="s">
        <v>141</v>
      </c>
      <c r="C113" t="s">
        <v>142</v>
      </c>
      <c r="D113" t="s">
        <v>123</v>
      </c>
      <c r="E113" s="1">
        <v>42499</v>
      </c>
      <c r="F113" s="1">
        <v>42900</v>
      </c>
      <c r="G113" s="1">
        <v>45323</v>
      </c>
      <c r="H113" s="1">
        <v>45889</v>
      </c>
      <c r="I113">
        <v>0</v>
      </c>
      <c r="J113">
        <v>0</v>
      </c>
      <c r="K113">
        <v>0</v>
      </c>
      <c r="L113" t="s">
        <v>748</v>
      </c>
    </row>
    <row r="114" spans="1:12" x14ac:dyDescent="0.3">
      <c r="A114">
        <v>2027</v>
      </c>
      <c r="B114" t="s">
        <v>368</v>
      </c>
      <c r="C114" t="s">
        <v>369</v>
      </c>
      <c r="D114" t="s">
        <v>291</v>
      </c>
      <c r="E114" s="1"/>
      <c r="F114" s="1"/>
      <c r="G114" s="1"/>
      <c r="H114" s="1"/>
      <c r="I114">
        <v>250</v>
      </c>
      <c r="J114">
        <v>0</v>
      </c>
      <c r="K114">
        <v>250</v>
      </c>
      <c r="L114" t="s">
        <v>748</v>
      </c>
    </row>
    <row r="115" spans="1:12" x14ac:dyDescent="0.3">
      <c r="A115">
        <v>2027</v>
      </c>
      <c r="B115" t="s">
        <v>160</v>
      </c>
      <c r="C115" t="s">
        <v>161</v>
      </c>
      <c r="D115" t="s">
        <v>164</v>
      </c>
      <c r="E115" s="1">
        <v>43013</v>
      </c>
      <c r="F115" s="1">
        <v>44956</v>
      </c>
      <c r="G115" s="1">
        <v>45321</v>
      </c>
      <c r="H115" s="1">
        <v>45687</v>
      </c>
      <c r="I115">
        <v>0</v>
      </c>
      <c r="J115">
        <v>0</v>
      </c>
      <c r="K115">
        <v>0</v>
      </c>
      <c r="L115" t="s">
        <v>748</v>
      </c>
    </row>
    <row r="116" spans="1:12" x14ac:dyDescent="0.3">
      <c r="A116">
        <v>2027</v>
      </c>
      <c r="B116" t="s">
        <v>371</v>
      </c>
      <c r="C116" t="s">
        <v>372</v>
      </c>
      <c r="D116" t="s">
        <v>291</v>
      </c>
      <c r="E116" s="1"/>
      <c r="F116" s="1"/>
      <c r="G116" s="1"/>
      <c r="H116" s="1"/>
      <c r="I116">
        <v>0</v>
      </c>
      <c r="J116">
        <v>0</v>
      </c>
      <c r="K116">
        <v>0</v>
      </c>
      <c r="L116" t="s">
        <v>748</v>
      </c>
    </row>
    <row r="117" spans="1:12" x14ac:dyDescent="0.3">
      <c r="A117">
        <v>2027</v>
      </c>
      <c r="B117" t="s">
        <v>195</v>
      </c>
      <c r="C117" t="s">
        <v>196</v>
      </c>
      <c r="D117" t="s">
        <v>110</v>
      </c>
      <c r="E117" s="1"/>
      <c r="F117" s="1">
        <v>44889</v>
      </c>
      <c r="G117" s="1">
        <v>46068</v>
      </c>
      <c r="H117" s="1">
        <v>46583</v>
      </c>
      <c r="I117">
        <v>1611</v>
      </c>
      <c r="J117">
        <v>0</v>
      </c>
      <c r="K117">
        <v>1611</v>
      </c>
      <c r="L117" t="s">
        <v>748</v>
      </c>
    </row>
    <row r="118" spans="1:12" x14ac:dyDescent="0.3">
      <c r="A118">
        <v>2027</v>
      </c>
      <c r="B118" t="s">
        <v>375</v>
      </c>
      <c r="C118" t="s">
        <v>376</v>
      </c>
      <c r="D118" t="s">
        <v>155</v>
      </c>
      <c r="E118" s="1">
        <v>46006</v>
      </c>
      <c r="F118" s="1">
        <v>46280</v>
      </c>
      <c r="G118" s="1">
        <v>46645</v>
      </c>
      <c r="H118" s="1">
        <v>47011</v>
      </c>
      <c r="I118">
        <v>250</v>
      </c>
      <c r="J118">
        <v>0</v>
      </c>
      <c r="K118">
        <v>250</v>
      </c>
      <c r="L118" t="s">
        <v>748</v>
      </c>
    </row>
    <row r="119" spans="1:12" x14ac:dyDescent="0.3">
      <c r="A119">
        <v>2027</v>
      </c>
      <c r="B119" t="s">
        <v>174</v>
      </c>
      <c r="C119" t="s">
        <v>175</v>
      </c>
      <c r="D119" t="s">
        <v>164</v>
      </c>
      <c r="E119" s="1">
        <v>44014</v>
      </c>
      <c r="F119" s="1">
        <v>44014</v>
      </c>
      <c r="G119" s="1">
        <v>44294</v>
      </c>
      <c r="H119" s="1">
        <v>45239</v>
      </c>
      <c r="I119">
        <v>0</v>
      </c>
      <c r="J119">
        <v>0</v>
      </c>
      <c r="K119">
        <v>0</v>
      </c>
      <c r="L119" t="s">
        <v>748</v>
      </c>
    </row>
    <row r="120" spans="1:12" x14ac:dyDescent="0.3">
      <c r="A120">
        <v>2027</v>
      </c>
      <c r="B120" t="s">
        <v>203</v>
      </c>
      <c r="C120" t="s">
        <v>204</v>
      </c>
      <c r="D120" t="s">
        <v>155</v>
      </c>
      <c r="E120" s="1">
        <v>45730</v>
      </c>
      <c r="F120" s="1">
        <v>45960</v>
      </c>
      <c r="G120" s="1">
        <v>46264</v>
      </c>
      <c r="H120" s="1">
        <v>46629</v>
      </c>
      <c r="I120">
        <v>85</v>
      </c>
      <c r="J120">
        <v>0</v>
      </c>
      <c r="K120">
        <v>85</v>
      </c>
      <c r="L120" t="s">
        <v>748</v>
      </c>
    </row>
    <row r="121" spans="1:12" x14ac:dyDescent="0.3">
      <c r="A121">
        <v>2027</v>
      </c>
      <c r="B121" t="s">
        <v>114</v>
      </c>
      <c r="C121" t="s">
        <v>719</v>
      </c>
      <c r="D121" t="s">
        <v>123</v>
      </c>
      <c r="E121" s="1"/>
      <c r="F121" s="1">
        <v>45105</v>
      </c>
      <c r="G121" s="1">
        <v>45789</v>
      </c>
      <c r="H121" s="1">
        <v>45932</v>
      </c>
      <c r="I121">
        <v>0</v>
      </c>
      <c r="J121">
        <v>0</v>
      </c>
      <c r="K121">
        <v>0</v>
      </c>
      <c r="L121" t="s">
        <v>749</v>
      </c>
    </row>
    <row r="122" spans="1:12" x14ac:dyDescent="0.3">
      <c r="A122">
        <v>2027</v>
      </c>
      <c r="B122" t="s">
        <v>207</v>
      </c>
      <c r="C122" t="s">
        <v>208</v>
      </c>
      <c r="D122" t="s">
        <v>155</v>
      </c>
      <c r="E122" s="1">
        <v>44476</v>
      </c>
      <c r="F122" s="1">
        <v>45976</v>
      </c>
      <c r="G122" s="1">
        <v>46096</v>
      </c>
      <c r="H122" s="1">
        <v>46280</v>
      </c>
      <c r="I122">
        <v>396</v>
      </c>
      <c r="J122">
        <v>0</v>
      </c>
      <c r="K122">
        <v>396</v>
      </c>
      <c r="L122" t="s">
        <v>749</v>
      </c>
    </row>
    <row r="123" spans="1:12" x14ac:dyDescent="0.3">
      <c r="A123">
        <v>2027</v>
      </c>
      <c r="B123" t="s">
        <v>377</v>
      </c>
      <c r="C123" t="s">
        <v>378</v>
      </c>
      <c r="D123" t="s">
        <v>155</v>
      </c>
      <c r="E123" s="1"/>
      <c r="F123" s="1">
        <v>46068</v>
      </c>
      <c r="G123" s="1">
        <v>46461</v>
      </c>
      <c r="H123" s="1">
        <v>46888</v>
      </c>
      <c r="I123">
        <v>200</v>
      </c>
      <c r="J123">
        <v>0</v>
      </c>
      <c r="K123">
        <v>200</v>
      </c>
      <c r="L123" t="s">
        <v>748</v>
      </c>
    </row>
    <row r="124" spans="1:12" x14ac:dyDescent="0.3">
      <c r="A124">
        <v>2027</v>
      </c>
      <c r="B124" t="s">
        <v>210</v>
      </c>
      <c r="C124" t="s">
        <v>211</v>
      </c>
      <c r="D124" t="s">
        <v>155</v>
      </c>
      <c r="E124" s="1"/>
      <c r="F124" s="1">
        <v>45976</v>
      </c>
      <c r="G124" s="1">
        <v>46341</v>
      </c>
      <c r="H124" s="1">
        <v>46706</v>
      </c>
      <c r="I124">
        <v>100</v>
      </c>
      <c r="J124">
        <v>0</v>
      </c>
      <c r="K124">
        <v>100</v>
      </c>
      <c r="L124" t="s">
        <v>748</v>
      </c>
    </row>
    <row r="125" spans="1:12" x14ac:dyDescent="0.3">
      <c r="A125">
        <v>2027</v>
      </c>
      <c r="B125" t="s">
        <v>379</v>
      </c>
      <c r="C125" t="s">
        <v>380</v>
      </c>
      <c r="D125" t="s">
        <v>291</v>
      </c>
      <c r="E125" s="1"/>
      <c r="F125" s="1"/>
      <c r="G125" s="1"/>
      <c r="H125" s="1"/>
      <c r="I125">
        <v>0</v>
      </c>
      <c r="J125">
        <v>0</v>
      </c>
      <c r="K125">
        <v>0</v>
      </c>
      <c r="L125" t="s">
        <v>748</v>
      </c>
    </row>
    <row r="126" spans="1:12" x14ac:dyDescent="0.3">
      <c r="A126">
        <v>2027</v>
      </c>
      <c r="B126" t="s">
        <v>383</v>
      </c>
      <c r="C126" t="s">
        <v>384</v>
      </c>
      <c r="D126" t="s">
        <v>291</v>
      </c>
      <c r="E126" s="1"/>
      <c r="F126" s="1"/>
      <c r="G126" s="1"/>
      <c r="H126" s="1"/>
      <c r="I126">
        <v>0</v>
      </c>
      <c r="J126">
        <v>0</v>
      </c>
      <c r="K126">
        <v>0</v>
      </c>
      <c r="L126" t="s">
        <v>748</v>
      </c>
    </row>
    <row r="127" spans="1:12" x14ac:dyDescent="0.3">
      <c r="A127">
        <v>2027</v>
      </c>
      <c r="B127" t="s">
        <v>212</v>
      </c>
      <c r="C127" t="s">
        <v>213</v>
      </c>
      <c r="D127" t="s">
        <v>155</v>
      </c>
      <c r="E127" s="1">
        <v>45337</v>
      </c>
      <c r="F127" s="1">
        <v>46127</v>
      </c>
      <c r="G127" s="1">
        <v>46798</v>
      </c>
      <c r="H127" s="1">
        <v>47192</v>
      </c>
      <c r="I127">
        <v>125</v>
      </c>
      <c r="J127">
        <v>0</v>
      </c>
      <c r="K127">
        <v>125</v>
      </c>
      <c r="L127" t="s">
        <v>748</v>
      </c>
    </row>
    <row r="128" spans="1:12" x14ac:dyDescent="0.3">
      <c r="A128">
        <v>2027</v>
      </c>
      <c r="B128" t="s">
        <v>385</v>
      </c>
      <c r="C128" t="s">
        <v>740</v>
      </c>
      <c r="D128" t="s">
        <v>155</v>
      </c>
      <c r="E128" s="1">
        <v>45672</v>
      </c>
      <c r="F128" s="1">
        <v>45960</v>
      </c>
      <c r="G128" s="1">
        <v>46266</v>
      </c>
      <c r="H128" s="1">
        <v>46631</v>
      </c>
      <c r="I128">
        <v>30</v>
      </c>
      <c r="J128">
        <v>0</v>
      </c>
      <c r="K128">
        <v>30</v>
      </c>
      <c r="L128" t="s">
        <v>748</v>
      </c>
    </row>
    <row r="129" spans="1:12" x14ac:dyDescent="0.3">
      <c r="A129">
        <v>2027</v>
      </c>
      <c r="B129" t="s">
        <v>220</v>
      </c>
      <c r="C129" t="s">
        <v>221</v>
      </c>
      <c r="D129" t="s">
        <v>155</v>
      </c>
      <c r="E129" s="1"/>
      <c r="F129" s="1">
        <v>45976</v>
      </c>
      <c r="G129" s="1">
        <v>46264</v>
      </c>
      <c r="H129" s="1">
        <v>46553</v>
      </c>
      <c r="I129">
        <v>94</v>
      </c>
      <c r="J129">
        <v>0</v>
      </c>
      <c r="K129">
        <v>94</v>
      </c>
      <c r="L129" t="s">
        <v>748</v>
      </c>
    </row>
    <row r="130" spans="1:12" x14ac:dyDescent="0.3">
      <c r="A130">
        <v>2027</v>
      </c>
      <c r="B130" t="s">
        <v>224</v>
      </c>
      <c r="C130" t="s">
        <v>520</v>
      </c>
      <c r="D130" t="s">
        <v>123</v>
      </c>
      <c r="E130" s="1">
        <v>44365</v>
      </c>
      <c r="F130" s="1">
        <v>44623</v>
      </c>
      <c r="G130" s="1">
        <v>45698</v>
      </c>
      <c r="H130" s="1">
        <v>46341</v>
      </c>
      <c r="I130">
        <v>200</v>
      </c>
      <c r="J130">
        <v>1594.9999999999998</v>
      </c>
      <c r="K130">
        <v>1794.9999999999998</v>
      </c>
      <c r="L130" t="s">
        <v>748</v>
      </c>
    </row>
    <row r="131" spans="1:12" x14ac:dyDescent="0.3">
      <c r="A131">
        <v>2027</v>
      </c>
      <c r="B131" t="s">
        <v>373</v>
      </c>
      <c r="C131" t="s">
        <v>374</v>
      </c>
      <c r="D131" t="s">
        <v>155</v>
      </c>
      <c r="E131" s="1">
        <v>45833</v>
      </c>
      <c r="F131" s="1">
        <v>45960</v>
      </c>
      <c r="G131" s="1">
        <v>46280</v>
      </c>
      <c r="H131" s="1">
        <v>46645</v>
      </c>
      <c r="I131">
        <v>250</v>
      </c>
      <c r="J131">
        <v>0</v>
      </c>
      <c r="K131">
        <v>250</v>
      </c>
      <c r="L131" t="s">
        <v>748</v>
      </c>
    </row>
    <row r="132" spans="1:12" x14ac:dyDescent="0.3">
      <c r="A132">
        <v>2027</v>
      </c>
      <c r="B132" t="s">
        <v>226</v>
      </c>
      <c r="C132" t="s">
        <v>227</v>
      </c>
      <c r="D132" t="s">
        <v>110</v>
      </c>
      <c r="E132" s="1"/>
      <c r="F132" s="1">
        <v>45330</v>
      </c>
      <c r="G132" s="1">
        <v>46690</v>
      </c>
      <c r="H132" s="1">
        <v>47376</v>
      </c>
      <c r="I132">
        <v>475</v>
      </c>
      <c r="J132">
        <v>0</v>
      </c>
      <c r="K132">
        <v>475</v>
      </c>
      <c r="L132" t="s">
        <v>748</v>
      </c>
    </row>
    <row r="133" spans="1:12" x14ac:dyDescent="0.3">
      <c r="A133">
        <v>2027</v>
      </c>
      <c r="B133" t="s">
        <v>145</v>
      </c>
      <c r="C133" t="s">
        <v>720</v>
      </c>
      <c r="D133" t="s">
        <v>110</v>
      </c>
      <c r="E133" s="1"/>
      <c r="F133" s="1">
        <v>44609</v>
      </c>
      <c r="G133" s="1">
        <v>45996</v>
      </c>
      <c r="H133" s="1">
        <v>46310</v>
      </c>
      <c r="I133">
        <v>102</v>
      </c>
      <c r="J133">
        <v>0</v>
      </c>
      <c r="K133">
        <v>102</v>
      </c>
      <c r="L133" t="s">
        <v>748</v>
      </c>
    </row>
    <row r="134" spans="1:12" x14ac:dyDescent="0.3">
      <c r="A134">
        <v>2027</v>
      </c>
      <c r="B134" t="s">
        <v>231</v>
      </c>
      <c r="C134" t="s">
        <v>232</v>
      </c>
      <c r="D134" t="s">
        <v>110</v>
      </c>
      <c r="E134" s="1"/>
      <c r="F134" s="1">
        <v>45099</v>
      </c>
      <c r="G134" s="1">
        <v>46037</v>
      </c>
      <c r="H134" s="1">
        <v>46283</v>
      </c>
      <c r="I134">
        <v>987</v>
      </c>
      <c r="J134">
        <v>9725</v>
      </c>
      <c r="K134">
        <v>10712</v>
      </c>
      <c r="L134" t="s">
        <v>748</v>
      </c>
    </row>
    <row r="135" spans="1:12" x14ac:dyDescent="0.3">
      <c r="A135">
        <v>2027</v>
      </c>
      <c r="B135" t="s">
        <v>233</v>
      </c>
      <c r="C135" t="s">
        <v>542</v>
      </c>
      <c r="D135" t="s">
        <v>155</v>
      </c>
      <c r="E135" s="1"/>
      <c r="F135" s="1">
        <v>46127</v>
      </c>
      <c r="G135" s="1">
        <v>46553</v>
      </c>
      <c r="H135" s="1">
        <v>46980</v>
      </c>
      <c r="I135">
        <v>167</v>
      </c>
      <c r="J135">
        <v>0</v>
      </c>
      <c r="K135">
        <v>167</v>
      </c>
      <c r="L135" t="s">
        <v>748</v>
      </c>
    </row>
    <row r="136" spans="1:12" x14ac:dyDescent="0.3">
      <c r="A136">
        <v>2027</v>
      </c>
      <c r="B136" t="s">
        <v>235</v>
      </c>
      <c r="C136" t="s">
        <v>510</v>
      </c>
      <c r="D136" t="s">
        <v>110</v>
      </c>
      <c r="E136" s="1"/>
      <c r="F136" s="1">
        <v>45706</v>
      </c>
      <c r="G136" s="1">
        <v>46055</v>
      </c>
      <c r="H136" s="1">
        <v>46273</v>
      </c>
      <c r="I136">
        <v>958</v>
      </c>
      <c r="J136">
        <v>13608</v>
      </c>
      <c r="K136">
        <v>14566</v>
      </c>
      <c r="L136" t="s">
        <v>748</v>
      </c>
    </row>
    <row r="137" spans="1:12" x14ac:dyDescent="0.3">
      <c r="A137">
        <v>2027</v>
      </c>
      <c r="B137" t="s">
        <v>398</v>
      </c>
      <c r="C137" t="s">
        <v>541</v>
      </c>
      <c r="D137" t="s">
        <v>291</v>
      </c>
      <c r="E137" s="1"/>
      <c r="F137" s="1"/>
      <c r="G137" s="1"/>
      <c r="H137" s="1"/>
      <c r="I137">
        <v>0</v>
      </c>
      <c r="J137">
        <v>0</v>
      </c>
      <c r="K137">
        <v>0</v>
      </c>
      <c r="L137" t="s">
        <v>748</v>
      </c>
    </row>
    <row r="138" spans="1:12" x14ac:dyDescent="0.3">
      <c r="A138">
        <v>2027</v>
      </c>
      <c r="B138" t="s">
        <v>237</v>
      </c>
      <c r="C138" t="s">
        <v>665</v>
      </c>
      <c r="D138" t="s">
        <v>110</v>
      </c>
      <c r="E138" s="1"/>
      <c r="F138" s="1">
        <v>45915</v>
      </c>
      <c r="G138" s="1">
        <v>46037</v>
      </c>
      <c r="H138" s="1">
        <v>46310</v>
      </c>
      <c r="I138">
        <v>723</v>
      </c>
      <c r="J138">
        <v>10494</v>
      </c>
      <c r="K138">
        <v>11217</v>
      </c>
      <c r="L138" t="s">
        <v>748</v>
      </c>
    </row>
    <row r="139" spans="1:12" x14ac:dyDescent="0.3">
      <c r="A139">
        <v>2027</v>
      </c>
      <c r="B139" t="s">
        <v>400</v>
      </c>
      <c r="C139" t="s">
        <v>401</v>
      </c>
      <c r="D139" t="s">
        <v>155</v>
      </c>
      <c r="E139" s="1">
        <v>45946</v>
      </c>
      <c r="F139" s="1">
        <v>46002</v>
      </c>
      <c r="G139" s="1">
        <v>46461</v>
      </c>
      <c r="H139" s="1">
        <v>46794</v>
      </c>
      <c r="I139">
        <v>184</v>
      </c>
      <c r="J139">
        <v>0</v>
      </c>
      <c r="K139">
        <v>184</v>
      </c>
      <c r="L139" t="s">
        <v>748</v>
      </c>
    </row>
    <row r="140" spans="1:12" x14ac:dyDescent="0.3">
      <c r="A140">
        <v>2027</v>
      </c>
      <c r="B140" t="s">
        <v>106</v>
      </c>
      <c r="C140" t="s">
        <v>107</v>
      </c>
      <c r="D140" t="s">
        <v>123</v>
      </c>
      <c r="E140" s="1"/>
      <c r="F140" s="1">
        <v>45014</v>
      </c>
      <c r="G140" s="1">
        <v>45799</v>
      </c>
      <c r="H140" s="1">
        <v>46006</v>
      </c>
      <c r="I140">
        <v>294</v>
      </c>
      <c r="J140">
        <v>4254</v>
      </c>
      <c r="K140">
        <v>4548</v>
      </c>
      <c r="L140" t="s">
        <v>749</v>
      </c>
    </row>
    <row r="141" spans="1:12" x14ac:dyDescent="0.3">
      <c r="A141">
        <v>2027</v>
      </c>
      <c r="B141" t="s">
        <v>240</v>
      </c>
      <c r="C141" t="s">
        <v>241</v>
      </c>
      <c r="D141" t="s">
        <v>110</v>
      </c>
      <c r="E141" s="1"/>
      <c r="F141" s="1">
        <v>45708</v>
      </c>
      <c r="G141" s="1">
        <v>45923</v>
      </c>
      <c r="H141" s="1">
        <v>46296</v>
      </c>
      <c r="I141">
        <v>295</v>
      </c>
      <c r="J141">
        <v>5162</v>
      </c>
      <c r="K141">
        <v>5457</v>
      </c>
      <c r="L141" t="s">
        <v>748</v>
      </c>
    </row>
    <row r="142" spans="1:12" x14ac:dyDescent="0.3">
      <c r="A142">
        <v>2027</v>
      </c>
      <c r="B142" t="s">
        <v>153</v>
      </c>
      <c r="C142" t="s">
        <v>154</v>
      </c>
      <c r="D142" t="s">
        <v>123</v>
      </c>
      <c r="E142" s="1"/>
      <c r="F142" s="1">
        <v>45601</v>
      </c>
      <c r="G142" s="1">
        <v>45731</v>
      </c>
      <c r="H142" s="1">
        <v>45976</v>
      </c>
      <c r="I142">
        <v>0</v>
      </c>
      <c r="J142">
        <v>0</v>
      </c>
      <c r="K142">
        <v>0</v>
      </c>
      <c r="L142" t="s">
        <v>749</v>
      </c>
    </row>
    <row r="143" spans="1:12" x14ac:dyDescent="0.3">
      <c r="A143">
        <v>2027</v>
      </c>
      <c r="B143" t="s">
        <v>403</v>
      </c>
      <c r="C143" t="s">
        <v>643</v>
      </c>
      <c r="D143" t="s">
        <v>155</v>
      </c>
      <c r="E143" s="1">
        <v>46006</v>
      </c>
      <c r="F143" s="1">
        <v>46218</v>
      </c>
      <c r="G143" s="1">
        <v>46722</v>
      </c>
      <c r="H143" s="1">
        <v>47011</v>
      </c>
      <c r="I143">
        <v>0</v>
      </c>
      <c r="J143">
        <v>0</v>
      </c>
      <c r="K143">
        <v>0</v>
      </c>
      <c r="L143" t="s">
        <v>748</v>
      </c>
    </row>
    <row r="144" spans="1:12" x14ac:dyDescent="0.3">
      <c r="A144">
        <v>2027</v>
      </c>
      <c r="B144" t="s">
        <v>150</v>
      </c>
      <c r="C144" t="s">
        <v>721</v>
      </c>
      <c r="D144" t="s">
        <v>123</v>
      </c>
      <c r="E144" s="1"/>
      <c r="F144" s="1">
        <v>45079</v>
      </c>
      <c r="G144" s="1">
        <v>45685</v>
      </c>
      <c r="H144" s="1">
        <v>46142</v>
      </c>
      <c r="I144">
        <v>150</v>
      </c>
      <c r="J144">
        <v>1523</v>
      </c>
      <c r="K144">
        <v>1673</v>
      </c>
      <c r="L144" t="s">
        <v>748</v>
      </c>
    </row>
    <row r="145" spans="1:12" x14ac:dyDescent="0.3">
      <c r="A145">
        <v>2027</v>
      </c>
      <c r="B145" t="s">
        <v>407</v>
      </c>
      <c r="C145" t="s">
        <v>514</v>
      </c>
      <c r="D145" t="s">
        <v>155</v>
      </c>
      <c r="E145" s="1"/>
      <c r="F145" s="1">
        <v>46127</v>
      </c>
      <c r="G145" s="1">
        <v>46492</v>
      </c>
      <c r="H145" s="1">
        <v>46706</v>
      </c>
      <c r="I145">
        <v>150</v>
      </c>
      <c r="J145">
        <v>0</v>
      </c>
      <c r="K145">
        <v>150</v>
      </c>
      <c r="L145" t="s">
        <v>749</v>
      </c>
    </row>
    <row r="146" spans="1:12" x14ac:dyDescent="0.3">
      <c r="A146">
        <v>2027</v>
      </c>
      <c r="B146" t="s">
        <v>405</v>
      </c>
      <c r="C146" t="s">
        <v>406</v>
      </c>
      <c r="D146" t="s">
        <v>155</v>
      </c>
      <c r="E146" s="1">
        <v>45763</v>
      </c>
      <c r="F146" s="1">
        <v>46054</v>
      </c>
      <c r="G146" s="1">
        <v>46427</v>
      </c>
      <c r="H146" s="1">
        <v>46813</v>
      </c>
      <c r="I146">
        <v>250</v>
      </c>
      <c r="J146">
        <v>0</v>
      </c>
      <c r="K146">
        <v>250</v>
      </c>
      <c r="L146" t="s">
        <v>748</v>
      </c>
    </row>
    <row r="147" spans="1:12" x14ac:dyDescent="0.3">
      <c r="A147">
        <v>2027</v>
      </c>
      <c r="B147" t="s">
        <v>243</v>
      </c>
      <c r="C147" t="s">
        <v>739</v>
      </c>
      <c r="D147" t="s">
        <v>155</v>
      </c>
      <c r="E147" s="1">
        <v>45588</v>
      </c>
      <c r="F147" s="1">
        <v>45976</v>
      </c>
      <c r="G147" s="1">
        <v>46280</v>
      </c>
      <c r="H147" s="1">
        <v>46433</v>
      </c>
      <c r="I147">
        <v>32</v>
      </c>
      <c r="J147">
        <v>0</v>
      </c>
      <c r="K147">
        <v>32</v>
      </c>
      <c r="L147" t="s">
        <v>748</v>
      </c>
    </row>
    <row r="148" spans="1:12" x14ac:dyDescent="0.3">
      <c r="A148">
        <v>2027</v>
      </c>
      <c r="B148" t="s">
        <v>246</v>
      </c>
      <c r="C148" t="s">
        <v>515</v>
      </c>
      <c r="D148" t="s">
        <v>110</v>
      </c>
      <c r="E148" s="1"/>
      <c r="F148" s="1">
        <v>45679</v>
      </c>
      <c r="G148" s="1">
        <v>46096</v>
      </c>
      <c r="H148" s="1">
        <v>46371</v>
      </c>
      <c r="I148">
        <v>82</v>
      </c>
      <c r="J148">
        <v>3475</v>
      </c>
      <c r="K148">
        <v>3557</v>
      </c>
      <c r="L148" t="s">
        <v>748</v>
      </c>
    </row>
    <row r="149" spans="1:12" x14ac:dyDescent="0.3">
      <c r="A149">
        <v>2027</v>
      </c>
      <c r="B149" t="s">
        <v>409</v>
      </c>
      <c r="C149" t="s">
        <v>410</v>
      </c>
      <c r="D149" t="s">
        <v>155</v>
      </c>
      <c r="E149" s="1"/>
      <c r="F149" s="1">
        <v>46143</v>
      </c>
      <c r="G149" s="1">
        <v>46508</v>
      </c>
      <c r="H149" s="1">
        <v>46874</v>
      </c>
      <c r="I149">
        <v>50</v>
      </c>
      <c r="J149">
        <v>0</v>
      </c>
      <c r="K149">
        <v>50</v>
      </c>
      <c r="L149" t="s">
        <v>748</v>
      </c>
    </row>
    <row r="150" spans="1:12" x14ac:dyDescent="0.3">
      <c r="A150">
        <v>2027</v>
      </c>
      <c r="B150" t="s">
        <v>412</v>
      </c>
      <c r="C150" t="s">
        <v>644</v>
      </c>
      <c r="D150" t="s">
        <v>291</v>
      </c>
      <c r="E150" s="1"/>
      <c r="F150" s="1"/>
      <c r="G150" s="1"/>
      <c r="H150" s="1"/>
      <c r="I150">
        <v>0</v>
      </c>
      <c r="J150">
        <v>0</v>
      </c>
      <c r="K150">
        <v>0</v>
      </c>
      <c r="L150" t="s">
        <v>748</v>
      </c>
    </row>
    <row r="151" spans="1:12" x14ac:dyDescent="0.3">
      <c r="A151">
        <v>2027</v>
      </c>
      <c r="B151" t="s">
        <v>415</v>
      </c>
      <c r="C151" t="s">
        <v>416</v>
      </c>
      <c r="D151" t="s">
        <v>155</v>
      </c>
      <c r="E151" s="1"/>
      <c r="F151" s="1">
        <v>46143</v>
      </c>
      <c r="G151" s="1">
        <v>46508</v>
      </c>
      <c r="H151" s="1">
        <v>46874</v>
      </c>
      <c r="I151">
        <v>50</v>
      </c>
      <c r="J151">
        <v>0</v>
      </c>
      <c r="K151">
        <v>50</v>
      </c>
      <c r="L151" t="s">
        <v>748</v>
      </c>
    </row>
    <row r="152" spans="1:12" x14ac:dyDescent="0.3">
      <c r="A152">
        <v>2027</v>
      </c>
      <c r="B152" t="s">
        <v>381</v>
      </c>
      <c r="C152" t="s">
        <v>382</v>
      </c>
      <c r="D152" t="s">
        <v>291</v>
      </c>
      <c r="E152" s="1"/>
      <c r="F152" s="1"/>
      <c r="G152" s="1"/>
      <c r="H152" s="1"/>
      <c r="I152">
        <v>50</v>
      </c>
      <c r="J152">
        <v>250</v>
      </c>
      <c r="K152">
        <v>300</v>
      </c>
      <c r="L152" t="s">
        <v>748</v>
      </c>
    </row>
    <row r="153" spans="1:12" x14ac:dyDescent="0.3">
      <c r="A153">
        <v>2027</v>
      </c>
      <c r="B153" t="s">
        <v>635</v>
      </c>
      <c r="C153" t="s">
        <v>636</v>
      </c>
      <c r="D153" t="s">
        <v>155</v>
      </c>
      <c r="E153" s="1"/>
      <c r="F153" s="1">
        <v>46266</v>
      </c>
      <c r="G153" s="1">
        <v>46631</v>
      </c>
      <c r="H153" s="1">
        <v>46997</v>
      </c>
      <c r="I153">
        <v>0</v>
      </c>
      <c r="J153">
        <v>0</v>
      </c>
      <c r="K153">
        <v>0</v>
      </c>
      <c r="L153" t="s">
        <v>748</v>
      </c>
    </row>
    <row r="154" spans="1:12" x14ac:dyDescent="0.3">
      <c r="A154">
        <v>2027</v>
      </c>
      <c r="B154" t="s">
        <v>393</v>
      </c>
      <c r="C154" t="s">
        <v>394</v>
      </c>
      <c r="D154" t="s">
        <v>291</v>
      </c>
      <c r="E154" s="1"/>
      <c r="F154" s="1"/>
      <c r="G154" s="1"/>
      <c r="H154" s="1"/>
      <c r="I154">
        <v>0</v>
      </c>
      <c r="J154">
        <v>0</v>
      </c>
      <c r="K154">
        <v>0</v>
      </c>
      <c r="L154" t="s">
        <v>748</v>
      </c>
    </row>
    <row r="155" spans="1:12" x14ac:dyDescent="0.3">
      <c r="A155">
        <v>2027</v>
      </c>
      <c r="B155" t="s">
        <v>396</v>
      </c>
      <c r="C155" t="s">
        <v>397</v>
      </c>
      <c r="D155" t="s">
        <v>155</v>
      </c>
      <c r="E155" s="1">
        <v>46068</v>
      </c>
      <c r="F155" s="1">
        <v>46371</v>
      </c>
      <c r="G155" s="1">
        <v>46736</v>
      </c>
      <c r="H155" s="1">
        <v>47102</v>
      </c>
      <c r="I155">
        <v>75</v>
      </c>
      <c r="J155">
        <v>0</v>
      </c>
      <c r="K155">
        <v>75</v>
      </c>
      <c r="L155" t="s">
        <v>748</v>
      </c>
    </row>
    <row r="156" spans="1:12" x14ac:dyDescent="0.3">
      <c r="A156">
        <v>2027</v>
      </c>
      <c r="B156" t="s">
        <v>418</v>
      </c>
      <c r="C156" t="s">
        <v>530</v>
      </c>
      <c r="D156" t="s">
        <v>291</v>
      </c>
      <c r="E156" s="1"/>
      <c r="F156" s="1"/>
      <c r="G156" s="1"/>
      <c r="H156" s="1"/>
      <c r="I156">
        <v>0</v>
      </c>
      <c r="J156">
        <v>0</v>
      </c>
      <c r="K156">
        <v>0</v>
      </c>
      <c r="L156" t="s">
        <v>748</v>
      </c>
    </row>
    <row r="157" spans="1:12" x14ac:dyDescent="0.3">
      <c r="A157">
        <v>2027</v>
      </c>
      <c r="B157" t="s">
        <v>422</v>
      </c>
      <c r="C157" t="s">
        <v>423</v>
      </c>
      <c r="D157" t="s">
        <v>291</v>
      </c>
      <c r="E157" s="1"/>
      <c r="F157" s="1"/>
      <c r="G157" s="1"/>
      <c r="H157" s="1"/>
      <c r="I157">
        <v>0</v>
      </c>
      <c r="J157">
        <v>0</v>
      </c>
      <c r="K157">
        <v>0</v>
      </c>
      <c r="L157" t="s">
        <v>748</v>
      </c>
    </row>
    <row r="158" spans="1:12" x14ac:dyDescent="0.3">
      <c r="A158">
        <v>2027</v>
      </c>
      <c r="B158" t="s">
        <v>424</v>
      </c>
      <c r="C158" t="s">
        <v>425</v>
      </c>
      <c r="D158" t="s">
        <v>291</v>
      </c>
      <c r="E158" s="1"/>
      <c r="F158" s="1"/>
      <c r="G158" s="1"/>
      <c r="H158" s="1"/>
      <c r="I158">
        <v>0</v>
      </c>
      <c r="J158">
        <v>0</v>
      </c>
      <c r="K158">
        <v>0</v>
      </c>
      <c r="L158" t="s">
        <v>748</v>
      </c>
    </row>
    <row r="159" spans="1:12" x14ac:dyDescent="0.3">
      <c r="A159">
        <v>2027</v>
      </c>
      <c r="B159" t="s">
        <v>428</v>
      </c>
      <c r="C159" t="s">
        <v>429</v>
      </c>
      <c r="D159" t="s">
        <v>291</v>
      </c>
      <c r="E159" s="1"/>
      <c r="F159" s="1"/>
      <c r="G159" s="1"/>
      <c r="H159" s="1"/>
      <c r="I159">
        <v>0</v>
      </c>
      <c r="J159">
        <v>0</v>
      </c>
      <c r="K159">
        <v>0</v>
      </c>
      <c r="L159" t="s">
        <v>748</v>
      </c>
    </row>
    <row r="160" spans="1:12" x14ac:dyDescent="0.3">
      <c r="A160">
        <v>2027</v>
      </c>
      <c r="B160" t="s">
        <v>432</v>
      </c>
      <c r="C160" t="s">
        <v>433</v>
      </c>
      <c r="D160" t="s">
        <v>291</v>
      </c>
      <c r="E160" s="1"/>
      <c r="F160" s="1"/>
      <c r="G160" s="1"/>
      <c r="H160" s="1"/>
      <c r="I160">
        <v>0</v>
      </c>
      <c r="J160">
        <v>0</v>
      </c>
      <c r="K160">
        <v>0</v>
      </c>
      <c r="L160" t="s">
        <v>748</v>
      </c>
    </row>
    <row r="161" spans="1:12" x14ac:dyDescent="0.3">
      <c r="A161">
        <v>2027</v>
      </c>
      <c r="B161" t="s">
        <v>426</v>
      </c>
      <c r="C161" t="s">
        <v>527</v>
      </c>
      <c r="D161" t="s">
        <v>155</v>
      </c>
      <c r="E161" s="1">
        <v>45827</v>
      </c>
      <c r="F161" s="1">
        <v>46249</v>
      </c>
      <c r="G161" s="1">
        <v>46675</v>
      </c>
      <c r="H161" s="1">
        <v>47041</v>
      </c>
      <c r="I161">
        <v>100</v>
      </c>
      <c r="J161">
        <v>0</v>
      </c>
      <c r="K161">
        <v>100</v>
      </c>
      <c r="L161" t="s">
        <v>748</v>
      </c>
    </row>
    <row r="162" spans="1:12" x14ac:dyDescent="0.3">
      <c r="A162">
        <v>2027</v>
      </c>
      <c r="B162" t="s">
        <v>430</v>
      </c>
      <c r="C162" t="s">
        <v>639</v>
      </c>
      <c r="D162" t="s">
        <v>291</v>
      </c>
      <c r="E162" s="1"/>
      <c r="F162" s="1"/>
      <c r="G162" s="1"/>
      <c r="H162" s="1"/>
      <c r="I162">
        <v>0</v>
      </c>
      <c r="J162">
        <v>0</v>
      </c>
      <c r="K162">
        <v>0</v>
      </c>
      <c r="L162" t="s">
        <v>748</v>
      </c>
    </row>
    <row r="163" spans="1:12" x14ac:dyDescent="0.3">
      <c r="A163">
        <v>2027</v>
      </c>
      <c r="B163" t="s">
        <v>436</v>
      </c>
      <c r="C163" t="s">
        <v>437</v>
      </c>
      <c r="D163" t="s">
        <v>291</v>
      </c>
      <c r="E163" s="1"/>
      <c r="F163" s="1"/>
      <c r="G163" s="1"/>
      <c r="H163" s="1"/>
      <c r="I163">
        <v>50</v>
      </c>
      <c r="J163">
        <v>0</v>
      </c>
      <c r="K163">
        <v>50</v>
      </c>
      <c r="L163" t="s">
        <v>748</v>
      </c>
    </row>
    <row r="164" spans="1:12" x14ac:dyDescent="0.3">
      <c r="A164">
        <v>2027</v>
      </c>
      <c r="B164" t="s">
        <v>248</v>
      </c>
      <c r="C164" t="s">
        <v>722</v>
      </c>
      <c r="D164" t="s">
        <v>110</v>
      </c>
      <c r="E164" s="1"/>
      <c r="F164" s="1">
        <v>45476</v>
      </c>
      <c r="G164" s="1">
        <v>46006</v>
      </c>
      <c r="H164" s="1">
        <v>46006</v>
      </c>
      <c r="I164">
        <v>175</v>
      </c>
      <c r="J164">
        <v>138</v>
      </c>
      <c r="K164">
        <v>313</v>
      </c>
      <c r="L164" t="s">
        <v>748</v>
      </c>
    </row>
    <row r="165" spans="1:12" x14ac:dyDescent="0.3">
      <c r="A165">
        <v>2027</v>
      </c>
      <c r="B165" t="s">
        <v>438</v>
      </c>
      <c r="C165" t="s">
        <v>439</v>
      </c>
      <c r="D165" t="s">
        <v>291</v>
      </c>
      <c r="E165" s="1"/>
      <c r="F165" s="1"/>
      <c r="G165" s="1"/>
      <c r="H165" s="1"/>
      <c r="I165">
        <v>0</v>
      </c>
      <c r="J165">
        <v>0</v>
      </c>
      <c r="K165">
        <v>0</v>
      </c>
      <c r="L165" t="s">
        <v>748</v>
      </c>
    </row>
    <row r="166" spans="1:12" x14ac:dyDescent="0.3">
      <c r="A166">
        <v>2027</v>
      </c>
      <c r="B166" t="s">
        <v>157</v>
      </c>
      <c r="C166" t="s">
        <v>158</v>
      </c>
      <c r="D166" t="s">
        <v>155</v>
      </c>
      <c r="E166" s="1"/>
      <c r="F166" s="1">
        <v>45991</v>
      </c>
      <c r="G166" s="1"/>
      <c r="H166" s="1">
        <v>46249</v>
      </c>
      <c r="I166">
        <v>150</v>
      </c>
      <c r="J166">
        <v>50</v>
      </c>
      <c r="K166">
        <v>200</v>
      </c>
      <c r="L166" t="s">
        <v>748</v>
      </c>
    </row>
    <row r="167" spans="1:12" x14ac:dyDescent="0.3">
      <c r="A167">
        <v>2027</v>
      </c>
      <c r="B167" t="s">
        <v>440</v>
      </c>
      <c r="C167" t="s">
        <v>441</v>
      </c>
      <c r="D167" t="s">
        <v>155</v>
      </c>
      <c r="E167" s="1"/>
      <c r="F167" s="1">
        <v>45992</v>
      </c>
      <c r="G167" s="1"/>
      <c r="H167" s="1">
        <v>45992</v>
      </c>
      <c r="I167">
        <v>0</v>
      </c>
      <c r="J167">
        <v>0</v>
      </c>
      <c r="K167">
        <v>0</v>
      </c>
      <c r="L167" t="s">
        <v>748</v>
      </c>
    </row>
    <row r="168" spans="1:12" x14ac:dyDescent="0.3">
      <c r="A168">
        <v>2027</v>
      </c>
      <c r="B168" t="s">
        <v>442</v>
      </c>
      <c r="C168" t="s">
        <v>526</v>
      </c>
      <c r="D168" t="s">
        <v>291</v>
      </c>
      <c r="E168" s="1"/>
      <c r="F168" s="1"/>
      <c r="G168" s="1"/>
      <c r="H168" s="1"/>
      <c r="I168">
        <v>0</v>
      </c>
      <c r="J168">
        <v>0</v>
      </c>
      <c r="K168">
        <v>0</v>
      </c>
      <c r="L168" t="s">
        <v>748</v>
      </c>
    </row>
    <row r="169" spans="1:12" x14ac:dyDescent="0.3">
      <c r="A169">
        <v>2027</v>
      </c>
      <c r="B169" t="s">
        <v>250</v>
      </c>
      <c r="C169" t="s">
        <v>251</v>
      </c>
      <c r="D169" t="s">
        <v>110</v>
      </c>
      <c r="E169" s="1"/>
      <c r="F169" s="1">
        <v>45490</v>
      </c>
      <c r="G169" s="1"/>
      <c r="H169" s="1">
        <v>46447</v>
      </c>
      <c r="I169">
        <v>12</v>
      </c>
      <c r="J169">
        <v>0</v>
      </c>
      <c r="K169">
        <v>12</v>
      </c>
      <c r="L169" t="s">
        <v>748</v>
      </c>
    </row>
    <row r="170" spans="1:12" x14ac:dyDescent="0.3">
      <c r="A170">
        <v>2027</v>
      </c>
      <c r="B170" t="s">
        <v>253</v>
      </c>
      <c r="C170" t="s">
        <v>254</v>
      </c>
      <c r="D170" t="s">
        <v>291</v>
      </c>
      <c r="E170" s="1"/>
      <c r="F170" s="1"/>
      <c r="G170" s="1"/>
      <c r="H170" s="1"/>
      <c r="I170">
        <v>0</v>
      </c>
      <c r="J170">
        <v>0</v>
      </c>
      <c r="K170">
        <v>0</v>
      </c>
      <c r="L170" t="s">
        <v>748</v>
      </c>
    </row>
    <row r="171" spans="1:12" x14ac:dyDescent="0.3">
      <c r="A171">
        <v>2027</v>
      </c>
      <c r="B171" t="s">
        <v>444</v>
      </c>
      <c r="C171" t="s">
        <v>666</v>
      </c>
      <c r="D171" t="s">
        <v>291</v>
      </c>
      <c r="E171" s="1"/>
      <c r="F171" s="1"/>
      <c r="G171" s="1"/>
      <c r="H171" s="1"/>
      <c r="I171">
        <v>0</v>
      </c>
      <c r="J171">
        <v>0</v>
      </c>
      <c r="K171">
        <v>0</v>
      </c>
      <c r="L171" t="s">
        <v>748</v>
      </c>
    </row>
    <row r="172" spans="1:12" x14ac:dyDescent="0.3">
      <c r="A172">
        <v>2027</v>
      </c>
      <c r="B172" t="s">
        <v>446</v>
      </c>
      <c r="C172" t="s">
        <v>447</v>
      </c>
      <c r="D172" t="s">
        <v>291</v>
      </c>
      <c r="E172" s="1"/>
      <c r="F172" s="1"/>
      <c r="G172" s="1"/>
      <c r="H172" s="1"/>
      <c r="I172">
        <v>0</v>
      </c>
      <c r="J172">
        <v>0</v>
      </c>
      <c r="K172">
        <v>0</v>
      </c>
      <c r="L172" t="s">
        <v>748</v>
      </c>
    </row>
    <row r="173" spans="1:12" x14ac:dyDescent="0.3">
      <c r="A173">
        <v>2027</v>
      </c>
      <c r="B173" t="s">
        <v>448</v>
      </c>
      <c r="C173" t="s">
        <v>449</v>
      </c>
      <c r="D173" t="s">
        <v>291</v>
      </c>
      <c r="E173" s="1"/>
      <c r="F173" s="1"/>
      <c r="G173" s="1"/>
      <c r="H173" s="1"/>
      <c r="I173">
        <v>0</v>
      </c>
      <c r="J173">
        <v>100</v>
      </c>
      <c r="K173">
        <v>100</v>
      </c>
      <c r="L173" t="s">
        <v>748</v>
      </c>
    </row>
    <row r="174" spans="1:12" x14ac:dyDescent="0.3">
      <c r="A174">
        <v>2027</v>
      </c>
      <c r="B174" t="s">
        <v>255</v>
      </c>
      <c r="C174" t="s">
        <v>529</v>
      </c>
      <c r="D174" t="s">
        <v>291</v>
      </c>
      <c r="E174" s="1"/>
      <c r="F174" s="1"/>
      <c r="G174" s="1"/>
      <c r="H174" s="1">
        <v>46006</v>
      </c>
      <c r="I174">
        <v>0</v>
      </c>
      <c r="J174">
        <v>0</v>
      </c>
      <c r="K174">
        <v>0</v>
      </c>
      <c r="L174" t="s">
        <v>748</v>
      </c>
    </row>
    <row r="175" spans="1:12" x14ac:dyDescent="0.3">
      <c r="A175">
        <v>2027</v>
      </c>
      <c r="B175" t="s">
        <v>259</v>
      </c>
      <c r="C175" t="s">
        <v>260</v>
      </c>
      <c r="D175" t="s">
        <v>291</v>
      </c>
      <c r="E175" s="1"/>
      <c r="F175" s="1"/>
      <c r="G175" s="1"/>
      <c r="H175" s="1"/>
      <c r="I175">
        <v>0</v>
      </c>
      <c r="J175">
        <v>0</v>
      </c>
      <c r="K175">
        <v>0</v>
      </c>
      <c r="L175" t="s">
        <v>749</v>
      </c>
    </row>
    <row r="176" spans="1:12" x14ac:dyDescent="0.3">
      <c r="A176">
        <v>2027</v>
      </c>
      <c r="B176" t="s">
        <v>454</v>
      </c>
      <c r="C176" t="s">
        <v>455</v>
      </c>
      <c r="D176" t="s">
        <v>291</v>
      </c>
      <c r="E176" s="1"/>
      <c r="F176" s="1"/>
      <c r="G176" s="1"/>
      <c r="H176" s="1"/>
      <c r="I176">
        <v>0</v>
      </c>
      <c r="J176">
        <v>0</v>
      </c>
      <c r="K176">
        <v>0</v>
      </c>
      <c r="L176" t="s">
        <v>748</v>
      </c>
    </row>
    <row r="177" spans="1:12" x14ac:dyDescent="0.3">
      <c r="A177">
        <v>2027</v>
      </c>
      <c r="B177" t="s">
        <v>456</v>
      </c>
      <c r="C177" t="s">
        <v>457</v>
      </c>
      <c r="D177" t="s">
        <v>291</v>
      </c>
      <c r="E177" s="1"/>
      <c r="F177" s="1"/>
      <c r="G177" s="1"/>
      <c r="H177" s="1"/>
      <c r="I177">
        <v>0</v>
      </c>
      <c r="J177">
        <v>0</v>
      </c>
      <c r="K177">
        <v>0</v>
      </c>
      <c r="L177" t="s">
        <v>748</v>
      </c>
    </row>
    <row r="178" spans="1:12" x14ac:dyDescent="0.3">
      <c r="A178">
        <v>2027</v>
      </c>
      <c r="B178" t="s">
        <v>458</v>
      </c>
      <c r="C178" t="s">
        <v>459</v>
      </c>
      <c r="D178" t="s">
        <v>291</v>
      </c>
      <c r="E178" s="1"/>
      <c r="F178" s="1"/>
      <c r="G178" s="1"/>
      <c r="H178" s="1"/>
      <c r="I178">
        <v>0</v>
      </c>
      <c r="J178">
        <v>0</v>
      </c>
      <c r="K178">
        <v>0</v>
      </c>
      <c r="L178" t="s">
        <v>748</v>
      </c>
    </row>
    <row r="179" spans="1:12" x14ac:dyDescent="0.3">
      <c r="A179">
        <v>2027</v>
      </c>
      <c r="B179" t="s">
        <v>460</v>
      </c>
      <c r="C179" t="s">
        <v>461</v>
      </c>
      <c r="D179" t="s">
        <v>291</v>
      </c>
      <c r="E179" s="1"/>
      <c r="F179" s="1"/>
      <c r="G179" s="1"/>
      <c r="H179" s="1"/>
      <c r="I179">
        <v>0</v>
      </c>
      <c r="J179">
        <v>0</v>
      </c>
      <c r="K179">
        <v>0</v>
      </c>
      <c r="L179" t="s">
        <v>748</v>
      </c>
    </row>
    <row r="180" spans="1:12" x14ac:dyDescent="0.3">
      <c r="A180">
        <v>2027</v>
      </c>
      <c r="B180" t="s">
        <v>462</v>
      </c>
      <c r="C180" t="s">
        <v>463</v>
      </c>
      <c r="D180" t="s">
        <v>291</v>
      </c>
      <c r="E180" s="1"/>
      <c r="F180" s="1"/>
      <c r="G180" s="1"/>
      <c r="H180" s="1"/>
      <c r="I180">
        <v>0</v>
      </c>
      <c r="J180">
        <v>0</v>
      </c>
      <c r="K180">
        <v>0</v>
      </c>
      <c r="L180" t="s">
        <v>748</v>
      </c>
    </row>
    <row r="181" spans="1:12" x14ac:dyDescent="0.3">
      <c r="A181">
        <v>2027</v>
      </c>
      <c r="B181" t="s">
        <v>464</v>
      </c>
      <c r="C181" t="s">
        <v>465</v>
      </c>
      <c r="D181" t="s">
        <v>291</v>
      </c>
      <c r="E181" s="1"/>
      <c r="F181" s="1"/>
      <c r="G181" s="1"/>
      <c r="H181" s="1"/>
      <c r="I181">
        <v>0</v>
      </c>
      <c r="J181">
        <v>0</v>
      </c>
      <c r="K181">
        <v>0</v>
      </c>
      <c r="L181" t="s">
        <v>748</v>
      </c>
    </row>
    <row r="182" spans="1:12" x14ac:dyDescent="0.3">
      <c r="A182">
        <v>2027</v>
      </c>
      <c r="B182" t="s">
        <v>470</v>
      </c>
      <c r="C182" t="s">
        <v>471</v>
      </c>
      <c r="D182" t="s">
        <v>291</v>
      </c>
      <c r="E182" s="1"/>
      <c r="F182" s="1"/>
      <c r="G182" s="1"/>
      <c r="H182" s="1"/>
      <c r="I182">
        <v>0</v>
      </c>
      <c r="J182">
        <v>0</v>
      </c>
      <c r="K182">
        <v>0</v>
      </c>
      <c r="L182" t="s">
        <v>748</v>
      </c>
    </row>
    <row r="183" spans="1:12" x14ac:dyDescent="0.3">
      <c r="A183">
        <v>2027</v>
      </c>
      <c r="B183" t="s">
        <v>474</v>
      </c>
      <c r="C183" t="s">
        <v>637</v>
      </c>
      <c r="D183" t="s">
        <v>291</v>
      </c>
      <c r="E183" s="1"/>
      <c r="F183" s="1"/>
      <c r="G183" s="1"/>
      <c r="H183" s="1"/>
      <c r="I183">
        <v>0</v>
      </c>
      <c r="J183">
        <v>0</v>
      </c>
      <c r="K183">
        <v>0</v>
      </c>
      <c r="L183" t="s">
        <v>748</v>
      </c>
    </row>
    <row r="184" spans="1:12" x14ac:dyDescent="0.3">
      <c r="A184">
        <v>2027</v>
      </c>
      <c r="B184" t="s">
        <v>511</v>
      </c>
      <c r="C184" t="s">
        <v>512</v>
      </c>
      <c r="D184" t="s">
        <v>155</v>
      </c>
      <c r="E184" s="1"/>
      <c r="F184" s="1">
        <v>46006</v>
      </c>
      <c r="G184" s="1">
        <v>46341</v>
      </c>
      <c r="H184" s="1">
        <v>46706</v>
      </c>
      <c r="I184">
        <v>150</v>
      </c>
      <c r="J184">
        <v>0</v>
      </c>
      <c r="K184">
        <v>150</v>
      </c>
      <c r="L184" t="s">
        <v>748</v>
      </c>
    </row>
    <row r="185" spans="1:12" x14ac:dyDescent="0.3">
      <c r="A185">
        <v>2027</v>
      </c>
      <c r="B185" t="s">
        <v>516</v>
      </c>
      <c r="C185" t="s">
        <v>517</v>
      </c>
      <c r="D185" t="s">
        <v>110</v>
      </c>
      <c r="E185" s="1"/>
      <c r="F185" s="1">
        <v>45904</v>
      </c>
      <c r="G185" s="1"/>
      <c r="H185" s="1">
        <v>46096</v>
      </c>
      <c r="I185">
        <v>0</v>
      </c>
      <c r="J185">
        <v>0</v>
      </c>
      <c r="K185">
        <v>0</v>
      </c>
      <c r="L185" t="s">
        <v>748</v>
      </c>
    </row>
    <row r="186" spans="1:12" x14ac:dyDescent="0.3">
      <c r="A186">
        <v>2027</v>
      </c>
      <c r="B186" t="s">
        <v>518</v>
      </c>
      <c r="C186" t="s">
        <v>519</v>
      </c>
      <c r="D186" t="s">
        <v>155</v>
      </c>
      <c r="E186" s="1"/>
      <c r="F186" s="1">
        <v>46127</v>
      </c>
      <c r="G186" s="1"/>
      <c r="H186" s="1"/>
      <c r="I186">
        <v>15</v>
      </c>
      <c r="J186">
        <v>0</v>
      </c>
      <c r="K186">
        <v>15</v>
      </c>
      <c r="L186" t="s">
        <v>748</v>
      </c>
    </row>
    <row r="187" spans="1:12" x14ac:dyDescent="0.3">
      <c r="A187">
        <v>2027</v>
      </c>
      <c r="B187" t="s">
        <v>522</v>
      </c>
      <c r="C187" t="s">
        <v>523</v>
      </c>
      <c r="D187" t="s">
        <v>291</v>
      </c>
      <c r="E187" s="1"/>
      <c r="F187" s="1"/>
      <c r="G187" s="1"/>
      <c r="H187" s="1"/>
      <c r="I187">
        <v>0</v>
      </c>
      <c r="J187">
        <v>0</v>
      </c>
      <c r="K187">
        <v>0</v>
      </c>
      <c r="L187" t="s">
        <v>748</v>
      </c>
    </row>
    <row r="188" spans="1:12" x14ac:dyDescent="0.3">
      <c r="A188">
        <v>2027</v>
      </c>
      <c r="B188" t="s">
        <v>531</v>
      </c>
      <c r="C188" t="s">
        <v>532</v>
      </c>
      <c r="D188" t="s">
        <v>291</v>
      </c>
      <c r="E188" s="1"/>
      <c r="F188" s="1"/>
      <c r="G188" s="1"/>
      <c r="H188" s="1"/>
      <c r="I188">
        <v>0</v>
      </c>
      <c r="J188">
        <v>0</v>
      </c>
      <c r="K188">
        <v>0</v>
      </c>
      <c r="L188" t="s">
        <v>748</v>
      </c>
    </row>
    <row r="189" spans="1:12" x14ac:dyDescent="0.3">
      <c r="A189">
        <v>2027</v>
      </c>
      <c r="B189" t="s">
        <v>543</v>
      </c>
      <c r="C189" t="s">
        <v>544</v>
      </c>
      <c r="D189" t="s">
        <v>123</v>
      </c>
      <c r="E189" s="1"/>
      <c r="F189" s="1">
        <v>45762</v>
      </c>
      <c r="G189" s="1">
        <v>46096</v>
      </c>
      <c r="H189" s="1">
        <v>46096</v>
      </c>
      <c r="I189">
        <v>1</v>
      </c>
      <c r="J189">
        <v>82</v>
      </c>
      <c r="K189">
        <v>83</v>
      </c>
      <c r="L189" t="s">
        <v>748</v>
      </c>
    </row>
    <row r="190" spans="1:12" x14ac:dyDescent="0.3">
      <c r="A190">
        <v>2027</v>
      </c>
      <c r="B190" t="s">
        <v>597</v>
      </c>
      <c r="C190" t="s">
        <v>598</v>
      </c>
      <c r="D190" t="s">
        <v>291</v>
      </c>
      <c r="E190" s="1"/>
      <c r="F190" s="1"/>
      <c r="G190" s="1"/>
      <c r="H190" s="1"/>
      <c r="I190">
        <v>0</v>
      </c>
      <c r="J190">
        <v>0</v>
      </c>
      <c r="K190">
        <v>0</v>
      </c>
      <c r="L190" t="s">
        <v>748</v>
      </c>
    </row>
    <row r="191" spans="1:12" x14ac:dyDescent="0.3">
      <c r="A191">
        <v>2027</v>
      </c>
      <c r="B191" t="s">
        <v>601</v>
      </c>
      <c r="C191" t="s">
        <v>602</v>
      </c>
      <c r="D191" t="s">
        <v>291</v>
      </c>
      <c r="E191" s="1"/>
      <c r="F191" s="1"/>
      <c r="G191" s="1"/>
      <c r="H191" s="1"/>
      <c r="I191">
        <v>0</v>
      </c>
      <c r="J191">
        <v>0</v>
      </c>
      <c r="K191">
        <v>0</v>
      </c>
      <c r="L191" t="s">
        <v>748</v>
      </c>
    </row>
    <row r="192" spans="1:12" x14ac:dyDescent="0.3">
      <c r="A192">
        <v>2027</v>
      </c>
      <c r="B192" t="s">
        <v>606</v>
      </c>
      <c r="C192" t="s">
        <v>607</v>
      </c>
      <c r="D192" t="s">
        <v>291</v>
      </c>
      <c r="E192" s="1"/>
      <c r="F192" s="1"/>
      <c r="G192" s="1"/>
      <c r="H192" s="1"/>
      <c r="I192">
        <v>0</v>
      </c>
      <c r="J192">
        <v>300</v>
      </c>
      <c r="K192">
        <v>300</v>
      </c>
      <c r="L192" t="s">
        <v>748</v>
      </c>
    </row>
    <row r="193" spans="1:12" x14ac:dyDescent="0.3">
      <c r="A193">
        <v>2027</v>
      </c>
      <c r="B193" t="s">
        <v>647</v>
      </c>
      <c r="C193" t="s">
        <v>648</v>
      </c>
      <c r="D193" t="s">
        <v>291</v>
      </c>
      <c r="E193" s="1"/>
      <c r="F193" s="1"/>
      <c r="G193" s="1"/>
      <c r="H193" s="1"/>
      <c r="I193">
        <v>0</v>
      </c>
      <c r="J193">
        <v>10</v>
      </c>
      <c r="K193">
        <v>10</v>
      </c>
      <c r="L193" t="s">
        <v>748</v>
      </c>
    </row>
    <row r="194" spans="1:12" x14ac:dyDescent="0.3">
      <c r="A194">
        <v>2027</v>
      </c>
      <c r="B194" t="s">
        <v>649</v>
      </c>
      <c r="C194" t="s">
        <v>650</v>
      </c>
      <c r="D194" t="s">
        <v>291</v>
      </c>
      <c r="E194" s="1"/>
      <c r="F194" s="1"/>
      <c r="G194" s="1"/>
      <c r="H194" s="1"/>
      <c r="I194">
        <v>0</v>
      </c>
      <c r="J194">
        <v>100</v>
      </c>
      <c r="K194">
        <v>100</v>
      </c>
      <c r="L194" t="s">
        <v>748</v>
      </c>
    </row>
    <row r="195" spans="1:12" x14ac:dyDescent="0.3">
      <c r="A195">
        <v>2027</v>
      </c>
      <c r="B195" t="s">
        <v>651</v>
      </c>
      <c r="C195" t="s">
        <v>652</v>
      </c>
      <c r="D195" t="s">
        <v>291</v>
      </c>
      <c r="E195" s="1"/>
      <c r="F195" s="1"/>
      <c r="G195" s="1"/>
      <c r="H195" s="1"/>
      <c r="I195">
        <v>0</v>
      </c>
      <c r="J195">
        <v>0</v>
      </c>
      <c r="K195">
        <v>0</v>
      </c>
      <c r="L195" t="s">
        <v>748</v>
      </c>
    </row>
    <row r="196" spans="1:12" x14ac:dyDescent="0.3">
      <c r="A196">
        <v>2027</v>
      </c>
      <c r="B196" t="s">
        <v>653</v>
      </c>
      <c r="C196" t="s">
        <v>654</v>
      </c>
      <c r="D196" t="s">
        <v>291</v>
      </c>
      <c r="E196" s="1"/>
      <c r="F196" s="1"/>
      <c r="G196" s="1"/>
      <c r="H196" s="1"/>
      <c r="I196">
        <v>125</v>
      </c>
      <c r="J196">
        <v>0</v>
      </c>
      <c r="K196">
        <v>125</v>
      </c>
      <c r="L196" t="s">
        <v>748</v>
      </c>
    </row>
    <row r="197" spans="1:12" x14ac:dyDescent="0.3">
      <c r="A197">
        <v>2027</v>
      </c>
      <c r="B197" t="s">
        <v>712</v>
      </c>
      <c r="C197" t="s">
        <v>686</v>
      </c>
      <c r="E197" s="1"/>
      <c r="F197" s="1"/>
      <c r="G197" s="1"/>
      <c r="H197" s="1"/>
      <c r="I197">
        <v>0</v>
      </c>
      <c r="J197">
        <v>0</v>
      </c>
      <c r="K197">
        <v>0</v>
      </c>
      <c r="L197" t="s">
        <v>748</v>
      </c>
    </row>
    <row r="198" spans="1:12" x14ac:dyDescent="0.3">
      <c r="A198">
        <v>2027</v>
      </c>
      <c r="B198" t="s">
        <v>713</v>
      </c>
      <c r="C198" t="s">
        <v>693</v>
      </c>
      <c r="E198" s="1"/>
      <c r="F198" s="1"/>
      <c r="G198" s="1"/>
      <c r="H198" s="1"/>
      <c r="I198">
        <v>75</v>
      </c>
      <c r="J198">
        <v>0</v>
      </c>
      <c r="K198">
        <v>75</v>
      </c>
      <c r="L198" t="s">
        <v>748</v>
      </c>
    </row>
    <row r="199" spans="1:12" x14ac:dyDescent="0.3">
      <c r="A199">
        <v>2027</v>
      </c>
      <c r="B199" t="s">
        <v>714</v>
      </c>
      <c r="C199" t="s">
        <v>697</v>
      </c>
      <c r="E199" s="1"/>
      <c r="F199" s="1"/>
      <c r="G199" s="1"/>
      <c r="H199" s="1"/>
      <c r="I199">
        <v>0</v>
      </c>
      <c r="J199">
        <v>0</v>
      </c>
      <c r="K199">
        <v>0</v>
      </c>
      <c r="L199" t="s">
        <v>748</v>
      </c>
    </row>
    <row r="200" spans="1:12" x14ac:dyDescent="0.3">
      <c r="A200">
        <v>2027</v>
      </c>
      <c r="B200" t="s">
        <v>715</v>
      </c>
      <c r="C200" t="s">
        <v>694</v>
      </c>
      <c r="E200" s="1"/>
      <c r="F200" s="1"/>
      <c r="G200" s="1"/>
      <c r="H200" s="1"/>
      <c r="I200">
        <v>75</v>
      </c>
      <c r="J200">
        <v>0</v>
      </c>
      <c r="K200">
        <v>75</v>
      </c>
      <c r="L200" t="s">
        <v>748</v>
      </c>
    </row>
    <row r="201" spans="1:12" x14ac:dyDescent="0.3">
      <c r="A201">
        <v>2027</v>
      </c>
      <c r="B201" t="s">
        <v>716</v>
      </c>
      <c r="C201" t="s">
        <v>702</v>
      </c>
      <c r="E201" s="1"/>
      <c r="F201" s="1"/>
      <c r="G201" s="1"/>
      <c r="H201" s="1"/>
      <c r="I201">
        <v>0</v>
      </c>
      <c r="J201">
        <v>0</v>
      </c>
      <c r="K201">
        <v>0</v>
      </c>
      <c r="L201" t="s">
        <v>748</v>
      </c>
    </row>
    <row r="202" spans="1:12" x14ac:dyDescent="0.3">
      <c r="A202">
        <v>2027</v>
      </c>
      <c r="B202" t="s">
        <v>717</v>
      </c>
      <c r="C202" t="s">
        <v>695</v>
      </c>
      <c r="E202" s="1"/>
      <c r="F202" s="1"/>
      <c r="G202" s="1"/>
      <c r="H202" s="1"/>
      <c r="I202">
        <v>0</v>
      </c>
      <c r="J202">
        <v>0</v>
      </c>
      <c r="K202">
        <v>0</v>
      </c>
      <c r="L202" t="s">
        <v>748</v>
      </c>
    </row>
    <row r="203" spans="1:12" x14ac:dyDescent="0.3">
      <c r="A203">
        <v>2027</v>
      </c>
      <c r="B203" t="s">
        <v>718</v>
      </c>
      <c r="C203" t="s">
        <v>696</v>
      </c>
      <c r="E203" s="1"/>
      <c r="F203" s="1"/>
      <c r="G203" s="1"/>
      <c r="H203" s="1"/>
      <c r="I203">
        <v>300</v>
      </c>
      <c r="J203">
        <v>0</v>
      </c>
      <c r="K203">
        <v>300</v>
      </c>
      <c r="L203" t="s">
        <v>748</v>
      </c>
    </row>
    <row r="204" spans="1:12" x14ac:dyDescent="0.3">
      <c r="A204">
        <v>2028</v>
      </c>
      <c r="B204" t="s">
        <v>364</v>
      </c>
      <c r="C204" t="s">
        <v>365</v>
      </c>
      <c r="D204" t="s">
        <v>291</v>
      </c>
      <c r="E204" s="1"/>
      <c r="F204" s="1"/>
      <c r="G204" s="1"/>
      <c r="H204" s="1"/>
      <c r="I204">
        <v>200</v>
      </c>
      <c r="J204">
        <v>0</v>
      </c>
      <c r="K204">
        <v>200</v>
      </c>
      <c r="L204" t="s">
        <v>748</v>
      </c>
    </row>
    <row r="205" spans="1:12" x14ac:dyDescent="0.3">
      <c r="A205">
        <v>2028</v>
      </c>
      <c r="B205" t="s">
        <v>366</v>
      </c>
      <c r="C205" t="s">
        <v>367</v>
      </c>
      <c r="D205" t="s">
        <v>155</v>
      </c>
      <c r="E205" s="1">
        <v>46006</v>
      </c>
      <c r="F205" s="1">
        <v>46157</v>
      </c>
      <c r="G205" s="1">
        <v>46645</v>
      </c>
      <c r="H205" s="1">
        <v>47011</v>
      </c>
      <c r="I205">
        <v>600</v>
      </c>
      <c r="J205">
        <v>0</v>
      </c>
      <c r="K205">
        <v>600</v>
      </c>
      <c r="L205" t="s">
        <v>748</v>
      </c>
    </row>
    <row r="206" spans="1:12" x14ac:dyDescent="0.3">
      <c r="A206">
        <v>2028</v>
      </c>
      <c r="B206" t="s">
        <v>162</v>
      </c>
      <c r="C206" t="s">
        <v>163</v>
      </c>
      <c r="D206" t="s">
        <v>164</v>
      </c>
      <c r="E206" s="1"/>
      <c r="F206" s="1"/>
      <c r="G206" s="1"/>
      <c r="H206" s="1"/>
      <c r="I206">
        <v>0</v>
      </c>
      <c r="J206">
        <v>0</v>
      </c>
      <c r="K206">
        <v>0</v>
      </c>
      <c r="L206" t="s">
        <v>748</v>
      </c>
    </row>
    <row r="207" spans="1:12" x14ac:dyDescent="0.3">
      <c r="A207">
        <v>2028</v>
      </c>
      <c r="B207" t="s">
        <v>166</v>
      </c>
      <c r="C207" t="s">
        <v>167</v>
      </c>
      <c r="D207" t="s">
        <v>155</v>
      </c>
      <c r="E207" s="1">
        <v>42499</v>
      </c>
      <c r="F207" s="1">
        <v>45976</v>
      </c>
      <c r="G207" s="1">
        <v>46402</v>
      </c>
      <c r="H207" s="1">
        <v>46980</v>
      </c>
      <c r="I207">
        <v>310</v>
      </c>
      <c r="J207">
        <v>0</v>
      </c>
      <c r="K207">
        <v>310</v>
      </c>
      <c r="L207" t="s">
        <v>748</v>
      </c>
    </row>
    <row r="208" spans="1:12" x14ac:dyDescent="0.3">
      <c r="A208">
        <v>2028</v>
      </c>
      <c r="B208" t="s">
        <v>170</v>
      </c>
      <c r="C208" t="s">
        <v>171</v>
      </c>
      <c r="D208" t="s">
        <v>110</v>
      </c>
      <c r="E208" s="1"/>
      <c r="F208" s="1">
        <v>44833</v>
      </c>
      <c r="G208" s="1">
        <v>45976</v>
      </c>
      <c r="H208" s="1">
        <v>46310</v>
      </c>
      <c r="I208">
        <v>982</v>
      </c>
      <c r="J208">
        <v>3252</v>
      </c>
      <c r="K208">
        <v>4234</v>
      </c>
      <c r="L208" t="s">
        <v>748</v>
      </c>
    </row>
    <row r="209" spans="1:12" x14ac:dyDescent="0.3">
      <c r="A209">
        <v>2028</v>
      </c>
      <c r="B209" t="s">
        <v>137</v>
      </c>
      <c r="C209" t="s">
        <v>138</v>
      </c>
      <c r="D209" t="s">
        <v>123</v>
      </c>
      <c r="E209" s="1"/>
      <c r="F209" s="1">
        <v>45062</v>
      </c>
      <c r="G209" s="1">
        <v>45754</v>
      </c>
      <c r="H209" s="1">
        <v>45945</v>
      </c>
      <c r="I209">
        <v>0</v>
      </c>
      <c r="J209">
        <v>0</v>
      </c>
      <c r="K209">
        <v>0</v>
      </c>
      <c r="L209" t="s">
        <v>748</v>
      </c>
    </row>
    <row r="210" spans="1:12" x14ac:dyDescent="0.3">
      <c r="A210">
        <v>2028</v>
      </c>
      <c r="B210" t="s">
        <v>181</v>
      </c>
      <c r="C210" t="s">
        <v>296</v>
      </c>
      <c r="D210" t="s">
        <v>110</v>
      </c>
      <c r="E210" s="1"/>
      <c r="F210" s="1">
        <v>45590</v>
      </c>
      <c r="G210" s="1">
        <v>46157</v>
      </c>
      <c r="H210" s="1">
        <v>46157</v>
      </c>
      <c r="I210">
        <v>0</v>
      </c>
      <c r="J210">
        <v>0</v>
      </c>
      <c r="K210">
        <v>0</v>
      </c>
      <c r="L210" t="s">
        <v>748</v>
      </c>
    </row>
    <row r="211" spans="1:12" x14ac:dyDescent="0.3">
      <c r="A211">
        <v>2028</v>
      </c>
      <c r="B211" t="s">
        <v>185</v>
      </c>
      <c r="C211" t="s">
        <v>186</v>
      </c>
      <c r="D211" t="s">
        <v>110</v>
      </c>
      <c r="E211" s="1"/>
      <c r="F211" s="1">
        <v>44823</v>
      </c>
      <c r="G211" s="1">
        <v>46310</v>
      </c>
      <c r="H211" s="1">
        <v>46521</v>
      </c>
      <c r="I211">
        <v>212</v>
      </c>
      <c r="J211">
        <v>5369</v>
      </c>
      <c r="K211">
        <v>5581</v>
      </c>
      <c r="L211" t="s">
        <v>748</v>
      </c>
    </row>
    <row r="212" spans="1:12" x14ac:dyDescent="0.3">
      <c r="A212">
        <v>2028</v>
      </c>
      <c r="B212" t="s">
        <v>189</v>
      </c>
      <c r="C212" t="s">
        <v>190</v>
      </c>
      <c r="D212" t="s">
        <v>123</v>
      </c>
      <c r="E212" s="1"/>
      <c r="F212" s="1">
        <v>45684</v>
      </c>
      <c r="G212" s="1"/>
      <c r="H212" s="1">
        <v>46006</v>
      </c>
      <c r="I212">
        <v>0</v>
      </c>
      <c r="J212">
        <v>0</v>
      </c>
      <c r="K212">
        <v>0</v>
      </c>
      <c r="L212" t="s">
        <v>749</v>
      </c>
    </row>
    <row r="213" spans="1:12" x14ac:dyDescent="0.3">
      <c r="A213">
        <v>2028</v>
      </c>
      <c r="B213" t="s">
        <v>132</v>
      </c>
      <c r="C213" t="s">
        <v>288</v>
      </c>
      <c r="D213" t="s">
        <v>123</v>
      </c>
      <c r="E213" s="1"/>
      <c r="F213" s="1">
        <v>45218</v>
      </c>
      <c r="G213" s="1">
        <v>45722</v>
      </c>
      <c r="H213" s="1">
        <v>45976</v>
      </c>
      <c r="I213">
        <v>0</v>
      </c>
      <c r="J213">
        <v>0</v>
      </c>
      <c r="K213">
        <v>0</v>
      </c>
      <c r="L213" t="s">
        <v>749</v>
      </c>
    </row>
    <row r="214" spans="1:12" x14ac:dyDescent="0.3">
      <c r="A214">
        <v>2028</v>
      </c>
      <c r="B214" t="s">
        <v>141</v>
      </c>
      <c r="C214" t="s">
        <v>142</v>
      </c>
      <c r="D214" t="s">
        <v>123</v>
      </c>
      <c r="E214" s="1">
        <v>42499</v>
      </c>
      <c r="F214" s="1">
        <v>42900</v>
      </c>
      <c r="G214" s="1">
        <v>45323</v>
      </c>
      <c r="H214" s="1">
        <v>45889</v>
      </c>
      <c r="I214">
        <v>0</v>
      </c>
      <c r="J214">
        <v>0</v>
      </c>
      <c r="K214">
        <v>0</v>
      </c>
      <c r="L214" t="s">
        <v>748</v>
      </c>
    </row>
    <row r="215" spans="1:12" x14ac:dyDescent="0.3">
      <c r="A215">
        <v>2028</v>
      </c>
      <c r="B215" t="s">
        <v>368</v>
      </c>
      <c r="C215" t="s">
        <v>369</v>
      </c>
      <c r="D215" t="s">
        <v>291</v>
      </c>
      <c r="E215" s="1"/>
      <c r="F215" s="1"/>
      <c r="G215" s="1"/>
      <c r="H215" s="1"/>
      <c r="I215">
        <v>250</v>
      </c>
      <c r="J215">
        <v>0</v>
      </c>
      <c r="K215">
        <v>250</v>
      </c>
      <c r="L215" t="s">
        <v>748</v>
      </c>
    </row>
    <row r="216" spans="1:12" x14ac:dyDescent="0.3">
      <c r="A216">
        <v>2028</v>
      </c>
      <c r="B216" t="s">
        <v>160</v>
      </c>
      <c r="C216" t="s">
        <v>161</v>
      </c>
      <c r="D216" t="s">
        <v>164</v>
      </c>
      <c r="E216" s="1">
        <v>43013</v>
      </c>
      <c r="F216" s="1">
        <v>44956</v>
      </c>
      <c r="G216" s="1">
        <v>45321</v>
      </c>
      <c r="H216" s="1">
        <v>45687</v>
      </c>
      <c r="I216">
        <v>0</v>
      </c>
      <c r="J216">
        <v>0</v>
      </c>
      <c r="K216">
        <v>0</v>
      </c>
      <c r="L216" t="s">
        <v>748</v>
      </c>
    </row>
    <row r="217" spans="1:12" x14ac:dyDescent="0.3">
      <c r="A217">
        <v>2028</v>
      </c>
      <c r="B217" t="s">
        <v>371</v>
      </c>
      <c r="C217" t="s">
        <v>372</v>
      </c>
      <c r="D217" t="s">
        <v>291</v>
      </c>
      <c r="E217" s="1"/>
      <c r="F217" s="1"/>
      <c r="G217" s="1"/>
      <c r="H217" s="1"/>
      <c r="I217">
        <v>0</v>
      </c>
      <c r="J217">
        <v>0</v>
      </c>
      <c r="K217">
        <v>0</v>
      </c>
      <c r="L217" t="s">
        <v>748</v>
      </c>
    </row>
    <row r="218" spans="1:12" x14ac:dyDescent="0.3">
      <c r="A218">
        <v>2028</v>
      </c>
      <c r="B218" t="s">
        <v>195</v>
      </c>
      <c r="C218" t="s">
        <v>196</v>
      </c>
      <c r="D218" t="s">
        <v>110</v>
      </c>
      <c r="E218" s="1"/>
      <c r="F218" s="1">
        <v>44889</v>
      </c>
      <c r="G218" s="1">
        <v>46068</v>
      </c>
      <c r="H218" s="1">
        <v>46583</v>
      </c>
      <c r="I218">
        <v>1611</v>
      </c>
      <c r="J218">
        <v>2500</v>
      </c>
      <c r="K218">
        <v>4111</v>
      </c>
      <c r="L218" t="s">
        <v>748</v>
      </c>
    </row>
    <row r="219" spans="1:12" x14ac:dyDescent="0.3">
      <c r="A219">
        <v>2028</v>
      </c>
      <c r="B219" t="s">
        <v>375</v>
      </c>
      <c r="C219" t="s">
        <v>376</v>
      </c>
      <c r="D219" t="s">
        <v>155</v>
      </c>
      <c r="E219" s="1">
        <v>46006</v>
      </c>
      <c r="F219" s="1">
        <v>46280</v>
      </c>
      <c r="G219" s="1">
        <v>46645</v>
      </c>
      <c r="H219" s="1">
        <v>47011</v>
      </c>
      <c r="I219">
        <v>350</v>
      </c>
      <c r="J219">
        <v>0</v>
      </c>
      <c r="K219">
        <v>350</v>
      </c>
      <c r="L219" t="s">
        <v>748</v>
      </c>
    </row>
    <row r="220" spans="1:12" x14ac:dyDescent="0.3">
      <c r="A220">
        <v>2028</v>
      </c>
      <c r="B220" t="s">
        <v>174</v>
      </c>
      <c r="C220" t="s">
        <v>175</v>
      </c>
      <c r="D220" t="s">
        <v>164</v>
      </c>
      <c r="E220" s="1">
        <v>44014</v>
      </c>
      <c r="F220" s="1">
        <v>44014</v>
      </c>
      <c r="G220" s="1">
        <v>44294</v>
      </c>
      <c r="H220" s="1">
        <v>45239</v>
      </c>
      <c r="I220">
        <v>0</v>
      </c>
      <c r="J220">
        <v>0</v>
      </c>
      <c r="K220">
        <v>0</v>
      </c>
      <c r="L220" t="s">
        <v>748</v>
      </c>
    </row>
    <row r="221" spans="1:12" x14ac:dyDescent="0.3">
      <c r="A221">
        <v>2028</v>
      </c>
      <c r="B221" t="s">
        <v>203</v>
      </c>
      <c r="C221" t="s">
        <v>204</v>
      </c>
      <c r="D221" t="s">
        <v>155</v>
      </c>
      <c r="E221" s="1">
        <v>45730</v>
      </c>
      <c r="F221" s="1">
        <v>45960</v>
      </c>
      <c r="G221" s="1">
        <v>46264</v>
      </c>
      <c r="H221" s="1">
        <v>46629</v>
      </c>
      <c r="I221">
        <v>170</v>
      </c>
      <c r="J221">
        <v>2000</v>
      </c>
      <c r="K221">
        <v>2170</v>
      </c>
      <c r="L221" t="s">
        <v>748</v>
      </c>
    </row>
    <row r="222" spans="1:12" x14ac:dyDescent="0.3">
      <c r="A222">
        <v>2028</v>
      </c>
      <c r="B222" t="s">
        <v>114</v>
      </c>
      <c r="C222" t="s">
        <v>719</v>
      </c>
      <c r="D222" t="s">
        <v>123</v>
      </c>
      <c r="E222" s="1"/>
      <c r="F222" s="1">
        <v>45105</v>
      </c>
      <c r="G222" s="1">
        <v>45789</v>
      </c>
      <c r="H222" s="1">
        <v>45932</v>
      </c>
      <c r="I222">
        <v>0</v>
      </c>
      <c r="J222">
        <v>0</v>
      </c>
      <c r="K222">
        <v>0</v>
      </c>
      <c r="L222" t="s">
        <v>749</v>
      </c>
    </row>
    <row r="223" spans="1:12" x14ac:dyDescent="0.3">
      <c r="A223">
        <v>2028</v>
      </c>
      <c r="B223" t="s">
        <v>207</v>
      </c>
      <c r="C223" t="s">
        <v>208</v>
      </c>
      <c r="D223" t="s">
        <v>155</v>
      </c>
      <c r="E223" s="1">
        <v>44476</v>
      </c>
      <c r="F223" s="1">
        <v>45976</v>
      </c>
      <c r="G223" s="1">
        <v>46096</v>
      </c>
      <c r="H223" s="1">
        <v>46280</v>
      </c>
      <c r="I223">
        <v>0</v>
      </c>
      <c r="J223">
        <v>1500</v>
      </c>
      <c r="K223">
        <v>1500</v>
      </c>
      <c r="L223" t="s">
        <v>749</v>
      </c>
    </row>
    <row r="224" spans="1:12" x14ac:dyDescent="0.3">
      <c r="A224">
        <v>2028</v>
      </c>
      <c r="B224" t="s">
        <v>377</v>
      </c>
      <c r="C224" t="s">
        <v>378</v>
      </c>
      <c r="D224" t="s">
        <v>155</v>
      </c>
      <c r="E224" s="1"/>
      <c r="F224" s="1">
        <v>46068</v>
      </c>
      <c r="G224" s="1">
        <v>46461</v>
      </c>
      <c r="H224" s="1">
        <v>46888</v>
      </c>
      <c r="I224">
        <v>495</v>
      </c>
      <c r="J224">
        <v>8000</v>
      </c>
      <c r="K224">
        <v>8495</v>
      </c>
      <c r="L224" t="s">
        <v>748</v>
      </c>
    </row>
    <row r="225" spans="1:12" x14ac:dyDescent="0.3">
      <c r="A225">
        <v>2028</v>
      </c>
      <c r="B225" t="s">
        <v>210</v>
      </c>
      <c r="C225" t="s">
        <v>211</v>
      </c>
      <c r="D225" t="s">
        <v>155</v>
      </c>
      <c r="E225" s="1"/>
      <c r="F225" s="1">
        <v>45976</v>
      </c>
      <c r="G225" s="1">
        <v>46341</v>
      </c>
      <c r="H225" s="1">
        <v>46706</v>
      </c>
      <c r="I225">
        <v>250</v>
      </c>
      <c r="J225">
        <v>7500</v>
      </c>
      <c r="K225">
        <v>7750</v>
      </c>
      <c r="L225" t="s">
        <v>748</v>
      </c>
    </row>
    <row r="226" spans="1:12" x14ac:dyDescent="0.3">
      <c r="A226">
        <v>2028</v>
      </c>
      <c r="B226" t="s">
        <v>379</v>
      </c>
      <c r="C226" t="s">
        <v>380</v>
      </c>
      <c r="D226" t="s">
        <v>291</v>
      </c>
      <c r="E226" s="1"/>
      <c r="F226" s="1"/>
      <c r="G226" s="1"/>
      <c r="H226" s="1"/>
      <c r="I226">
        <v>0</v>
      </c>
      <c r="J226">
        <v>0</v>
      </c>
      <c r="K226">
        <v>0</v>
      </c>
      <c r="L226" t="s">
        <v>748</v>
      </c>
    </row>
    <row r="227" spans="1:12" x14ac:dyDescent="0.3">
      <c r="A227">
        <v>2028</v>
      </c>
      <c r="B227" t="s">
        <v>383</v>
      </c>
      <c r="C227" t="s">
        <v>384</v>
      </c>
      <c r="D227" t="s">
        <v>291</v>
      </c>
      <c r="E227" s="1"/>
      <c r="F227" s="1"/>
      <c r="G227" s="1"/>
      <c r="H227" s="1"/>
      <c r="I227">
        <v>0</v>
      </c>
      <c r="J227">
        <v>0</v>
      </c>
      <c r="K227">
        <v>0</v>
      </c>
      <c r="L227" t="s">
        <v>748</v>
      </c>
    </row>
    <row r="228" spans="1:12" x14ac:dyDescent="0.3">
      <c r="A228">
        <v>2028</v>
      </c>
      <c r="B228" t="s">
        <v>212</v>
      </c>
      <c r="C228" t="s">
        <v>213</v>
      </c>
      <c r="D228" t="s">
        <v>155</v>
      </c>
      <c r="E228" s="1">
        <v>45337</v>
      </c>
      <c r="F228" s="1">
        <v>46127</v>
      </c>
      <c r="G228" s="1">
        <v>46798</v>
      </c>
      <c r="H228" s="1">
        <v>47192</v>
      </c>
      <c r="I228">
        <v>125</v>
      </c>
      <c r="J228">
        <v>0</v>
      </c>
      <c r="K228">
        <v>125</v>
      </c>
      <c r="L228" t="s">
        <v>748</v>
      </c>
    </row>
    <row r="229" spans="1:12" x14ac:dyDescent="0.3">
      <c r="A229">
        <v>2028</v>
      </c>
      <c r="B229" t="s">
        <v>385</v>
      </c>
      <c r="C229" t="s">
        <v>740</v>
      </c>
      <c r="D229" t="s">
        <v>155</v>
      </c>
      <c r="E229" s="1">
        <v>45672</v>
      </c>
      <c r="F229" s="1">
        <v>45960</v>
      </c>
      <c r="G229" s="1">
        <v>46266</v>
      </c>
      <c r="H229" s="1">
        <v>46631</v>
      </c>
      <c r="I229">
        <v>110</v>
      </c>
      <c r="J229">
        <v>1161</v>
      </c>
      <c r="K229">
        <v>1271</v>
      </c>
      <c r="L229" t="s">
        <v>748</v>
      </c>
    </row>
    <row r="230" spans="1:12" x14ac:dyDescent="0.3">
      <c r="A230">
        <v>2028</v>
      </c>
      <c r="B230" t="s">
        <v>220</v>
      </c>
      <c r="C230" t="s">
        <v>221</v>
      </c>
      <c r="D230" t="s">
        <v>155</v>
      </c>
      <c r="E230" s="1"/>
      <c r="F230" s="1">
        <v>45976</v>
      </c>
      <c r="G230" s="1">
        <v>46264</v>
      </c>
      <c r="H230" s="1">
        <v>46553</v>
      </c>
      <c r="I230">
        <v>106</v>
      </c>
      <c r="J230">
        <v>10000</v>
      </c>
      <c r="K230">
        <v>10106</v>
      </c>
      <c r="L230" t="s">
        <v>748</v>
      </c>
    </row>
    <row r="231" spans="1:12" x14ac:dyDescent="0.3">
      <c r="A231">
        <v>2028</v>
      </c>
      <c r="B231" t="s">
        <v>224</v>
      </c>
      <c r="C231" t="s">
        <v>520</v>
      </c>
      <c r="D231" t="s">
        <v>123</v>
      </c>
      <c r="E231" s="1">
        <v>44365</v>
      </c>
      <c r="F231" s="1">
        <v>44623</v>
      </c>
      <c r="G231" s="1">
        <v>45698</v>
      </c>
      <c r="H231" s="1">
        <v>46341</v>
      </c>
      <c r="I231">
        <v>106.00000000000001</v>
      </c>
      <c r="J231">
        <v>3411.0000000000005</v>
      </c>
      <c r="K231">
        <v>3517.0000000000005</v>
      </c>
      <c r="L231" t="s">
        <v>748</v>
      </c>
    </row>
    <row r="232" spans="1:12" x14ac:dyDescent="0.3">
      <c r="A232">
        <v>2028</v>
      </c>
      <c r="B232" t="s">
        <v>373</v>
      </c>
      <c r="C232" t="s">
        <v>374</v>
      </c>
      <c r="D232" t="s">
        <v>155</v>
      </c>
      <c r="E232" s="1">
        <v>45833</v>
      </c>
      <c r="F232" s="1">
        <v>45960</v>
      </c>
      <c r="G232" s="1">
        <v>46280</v>
      </c>
      <c r="H232" s="1">
        <v>46645</v>
      </c>
      <c r="I232">
        <v>350</v>
      </c>
      <c r="J232">
        <v>0</v>
      </c>
      <c r="K232">
        <v>350</v>
      </c>
      <c r="L232" t="s">
        <v>748</v>
      </c>
    </row>
    <row r="233" spans="1:12" x14ac:dyDescent="0.3">
      <c r="A233">
        <v>2028</v>
      </c>
      <c r="B233" t="s">
        <v>226</v>
      </c>
      <c r="C233" t="s">
        <v>227</v>
      </c>
      <c r="D233" t="s">
        <v>110</v>
      </c>
      <c r="E233" s="1"/>
      <c r="F233" s="1">
        <v>45330</v>
      </c>
      <c r="G233" s="1">
        <v>46690</v>
      </c>
      <c r="H233" s="1">
        <v>47376</v>
      </c>
      <c r="I233">
        <v>475</v>
      </c>
      <c r="J233">
        <v>0</v>
      </c>
      <c r="K233">
        <v>475</v>
      </c>
      <c r="L233" t="s">
        <v>748</v>
      </c>
    </row>
    <row r="234" spans="1:12" x14ac:dyDescent="0.3">
      <c r="A234">
        <v>2028</v>
      </c>
      <c r="B234" t="s">
        <v>145</v>
      </c>
      <c r="C234" t="s">
        <v>720</v>
      </c>
      <c r="D234" t="s">
        <v>110</v>
      </c>
      <c r="E234" s="1"/>
      <c r="F234" s="1">
        <v>44609</v>
      </c>
      <c r="G234" s="1">
        <v>45996</v>
      </c>
      <c r="H234" s="1">
        <v>46310</v>
      </c>
      <c r="I234">
        <v>100</v>
      </c>
      <c r="J234">
        <v>9684</v>
      </c>
      <c r="K234">
        <v>9784</v>
      </c>
      <c r="L234" t="s">
        <v>748</v>
      </c>
    </row>
    <row r="235" spans="1:12" x14ac:dyDescent="0.3">
      <c r="A235">
        <v>2028</v>
      </c>
      <c r="B235" t="s">
        <v>231</v>
      </c>
      <c r="C235" t="s">
        <v>232</v>
      </c>
      <c r="D235" t="s">
        <v>110</v>
      </c>
      <c r="E235" s="1"/>
      <c r="F235" s="1">
        <v>45099</v>
      </c>
      <c r="G235" s="1">
        <v>46037</v>
      </c>
      <c r="H235" s="1">
        <v>46283</v>
      </c>
      <c r="I235">
        <v>1927</v>
      </c>
      <c r="J235">
        <v>3427</v>
      </c>
      <c r="K235">
        <v>5354</v>
      </c>
      <c r="L235" t="s">
        <v>748</v>
      </c>
    </row>
    <row r="236" spans="1:12" x14ac:dyDescent="0.3">
      <c r="A236">
        <v>2028</v>
      </c>
      <c r="B236" t="s">
        <v>233</v>
      </c>
      <c r="C236" t="s">
        <v>542</v>
      </c>
      <c r="D236" t="s">
        <v>155</v>
      </c>
      <c r="E236" s="1"/>
      <c r="F236" s="1">
        <v>46127</v>
      </c>
      <c r="G236" s="1">
        <v>46553</v>
      </c>
      <c r="H236" s="1">
        <v>46980</v>
      </c>
      <c r="I236">
        <v>100</v>
      </c>
      <c r="J236">
        <v>0</v>
      </c>
      <c r="K236">
        <v>100</v>
      </c>
      <c r="L236" t="s">
        <v>748</v>
      </c>
    </row>
    <row r="237" spans="1:12" x14ac:dyDescent="0.3">
      <c r="A237">
        <v>2028</v>
      </c>
      <c r="B237" t="s">
        <v>235</v>
      </c>
      <c r="C237" t="s">
        <v>510</v>
      </c>
      <c r="D237" t="s">
        <v>110</v>
      </c>
      <c r="E237" s="1"/>
      <c r="F237" s="1">
        <v>45706</v>
      </c>
      <c r="G237" s="1">
        <v>46055</v>
      </c>
      <c r="H237" s="1">
        <v>46273</v>
      </c>
      <c r="I237">
        <v>0</v>
      </c>
      <c r="J237">
        <v>0</v>
      </c>
      <c r="K237">
        <v>0</v>
      </c>
      <c r="L237" t="s">
        <v>748</v>
      </c>
    </row>
    <row r="238" spans="1:12" x14ac:dyDescent="0.3">
      <c r="A238">
        <v>2028</v>
      </c>
      <c r="B238" t="s">
        <v>398</v>
      </c>
      <c r="C238" t="s">
        <v>541</v>
      </c>
      <c r="D238" t="s">
        <v>291</v>
      </c>
      <c r="E238" s="1"/>
      <c r="F238" s="1"/>
      <c r="G238" s="1"/>
      <c r="H238" s="1"/>
      <c r="I238">
        <v>100</v>
      </c>
      <c r="J238">
        <v>0</v>
      </c>
      <c r="K238">
        <v>100</v>
      </c>
      <c r="L238" t="s">
        <v>748</v>
      </c>
    </row>
    <row r="239" spans="1:12" x14ac:dyDescent="0.3">
      <c r="A239">
        <v>2028</v>
      </c>
      <c r="B239" t="s">
        <v>237</v>
      </c>
      <c r="C239" t="s">
        <v>665</v>
      </c>
      <c r="D239" t="s">
        <v>110</v>
      </c>
      <c r="E239" s="1"/>
      <c r="F239" s="1">
        <v>45915</v>
      </c>
      <c r="G239" s="1">
        <v>46037</v>
      </c>
      <c r="H239" s="1">
        <v>46310</v>
      </c>
      <c r="I239">
        <v>0</v>
      </c>
      <c r="J239">
        <v>0</v>
      </c>
      <c r="K239">
        <v>0</v>
      </c>
      <c r="L239" t="s">
        <v>748</v>
      </c>
    </row>
    <row r="240" spans="1:12" x14ac:dyDescent="0.3">
      <c r="A240">
        <v>2028</v>
      </c>
      <c r="B240" t="s">
        <v>400</v>
      </c>
      <c r="C240" t="s">
        <v>401</v>
      </c>
      <c r="D240" t="s">
        <v>155</v>
      </c>
      <c r="E240" s="1">
        <v>45946</v>
      </c>
      <c r="F240" s="1">
        <v>46002</v>
      </c>
      <c r="G240" s="1">
        <v>46461</v>
      </c>
      <c r="H240" s="1">
        <v>46794</v>
      </c>
      <c r="I240">
        <v>992</v>
      </c>
      <c r="J240">
        <v>14702</v>
      </c>
      <c r="K240">
        <v>15694</v>
      </c>
      <c r="L240" t="s">
        <v>748</v>
      </c>
    </row>
    <row r="241" spans="1:12" x14ac:dyDescent="0.3">
      <c r="A241">
        <v>2028</v>
      </c>
      <c r="B241" t="s">
        <v>106</v>
      </c>
      <c r="C241" t="s">
        <v>107</v>
      </c>
      <c r="D241" t="s">
        <v>123</v>
      </c>
      <c r="E241" s="1"/>
      <c r="F241" s="1">
        <v>45014</v>
      </c>
      <c r="G241" s="1">
        <v>45799</v>
      </c>
      <c r="H241" s="1">
        <v>46006</v>
      </c>
      <c r="I241">
        <v>0</v>
      </c>
      <c r="J241">
        <v>0</v>
      </c>
      <c r="K241">
        <v>0</v>
      </c>
      <c r="L241" t="s">
        <v>749</v>
      </c>
    </row>
    <row r="242" spans="1:12" x14ac:dyDescent="0.3">
      <c r="A242">
        <v>2028</v>
      </c>
      <c r="B242" t="s">
        <v>240</v>
      </c>
      <c r="C242" t="s">
        <v>241</v>
      </c>
      <c r="D242" t="s">
        <v>110</v>
      </c>
      <c r="E242" s="1"/>
      <c r="F242" s="1">
        <v>45708</v>
      </c>
      <c r="G242" s="1">
        <v>45923</v>
      </c>
      <c r="H242" s="1">
        <v>46296</v>
      </c>
      <c r="I242">
        <v>0</v>
      </c>
      <c r="J242">
        <v>0</v>
      </c>
      <c r="K242">
        <v>0</v>
      </c>
      <c r="L242" t="s">
        <v>748</v>
      </c>
    </row>
    <row r="243" spans="1:12" x14ac:dyDescent="0.3">
      <c r="A243">
        <v>2028</v>
      </c>
      <c r="B243" t="s">
        <v>153</v>
      </c>
      <c r="C243" t="s">
        <v>154</v>
      </c>
      <c r="D243" t="s">
        <v>123</v>
      </c>
      <c r="E243" s="1"/>
      <c r="F243" s="1">
        <v>45601</v>
      </c>
      <c r="G243" s="1">
        <v>45731</v>
      </c>
      <c r="H243" s="1">
        <v>45976</v>
      </c>
      <c r="I243">
        <v>0</v>
      </c>
      <c r="J243">
        <v>0</v>
      </c>
      <c r="K243">
        <v>0</v>
      </c>
      <c r="L243" t="s">
        <v>749</v>
      </c>
    </row>
    <row r="244" spans="1:12" x14ac:dyDescent="0.3">
      <c r="A244">
        <v>2028</v>
      </c>
      <c r="B244" t="s">
        <v>403</v>
      </c>
      <c r="C244" t="s">
        <v>643</v>
      </c>
      <c r="D244" t="s">
        <v>155</v>
      </c>
      <c r="E244" s="1">
        <v>46006</v>
      </c>
      <c r="F244" s="1">
        <v>46218</v>
      </c>
      <c r="G244" s="1">
        <v>46722</v>
      </c>
      <c r="H244" s="1">
        <v>47011</v>
      </c>
      <c r="I244">
        <v>100</v>
      </c>
      <c r="J244">
        <v>0</v>
      </c>
      <c r="K244">
        <v>100</v>
      </c>
      <c r="L244" t="s">
        <v>748</v>
      </c>
    </row>
    <row r="245" spans="1:12" x14ac:dyDescent="0.3">
      <c r="A245">
        <v>2028</v>
      </c>
      <c r="B245" t="s">
        <v>150</v>
      </c>
      <c r="C245" t="s">
        <v>721</v>
      </c>
      <c r="D245" t="s">
        <v>123</v>
      </c>
      <c r="E245" s="1"/>
      <c r="F245" s="1">
        <v>45079</v>
      </c>
      <c r="G245" s="1">
        <v>45685</v>
      </c>
      <c r="H245" s="1">
        <v>46142</v>
      </c>
      <c r="I245">
        <v>0</v>
      </c>
      <c r="J245">
        <v>0</v>
      </c>
      <c r="K245">
        <v>0</v>
      </c>
      <c r="L245" t="s">
        <v>748</v>
      </c>
    </row>
    <row r="246" spans="1:12" x14ac:dyDescent="0.3">
      <c r="A246">
        <v>2028</v>
      </c>
      <c r="B246" t="s">
        <v>407</v>
      </c>
      <c r="C246" t="s">
        <v>514</v>
      </c>
      <c r="D246" t="s">
        <v>155</v>
      </c>
      <c r="E246" s="1"/>
      <c r="F246" s="1">
        <v>46127</v>
      </c>
      <c r="G246" s="1">
        <v>46492</v>
      </c>
      <c r="H246" s="1">
        <v>46706</v>
      </c>
      <c r="I246">
        <v>550</v>
      </c>
      <c r="J246">
        <v>4000</v>
      </c>
      <c r="K246">
        <v>4550</v>
      </c>
      <c r="L246" t="s">
        <v>749</v>
      </c>
    </row>
    <row r="247" spans="1:12" x14ac:dyDescent="0.3">
      <c r="A247">
        <v>2028</v>
      </c>
      <c r="B247" t="s">
        <v>405</v>
      </c>
      <c r="C247" t="s">
        <v>406</v>
      </c>
      <c r="D247" t="s">
        <v>155</v>
      </c>
      <c r="E247" s="1">
        <v>45763</v>
      </c>
      <c r="F247" s="1">
        <v>46054</v>
      </c>
      <c r="G247" s="1">
        <v>46427</v>
      </c>
      <c r="H247" s="1">
        <v>46813</v>
      </c>
      <c r="I247">
        <v>350</v>
      </c>
      <c r="J247">
        <v>0</v>
      </c>
      <c r="K247">
        <v>350</v>
      </c>
      <c r="L247" t="s">
        <v>748</v>
      </c>
    </row>
    <row r="248" spans="1:12" x14ac:dyDescent="0.3">
      <c r="A248">
        <v>2028</v>
      </c>
      <c r="B248" t="s">
        <v>243</v>
      </c>
      <c r="C248" t="s">
        <v>739</v>
      </c>
      <c r="D248" t="s">
        <v>155</v>
      </c>
      <c r="E248" s="1">
        <v>45588</v>
      </c>
      <c r="F248" s="1">
        <v>45976</v>
      </c>
      <c r="G248" s="1">
        <v>46280</v>
      </c>
      <c r="H248" s="1">
        <v>46433</v>
      </c>
      <c r="I248">
        <v>86</v>
      </c>
      <c r="J248">
        <v>1260</v>
      </c>
      <c r="K248">
        <v>1346</v>
      </c>
      <c r="L248" t="s">
        <v>748</v>
      </c>
    </row>
    <row r="249" spans="1:12" x14ac:dyDescent="0.3">
      <c r="A249">
        <v>2028</v>
      </c>
      <c r="B249" t="s">
        <v>246</v>
      </c>
      <c r="C249" t="s">
        <v>515</v>
      </c>
      <c r="D249" t="s">
        <v>110</v>
      </c>
      <c r="E249" s="1"/>
      <c r="F249" s="1">
        <v>45679</v>
      </c>
      <c r="G249" s="1">
        <v>46096</v>
      </c>
      <c r="H249" s="1">
        <v>46371</v>
      </c>
      <c r="I249">
        <v>81</v>
      </c>
      <c r="J249">
        <v>427</v>
      </c>
      <c r="K249">
        <v>508</v>
      </c>
      <c r="L249" t="s">
        <v>748</v>
      </c>
    </row>
    <row r="250" spans="1:12" x14ac:dyDescent="0.3">
      <c r="A250">
        <v>2028</v>
      </c>
      <c r="B250" t="s">
        <v>409</v>
      </c>
      <c r="C250" t="s">
        <v>410</v>
      </c>
      <c r="D250" t="s">
        <v>155</v>
      </c>
      <c r="E250" s="1"/>
      <c r="F250" s="1">
        <v>46143</v>
      </c>
      <c r="G250" s="1">
        <v>46508</v>
      </c>
      <c r="H250" s="1">
        <v>46874</v>
      </c>
      <c r="I250">
        <v>50</v>
      </c>
      <c r="J250">
        <v>0</v>
      </c>
      <c r="K250">
        <v>50</v>
      </c>
      <c r="L250" t="s">
        <v>748</v>
      </c>
    </row>
    <row r="251" spans="1:12" x14ac:dyDescent="0.3">
      <c r="A251">
        <v>2028</v>
      </c>
      <c r="B251" t="s">
        <v>412</v>
      </c>
      <c r="C251" t="s">
        <v>644</v>
      </c>
      <c r="D251" t="s">
        <v>291</v>
      </c>
      <c r="E251" s="1"/>
      <c r="F251" s="1"/>
      <c r="G251" s="1"/>
      <c r="H251" s="1"/>
      <c r="I251">
        <v>40</v>
      </c>
      <c r="J251">
        <v>0</v>
      </c>
      <c r="K251">
        <v>40</v>
      </c>
      <c r="L251" t="s">
        <v>748</v>
      </c>
    </row>
    <row r="252" spans="1:12" x14ac:dyDescent="0.3">
      <c r="A252">
        <v>2028</v>
      </c>
      <c r="B252" t="s">
        <v>415</v>
      </c>
      <c r="C252" t="s">
        <v>416</v>
      </c>
      <c r="D252" t="s">
        <v>155</v>
      </c>
      <c r="E252" s="1"/>
      <c r="F252" s="1">
        <v>46143</v>
      </c>
      <c r="G252" s="1">
        <v>46508</v>
      </c>
      <c r="H252" s="1">
        <v>46874</v>
      </c>
      <c r="I252">
        <v>50</v>
      </c>
      <c r="J252">
        <v>0</v>
      </c>
      <c r="K252">
        <v>50</v>
      </c>
      <c r="L252" t="s">
        <v>748</v>
      </c>
    </row>
    <row r="253" spans="1:12" x14ac:dyDescent="0.3">
      <c r="A253">
        <v>2028</v>
      </c>
      <c r="B253" t="s">
        <v>381</v>
      </c>
      <c r="C253" t="s">
        <v>382</v>
      </c>
      <c r="D253" t="s">
        <v>291</v>
      </c>
      <c r="E253" s="1"/>
      <c r="F253" s="1"/>
      <c r="G253" s="1"/>
      <c r="H253" s="1"/>
      <c r="I253">
        <v>0</v>
      </c>
      <c r="J253">
        <v>0</v>
      </c>
      <c r="K253">
        <v>0</v>
      </c>
      <c r="L253" t="s">
        <v>748</v>
      </c>
    </row>
    <row r="254" spans="1:12" x14ac:dyDescent="0.3">
      <c r="A254">
        <v>2028</v>
      </c>
      <c r="B254" t="s">
        <v>635</v>
      </c>
      <c r="C254" t="s">
        <v>636</v>
      </c>
      <c r="D254" t="s">
        <v>155</v>
      </c>
      <c r="E254" s="1"/>
      <c r="F254" s="1">
        <v>46266</v>
      </c>
      <c r="G254" s="1">
        <v>46631</v>
      </c>
      <c r="H254" s="1">
        <v>46997</v>
      </c>
      <c r="I254">
        <v>375</v>
      </c>
      <c r="J254">
        <v>0</v>
      </c>
      <c r="K254">
        <v>375</v>
      </c>
      <c r="L254" t="s">
        <v>748</v>
      </c>
    </row>
    <row r="255" spans="1:12" x14ac:dyDescent="0.3">
      <c r="A255">
        <v>2028</v>
      </c>
      <c r="B255" t="s">
        <v>393</v>
      </c>
      <c r="C255" t="s">
        <v>394</v>
      </c>
      <c r="D255" t="s">
        <v>291</v>
      </c>
      <c r="E255" s="1"/>
      <c r="F255" s="1"/>
      <c r="G255" s="1"/>
      <c r="H255" s="1"/>
      <c r="I255">
        <v>0</v>
      </c>
      <c r="J255">
        <v>0</v>
      </c>
      <c r="K255">
        <v>0</v>
      </c>
      <c r="L255" t="s">
        <v>748</v>
      </c>
    </row>
    <row r="256" spans="1:12" x14ac:dyDescent="0.3">
      <c r="A256">
        <v>2028</v>
      </c>
      <c r="B256" t="s">
        <v>396</v>
      </c>
      <c r="C256" t="s">
        <v>397</v>
      </c>
      <c r="D256" t="s">
        <v>155</v>
      </c>
      <c r="E256" s="1">
        <v>46068</v>
      </c>
      <c r="F256" s="1">
        <v>46371</v>
      </c>
      <c r="G256" s="1">
        <v>46736</v>
      </c>
      <c r="H256" s="1">
        <v>47102</v>
      </c>
      <c r="I256">
        <v>250</v>
      </c>
      <c r="J256">
        <v>0</v>
      </c>
      <c r="K256">
        <v>250</v>
      </c>
      <c r="L256" t="s">
        <v>748</v>
      </c>
    </row>
    <row r="257" spans="1:12" x14ac:dyDescent="0.3">
      <c r="A257">
        <v>2028</v>
      </c>
      <c r="B257" t="s">
        <v>418</v>
      </c>
      <c r="C257" t="s">
        <v>530</v>
      </c>
      <c r="D257" t="s">
        <v>291</v>
      </c>
      <c r="E257" s="1"/>
      <c r="F257" s="1"/>
      <c r="G257" s="1"/>
      <c r="H257" s="1"/>
      <c r="I257">
        <v>0</v>
      </c>
      <c r="J257">
        <v>0</v>
      </c>
      <c r="K257">
        <v>0</v>
      </c>
      <c r="L257" t="s">
        <v>748</v>
      </c>
    </row>
    <row r="258" spans="1:12" x14ac:dyDescent="0.3">
      <c r="A258">
        <v>2028</v>
      </c>
      <c r="B258" t="s">
        <v>422</v>
      </c>
      <c r="C258" t="s">
        <v>423</v>
      </c>
      <c r="D258" t="s">
        <v>291</v>
      </c>
      <c r="E258" s="1"/>
      <c r="F258" s="1"/>
      <c r="G258" s="1"/>
      <c r="H258" s="1"/>
      <c r="I258">
        <v>0</v>
      </c>
      <c r="J258">
        <v>0</v>
      </c>
      <c r="K258">
        <v>0</v>
      </c>
      <c r="L258" t="s">
        <v>748</v>
      </c>
    </row>
    <row r="259" spans="1:12" x14ac:dyDescent="0.3">
      <c r="A259">
        <v>2028</v>
      </c>
      <c r="B259" t="s">
        <v>424</v>
      </c>
      <c r="C259" t="s">
        <v>425</v>
      </c>
      <c r="D259" t="s">
        <v>291</v>
      </c>
      <c r="E259" s="1"/>
      <c r="F259" s="1"/>
      <c r="G259" s="1"/>
      <c r="H259" s="1"/>
      <c r="I259">
        <v>0</v>
      </c>
      <c r="J259">
        <v>0</v>
      </c>
      <c r="K259">
        <v>0</v>
      </c>
      <c r="L259" t="s">
        <v>748</v>
      </c>
    </row>
    <row r="260" spans="1:12" x14ac:dyDescent="0.3">
      <c r="A260">
        <v>2028</v>
      </c>
      <c r="B260" t="s">
        <v>428</v>
      </c>
      <c r="C260" t="s">
        <v>429</v>
      </c>
      <c r="D260" t="s">
        <v>291</v>
      </c>
      <c r="E260" s="1"/>
      <c r="F260" s="1"/>
      <c r="G260" s="1"/>
      <c r="H260" s="1"/>
      <c r="I260">
        <v>0</v>
      </c>
      <c r="J260">
        <v>0</v>
      </c>
      <c r="K260">
        <v>0</v>
      </c>
      <c r="L260" t="s">
        <v>748</v>
      </c>
    </row>
    <row r="261" spans="1:12" x14ac:dyDescent="0.3">
      <c r="A261">
        <v>2028</v>
      </c>
      <c r="B261" t="s">
        <v>432</v>
      </c>
      <c r="C261" t="s">
        <v>433</v>
      </c>
      <c r="D261" t="s">
        <v>291</v>
      </c>
      <c r="E261" s="1"/>
      <c r="F261" s="1"/>
      <c r="G261" s="1"/>
      <c r="H261" s="1"/>
      <c r="I261">
        <v>0</v>
      </c>
      <c r="J261">
        <v>0</v>
      </c>
      <c r="K261">
        <v>0</v>
      </c>
      <c r="L261" t="s">
        <v>748</v>
      </c>
    </row>
    <row r="262" spans="1:12" x14ac:dyDescent="0.3">
      <c r="A262">
        <v>2028</v>
      </c>
      <c r="B262" t="s">
        <v>426</v>
      </c>
      <c r="C262" t="s">
        <v>527</v>
      </c>
      <c r="D262" t="s">
        <v>155</v>
      </c>
      <c r="E262" s="1">
        <v>45827</v>
      </c>
      <c r="F262" s="1">
        <v>46249</v>
      </c>
      <c r="G262" s="1">
        <v>46675</v>
      </c>
      <c r="H262" s="1">
        <v>47041</v>
      </c>
      <c r="I262">
        <v>150</v>
      </c>
      <c r="J262">
        <v>0</v>
      </c>
      <c r="K262">
        <v>150</v>
      </c>
      <c r="L262" t="s">
        <v>748</v>
      </c>
    </row>
    <row r="263" spans="1:12" x14ac:dyDescent="0.3">
      <c r="A263">
        <v>2028</v>
      </c>
      <c r="B263" t="s">
        <v>430</v>
      </c>
      <c r="C263" t="s">
        <v>639</v>
      </c>
      <c r="D263" t="s">
        <v>291</v>
      </c>
      <c r="E263" s="1"/>
      <c r="F263" s="1"/>
      <c r="G263" s="1"/>
      <c r="H263" s="1"/>
      <c r="I263">
        <v>50</v>
      </c>
      <c r="J263">
        <v>0</v>
      </c>
      <c r="K263">
        <v>50</v>
      </c>
      <c r="L263" t="s">
        <v>748</v>
      </c>
    </row>
    <row r="264" spans="1:12" x14ac:dyDescent="0.3">
      <c r="A264">
        <v>2028</v>
      </c>
      <c r="B264" t="s">
        <v>436</v>
      </c>
      <c r="C264" t="s">
        <v>437</v>
      </c>
      <c r="D264" t="s">
        <v>291</v>
      </c>
      <c r="E264" s="1"/>
      <c r="F264" s="1"/>
      <c r="G264" s="1"/>
      <c r="H264" s="1"/>
      <c r="I264">
        <v>150</v>
      </c>
      <c r="J264">
        <v>0</v>
      </c>
      <c r="K264">
        <v>150</v>
      </c>
      <c r="L264" t="s">
        <v>748</v>
      </c>
    </row>
    <row r="265" spans="1:12" x14ac:dyDescent="0.3">
      <c r="A265">
        <v>2028</v>
      </c>
      <c r="B265" t="s">
        <v>248</v>
      </c>
      <c r="C265" t="s">
        <v>722</v>
      </c>
      <c r="D265" t="s">
        <v>110</v>
      </c>
      <c r="E265" s="1"/>
      <c r="F265" s="1">
        <v>45476</v>
      </c>
      <c r="G265" s="1">
        <v>46006</v>
      </c>
      <c r="H265" s="1">
        <v>46006</v>
      </c>
      <c r="I265">
        <v>0</v>
      </c>
      <c r="J265">
        <v>0</v>
      </c>
      <c r="K265">
        <v>0</v>
      </c>
      <c r="L265" t="s">
        <v>748</v>
      </c>
    </row>
    <row r="266" spans="1:12" x14ac:dyDescent="0.3">
      <c r="A266">
        <v>2028</v>
      </c>
      <c r="B266" t="s">
        <v>438</v>
      </c>
      <c r="C266" t="s">
        <v>439</v>
      </c>
      <c r="D266" t="s">
        <v>291</v>
      </c>
      <c r="E266" s="1"/>
      <c r="F266" s="1"/>
      <c r="G266" s="1"/>
      <c r="H266" s="1"/>
      <c r="I266">
        <v>0</v>
      </c>
      <c r="J266">
        <v>0</v>
      </c>
      <c r="K266">
        <v>0</v>
      </c>
      <c r="L266" t="s">
        <v>748</v>
      </c>
    </row>
    <row r="267" spans="1:12" x14ac:dyDescent="0.3">
      <c r="A267">
        <v>2028</v>
      </c>
      <c r="B267" t="s">
        <v>157</v>
      </c>
      <c r="C267" t="s">
        <v>158</v>
      </c>
      <c r="D267" t="s">
        <v>155</v>
      </c>
      <c r="E267" s="1"/>
      <c r="F267" s="1">
        <v>45991</v>
      </c>
      <c r="G267" s="1"/>
      <c r="H267" s="1">
        <v>46249</v>
      </c>
      <c r="I267">
        <v>0</v>
      </c>
      <c r="J267">
        <v>0</v>
      </c>
      <c r="K267">
        <v>0</v>
      </c>
      <c r="L267" t="s">
        <v>748</v>
      </c>
    </row>
    <row r="268" spans="1:12" x14ac:dyDescent="0.3">
      <c r="A268">
        <v>2028</v>
      </c>
      <c r="B268" t="s">
        <v>440</v>
      </c>
      <c r="C268" t="s">
        <v>441</v>
      </c>
      <c r="D268" t="s">
        <v>155</v>
      </c>
      <c r="E268" s="1"/>
      <c r="F268" s="1">
        <v>45992</v>
      </c>
      <c r="G268" s="1"/>
      <c r="H268" s="1">
        <v>45992</v>
      </c>
      <c r="I268">
        <v>0</v>
      </c>
      <c r="J268">
        <v>0</v>
      </c>
      <c r="K268">
        <v>0</v>
      </c>
      <c r="L268" t="s">
        <v>748</v>
      </c>
    </row>
    <row r="269" spans="1:12" x14ac:dyDescent="0.3">
      <c r="A269">
        <v>2028</v>
      </c>
      <c r="B269" t="s">
        <v>442</v>
      </c>
      <c r="C269" t="s">
        <v>526</v>
      </c>
      <c r="D269" t="s">
        <v>291</v>
      </c>
      <c r="E269" s="1"/>
      <c r="F269" s="1"/>
      <c r="G269" s="1"/>
      <c r="H269" s="1"/>
      <c r="I269">
        <v>0</v>
      </c>
      <c r="J269">
        <v>0</v>
      </c>
      <c r="K269">
        <v>0</v>
      </c>
      <c r="L269" t="s">
        <v>748</v>
      </c>
    </row>
    <row r="270" spans="1:12" x14ac:dyDescent="0.3">
      <c r="A270">
        <v>2028</v>
      </c>
      <c r="B270" t="s">
        <v>250</v>
      </c>
      <c r="C270" t="s">
        <v>251</v>
      </c>
      <c r="D270" t="s">
        <v>110</v>
      </c>
      <c r="E270" s="1"/>
      <c r="F270" s="1">
        <v>45490</v>
      </c>
      <c r="G270" s="1"/>
      <c r="H270" s="1">
        <v>46447</v>
      </c>
      <c r="I270">
        <v>30</v>
      </c>
      <c r="J270">
        <v>194</v>
      </c>
      <c r="K270">
        <v>224</v>
      </c>
      <c r="L270" t="s">
        <v>748</v>
      </c>
    </row>
    <row r="271" spans="1:12" x14ac:dyDescent="0.3">
      <c r="A271">
        <v>2028</v>
      </c>
      <c r="B271" t="s">
        <v>253</v>
      </c>
      <c r="C271" t="s">
        <v>254</v>
      </c>
      <c r="D271" t="s">
        <v>291</v>
      </c>
      <c r="E271" s="1"/>
      <c r="F271" s="1"/>
      <c r="G271" s="1"/>
      <c r="H271" s="1"/>
      <c r="I271">
        <v>0</v>
      </c>
      <c r="J271">
        <v>0</v>
      </c>
      <c r="K271">
        <v>0</v>
      </c>
      <c r="L271" t="s">
        <v>748</v>
      </c>
    </row>
    <row r="272" spans="1:12" x14ac:dyDescent="0.3">
      <c r="A272">
        <v>2028</v>
      </c>
      <c r="B272" t="s">
        <v>444</v>
      </c>
      <c r="C272" t="s">
        <v>666</v>
      </c>
      <c r="D272" t="s">
        <v>291</v>
      </c>
      <c r="E272" s="1"/>
      <c r="F272" s="1"/>
      <c r="G272" s="1"/>
      <c r="H272" s="1"/>
      <c r="I272">
        <v>0</v>
      </c>
      <c r="J272">
        <v>0</v>
      </c>
      <c r="K272">
        <v>0</v>
      </c>
      <c r="L272" t="s">
        <v>748</v>
      </c>
    </row>
    <row r="273" spans="1:12" x14ac:dyDescent="0.3">
      <c r="A273">
        <v>2028</v>
      </c>
      <c r="B273" t="s">
        <v>446</v>
      </c>
      <c r="C273" t="s">
        <v>447</v>
      </c>
      <c r="D273" t="s">
        <v>291</v>
      </c>
      <c r="E273" s="1"/>
      <c r="F273" s="1"/>
      <c r="G273" s="1"/>
      <c r="H273" s="1"/>
      <c r="I273">
        <v>0</v>
      </c>
      <c r="J273">
        <v>0</v>
      </c>
      <c r="K273">
        <v>0</v>
      </c>
      <c r="L273" t="s">
        <v>748</v>
      </c>
    </row>
    <row r="274" spans="1:12" x14ac:dyDescent="0.3">
      <c r="A274">
        <v>2028</v>
      </c>
      <c r="B274" t="s">
        <v>448</v>
      </c>
      <c r="C274" t="s">
        <v>449</v>
      </c>
      <c r="D274" t="s">
        <v>291</v>
      </c>
      <c r="E274" s="1"/>
      <c r="F274" s="1"/>
      <c r="G274" s="1"/>
      <c r="H274" s="1"/>
      <c r="I274">
        <v>0</v>
      </c>
      <c r="J274">
        <v>0</v>
      </c>
      <c r="K274">
        <v>0</v>
      </c>
      <c r="L274" t="s">
        <v>748</v>
      </c>
    </row>
    <row r="275" spans="1:12" x14ac:dyDescent="0.3">
      <c r="A275">
        <v>2028</v>
      </c>
      <c r="B275" t="s">
        <v>255</v>
      </c>
      <c r="C275" t="s">
        <v>529</v>
      </c>
      <c r="D275" t="s">
        <v>291</v>
      </c>
      <c r="E275" s="1"/>
      <c r="F275" s="1"/>
      <c r="G275" s="1"/>
      <c r="H275" s="1">
        <v>46006</v>
      </c>
      <c r="I275">
        <v>0</v>
      </c>
      <c r="J275">
        <v>0</v>
      </c>
      <c r="K275">
        <v>0</v>
      </c>
      <c r="L275" t="s">
        <v>748</v>
      </c>
    </row>
    <row r="276" spans="1:12" x14ac:dyDescent="0.3">
      <c r="A276">
        <v>2028</v>
      </c>
      <c r="B276" t="s">
        <v>259</v>
      </c>
      <c r="C276" t="s">
        <v>260</v>
      </c>
      <c r="D276" t="s">
        <v>291</v>
      </c>
      <c r="E276" s="1"/>
      <c r="F276" s="1"/>
      <c r="G276" s="1"/>
      <c r="H276" s="1"/>
      <c r="I276">
        <v>0</v>
      </c>
      <c r="J276">
        <v>0</v>
      </c>
      <c r="K276">
        <v>0</v>
      </c>
      <c r="L276" t="s">
        <v>749</v>
      </c>
    </row>
    <row r="277" spans="1:12" x14ac:dyDescent="0.3">
      <c r="A277">
        <v>2028</v>
      </c>
      <c r="B277" t="s">
        <v>454</v>
      </c>
      <c r="C277" t="s">
        <v>455</v>
      </c>
      <c r="D277" t="s">
        <v>291</v>
      </c>
      <c r="E277" s="1"/>
      <c r="F277" s="1"/>
      <c r="G277" s="1"/>
      <c r="H277" s="1"/>
      <c r="I277">
        <v>0</v>
      </c>
      <c r="J277">
        <v>0</v>
      </c>
      <c r="K277">
        <v>0</v>
      </c>
      <c r="L277" t="s">
        <v>748</v>
      </c>
    </row>
    <row r="278" spans="1:12" x14ac:dyDescent="0.3">
      <c r="A278">
        <v>2028</v>
      </c>
      <c r="B278" t="s">
        <v>456</v>
      </c>
      <c r="C278" t="s">
        <v>457</v>
      </c>
      <c r="D278" t="s">
        <v>291</v>
      </c>
      <c r="E278" s="1"/>
      <c r="F278" s="1"/>
      <c r="G278" s="1"/>
      <c r="H278" s="1"/>
      <c r="I278">
        <v>0</v>
      </c>
      <c r="J278">
        <v>0</v>
      </c>
      <c r="K278">
        <v>0</v>
      </c>
      <c r="L278" t="s">
        <v>748</v>
      </c>
    </row>
    <row r="279" spans="1:12" x14ac:dyDescent="0.3">
      <c r="A279">
        <v>2028</v>
      </c>
      <c r="B279" t="s">
        <v>458</v>
      </c>
      <c r="C279" t="s">
        <v>459</v>
      </c>
      <c r="D279" t="s">
        <v>291</v>
      </c>
      <c r="E279" s="1"/>
      <c r="F279" s="1"/>
      <c r="G279" s="1"/>
      <c r="H279" s="1"/>
      <c r="I279">
        <v>0</v>
      </c>
      <c r="J279">
        <v>0</v>
      </c>
      <c r="K279">
        <v>0</v>
      </c>
      <c r="L279" t="s">
        <v>748</v>
      </c>
    </row>
    <row r="280" spans="1:12" x14ac:dyDescent="0.3">
      <c r="A280">
        <v>2028</v>
      </c>
      <c r="B280" t="s">
        <v>460</v>
      </c>
      <c r="C280" t="s">
        <v>461</v>
      </c>
      <c r="D280" t="s">
        <v>291</v>
      </c>
      <c r="E280" s="1"/>
      <c r="F280" s="1"/>
      <c r="G280" s="1"/>
      <c r="H280" s="1"/>
      <c r="I280">
        <v>0</v>
      </c>
      <c r="J280">
        <v>0</v>
      </c>
      <c r="K280">
        <v>0</v>
      </c>
      <c r="L280" t="s">
        <v>748</v>
      </c>
    </row>
    <row r="281" spans="1:12" x14ac:dyDescent="0.3">
      <c r="A281">
        <v>2028</v>
      </c>
      <c r="B281" t="s">
        <v>462</v>
      </c>
      <c r="C281" t="s">
        <v>463</v>
      </c>
      <c r="D281" t="s">
        <v>291</v>
      </c>
      <c r="E281" s="1"/>
      <c r="F281" s="1"/>
      <c r="G281" s="1"/>
      <c r="H281" s="1"/>
      <c r="I281">
        <v>0</v>
      </c>
      <c r="J281">
        <v>0</v>
      </c>
      <c r="K281">
        <v>0</v>
      </c>
      <c r="L281" t="s">
        <v>748</v>
      </c>
    </row>
    <row r="282" spans="1:12" x14ac:dyDescent="0.3">
      <c r="A282">
        <v>2028</v>
      </c>
      <c r="B282" t="s">
        <v>464</v>
      </c>
      <c r="C282" t="s">
        <v>465</v>
      </c>
      <c r="D282" t="s">
        <v>291</v>
      </c>
      <c r="E282" s="1"/>
      <c r="F282" s="1"/>
      <c r="G282" s="1"/>
      <c r="H282" s="1"/>
      <c r="I282">
        <v>0</v>
      </c>
      <c r="J282">
        <v>0</v>
      </c>
      <c r="K282">
        <v>0</v>
      </c>
      <c r="L282" t="s">
        <v>748</v>
      </c>
    </row>
    <row r="283" spans="1:12" x14ac:dyDescent="0.3">
      <c r="A283">
        <v>2028</v>
      </c>
      <c r="B283" t="s">
        <v>470</v>
      </c>
      <c r="C283" t="s">
        <v>471</v>
      </c>
      <c r="D283" t="s">
        <v>291</v>
      </c>
      <c r="E283" s="1"/>
      <c r="F283" s="1"/>
      <c r="G283" s="1"/>
      <c r="H283" s="1"/>
      <c r="I283">
        <v>0</v>
      </c>
      <c r="J283">
        <v>0</v>
      </c>
      <c r="K283">
        <v>0</v>
      </c>
      <c r="L283" t="s">
        <v>748</v>
      </c>
    </row>
    <row r="284" spans="1:12" x14ac:dyDescent="0.3">
      <c r="A284">
        <v>2028</v>
      </c>
      <c r="B284" t="s">
        <v>474</v>
      </c>
      <c r="C284" t="s">
        <v>637</v>
      </c>
      <c r="D284" t="s">
        <v>291</v>
      </c>
      <c r="E284" s="1"/>
      <c r="F284" s="1"/>
      <c r="G284" s="1"/>
      <c r="H284" s="1"/>
      <c r="I284">
        <v>0</v>
      </c>
      <c r="J284">
        <v>0</v>
      </c>
      <c r="K284">
        <v>0</v>
      </c>
      <c r="L284" t="s">
        <v>748</v>
      </c>
    </row>
    <row r="285" spans="1:12" x14ac:dyDescent="0.3">
      <c r="A285">
        <v>2028</v>
      </c>
      <c r="B285" t="s">
        <v>511</v>
      </c>
      <c r="C285" t="s">
        <v>512</v>
      </c>
      <c r="D285" t="s">
        <v>155</v>
      </c>
      <c r="E285" s="1"/>
      <c r="F285" s="1">
        <v>46006</v>
      </c>
      <c r="G285" s="1">
        <v>46341</v>
      </c>
      <c r="H285" s="1">
        <v>46706</v>
      </c>
      <c r="I285">
        <v>150</v>
      </c>
      <c r="J285">
        <v>1000</v>
      </c>
      <c r="K285">
        <v>1150</v>
      </c>
      <c r="L285" t="s">
        <v>748</v>
      </c>
    </row>
    <row r="286" spans="1:12" x14ac:dyDescent="0.3">
      <c r="A286">
        <v>2028</v>
      </c>
      <c r="B286" t="s">
        <v>516</v>
      </c>
      <c r="C286" t="s">
        <v>517</v>
      </c>
      <c r="D286" t="s">
        <v>110</v>
      </c>
      <c r="E286" s="1"/>
      <c r="F286" s="1">
        <v>45904</v>
      </c>
      <c r="G286" s="1"/>
      <c r="H286" s="1">
        <v>46096</v>
      </c>
      <c r="I286">
        <v>0</v>
      </c>
      <c r="J286">
        <v>0</v>
      </c>
      <c r="K286">
        <v>0</v>
      </c>
      <c r="L286" t="s">
        <v>748</v>
      </c>
    </row>
    <row r="287" spans="1:12" x14ac:dyDescent="0.3">
      <c r="A287">
        <v>2028</v>
      </c>
      <c r="B287" t="s">
        <v>518</v>
      </c>
      <c r="C287" t="s">
        <v>519</v>
      </c>
      <c r="D287" t="s">
        <v>155</v>
      </c>
      <c r="E287" s="1"/>
      <c r="F287" s="1">
        <v>46127</v>
      </c>
      <c r="G287" s="1"/>
      <c r="H287" s="1"/>
      <c r="I287">
        <v>25</v>
      </c>
      <c r="J287">
        <v>250</v>
      </c>
      <c r="K287">
        <v>275</v>
      </c>
      <c r="L287" t="s">
        <v>748</v>
      </c>
    </row>
    <row r="288" spans="1:12" x14ac:dyDescent="0.3">
      <c r="A288">
        <v>2028</v>
      </c>
      <c r="B288" t="s">
        <v>522</v>
      </c>
      <c r="C288" t="s">
        <v>523</v>
      </c>
      <c r="D288" t="s">
        <v>291</v>
      </c>
      <c r="E288" s="1"/>
      <c r="F288" s="1"/>
      <c r="G288" s="1"/>
      <c r="H288" s="1"/>
      <c r="I288">
        <v>50</v>
      </c>
      <c r="J288">
        <v>0</v>
      </c>
      <c r="K288">
        <v>50</v>
      </c>
      <c r="L288" t="s">
        <v>748</v>
      </c>
    </row>
    <row r="289" spans="1:12" x14ac:dyDescent="0.3">
      <c r="A289">
        <v>2028</v>
      </c>
      <c r="B289" t="s">
        <v>531</v>
      </c>
      <c r="C289" t="s">
        <v>532</v>
      </c>
      <c r="D289" t="s">
        <v>291</v>
      </c>
      <c r="E289" s="1"/>
      <c r="F289" s="1"/>
      <c r="G289" s="1"/>
      <c r="H289" s="1"/>
      <c r="I289">
        <v>0</v>
      </c>
      <c r="J289">
        <v>0</v>
      </c>
      <c r="K289">
        <v>0</v>
      </c>
      <c r="L289" t="s">
        <v>748</v>
      </c>
    </row>
    <row r="290" spans="1:12" x14ac:dyDescent="0.3">
      <c r="A290">
        <v>2028</v>
      </c>
      <c r="B290" t="s">
        <v>543</v>
      </c>
      <c r="C290" t="s">
        <v>544</v>
      </c>
      <c r="D290" t="s">
        <v>123</v>
      </c>
      <c r="E290" s="1"/>
      <c r="F290" s="1">
        <v>45762</v>
      </c>
      <c r="G290" s="1">
        <v>46096</v>
      </c>
      <c r="H290" s="1">
        <v>46096</v>
      </c>
      <c r="I290">
        <v>0</v>
      </c>
      <c r="J290">
        <v>0</v>
      </c>
      <c r="K290">
        <v>0</v>
      </c>
      <c r="L290" t="s">
        <v>748</v>
      </c>
    </row>
    <row r="291" spans="1:12" x14ac:dyDescent="0.3">
      <c r="A291">
        <v>2028</v>
      </c>
      <c r="B291" t="s">
        <v>597</v>
      </c>
      <c r="C291" t="s">
        <v>598</v>
      </c>
      <c r="D291" t="s">
        <v>291</v>
      </c>
      <c r="E291" s="1"/>
      <c r="F291" s="1"/>
      <c r="G291" s="1"/>
      <c r="H291" s="1"/>
      <c r="I291">
        <v>0</v>
      </c>
      <c r="J291">
        <v>0</v>
      </c>
      <c r="K291">
        <v>0</v>
      </c>
      <c r="L291" t="s">
        <v>748</v>
      </c>
    </row>
    <row r="292" spans="1:12" x14ac:dyDescent="0.3">
      <c r="A292">
        <v>2028</v>
      </c>
      <c r="B292" t="s">
        <v>601</v>
      </c>
      <c r="C292" t="s">
        <v>602</v>
      </c>
      <c r="D292" t="s">
        <v>291</v>
      </c>
      <c r="E292" s="1"/>
      <c r="F292" s="1"/>
      <c r="G292" s="1"/>
      <c r="H292" s="1"/>
      <c r="I292">
        <v>0</v>
      </c>
      <c r="J292">
        <v>0</v>
      </c>
      <c r="K292">
        <v>0</v>
      </c>
      <c r="L292" t="s">
        <v>748</v>
      </c>
    </row>
    <row r="293" spans="1:12" x14ac:dyDescent="0.3">
      <c r="A293">
        <v>2028</v>
      </c>
      <c r="B293" t="s">
        <v>606</v>
      </c>
      <c r="C293" t="s">
        <v>607</v>
      </c>
      <c r="D293" t="s">
        <v>291</v>
      </c>
      <c r="E293" s="1"/>
      <c r="F293" s="1"/>
      <c r="G293" s="1"/>
      <c r="H293" s="1"/>
      <c r="I293">
        <v>0</v>
      </c>
      <c r="J293">
        <v>0</v>
      </c>
      <c r="K293">
        <v>0</v>
      </c>
      <c r="L293" t="s">
        <v>748</v>
      </c>
    </row>
    <row r="294" spans="1:12" x14ac:dyDescent="0.3">
      <c r="A294">
        <v>2028</v>
      </c>
      <c r="B294" t="s">
        <v>647</v>
      </c>
      <c r="C294" t="s">
        <v>648</v>
      </c>
      <c r="D294" t="s">
        <v>291</v>
      </c>
      <c r="E294" s="1"/>
      <c r="F294" s="1"/>
      <c r="G294" s="1"/>
      <c r="H294" s="1"/>
      <c r="I294">
        <v>0</v>
      </c>
      <c r="J294">
        <v>0</v>
      </c>
      <c r="K294">
        <v>0</v>
      </c>
      <c r="L294" t="s">
        <v>748</v>
      </c>
    </row>
    <row r="295" spans="1:12" x14ac:dyDescent="0.3">
      <c r="A295">
        <v>2028</v>
      </c>
      <c r="B295" t="s">
        <v>649</v>
      </c>
      <c r="C295" t="s">
        <v>650</v>
      </c>
      <c r="D295" t="s">
        <v>291</v>
      </c>
      <c r="E295" s="1"/>
      <c r="F295" s="1"/>
      <c r="G295" s="1"/>
      <c r="H295" s="1"/>
      <c r="I295">
        <v>0</v>
      </c>
      <c r="J295">
        <v>0</v>
      </c>
      <c r="K295">
        <v>0</v>
      </c>
      <c r="L295" t="s">
        <v>748</v>
      </c>
    </row>
    <row r="296" spans="1:12" x14ac:dyDescent="0.3">
      <c r="A296">
        <v>2028</v>
      </c>
      <c r="B296" t="s">
        <v>651</v>
      </c>
      <c r="C296" t="s">
        <v>652</v>
      </c>
      <c r="D296" t="s">
        <v>291</v>
      </c>
      <c r="E296" s="1"/>
      <c r="F296" s="1"/>
      <c r="G296" s="1"/>
      <c r="H296" s="1"/>
      <c r="I296">
        <v>0</v>
      </c>
      <c r="J296">
        <v>0</v>
      </c>
      <c r="K296">
        <v>0</v>
      </c>
      <c r="L296" t="s">
        <v>748</v>
      </c>
    </row>
    <row r="297" spans="1:12" x14ac:dyDescent="0.3">
      <c r="A297">
        <v>2028</v>
      </c>
      <c r="B297" t="s">
        <v>653</v>
      </c>
      <c r="C297" t="s">
        <v>654</v>
      </c>
      <c r="D297" t="s">
        <v>291</v>
      </c>
      <c r="E297" s="1"/>
      <c r="F297" s="1"/>
      <c r="G297" s="1"/>
      <c r="H297" s="1"/>
      <c r="I297">
        <v>125</v>
      </c>
      <c r="J297">
        <v>0</v>
      </c>
      <c r="K297">
        <v>125</v>
      </c>
      <c r="L297" t="s">
        <v>748</v>
      </c>
    </row>
    <row r="298" spans="1:12" x14ac:dyDescent="0.3">
      <c r="A298">
        <v>2028</v>
      </c>
      <c r="B298" t="s">
        <v>712</v>
      </c>
      <c r="C298" t="s">
        <v>686</v>
      </c>
      <c r="E298" s="1"/>
      <c r="F298" s="1"/>
      <c r="G298" s="1"/>
      <c r="H298" s="1"/>
      <c r="I298">
        <v>50</v>
      </c>
      <c r="J298">
        <v>0</v>
      </c>
      <c r="K298">
        <v>50</v>
      </c>
      <c r="L298" t="s">
        <v>748</v>
      </c>
    </row>
    <row r="299" spans="1:12" x14ac:dyDescent="0.3">
      <c r="A299">
        <v>2028</v>
      </c>
      <c r="B299" t="s">
        <v>713</v>
      </c>
      <c r="C299" t="s">
        <v>693</v>
      </c>
      <c r="E299" s="1"/>
      <c r="F299" s="1"/>
      <c r="G299" s="1"/>
      <c r="H299" s="1"/>
      <c r="I299">
        <v>75</v>
      </c>
      <c r="J299">
        <v>1500</v>
      </c>
      <c r="K299">
        <v>1575</v>
      </c>
      <c r="L299" t="s">
        <v>748</v>
      </c>
    </row>
    <row r="300" spans="1:12" x14ac:dyDescent="0.3">
      <c r="A300">
        <v>2028</v>
      </c>
      <c r="B300" t="s">
        <v>714</v>
      </c>
      <c r="C300" t="s">
        <v>697</v>
      </c>
      <c r="E300" s="1"/>
      <c r="F300" s="1"/>
      <c r="G300" s="1"/>
      <c r="H300" s="1"/>
      <c r="I300">
        <v>75</v>
      </c>
      <c r="J300">
        <v>0</v>
      </c>
      <c r="K300">
        <v>75</v>
      </c>
      <c r="L300" t="s">
        <v>748</v>
      </c>
    </row>
    <row r="301" spans="1:12" x14ac:dyDescent="0.3">
      <c r="A301">
        <v>2028</v>
      </c>
      <c r="B301" t="s">
        <v>715</v>
      </c>
      <c r="C301" t="s">
        <v>694</v>
      </c>
      <c r="E301" s="1"/>
      <c r="F301" s="1"/>
      <c r="G301" s="1"/>
      <c r="H301" s="1"/>
      <c r="I301">
        <v>75</v>
      </c>
      <c r="J301">
        <v>1500</v>
      </c>
      <c r="K301">
        <v>1575</v>
      </c>
      <c r="L301" t="s">
        <v>748</v>
      </c>
    </row>
    <row r="302" spans="1:12" x14ac:dyDescent="0.3">
      <c r="A302">
        <v>2028</v>
      </c>
      <c r="B302" t="s">
        <v>716</v>
      </c>
      <c r="C302" t="s">
        <v>702</v>
      </c>
      <c r="E302" s="1"/>
      <c r="F302" s="1"/>
      <c r="G302" s="1"/>
      <c r="H302" s="1"/>
      <c r="I302">
        <v>50</v>
      </c>
      <c r="J302">
        <v>0</v>
      </c>
      <c r="K302">
        <v>50</v>
      </c>
      <c r="L302" t="s">
        <v>748</v>
      </c>
    </row>
    <row r="303" spans="1:12" x14ac:dyDescent="0.3">
      <c r="A303">
        <v>2028</v>
      </c>
      <c r="B303" t="s">
        <v>717</v>
      </c>
      <c r="C303" t="s">
        <v>695</v>
      </c>
      <c r="E303" s="1"/>
      <c r="F303" s="1"/>
      <c r="G303" s="1"/>
      <c r="H303" s="1"/>
      <c r="I303">
        <v>50</v>
      </c>
      <c r="J303">
        <v>0</v>
      </c>
      <c r="K303">
        <v>50</v>
      </c>
      <c r="L303" t="s">
        <v>748</v>
      </c>
    </row>
    <row r="304" spans="1:12" x14ac:dyDescent="0.3">
      <c r="A304">
        <v>2028</v>
      </c>
      <c r="B304" t="s">
        <v>718</v>
      </c>
      <c r="C304" t="s">
        <v>696</v>
      </c>
      <c r="E304" s="1"/>
      <c r="F304" s="1"/>
      <c r="G304" s="1"/>
      <c r="H304" s="1"/>
      <c r="I304">
        <v>300</v>
      </c>
      <c r="J304">
        <v>1532</v>
      </c>
      <c r="K304">
        <v>1832</v>
      </c>
      <c r="L304" t="s">
        <v>748</v>
      </c>
    </row>
    <row r="305" spans="1:12" x14ac:dyDescent="0.3">
      <c r="A305">
        <v>2029</v>
      </c>
      <c r="B305" t="s">
        <v>364</v>
      </c>
      <c r="C305" t="s">
        <v>365</v>
      </c>
      <c r="D305" t="s">
        <v>291</v>
      </c>
      <c r="E305" s="1"/>
      <c r="F305" s="1"/>
      <c r="G305" s="1"/>
      <c r="H305" s="1"/>
      <c r="I305">
        <v>200</v>
      </c>
      <c r="J305">
        <v>0</v>
      </c>
      <c r="K305">
        <v>200</v>
      </c>
      <c r="L305" t="s">
        <v>748</v>
      </c>
    </row>
    <row r="306" spans="1:12" x14ac:dyDescent="0.3">
      <c r="A306">
        <v>2029</v>
      </c>
      <c r="B306" t="s">
        <v>366</v>
      </c>
      <c r="C306" t="s">
        <v>367</v>
      </c>
      <c r="D306" t="s">
        <v>155</v>
      </c>
      <c r="E306" s="1">
        <v>46006</v>
      </c>
      <c r="F306" s="1">
        <v>46157</v>
      </c>
      <c r="G306" s="1">
        <v>46645</v>
      </c>
      <c r="H306" s="1">
        <v>47011</v>
      </c>
      <c r="I306">
        <v>670</v>
      </c>
      <c r="J306">
        <v>0</v>
      </c>
      <c r="K306">
        <v>670</v>
      </c>
      <c r="L306" t="s">
        <v>748</v>
      </c>
    </row>
    <row r="307" spans="1:12" x14ac:dyDescent="0.3">
      <c r="A307">
        <v>2029</v>
      </c>
      <c r="B307" t="s">
        <v>162</v>
      </c>
      <c r="C307" t="s">
        <v>163</v>
      </c>
      <c r="D307" t="s">
        <v>164</v>
      </c>
      <c r="E307" s="1"/>
      <c r="F307" s="1"/>
      <c r="G307" s="1"/>
      <c r="H307" s="1"/>
      <c r="I307">
        <v>0</v>
      </c>
      <c r="J307">
        <v>0</v>
      </c>
      <c r="K307">
        <v>0</v>
      </c>
      <c r="L307" t="s">
        <v>748</v>
      </c>
    </row>
    <row r="308" spans="1:12" x14ac:dyDescent="0.3">
      <c r="A308">
        <v>2029</v>
      </c>
      <c r="B308" t="s">
        <v>166</v>
      </c>
      <c r="C308" t="s">
        <v>167</v>
      </c>
      <c r="D308" t="s">
        <v>155</v>
      </c>
      <c r="E308" s="1">
        <v>42499</v>
      </c>
      <c r="F308" s="1">
        <v>45976</v>
      </c>
      <c r="G308" s="1">
        <v>46402</v>
      </c>
      <c r="H308" s="1">
        <v>46980</v>
      </c>
      <c r="I308">
        <v>395</v>
      </c>
      <c r="J308">
        <v>2000</v>
      </c>
      <c r="K308">
        <v>2395</v>
      </c>
      <c r="L308" t="s">
        <v>748</v>
      </c>
    </row>
    <row r="309" spans="1:12" x14ac:dyDescent="0.3">
      <c r="A309">
        <v>2029</v>
      </c>
      <c r="B309" t="s">
        <v>170</v>
      </c>
      <c r="C309" t="s">
        <v>171</v>
      </c>
      <c r="D309" t="s">
        <v>110</v>
      </c>
      <c r="E309" s="1"/>
      <c r="F309" s="1">
        <v>44833</v>
      </c>
      <c r="G309" s="1">
        <v>45976</v>
      </c>
      <c r="H309" s="1">
        <v>46310</v>
      </c>
      <c r="I309">
        <v>635</v>
      </c>
      <c r="J309">
        <v>4326</v>
      </c>
      <c r="K309">
        <v>4961</v>
      </c>
      <c r="L309" t="s">
        <v>748</v>
      </c>
    </row>
    <row r="310" spans="1:12" x14ac:dyDescent="0.3">
      <c r="A310">
        <v>2029</v>
      </c>
      <c r="B310" t="s">
        <v>137</v>
      </c>
      <c r="C310" t="s">
        <v>138</v>
      </c>
      <c r="D310" t="s">
        <v>123</v>
      </c>
      <c r="E310" s="1"/>
      <c r="F310" s="1">
        <v>45062</v>
      </c>
      <c r="G310" s="1">
        <v>45754</v>
      </c>
      <c r="H310" s="1">
        <v>45945</v>
      </c>
      <c r="I310">
        <v>0</v>
      </c>
      <c r="J310">
        <v>0</v>
      </c>
      <c r="K310">
        <v>0</v>
      </c>
      <c r="L310" t="s">
        <v>748</v>
      </c>
    </row>
    <row r="311" spans="1:12" x14ac:dyDescent="0.3">
      <c r="A311">
        <v>2029</v>
      </c>
      <c r="B311" t="s">
        <v>181</v>
      </c>
      <c r="C311" t="s">
        <v>296</v>
      </c>
      <c r="D311" t="s">
        <v>110</v>
      </c>
      <c r="E311" s="1"/>
      <c r="F311" s="1">
        <v>45590</v>
      </c>
      <c r="G311" s="1">
        <v>46157</v>
      </c>
      <c r="H311" s="1">
        <v>46157</v>
      </c>
      <c r="I311">
        <v>0</v>
      </c>
      <c r="J311">
        <v>0</v>
      </c>
      <c r="K311">
        <v>0</v>
      </c>
      <c r="L311" t="s">
        <v>748</v>
      </c>
    </row>
    <row r="312" spans="1:12" x14ac:dyDescent="0.3">
      <c r="A312">
        <v>2029</v>
      </c>
      <c r="B312" t="s">
        <v>185</v>
      </c>
      <c r="C312" t="s">
        <v>186</v>
      </c>
      <c r="D312" t="s">
        <v>110</v>
      </c>
      <c r="E312" s="1"/>
      <c r="F312" s="1">
        <v>44823</v>
      </c>
      <c r="G312" s="1">
        <v>46310</v>
      </c>
      <c r="H312" s="1">
        <v>46521</v>
      </c>
      <c r="I312">
        <v>289</v>
      </c>
      <c r="J312">
        <v>10806</v>
      </c>
      <c r="K312">
        <v>11095</v>
      </c>
      <c r="L312" t="s">
        <v>748</v>
      </c>
    </row>
    <row r="313" spans="1:12" x14ac:dyDescent="0.3">
      <c r="A313">
        <v>2029</v>
      </c>
      <c r="B313" t="s">
        <v>189</v>
      </c>
      <c r="C313" t="s">
        <v>190</v>
      </c>
      <c r="D313" t="s">
        <v>123</v>
      </c>
      <c r="E313" s="1"/>
      <c r="F313" s="1">
        <v>45684</v>
      </c>
      <c r="G313" s="1"/>
      <c r="H313" s="1">
        <v>46006</v>
      </c>
      <c r="I313">
        <v>0</v>
      </c>
      <c r="J313">
        <v>0</v>
      </c>
      <c r="K313">
        <v>0</v>
      </c>
      <c r="L313" t="s">
        <v>749</v>
      </c>
    </row>
    <row r="314" spans="1:12" x14ac:dyDescent="0.3">
      <c r="A314">
        <v>2029</v>
      </c>
      <c r="B314" t="s">
        <v>132</v>
      </c>
      <c r="C314" t="s">
        <v>288</v>
      </c>
      <c r="D314" t="s">
        <v>123</v>
      </c>
      <c r="E314" s="1"/>
      <c r="F314" s="1">
        <v>45218</v>
      </c>
      <c r="G314" s="1">
        <v>45722</v>
      </c>
      <c r="H314" s="1">
        <v>45976</v>
      </c>
      <c r="I314">
        <v>0</v>
      </c>
      <c r="J314">
        <v>0</v>
      </c>
      <c r="K314">
        <v>0</v>
      </c>
      <c r="L314" t="s">
        <v>749</v>
      </c>
    </row>
    <row r="315" spans="1:12" x14ac:dyDescent="0.3">
      <c r="A315">
        <v>2029</v>
      </c>
      <c r="B315" t="s">
        <v>141</v>
      </c>
      <c r="C315" t="s">
        <v>142</v>
      </c>
      <c r="D315" t="s">
        <v>123</v>
      </c>
      <c r="E315" s="1">
        <v>42499</v>
      </c>
      <c r="F315" s="1">
        <v>42900</v>
      </c>
      <c r="G315" s="1">
        <v>45323</v>
      </c>
      <c r="H315" s="1">
        <v>45889</v>
      </c>
      <c r="I315">
        <v>0</v>
      </c>
      <c r="J315">
        <v>0</v>
      </c>
      <c r="K315">
        <v>0</v>
      </c>
      <c r="L315" t="s">
        <v>748</v>
      </c>
    </row>
    <row r="316" spans="1:12" x14ac:dyDescent="0.3">
      <c r="A316">
        <v>2029</v>
      </c>
      <c r="B316" t="s">
        <v>368</v>
      </c>
      <c r="C316" t="s">
        <v>369</v>
      </c>
      <c r="D316" t="s">
        <v>291</v>
      </c>
      <c r="E316" s="1"/>
      <c r="F316" s="1"/>
      <c r="G316" s="1"/>
      <c r="H316" s="1"/>
      <c r="I316">
        <v>200</v>
      </c>
      <c r="J316">
        <v>0</v>
      </c>
      <c r="K316">
        <v>200</v>
      </c>
      <c r="L316" t="s">
        <v>748</v>
      </c>
    </row>
    <row r="317" spans="1:12" x14ac:dyDescent="0.3">
      <c r="A317">
        <v>2029</v>
      </c>
      <c r="B317" t="s">
        <v>160</v>
      </c>
      <c r="C317" t="s">
        <v>161</v>
      </c>
      <c r="D317" t="s">
        <v>164</v>
      </c>
      <c r="E317" s="1">
        <v>43013</v>
      </c>
      <c r="F317" s="1">
        <v>44956</v>
      </c>
      <c r="G317" s="1">
        <v>45321</v>
      </c>
      <c r="H317" s="1">
        <v>45687</v>
      </c>
      <c r="I317">
        <v>0</v>
      </c>
      <c r="J317">
        <v>0</v>
      </c>
      <c r="K317">
        <v>0</v>
      </c>
      <c r="L317" t="s">
        <v>748</v>
      </c>
    </row>
    <row r="318" spans="1:12" x14ac:dyDescent="0.3">
      <c r="A318">
        <v>2029</v>
      </c>
      <c r="B318" t="s">
        <v>371</v>
      </c>
      <c r="C318" t="s">
        <v>372</v>
      </c>
      <c r="D318" t="s">
        <v>291</v>
      </c>
      <c r="E318" s="1"/>
      <c r="F318" s="1"/>
      <c r="G318" s="1"/>
      <c r="H318" s="1"/>
      <c r="I318">
        <v>100</v>
      </c>
      <c r="J318">
        <v>0</v>
      </c>
      <c r="K318">
        <v>100</v>
      </c>
      <c r="L318" t="s">
        <v>748</v>
      </c>
    </row>
    <row r="319" spans="1:12" x14ac:dyDescent="0.3">
      <c r="A319">
        <v>2029</v>
      </c>
      <c r="B319" t="s">
        <v>195</v>
      </c>
      <c r="C319" t="s">
        <v>196</v>
      </c>
      <c r="D319" t="s">
        <v>110</v>
      </c>
      <c r="E319" s="1"/>
      <c r="F319" s="1">
        <v>44889</v>
      </c>
      <c r="G319" s="1">
        <v>46068</v>
      </c>
      <c r="H319" s="1">
        <v>46583</v>
      </c>
      <c r="I319">
        <v>1200</v>
      </c>
      <c r="J319">
        <v>11500</v>
      </c>
      <c r="K319">
        <v>12700</v>
      </c>
      <c r="L319" t="s">
        <v>748</v>
      </c>
    </row>
    <row r="320" spans="1:12" x14ac:dyDescent="0.3">
      <c r="A320">
        <v>2029</v>
      </c>
      <c r="B320" t="s">
        <v>375</v>
      </c>
      <c r="C320" t="s">
        <v>376</v>
      </c>
      <c r="D320" t="s">
        <v>155</v>
      </c>
      <c r="E320" s="1">
        <v>46006</v>
      </c>
      <c r="F320" s="1">
        <v>46280</v>
      </c>
      <c r="G320" s="1">
        <v>46645</v>
      </c>
      <c r="H320" s="1">
        <v>47011</v>
      </c>
      <c r="I320">
        <v>500</v>
      </c>
      <c r="J320">
        <v>1500</v>
      </c>
      <c r="K320">
        <v>2000</v>
      </c>
      <c r="L320" t="s">
        <v>748</v>
      </c>
    </row>
    <row r="321" spans="1:12" x14ac:dyDescent="0.3">
      <c r="A321">
        <v>2029</v>
      </c>
      <c r="B321" t="s">
        <v>174</v>
      </c>
      <c r="C321" t="s">
        <v>175</v>
      </c>
      <c r="D321" t="s">
        <v>164</v>
      </c>
      <c r="E321" s="1">
        <v>44014</v>
      </c>
      <c r="F321" s="1">
        <v>44014</v>
      </c>
      <c r="G321" s="1">
        <v>44294</v>
      </c>
      <c r="H321" s="1">
        <v>45239</v>
      </c>
      <c r="I321">
        <v>0</v>
      </c>
      <c r="J321">
        <v>0</v>
      </c>
      <c r="K321">
        <v>0</v>
      </c>
      <c r="L321" t="s">
        <v>748</v>
      </c>
    </row>
    <row r="322" spans="1:12" x14ac:dyDescent="0.3">
      <c r="A322">
        <v>2029</v>
      </c>
      <c r="B322" t="s">
        <v>203</v>
      </c>
      <c r="C322" t="s">
        <v>204</v>
      </c>
      <c r="D322" t="s">
        <v>155</v>
      </c>
      <c r="E322" s="1">
        <v>45730</v>
      </c>
      <c r="F322" s="1">
        <v>45960</v>
      </c>
      <c r="G322" s="1">
        <v>46264</v>
      </c>
      <c r="H322" s="1">
        <v>46629</v>
      </c>
      <c r="I322">
        <v>0</v>
      </c>
      <c r="J322">
        <v>0</v>
      </c>
      <c r="K322">
        <v>0</v>
      </c>
      <c r="L322" t="s">
        <v>748</v>
      </c>
    </row>
    <row r="323" spans="1:12" x14ac:dyDescent="0.3">
      <c r="A323">
        <v>2029</v>
      </c>
      <c r="B323" t="s">
        <v>114</v>
      </c>
      <c r="C323" t="s">
        <v>719</v>
      </c>
      <c r="D323" t="s">
        <v>123</v>
      </c>
      <c r="E323" s="1"/>
      <c r="F323" s="1">
        <v>45105</v>
      </c>
      <c r="G323" s="1">
        <v>45789</v>
      </c>
      <c r="H323" s="1">
        <v>45932</v>
      </c>
      <c r="I323">
        <v>0</v>
      </c>
      <c r="J323">
        <v>0</v>
      </c>
      <c r="K323">
        <v>0</v>
      </c>
      <c r="L323" t="s">
        <v>749</v>
      </c>
    </row>
    <row r="324" spans="1:12" x14ac:dyDescent="0.3">
      <c r="A324">
        <v>2029</v>
      </c>
      <c r="B324" t="s">
        <v>207</v>
      </c>
      <c r="C324" t="s">
        <v>208</v>
      </c>
      <c r="D324" t="s">
        <v>155</v>
      </c>
      <c r="E324" s="1">
        <v>44476</v>
      </c>
      <c r="F324" s="1">
        <v>45976</v>
      </c>
      <c r="G324" s="1">
        <v>46096</v>
      </c>
      <c r="H324" s="1">
        <v>46280</v>
      </c>
      <c r="I324">
        <v>0</v>
      </c>
      <c r="J324">
        <v>0</v>
      </c>
      <c r="K324">
        <v>0</v>
      </c>
      <c r="L324" t="s">
        <v>749</v>
      </c>
    </row>
    <row r="325" spans="1:12" x14ac:dyDescent="0.3">
      <c r="A325">
        <v>2029</v>
      </c>
      <c r="B325" t="s">
        <v>377</v>
      </c>
      <c r="C325" t="s">
        <v>378</v>
      </c>
      <c r="D325" t="s">
        <v>155</v>
      </c>
      <c r="E325" s="1"/>
      <c r="F325" s="1">
        <v>46068</v>
      </c>
      <c r="G325" s="1">
        <v>46461</v>
      </c>
      <c r="H325" s="1">
        <v>46888</v>
      </c>
      <c r="I325">
        <v>0</v>
      </c>
      <c r="J325">
        <v>0</v>
      </c>
      <c r="K325">
        <v>0</v>
      </c>
      <c r="L325" t="s">
        <v>748</v>
      </c>
    </row>
    <row r="326" spans="1:12" x14ac:dyDescent="0.3">
      <c r="A326">
        <v>2029</v>
      </c>
      <c r="B326" t="s">
        <v>210</v>
      </c>
      <c r="C326" t="s">
        <v>211</v>
      </c>
      <c r="D326" t="s">
        <v>155</v>
      </c>
      <c r="E326" s="1"/>
      <c r="F326" s="1">
        <v>45976</v>
      </c>
      <c r="G326" s="1">
        <v>46341</v>
      </c>
      <c r="H326" s="1">
        <v>46706</v>
      </c>
      <c r="I326">
        <v>0</v>
      </c>
      <c r="J326">
        <v>0</v>
      </c>
      <c r="K326">
        <v>0</v>
      </c>
      <c r="L326" t="s">
        <v>748</v>
      </c>
    </row>
    <row r="327" spans="1:12" x14ac:dyDescent="0.3">
      <c r="A327">
        <v>2029</v>
      </c>
      <c r="B327" t="s">
        <v>379</v>
      </c>
      <c r="C327" t="s">
        <v>380</v>
      </c>
      <c r="D327" t="s">
        <v>291</v>
      </c>
      <c r="E327" s="1"/>
      <c r="F327" s="1"/>
      <c r="G327" s="1"/>
      <c r="H327" s="1"/>
      <c r="I327">
        <v>0</v>
      </c>
      <c r="J327">
        <v>0</v>
      </c>
      <c r="K327">
        <v>0</v>
      </c>
      <c r="L327" t="s">
        <v>748</v>
      </c>
    </row>
    <row r="328" spans="1:12" x14ac:dyDescent="0.3">
      <c r="A328">
        <v>2029</v>
      </c>
      <c r="B328" t="s">
        <v>383</v>
      </c>
      <c r="C328" t="s">
        <v>384</v>
      </c>
      <c r="D328" t="s">
        <v>291</v>
      </c>
      <c r="E328" s="1"/>
      <c r="F328" s="1"/>
      <c r="G328" s="1"/>
      <c r="H328" s="1"/>
      <c r="I328">
        <v>0</v>
      </c>
      <c r="J328">
        <v>0</v>
      </c>
      <c r="K328">
        <v>0</v>
      </c>
      <c r="L328" t="s">
        <v>748</v>
      </c>
    </row>
    <row r="329" spans="1:12" x14ac:dyDescent="0.3">
      <c r="A329">
        <v>2029</v>
      </c>
      <c r="B329" t="s">
        <v>212</v>
      </c>
      <c r="C329" t="s">
        <v>213</v>
      </c>
      <c r="D329" t="s">
        <v>155</v>
      </c>
      <c r="E329" s="1">
        <v>45337</v>
      </c>
      <c r="F329" s="1">
        <v>46127</v>
      </c>
      <c r="G329" s="1">
        <v>46798</v>
      </c>
      <c r="H329" s="1">
        <v>47192</v>
      </c>
      <c r="I329">
        <v>125</v>
      </c>
      <c r="J329">
        <v>0</v>
      </c>
      <c r="K329">
        <v>125</v>
      </c>
      <c r="L329" t="s">
        <v>748</v>
      </c>
    </row>
    <row r="330" spans="1:12" x14ac:dyDescent="0.3">
      <c r="A330">
        <v>2029</v>
      </c>
      <c r="B330" t="s">
        <v>385</v>
      </c>
      <c r="C330" t="s">
        <v>740</v>
      </c>
      <c r="D330" t="s">
        <v>155</v>
      </c>
      <c r="E330" s="1">
        <v>45672</v>
      </c>
      <c r="F330" s="1">
        <v>45960</v>
      </c>
      <c r="G330" s="1">
        <v>46266</v>
      </c>
      <c r="H330" s="1">
        <v>46631</v>
      </c>
      <c r="I330">
        <v>0</v>
      </c>
      <c r="J330">
        <v>0</v>
      </c>
      <c r="K330">
        <v>0</v>
      </c>
      <c r="L330" t="s">
        <v>748</v>
      </c>
    </row>
    <row r="331" spans="1:12" x14ac:dyDescent="0.3">
      <c r="A331">
        <v>2029</v>
      </c>
      <c r="B331" t="s">
        <v>220</v>
      </c>
      <c r="C331" t="s">
        <v>221</v>
      </c>
      <c r="D331" t="s">
        <v>155</v>
      </c>
      <c r="E331" s="1"/>
      <c r="F331" s="1">
        <v>45976</v>
      </c>
      <c r="G331" s="1">
        <v>46264</v>
      </c>
      <c r="H331" s="1">
        <v>46553</v>
      </c>
      <c r="I331">
        <v>106</v>
      </c>
      <c r="J331">
        <v>20662</v>
      </c>
      <c r="K331">
        <v>20768</v>
      </c>
      <c r="L331" t="s">
        <v>748</v>
      </c>
    </row>
    <row r="332" spans="1:12" x14ac:dyDescent="0.3">
      <c r="A332">
        <v>2029</v>
      </c>
      <c r="B332" t="s">
        <v>224</v>
      </c>
      <c r="C332" t="s">
        <v>520</v>
      </c>
      <c r="D332" t="s">
        <v>123</v>
      </c>
      <c r="E332" s="1">
        <v>44365</v>
      </c>
      <c r="F332" s="1">
        <v>44623</v>
      </c>
      <c r="G332" s="1">
        <v>45698</v>
      </c>
      <c r="H332" s="1">
        <v>46341</v>
      </c>
      <c r="I332">
        <v>212.00000000000003</v>
      </c>
      <c r="J332">
        <v>5141.0000000000009</v>
      </c>
      <c r="K332">
        <v>5353.0000000000009</v>
      </c>
      <c r="L332" t="s">
        <v>748</v>
      </c>
    </row>
    <row r="333" spans="1:12" x14ac:dyDescent="0.3">
      <c r="A333">
        <v>2029</v>
      </c>
      <c r="B333" t="s">
        <v>373</v>
      </c>
      <c r="C333" t="s">
        <v>374</v>
      </c>
      <c r="D333" t="s">
        <v>155</v>
      </c>
      <c r="E333" s="1">
        <v>45833</v>
      </c>
      <c r="F333" s="1">
        <v>45960</v>
      </c>
      <c r="G333" s="1">
        <v>46280</v>
      </c>
      <c r="H333" s="1">
        <v>46645</v>
      </c>
      <c r="I333">
        <v>500</v>
      </c>
      <c r="J333">
        <v>0</v>
      </c>
      <c r="K333">
        <v>500</v>
      </c>
      <c r="L333" t="s">
        <v>748</v>
      </c>
    </row>
    <row r="334" spans="1:12" x14ac:dyDescent="0.3">
      <c r="A334">
        <v>2029</v>
      </c>
      <c r="B334" t="s">
        <v>226</v>
      </c>
      <c r="C334" t="s">
        <v>227</v>
      </c>
      <c r="D334" t="s">
        <v>110</v>
      </c>
      <c r="E334" s="1"/>
      <c r="F334" s="1">
        <v>45330</v>
      </c>
      <c r="G334" s="1">
        <v>46690</v>
      </c>
      <c r="H334" s="1">
        <v>47376</v>
      </c>
      <c r="I334">
        <v>573</v>
      </c>
      <c r="J334">
        <v>0</v>
      </c>
      <c r="K334">
        <v>573</v>
      </c>
      <c r="L334" t="s">
        <v>748</v>
      </c>
    </row>
    <row r="335" spans="1:12" x14ac:dyDescent="0.3">
      <c r="A335">
        <v>2029</v>
      </c>
      <c r="B335" t="s">
        <v>145</v>
      </c>
      <c r="C335" t="s">
        <v>720</v>
      </c>
      <c r="D335" t="s">
        <v>110</v>
      </c>
      <c r="E335" s="1"/>
      <c r="F335" s="1">
        <v>44609</v>
      </c>
      <c r="G335" s="1">
        <v>45996</v>
      </c>
      <c r="H335" s="1">
        <v>46310</v>
      </c>
      <c r="I335">
        <v>0</v>
      </c>
      <c r="J335">
        <v>0</v>
      </c>
      <c r="K335">
        <v>0</v>
      </c>
      <c r="L335" t="s">
        <v>748</v>
      </c>
    </row>
    <row r="336" spans="1:12" x14ac:dyDescent="0.3">
      <c r="A336">
        <v>2029</v>
      </c>
      <c r="B336" t="s">
        <v>231</v>
      </c>
      <c r="C336" t="s">
        <v>232</v>
      </c>
      <c r="D336" t="s">
        <v>110</v>
      </c>
      <c r="E336" s="1"/>
      <c r="F336" s="1">
        <v>45099</v>
      </c>
      <c r="G336" s="1">
        <v>46037</v>
      </c>
      <c r="H336" s="1">
        <v>46283</v>
      </c>
      <c r="I336">
        <v>0</v>
      </c>
      <c r="J336">
        <v>0</v>
      </c>
      <c r="K336">
        <v>0</v>
      </c>
      <c r="L336" t="s">
        <v>748</v>
      </c>
    </row>
    <row r="337" spans="1:12" x14ac:dyDescent="0.3">
      <c r="A337">
        <v>2029</v>
      </c>
      <c r="B337" t="s">
        <v>233</v>
      </c>
      <c r="C337" t="s">
        <v>542</v>
      </c>
      <c r="D337" t="s">
        <v>155</v>
      </c>
      <c r="E337" s="1"/>
      <c r="F337" s="1">
        <v>46127</v>
      </c>
      <c r="G337" s="1">
        <v>46553</v>
      </c>
      <c r="H337" s="1">
        <v>46980</v>
      </c>
      <c r="I337">
        <v>588</v>
      </c>
      <c r="J337">
        <v>7500</v>
      </c>
      <c r="K337">
        <v>8088</v>
      </c>
      <c r="L337" t="s">
        <v>748</v>
      </c>
    </row>
    <row r="338" spans="1:12" x14ac:dyDescent="0.3">
      <c r="A338">
        <v>2029</v>
      </c>
      <c r="B338" t="s">
        <v>235</v>
      </c>
      <c r="C338" t="s">
        <v>510</v>
      </c>
      <c r="D338" t="s">
        <v>110</v>
      </c>
      <c r="E338" s="1"/>
      <c r="F338" s="1">
        <v>45706</v>
      </c>
      <c r="G338" s="1">
        <v>46055</v>
      </c>
      <c r="H338" s="1">
        <v>46273</v>
      </c>
      <c r="I338">
        <v>0</v>
      </c>
      <c r="J338">
        <v>0</v>
      </c>
      <c r="K338">
        <v>0</v>
      </c>
      <c r="L338" t="s">
        <v>748</v>
      </c>
    </row>
    <row r="339" spans="1:12" x14ac:dyDescent="0.3">
      <c r="A339">
        <v>2029</v>
      </c>
      <c r="B339" t="s">
        <v>398</v>
      </c>
      <c r="C339" t="s">
        <v>541</v>
      </c>
      <c r="D339" t="s">
        <v>291</v>
      </c>
      <c r="E339" s="1"/>
      <c r="F339" s="1"/>
      <c r="G339" s="1"/>
      <c r="H339" s="1"/>
      <c r="I339">
        <v>100</v>
      </c>
      <c r="J339">
        <v>0</v>
      </c>
      <c r="K339">
        <v>100</v>
      </c>
      <c r="L339" t="s">
        <v>748</v>
      </c>
    </row>
    <row r="340" spans="1:12" x14ac:dyDescent="0.3">
      <c r="A340">
        <v>2029</v>
      </c>
      <c r="B340" t="s">
        <v>237</v>
      </c>
      <c r="C340" t="s">
        <v>665</v>
      </c>
      <c r="D340" t="s">
        <v>110</v>
      </c>
      <c r="E340" s="1"/>
      <c r="F340" s="1">
        <v>45915</v>
      </c>
      <c r="G340" s="1">
        <v>46037</v>
      </c>
      <c r="H340" s="1">
        <v>46310</v>
      </c>
      <c r="I340">
        <v>0</v>
      </c>
      <c r="J340">
        <v>0</v>
      </c>
      <c r="K340">
        <v>0</v>
      </c>
      <c r="L340" t="s">
        <v>748</v>
      </c>
    </row>
    <row r="341" spans="1:12" x14ac:dyDescent="0.3">
      <c r="A341">
        <v>2029</v>
      </c>
      <c r="B341" t="s">
        <v>400</v>
      </c>
      <c r="C341" t="s">
        <v>401</v>
      </c>
      <c r="D341" t="s">
        <v>155</v>
      </c>
      <c r="E341" s="1">
        <v>45946</v>
      </c>
      <c r="F341" s="1">
        <v>46002</v>
      </c>
      <c r="G341" s="1">
        <v>46461</v>
      </c>
      <c r="H341" s="1">
        <v>46794</v>
      </c>
      <c r="I341">
        <v>0</v>
      </c>
      <c r="J341">
        <v>0</v>
      </c>
      <c r="K341">
        <v>0</v>
      </c>
      <c r="L341" t="s">
        <v>748</v>
      </c>
    </row>
    <row r="342" spans="1:12" x14ac:dyDescent="0.3">
      <c r="A342">
        <v>2029</v>
      </c>
      <c r="B342" t="s">
        <v>106</v>
      </c>
      <c r="C342" t="s">
        <v>107</v>
      </c>
      <c r="D342" t="s">
        <v>123</v>
      </c>
      <c r="E342" s="1"/>
      <c r="F342" s="1">
        <v>45014</v>
      </c>
      <c r="G342" s="1">
        <v>45799</v>
      </c>
      <c r="H342" s="1">
        <v>46006</v>
      </c>
      <c r="I342">
        <v>0</v>
      </c>
      <c r="J342">
        <v>0</v>
      </c>
      <c r="K342">
        <v>0</v>
      </c>
      <c r="L342" t="s">
        <v>749</v>
      </c>
    </row>
    <row r="343" spans="1:12" x14ac:dyDescent="0.3">
      <c r="A343">
        <v>2029</v>
      </c>
      <c r="B343" t="s">
        <v>240</v>
      </c>
      <c r="C343" t="s">
        <v>241</v>
      </c>
      <c r="D343" t="s">
        <v>110</v>
      </c>
      <c r="E343" s="1"/>
      <c r="F343" s="1">
        <v>45708</v>
      </c>
      <c r="G343" s="1">
        <v>45923</v>
      </c>
      <c r="H343" s="1">
        <v>46296</v>
      </c>
      <c r="I343">
        <v>0</v>
      </c>
      <c r="J343">
        <v>0</v>
      </c>
      <c r="K343">
        <v>0</v>
      </c>
      <c r="L343" t="s">
        <v>748</v>
      </c>
    </row>
    <row r="344" spans="1:12" x14ac:dyDescent="0.3">
      <c r="A344">
        <v>2029</v>
      </c>
      <c r="B344" t="s">
        <v>153</v>
      </c>
      <c r="C344" t="s">
        <v>154</v>
      </c>
      <c r="D344" t="s">
        <v>123</v>
      </c>
      <c r="E344" s="1"/>
      <c r="F344" s="1">
        <v>45601</v>
      </c>
      <c r="G344" s="1">
        <v>45731</v>
      </c>
      <c r="H344" s="1">
        <v>45976</v>
      </c>
      <c r="I344">
        <v>0</v>
      </c>
      <c r="J344">
        <v>0</v>
      </c>
      <c r="K344">
        <v>0</v>
      </c>
      <c r="L344" t="s">
        <v>749</v>
      </c>
    </row>
    <row r="345" spans="1:12" x14ac:dyDescent="0.3">
      <c r="A345">
        <v>2029</v>
      </c>
      <c r="B345" t="s">
        <v>403</v>
      </c>
      <c r="C345" t="s">
        <v>643</v>
      </c>
      <c r="D345" t="s">
        <v>155</v>
      </c>
      <c r="E345" s="1">
        <v>46006</v>
      </c>
      <c r="F345" s="1">
        <v>46218</v>
      </c>
      <c r="G345" s="1">
        <v>46722</v>
      </c>
      <c r="H345" s="1">
        <v>47011</v>
      </c>
      <c r="I345">
        <v>200</v>
      </c>
      <c r="J345">
        <v>0</v>
      </c>
      <c r="K345">
        <v>200</v>
      </c>
      <c r="L345" t="s">
        <v>748</v>
      </c>
    </row>
    <row r="346" spans="1:12" x14ac:dyDescent="0.3">
      <c r="A346">
        <v>2029</v>
      </c>
      <c r="B346" t="s">
        <v>150</v>
      </c>
      <c r="C346" t="s">
        <v>721</v>
      </c>
      <c r="D346" t="s">
        <v>123</v>
      </c>
      <c r="E346" s="1"/>
      <c r="F346" s="1">
        <v>45079</v>
      </c>
      <c r="G346" s="1">
        <v>45685</v>
      </c>
      <c r="H346" s="1">
        <v>46142</v>
      </c>
      <c r="I346">
        <v>0</v>
      </c>
      <c r="J346">
        <v>0</v>
      </c>
      <c r="K346">
        <v>0</v>
      </c>
      <c r="L346" t="s">
        <v>748</v>
      </c>
    </row>
    <row r="347" spans="1:12" x14ac:dyDescent="0.3">
      <c r="A347">
        <v>2029</v>
      </c>
      <c r="B347" t="s">
        <v>407</v>
      </c>
      <c r="C347" t="s">
        <v>514</v>
      </c>
      <c r="D347" t="s">
        <v>155</v>
      </c>
      <c r="E347" s="1"/>
      <c r="F347" s="1">
        <v>46127</v>
      </c>
      <c r="G347" s="1">
        <v>46492</v>
      </c>
      <c r="H347" s="1">
        <v>46706</v>
      </c>
      <c r="I347">
        <v>0</v>
      </c>
      <c r="J347">
        <v>0</v>
      </c>
      <c r="K347">
        <v>0</v>
      </c>
      <c r="L347" t="s">
        <v>749</v>
      </c>
    </row>
    <row r="348" spans="1:12" x14ac:dyDescent="0.3">
      <c r="A348">
        <v>2029</v>
      </c>
      <c r="B348" t="s">
        <v>405</v>
      </c>
      <c r="C348" t="s">
        <v>406</v>
      </c>
      <c r="D348" t="s">
        <v>155</v>
      </c>
      <c r="E348" s="1">
        <v>45763</v>
      </c>
      <c r="F348" s="1">
        <v>46054</v>
      </c>
      <c r="G348" s="1">
        <v>46427</v>
      </c>
      <c r="H348" s="1">
        <v>46813</v>
      </c>
      <c r="I348">
        <v>200</v>
      </c>
      <c r="J348">
        <v>0</v>
      </c>
      <c r="K348">
        <v>200</v>
      </c>
      <c r="L348" t="s">
        <v>748</v>
      </c>
    </row>
    <row r="349" spans="1:12" x14ac:dyDescent="0.3">
      <c r="A349">
        <v>2029</v>
      </c>
      <c r="B349" t="s">
        <v>243</v>
      </c>
      <c r="C349" t="s">
        <v>739</v>
      </c>
      <c r="D349" t="s">
        <v>155</v>
      </c>
      <c r="E349" s="1">
        <v>45588</v>
      </c>
      <c r="F349" s="1">
        <v>45976</v>
      </c>
      <c r="G349" s="1">
        <v>46280</v>
      </c>
      <c r="H349" s="1">
        <v>46433</v>
      </c>
      <c r="I349">
        <v>0</v>
      </c>
      <c r="J349">
        <v>0</v>
      </c>
      <c r="K349">
        <v>0</v>
      </c>
      <c r="L349" t="s">
        <v>748</v>
      </c>
    </row>
    <row r="350" spans="1:12" x14ac:dyDescent="0.3">
      <c r="A350">
        <v>2029</v>
      </c>
      <c r="B350" t="s">
        <v>246</v>
      </c>
      <c r="C350" t="s">
        <v>515</v>
      </c>
      <c r="D350" t="s">
        <v>110</v>
      </c>
      <c r="E350" s="1"/>
      <c r="F350" s="1">
        <v>45679</v>
      </c>
      <c r="G350" s="1">
        <v>46096</v>
      </c>
      <c r="H350" s="1">
        <v>46371</v>
      </c>
      <c r="I350">
        <v>0</v>
      </c>
      <c r="J350">
        <v>0</v>
      </c>
      <c r="K350">
        <v>0</v>
      </c>
      <c r="L350" t="s">
        <v>748</v>
      </c>
    </row>
    <row r="351" spans="1:12" x14ac:dyDescent="0.3">
      <c r="A351">
        <v>2029</v>
      </c>
      <c r="B351" t="s">
        <v>409</v>
      </c>
      <c r="C351" t="s">
        <v>410</v>
      </c>
      <c r="D351" t="s">
        <v>155</v>
      </c>
      <c r="E351" s="1"/>
      <c r="F351" s="1">
        <v>46143</v>
      </c>
      <c r="G351" s="1">
        <v>46508</v>
      </c>
      <c r="H351" s="1">
        <v>46874</v>
      </c>
      <c r="I351">
        <v>200</v>
      </c>
      <c r="J351">
        <v>1000</v>
      </c>
      <c r="K351">
        <v>1200</v>
      </c>
      <c r="L351" t="s">
        <v>748</v>
      </c>
    </row>
    <row r="352" spans="1:12" x14ac:dyDescent="0.3">
      <c r="A352">
        <v>2029</v>
      </c>
      <c r="B352" t="s">
        <v>412</v>
      </c>
      <c r="C352" t="s">
        <v>644</v>
      </c>
      <c r="D352" t="s">
        <v>291</v>
      </c>
      <c r="E352" s="1"/>
      <c r="F352" s="1"/>
      <c r="G352" s="1"/>
      <c r="H352" s="1"/>
      <c r="I352">
        <v>40</v>
      </c>
      <c r="J352">
        <v>0</v>
      </c>
      <c r="K352">
        <v>40</v>
      </c>
      <c r="L352" t="s">
        <v>748</v>
      </c>
    </row>
    <row r="353" spans="1:12" x14ac:dyDescent="0.3">
      <c r="A353">
        <v>2029</v>
      </c>
      <c r="B353" t="s">
        <v>415</v>
      </c>
      <c r="C353" t="s">
        <v>416</v>
      </c>
      <c r="D353" t="s">
        <v>155</v>
      </c>
      <c r="E353" s="1"/>
      <c r="F353" s="1">
        <v>46143</v>
      </c>
      <c r="G353" s="1">
        <v>46508</v>
      </c>
      <c r="H353" s="1">
        <v>46874</v>
      </c>
      <c r="I353">
        <v>200</v>
      </c>
      <c r="J353">
        <v>1000</v>
      </c>
      <c r="K353">
        <v>1200</v>
      </c>
      <c r="L353" t="s">
        <v>748</v>
      </c>
    </row>
    <row r="354" spans="1:12" x14ac:dyDescent="0.3">
      <c r="A354">
        <v>2029</v>
      </c>
      <c r="B354" t="s">
        <v>381</v>
      </c>
      <c r="C354" t="s">
        <v>382</v>
      </c>
      <c r="D354" t="s">
        <v>291</v>
      </c>
      <c r="E354" s="1"/>
      <c r="F354" s="1"/>
      <c r="G354" s="1"/>
      <c r="H354" s="1"/>
      <c r="I354">
        <v>0</v>
      </c>
      <c r="J354">
        <v>0</v>
      </c>
      <c r="K354">
        <v>0</v>
      </c>
      <c r="L354" t="s">
        <v>748</v>
      </c>
    </row>
    <row r="355" spans="1:12" x14ac:dyDescent="0.3">
      <c r="A355">
        <v>2029</v>
      </c>
      <c r="B355" t="s">
        <v>635</v>
      </c>
      <c r="C355" t="s">
        <v>636</v>
      </c>
      <c r="D355" t="s">
        <v>155</v>
      </c>
      <c r="E355" s="1"/>
      <c r="F355" s="1">
        <v>46266</v>
      </c>
      <c r="G355" s="1">
        <v>46631</v>
      </c>
      <c r="H355" s="1">
        <v>46997</v>
      </c>
      <c r="I355">
        <v>375</v>
      </c>
      <c r="J355">
        <v>0</v>
      </c>
      <c r="K355">
        <v>375</v>
      </c>
      <c r="L355" t="s">
        <v>748</v>
      </c>
    </row>
    <row r="356" spans="1:12" x14ac:dyDescent="0.3">
      <c r="A356">
        <v>2029</v>
      </c>
      <c r="B356" t="s">
        <v>393</v>
      </c>
      <c r="C356" t="s">
        <v>394</v>
      </c>
      <c r="D356" t="s">
        <v>291</v>
      </c>
      <c r="E356" s="1"/>
      <c r="F356" s="1"/>
      <c r="G356" s="1"/>
      <c r="H356" s="1"/>
      <c r="I356">
        <v>0</v>
      </c>
      <c r="J356">
        <v>0</v>
      </c>
      <c r="K356">
        <v>0</v>
      </c>
      <c r="L356" t="s">
        <v>748</v>
      </c>
    </row>
    <row r="357" spans="1:12" x14ac:dyDescent="0.3">
      <c r="A357">
        <v>2029</v>
      </c>
      <c r="B357" t="s">
        <v>396</v>
      </c>
      <c r="C357" t="s">
        <v>397</v>
      </c>
      <c r="D357" t="s">
        <v>155</v>
      </c>
      <c r="E357" s="1">
        <v>46068</v>
      </c>
      <c r="F357" s="1">
        <v>46371</v>
      </c>
      <c r="G357" s="1">
        <v>46736</v>
      </c>
      <c r="H357" s="1">
        <v>47102</v>
      </c>
      <c r="I357">
        <v>675</v>
      </c>
      <c r="J357">
        <v>10500</v>
      </c>
      <c r="K357">
        <v>11175</v>
      </c>
      <c r="L357" t="s">
        <v>748</v>
      </c>
    </row>
    <row r="358" spans="1:12" x14ac:dyDescent="0.3">
      <c r="A358">
        <v>2029</v>
      </c>
      <c r="B358" t="s">
        <v>418</v>
      </c>
      <c r="C358" t="s">
        <v>530</v>
      </c>
      <c r="D358" t="s">
        <v>291</v>
      </c>
      <c r="E358" s="1"/>
      <c r="F358" s="1"/>
      <c r="G358" s="1"/>
      <c r="H358" s="1"/>
      <c r="I358">
        <v>0</v>
      </c>
      <c r="J358">
        <v>0</v>
      </c>
      <c r="K358">
        <v>0</v>
      </c>
      <c r="L358" t="s">
        <v>748</v>
      </c>
    </row>
    <row r="359" spans="1:12" x14ac:dyDescent="0.3">
      <c r="A359">
        <v>2029</v>
      </c>
      <c r="B359" t="s">
        <v>422</v>
      </c>
      <c r="C359" t="s">
        <v>423</v>
      </c>
      <c r="D359" t="s">
        <v>291</v>
      </c>
      <c r="E359" s="1"/>
      <c r="F359" s="1"/>
      <c r="G359" s="1"/>
      <c r="H359" s="1"/>
      <c r="I359">
        <v>0</v>
      </c>
      <c r="J359">
        <v>0</v>
      </c>
      <c r="K359">
        <v>0</v>
      </c>
      <c r="L359" t="s">
        <v>748</v>
      </c>
    </row>
    <row r="360" spans="1:12" x14ac:dyDescent="0.3">
      <c r="A360">
        <v>2029</v>
      </c>
      <c r="B360" t="s">
        <v>424</v>
      </c>
      <c r="C360" t="s">
        <v>425</v>
      </c>
      <c r="D360" t="s">
        <v>291</v>
      </c>
      <c r="E360" s="1"/>
      <c r="F360" s="1"/>
      <c r="G360" s="1"/>
      <c r="H360" s="1"/>
      <c r="I360">
        <v>0</v>
      </c>
      <c r="J360">
        <v>0</v>
      </c>
      <c r="K360">
        <v>0</v>
      </c>
      <c r="L360" t="s">
        <v>748</v>
      </c>
    </row>
    <row r="361" spans="1:12" x14ac:dyDescent="0.3">
      <c r="A361">
        <v>2029</v>
      </c>
      <c r="B361" t="s">
        <v>428</v>
      </c>
      <c r="C361" t="s">
        <v>429</v>
      </c>
      <c r="D361" t="s">
        <v>291</v>
      </c>
      <c r="E361" s="1"/>
      <c r="F361" s="1"/>
      <c r="G361" s="1"/>
      <c r="H361" s="1"/>
      <c r="I361">
        <v>0</v>
      </c>
      <c r="J361">
        <v>0</v>
      </c>
      <c r="K361">
        <v>0</v>
      </c>
      <c r="L361" t="s">
        <v>748</v>
      </c>
    </row>
    <row r="362" spans="1:12" x14ac:dyDescent="0.3">
      <c r="A362">
        <v>2029</v>
      </c>
      <c r="B362" t="s">
        <v>432</v>
      </c>
      <c r="C362" t="s">
        <v>433</v>
      </c>
      <c r="D362" t="s">
        <v>291</v>
      </c>
      <c r="E362" s="1"/>
      <c r="F362" s="1"/>
      <c r="G362" s="1"/>
      <c r="H362" s="1"/>
      <c r="I362">
        <v>0</v>
      </c>
      <c r="J362">
        <v>0</v>
      </c>
      <c r="K362">
        <v>0</v>
      </c>
      <c r="L362" t="s">
        <v>748</v>
      </c>
    </row>
    <row r="363" spans="1:12" x14ac:dyDescent="0.3">
      <c r="A363">
        <v>2029</v>
      </c>
      <c r="B363" t="s">
        <v>426</v>
      </c>
      <c r="C363" t="s">
        <v>527</v>
      </c>
      <c r="D363" t="s">
        <v>155</v>
      </c>
      <c r="E363" s="1">
        <v>45827</v>
      </c>
      <c r="F363" s="1">
        <v>46249</v>
      </c>
      <c r="G363" s="1">
        <v>46675</v>
      </c>
      <c r="H363" s="1">
        <v>47041</v>
      </c>
      <c r="I363">
        <v>500</v>
      </c>
      <c r="J363">
        <v>7000</v>
      </c>
      <c r="K363">
        <v>7500</v>
      </c>
      <c r="L363" t="s">
        <v>748</v>
      </c>
    </row>
    <row r="364" spans="1:12" x14ac:dyDescent="0.3">
      <c r="A364">
        <v>2029</v>
      </c>
      <c r="B364" t="s">
        <v>430</v>
      </c>
      <c r="C364" t="s">
        <v>639</v>
      </c>
      <c r="D364" t="s">
        <v>291</v>
      </c>
      <c r="E364" s="1"/>
      <c r="F364" s="1"/>
      <c r="G364" s="1"/>
      <c r="H364" s="1"/>
      <c r="I364">
        <v>50</v>
      </c>
      <c r="J364">
        <v>0</v>
      </c>
      <c r="K364">
        <v>50</v>
      </c>
      <c r="L364" t="s">
        <v>748</v>
      </c>
    </row>
    <row r="365" spans="1:12" x14ac:dyDescent="0.3">
      <c r="A365">
        <v>2029</v>
      </c>
      <c r="B365" t="s">
        <v>436</v>
      </c>
      <c r="C365" t="s">
        <v>437</v>
      </c>
      <c r="D365" t="s">
        <v>291</v>
      </c>
      <c r="E365" s="1"/>
      <c r="F365" s="1"/>
      <c r="G365" s="1"/>
      <c r="H365" s="1"/>
      <c r="I365">
        <v>300</v>
      </c>
      <c r="J365">
        <v>3000</v>
      </c>
      <c r="K365">
        <v>3300</v>
      </c>
      <c r="L365" t="s">
        <v>748</v>
      </c>
    </row>
    <row r="366" spans="1:12" x14ac:dyDescent="0.3">
      <c r="A366">
        <v>2029</v>
      </c>
      <c r="B366" t="s">
        <v>248</v>
      </c>
      <c r="C366" t="s">
        <v>722</v>
      </c>
      <c r="D366" t="s">
        <v>110</v>
      </c>
      <c r="E366" s="1"/>
      <c r="F366" s="1">
        <v>45476</v>
      </c>
      <c r="G366" s="1">
        <v>46006</v>
      </c>
      <c r="H366" s="1">
        <v>46006</v>
      </c>
      <c r="I366">
        <v>0</v>
      </c>
      <c r="J366">
        <v>0</v>
      </c>
      <c r="K366">
        <v>0</v>
      </c>
      <c r="L366" t="s">
        <v>748</v>
      </c>
    </row>
    <row r="367" spans="1:12" x14ac:dyDescent="0.3">
      <c r="A367">
        <v>2029</v>
      </c>
      <c r="B367" t="s">
        <v>438</v>
      </c>
      <c r="C367" t="s">
        <v>439</v>
      </c>
      <c r="D367" t="s">
        <v>291</v>
      </c>
      <c r="E367" s="1"/>
      <c r="F367" s="1"/>
      <c r="G367" s="1"/>
      <c r="H367" s="1"/>
      <c r="I367">
        <v>100</v>
      </c>
      <c r="J367">
        <v>0</v>
      </c>
      <c r="K367">
        <v>100</v>
      </c>
      <c r="L367" t="s">
        <v>748</v>
      </c>
    </row>
    <row r="368" spans="1:12" x14ac:dyDescent="0.3">
      <c r="A368">
        <v>2029</v>
      </c>
      <c r="B368" t="s">
        <v>157</v>
      </c>
      <c r="C368" t="s">
        <v>158</v>
      </c>
      <c r="D368" t="s">
        <v>155</v>
      </c>
      <c r="E368" s="1"/>
      <c r="F368" s="1">
        <v>45991</v>
      </c>
      <c r="G368" s="1"/>
      <c r="H368" s="1">
        <v>46249</v>
      </c>
      <c r="I368">
        <v>0</v>
      </c>
      <c r="J368">
        <v>0</v>
      </c>
      <c r="K368">
        <v>0</v>
      </c>
      <c r="L368" t="s">
        <v>748</v>
      </c>
    </row>
    <row r="369" spans="1:12" x14ac:dyDescent="0.3">
      <c r="A369">
        <v>2029</v>
      </c>
      <c r="B369" t="s">
        <v>440</v>
      </c>
      <c r="C369" t="s">
        <v>441</v>
      </c>
      <c r="D369" t="s">
        <v>155</v>
      </c>
      <c r="E369" s="1"/>
      <c r="F369" s="1">
        <v>45992</v>
      </c>
      <c r="G369" s="1"/>
      <c r="H369" s="1">
        <v>45992</v>
      </c>
      <c r="I369">
        <v>0</v>
      </c>
      <c r="J369">
        <v>0</v>
      </c>
      <c r="K369">
        <v>0</v>
      </c>
      <c r="L369" t="s">
        <v>748</v>
      </c>
    </row>
    <row r="370" spans="1:12" x14ac:dyDescent="0.3">
      <c r="A370">
        <v>2029</v>
      </c>
      <c r="B370" t="s">
        <v>442</v>
      </c>
      <c r="C370" t="s">
        <v>526</v>
      </c>
      <c r="D370" t="s">
        <v>291</v>
      </c>
      <c r="E370" s="1"/>
      <c r="F370" s="1"/>
      <c r="G370" s="1"/>
      <c r="H370" s="1"/>
      <c r="I370">
        <v>0</v>
      </c>
      <c r="J370">
        <v>0</v>
      </c>
      <c r="K370">
        <v>0</v>
      </c>
      <c r="L370" t="s">
        <v>748</v>
      </c>
    </row>
    <row r="371" spans="1:12" x14ac:dyDescent="0.3">
      <c r="A371">
        <v>2029</v>
      </c>
      <c r="B371" t="s">
        <v>250</v>
      </c>
      <c r="C371" t="s">
        <v>251</v>
      </c>
      <c r="D371" t="s">
        <v>110</v>
      </c>
      <c r="E371" s="1"/>
      <c r="F371" s="1">
        <v>45490</v>
      </c>
      <c r="G371" s="1"/>
      <c r="H371" s="1">
        <v>46447</v>
      </c>
      <c r="I371">
        <v>0</v>
      </c>
      <c r="J371">
        <v>0</v>
      </c>
      <c r="K371">
        <v>0</v>
      </c>
      <c r="L371" t="s">
        <v>748</v>
      </c>
    </row>
    <row r="372" spans="1:12" x14ac:dyDescent="0.3">
      <c r="A372">
        <v>2029</v>
      </c>
      <c r="B372" t="s">
        <v>253</v>
      </c>
      <c r="C372" t="s">
        <v>254</v>
      </c>
      <c r="D372" t="s">
        <v>291</v>
      </c>
      <c r="E372" s="1"/>
      <c r="F372" s="1"/>
      <c r="G372" s="1"/>
      <c r="H372" s="1"/>
      <c r="I372">
        <v>0</v>
      </c>
      <c r="J372">
        <v>0</v>
      </c>
      <c r="K372">
        <v>0</v>
      </c>
      <c r="L372" t="s">
        <v>748</v>
      </c>
    </row>
    <row r="373" spans="1:12" x14ac:dyDescent="0.3">
      <c r="A373">
        <v>2029</v>
      </c>
      <c r="B373" t="s">
        <v>444</v>
      </c>
      <c r="C373" t="s">
        <v>666</v>
      </c>
      <c r="D373" t="s">
        <v>291</v>
      </c>
      <c r="E373" s="1"/>
      <c r="F373" s="1"/>
      <c r="G373" s="1"/>
      <c r="H373" s="1"/>
      <c r="I373">
        <v>0</v>
      </c>
      <c r="J373">
        <v>0</v>
      </c>
      <c r="K373">
        <v>0</v>
      </c>
      <c r="L373" t="s">
        <v>748</v>
      </c>
    </row>
    <row r="374" spans="1:12" x14ac:dyDescent="0.3">
      <c r="A374">
        <v>2029</v>
      </c>
      <c r="B374" t="s">
        <v>446</v>
      </c>
      <c r="C374" t="s">
        <v>447</v>
      </c>
      <c r="D374" t="s">
        <v>291</v>
      </c>
      <c r="E374" s="1"/>
      <c r="F374" s="1"/>
      <c r="G374" s="1"/>
      <c r="H374" s="1"/>
      <c r="I374">
        <v>0</v>
      </c>
      <c r="J374">
        <v>0</v>
      </c>
      <c r="K374">
        <v>0</v>
      </c>
      <c r="L374" t="s">
        <v>748</v>
      </c>
    </row>
    <row r="375" spans="1:12" x14ac:dyDescent="0.3">
      <c r="A375">
        <v>2029</v>
      </c>
      <c r="B375" t="s">
        <v>448</v>
      </c>
      <c r="C375" t="s">
        <v>449</v>
      </c>
      <c r="D375" t="s">
        <v>291</v>
      </c>
      <c r="E375" s="1"/>
      <c r="F375" s="1"/>
      <c r="G375" s="1"/>
      <c r="H375" s="1"/>
      <c r="I375">
        <v>0</v>
      </c>
      <c r="J375">
        <v>0</v>
      </c>
      <c r="K375">
        <v>0</v>
      </c>
      <c r="L375" t="s">
        <v>748</v>
      </c>
    </row>
    <row r="376" spans="1:12" x14ac:dyDescent="0.3">
      <c r="A376">
        <v>2029</v>
      </c>
      <c r="B376" t="s">
        <v>255</v>
      </c>
      <c r="C376" t="s">
        <v>529</v>
      </c>
      <c r="D376" t="s">
        <v>291</v>
      </c>
      <c r="E376" s="1"/>
      <c r="F376" s="1"/>
      <c r="G376" s="1"/>
      <c r="H376" s="1">
        <v>46006</v>
      </c>
      <c r="I376">
        <v>0</v>
      </c>
      <c r="J376">
        <v>0</v>
      </c>
      <c r="K376">
        <v>0</v>
      </c>
      <c r="L376" t="s">
        <v>748</v>
      </c>
    </row>
    <row r="377" spans="1:12" x14ac:dyDescent="0.3">
      <c r="A377">
        <v>2029</v>
      </c>
      <c r="B377" t="s">
        <v>259</v>
      </c>
      <c r="C377" t="s">
        <v>260</v>
      </c>
      <c r="D377" t="s">
        <v>291</v>
      </c>
      <c r="E377" s="1"/>
      <c r="F377" s="1"/>
      <c r="G377" s="1"/>
      <c r="H377" s="1"/>
      <c r="I377">
        <v>0</v>
      </c>
      <c r="J377">
        <v>0</v>
      </c>
      <c r="K377">
        <v>0</v>
      </c>
      <c r="L377" t="s">
        <v>749</v>
      </c>
    </row>
    <row r="378" spans="1:12" x14ac:dyDescent="0.3">
      <c r="A378">
        <v>2029</v>
      </c>
      <c r="B378" t="s">
        <v>454</v>
      </c>
      <c r="C378" t="s">
        <v>455</v>
      </c>
      <c r="D378" t="s">
        <v>291</v>
      </c>
      <c r="E378" s="1"/>
      <c r="F378" s="1"/>
      <c r="G378" s="1"/>
      <c r="H378" s="1"/>
      <c r="I378">
        <v>150</v>
      </c>
      <c r="J378">
        <v>0</v>
      </c>
      <c r="K378">
        <v>150</v>
      </c>
      <c r="L378" t="s">
        <v>748</v>
      </c>
    </row>
    <row r="379" spans="1:12" x14ac:dyDescent="0.3">
      <c r="A379">
        <v>2029</v>
      </c>
      <c r="B379" t="s">
        <v>456</v>
      </c>
      <c r="C379" t="s">
        <v>457</v>
      </c>
      <c r="D379" t="s">
        <v>291</v>
      </c>
      <c r="E379" s="1"/>
      <c r="F379" s="1"/>
      <c r="G379" s="1"/>
      <c r="H379" s="1"/>
      <c r="I379">
        <v>0</v>
      </c>
      <c r="J379">
        <v>0</v>
      </c>
      <c r="K379">
        <v>0</v>
      </c>
      <c r="L379" t="s">
        <v>748</v>
      </c>
    </row>
    <row r="380" spans="1:12" x14ac:dyDescent="0.3">
      <c r="A380">
        <v>2029</v>
      </c>
      <c r="B380" t="s">
        <v>458</v>
      </c>
      <c r="C380" t="s">
        <v>459</v>
      </c>
      <c r="D380" t="s">
        <v>291</v>
      </c>
      <c r="E380" s="1"/>
      <c r="F380" s="1"/>
      <c r="G380" s="1"/>
      <c r="H380" s="1"/>
      <c r="I380">
        <v>0</v>
      </c>
      <c r="J380">
        <v>0</v>
      </c>
      <c r="K380">
        <v>0</v>
      </c>
      <c r="L380" t="s">
        <v>748</v>
      </c>
    </row>
    <row r="381" spans="1:12" x14ac:dyDescent="0.3">
      <c r="A381">
        <v>2029</v>
      </c>
      <c r="B381" t="s">
        <v>460</v>
      </c>
      <c r="C381" t="s">
        <v>461</v>
      </c>
      <c r="D381" t="s">
        <v>291</v>
      </c>
      <c r="E381" s="1"/>
      <c r="F381" s="1"/>
      <c r="G381" s="1"/>
      <c r="H381" s="1"/>
      <c r="I381">
        <v>0</v>
      </c>
      <c r="J381">
        <v>0</v>
      </c>
      <c r="K381">
        <v>0</v>
      </c>
      <c r="L381" t="s">
        <v>748</v>
      </c>
    </row>
    <row r="382" spans="1:12" x14ac:dyDescent="0.3">
      <c r="A382">
        <v>2029</v>
      </c>
      <c r="B382" t="s">
        <v>462</v>
      </c>
      <c r="C382" t="s">
        <v>463</v>
      </c>
      <c r="D382" t="s">
        <v>291</v>
      </c>
      <c r="E382" s="1"/>
      <c r="F382" s="1"/>
      <c r="G382" s="1"/>
      <c r="H382" s="1"/>
      <c r="I382">
        <v>0</v>
      </c>
      <c r="J382">
        <v>0</v>
      </c>
      <c r="K382">
        <v>0</v>
      </c>
      <c r="L382" t="s">
        <v>748</v>
      </c>
    </row>
    <row r="383" spans="1:12" x14ac:dyDescent="0.3">
      <c r="A383">
        <v>2029</v>
      </c>
      <c r="B383" t="s">
        <v>464</v>
      </c>
      <c r="C383" t="s">
        <v>465</v>
      </c>
      <c r="D383" t="s">
        <v>291</v>
      </c>
      <c r="E383" s="1"/>
      <c r="F383" s="1"/>
      <c r="G383" s="1"/>
      <c r="H383" s="1"/>
      <c r="I383">
        <v>0</v>
      </c>
      <c r="J383">
        <v>0</v>
      </c>
      <c r="K383">
        <v>0</v>
      </c>
      <c r="L383" t="s">
        <v>748</v>
      </c>
    </row>
    <row r="384" spans="1:12" x14ac:dyDescent="0.3">
      <c r="A384">
        <v>2029</v>
      </c>
      <c r="B384" t="s">
        <v>470</v>
      </c>
      <c r="C384" t="s">
        <v>471</v>
      </c>
      <c r="D384" t="s">
        <v>291</v>
      </c>
      <c r="E384" s="1"/>
      <c r="F384" s="1"/>
      <c r="G384" s="1"/>
      <c r="H384" s="1"/>
      <c r="I384">
        <v>100</v>
      </c>
      <c r="J384">
        <v>0</v>
      </c>
      <c r="K384">
        <v>100</v>
      </c>
      <c r="L384" t="s">
        <v>748</v>
      </c>
    </row>
    <row r="385" spans="1:12" x14ac:dyDescent="0.3">
      <c r="A385">
        <v>2029</v>
      </c>
      <c r="B385" t="s">
        <v>474</v>
      </c>
      <c r="C385" t="s">
        <v>637</v>
      </c>
      <c r="D385" t="s">
        <v>291</v>
      </c>
      <c r="E385" s="1"/>
      <c r="F385" s="1"/>
      <c r="G385" s="1"/>
      <c r="H385" s="1"/>
      <c r="I385">
        <v>0</v>
      </c>
      <c r="J385">
        <v>0</v>
      </c>
      <c r="K385">
        <v>0</v>
      </c>
      <c r="L385" t="s">
        <v>748</v>
      </c>
    </row>
    <row r="386" spans="1:12" x14ac:dyDescent="0.3">
      <c r="A386">
        <v>2029</v>
      </c>
      <c r="B386" t="s">
        <v>511</v>
      </c>
      <c r="C386" t="s">
        <v>512</v>
      </c>
      <c r="D386" t="s">
        <v>155</v>
      </c>
      <c r="E386" s="1"/>
      <c r="F386" s="1">
        <v>46006</v>
      </c>
      <c r="G386" s="1">
        <v>46341</v>
      </c>
      <c r="H386" s="1">
        <v>46706</v>
      </c>
      <c r="I386">
        <v>0</v>
      </c>
      <c r="J386">
        <v>0</v>
      </c>
      <c r="K386">
        <v>0</v>
      </c>
      <c r="L386" t="s">
        <v>748</v>
      </c>
    </row>
    <row r="387" spans="1:12" x14ac:dyDescent="0.3">
      <c r="A387">
        <v>2029</v>
      </c>
      <c r="B387" t="s">
        <v>516</v>
      </c>
      <c r="C387" t="s">
        <v>517</v>
      </c>
      <c r="D387" t="s">
        <v>110</v>
      </c>
      <c r="E387" s="1"/>
      <c r="F387" s="1">
        <v>45904</v>
      </c>
      <c r="G387" s="1"/>
      <c r="H387" s="1">
        <v>46096</v>
      </c>
      <c r="I387">
        <v>0</v>
      </c>
      <c r="J387">
        <v>0</v>
      </c>
      <c r="K387">
        <v>0</v>
      </c>
      <c r="L387" t="s">
        <v>748</v>
      </c>
    </row>
    <row r="388" spans="1:12" x14ac:dyDescent="0.3">
      <c r="A388">
        <v>2029</v>
      </c>
      <c r="B388" t="s">
        <v>518</v>
      </c>
      <c r="C388" t="s">
        <v>519</v>
      </c>
      <c r="D388" t="s">
        <v>155</v>
      </c>
      <c r="E388" s="1"/>
      <c r="F388" s="1">
        <v>46127</v>
      </c>
      <c r="G388" s="1"/>
      <c r="H388" s="1"/>
      <c r="I388">
        <v>0</v>
      </c>
      <c r="J388">
        <v>0</v>
      </c>
      <c r="K388">
        <v>0</v>
      </c>
      <c r="L388" t="s">
        <v>748</v>
      </c>
    </row>
    <row r="389" spans="1:12" x14ac:dyDescent="0.3">
      <c r="A389">
        <v>2029</v>
      </c>
      <c r="B389" t="s">
        <v>522</v>
      </c>
      <c r="C389" t="s">
        <v>523</v>
      </c>
      <c r="D389" t="s">
        <v>291</v>
      </c>
      <c r="E389" s="1"/>
      <c r="F389" s="1"/>
      <c r="G389" s="1"/>
      <c r="H389" s="1"/>
      <c r="I389">
        <v>100</v>
      </c>
      <c r="J389">
        <v>0</v>
      </c>
      <c r="K389">
        <v>100</v>
      </c>
      <c r="L389" t="s">
        <v>748</v>
      </c>
    </row>
    <row r="390" spans="1:12" x14ac:dyDescent="0.3">
      <c r="A390">
        <v>2029</v>
      </c>
      <c r="B390" t="s">
        <v>531</v>
      </c>
      <c r="C390" t="s">
        <v>532</v>
      </c>
      <c r="D390" t="s">
        <v>291</v>
      </c>
      <c r="E390" s="1"/>
      <c r="F390" s="1"/>
      <c r="G390" s="1"/>
      <c r="H390" s="1"/>
      <c r="I390">
        <v>0</v>
      </c>
      <c r="J390">
        <v>0</v>
      </c>
      <c r="K390">
        <v>0</v>
      </c>
      <c r="L390" t="s">
        <v>748</v>
      </c>
    </row>
    <row r="391" spans="1:12" x14ac:dyDescent="0.3">
      <c r="A391">
        <v>2029</v>
      </c>
      <c r="B391" t="s">
        <v>543</v>
      </c>
      <c r="C391" t="s">
        <v>544</v>
      </c>
      <c r="D391" t="s">
        <v>123</v>
      </c>
      <c r="E391" s="1"/>
      <c r="F391" s="1">
        <v>45762</v>
      </c>
      <c r="G391" s="1">
        <v>46096</v>
      </c>
      <c r="H391" s="1">
        <v>46096</v>
      </c>
      <c r="I391">
        <v>0</v>
      </c>
      <c r="J391">
        <v>0</v>
      </c>
      <c r="K391">
        <v>0</v>
      </c>
      <c r="L391" t="s">
        <v>748</v>
      </c>
    </row>
    <row r="392" spans="1:12" x14ac:dyDescent="0.3">
      <c r="A392">
        <v>2029</v>
      </c>
      <c r="B392" t="s">
        <v>597</v>
      </c>
      <c r="C392" t="s">
        <v>598</v>
      </c>
      <c r="D392" t="s">
        <v>291</v>
      </c>
      <c r="E392" s="1"/>
      <c r="F392" s="1"/>
      <c r="G392" s="1"/>
      <c r="H392" s="1"/>
      <c r="I392">
        <v>0</v>
      </c>
      <c r="J392">
        <v>0</v>
      </c>
      <c r="K392">
        <v>0</v>
      </c>
      <c r="L392" t="s">
        <v>748</v>
      </c>
    </row>
    <row r="393" spans="1:12" x14ac:dyDescent="0.3">
      <c r="A393">
        <v>2029</v>
      </c>
      <c r="B393" t="s">
        <v>601</v>
      </c>
      <c r="C393" t="s">
        <v>602</v>
      </c>
      <c r="D393" t="s">
        <v>291</v>
      </c>
      <c r="E393" s="1"/>
      <c r="F393" s="1"/>
      <c r="G393" s="1"/>
      <c r="H393" s="1"/>
      <c r="I393">
        <v>0</v>
      </c>
      <c r="J393">
        <v>0</v>
      </c>
      <c r="K393">
        <v>0</v>
      </c>
      <c r="L393" t="s">
        <v>748</v>
      </c>
    </row>
    <row r="394" spans="1:12" x14ac:dyDescent="0.3">
      <c r="A394">
        <v>2029</v>
      </c>
      <c r="B394" t="s">
        <v>606</v>
      </c>
      <c r="C394" t="s">
        <v>607</v>
      </c>
      <c r="D394" t="s">
        <v>291</v>
      </c>
      <c r="E394" s="1"/>
      <c r="F394" s="1"/>
      <c r="G394" s="1"/>
      <c r="H394" s="1"/>
      <c r="I394">
        <v>0</v>
      </c>
      <c r="J394">
        <v>0</v>
      </c>
      <c r="K394">
        <v>0</v>
      </c>
      <c r="L394" t="s">
        <v>748</v>
      </c>
    </row>
    <row r="395" spans="1:12" x14ac:dyDescent="0.3">
      <c r="A395">
        <v>2029</v>
      </c>
      <c r="B395" t="s">
        <v>647</v>
      </c>
      <c r="C395" t="s">
        <v>648</v>
      </c>
      <c r="D395" t="s">
        <v>291</v>
      </c>
      <c r="E395" s="1"/>
      <c r="F395" s="1"/>
      <c r="G395" s="1"/>
      <c r="H395" s="1"/>
      <c r="I395">
        <v>0</v>
      </c>
      <c r="J395">
        <v>0</v>
      </c>
      <c r="K395">
        <v>0</v>
      </c>
      <c r="L395" t="s">
        <v>748</v>
      </c>
    </row>
    <row r="396" spans="1:12" x14ac:dyDescent="0.3">
      <c r="A396">
        <v>2029</v>
      </c>
      <c r="B396" t="s">
        <v>649</v>
      </c>
      <c r="C396" t="s">
        <v>650</v>
      </c>
      <c r="D396" t="s">
        <v>291</v>
      </c>
      <c r="E396" s="1"/>
      <c r="F396" s="1"/>
      <c r="G396" s="1"/>
      <c r="H396" s="1"/>
      <c r="I396">
        <v>0</v>
      </c>
      <c r="J396">
        <v>0</v>
      </c>
      <c r="K396">
        <v>0</v>
      </c>
      <c r="L396" t="s">
        <v>748</v>
      </c>
    </row>
    <row r="397" spans="1:12" x14ac:dyDescent="0.3">
      <c r="A397">
        <v>2029</v>
      </c>
      <c r="B397" t="s">
        <v>651</v>
      </c>
      <c r="C397" t="s">
        <v>652</v>
      </c>
      <c r="D397" t="s">
        <v>291</v>
      </c>
      <c r="E397" s="1"/>
      <c r="F397" s="1"/>
      <c r="G397" s="1"/>
      <c r="H397" s="1"/>
      <c r="I397">
        <v>0</v>
      </c>
      <c r="J397">
        <v>0</v>
      </c>
      <c r="K397">
        <v>0</v>
      </c>
      <c r="L397" t="s">
        <v>748</v>
      </c>
    </row>
    <row r="398" spans="1:12" x14ac:dyDescent="0.3">
      <c r="A398">
        <v>2029</v>
      </c>
      <c r="B398" t="s">
        <v>653</v>
      </c>
      <c r="C398" t="s">
        <v>654</v>
      </c>
      <c r="D398" t="s">
        <v>291</v>
      </c>
      <c r="E398" s="1"/>
      <c r="F398" s="1"/>
      <c r="G398" s="1"/>
      <c r="H398" s="1"/>
      <c r="I398">
        <v>250</v>
      </c>
      <c r="J398">
        <v>1000</v>
      </c>
      <c r="K398">
        <v>1250</v>
      </c>
      <c r="L398" t="s">
        <v>748</v>
      </c>
    </row>
    <row r="399" spans="1:12" x14ac:dyDescent="0.3">
      <c r="A399">
        <v>2029</v>
      </c>
      <c r="B399" t="s">
        <v>712</v>
      </c>
      <c r="C399" t="s">
        <v>686</v>
      </c>
      <c r="E399" s="1"/>
      <c r="F399" s="1"/>
      <c r="G399" s="1"/>
      <c r="H399" s="1"/>
      <c r="I399">
        <v>100</v>
      </c>
      <c r="J399">
        <v>0</v>
      </c>
      <c r="K399">
        <v>100</v>
      </c>
      <c r="L399" t="s">
        <v>748</v>
      </c>
    </row>
    <row r="400" spans="1:12" x14ac:dyDescent="0.3">
      <c r="A400">
        <v>2029</v>
      </c>
      <c r="B400" t="s">
        <v>713</v>
      </c>
      <c r="C400" t="s">
        <v>693</v>
      </c>
      <c r="E400" s="1"/>
      <c r="F400" s="1"/>
      <c r="G400" s="1"/>
      <c r="H400" s="1"/>
      <c r="I400">
        <v>0</v>
      </c>
      <c r="J400">
        <v>0</v>
      </c>
      <c r="K400">
        <v>0</v>
      </c>
      <c r="L400" t="s">
        <v>748</v>
      </c>
    </row>
    <row r="401" spans="1:12" x14ac:dyDescent="0.3">
      <c r="A401">
        <v>2029</v>
      </c>
      <c r="B401" t="s">
        <v>714</v>
      </c>
      <c r="C401" t="s">
        <v>697</v>
      </c>
      <c r="E401" s="1"/>
      <c r="F401" s="1"/>
      <c r="G401" s="1"/>
      <c r="H401" s="1"/>
      <c r="I401">
        <v>75</v>
      </c>
      <c r="J401">
        <v>1500</v>
      </c>
      <c r="K401">
        <v>1575</v>
      </c>
      <c r="L401" t="s">
        <v>748</v>
      </c>
    </row>
    <row r="402" spans="1:12" x14ac:dyDescent="0.3">
      <c r="A402">
        <v>2029</v>
      </c>
      <c r="B402" t="s">
        <v>715</v>
      </c>
      <c r="C402" t="s">
        <v>694</v>
      </c>
      <c r="E402" s="1"/>
      <c r="F402" s="1"/>
      <c r="G402" s="1"/>
      <c r="H402" s="1"/>
      <c r="I402">
        <v>0</v>
      </c>
      <c r="J402">
        <v>0</v>
      </c>
      <c r="K402">
        <v>0</v>
      </c>
      <c r="L402" t="s">
        <v>748</v>
      </c>
    </row>
    <row r="403" spans="1:12" x14ac:dyDescent="0.3">
      <c r="A403">
        <v>2029</v>
      </c>
      <c r="B403" t="s">
        <v>716</v>
      </c>
      <c r="C403" t="s">
        <v>702</v>
      </c>
      <c r="E403" s="1"/>
      <c r="F403" s="1"/>
      <c r="G403" s="1"/>
      <c r="H403" s="1"/>
      <c r="I403">
        <v>100</v>
      </c>
      <c r="J403">
        <v>875</v>
      </c>
      <c r="K403">
        <v>975</v>
      </c>
      <c r="L403" t="s">
        <v>748</v>
      </c>
    </row>
    <row r="404" spans="1:12" x14ac:dyDescent="0.3">
      <c r="A404">
        <v>2029</v>
      </c>
      <c r="B404" t="s">
        <v>717</v>
      </c>
      <c r="C404" t="s">
        <v>695</v>
      </c>
      <c r="E404" s="1"/>
      <c r="F404" s="1"/>
      <c r="G404" s="1"/>
      <c r="H404" s="1"/>
      <c r="I404">
        <v>50</v>
      </c>
      <c r="J404">
        <v>500</v>
      </c>
      <c r="K404">
        <v>550</v>
      </c>
      <c r="L404" t="s">
        <v>748</v>
      </c>
    </row>
    <row r="405" spans="1:12" x14ac:dyDescent="0.3">
      <c r="A405">
        <v>2029</v>
      </c>
      <c r="B405" t="s">
        <v>718</v>
      </c>
      <c r="C405" t="s">
        <v>696</v>
      </c>
      <c r="E405" s="1"/>
      <c r="F405" s="1"/>
      <c r="G405" s="1"/>
      <c r="H405" s="1"/>
      <c r="I405">
        <v>0</v>
      </c>
      <c r="J405">
        <v>0</v>
      </c>
      <c r="K405">
        <v>0</v>
      </c>
      <c r="L405" t="s">
        <v>748</v>
      </c>
    </row>
    <row r="406" spans="1:12" hidden="1" x14ac:dyDescent="0.3">
      <c r="A406">
        <v>2030</v>
      </c>
      <c r="B406" t="s">
        <v>364</v>
      </c>
      <c r="C406" t="s">
        <v>365</v>
      </c>
      <c r="D406" t="s">
        <v>291</v>
      </c>
      <c r="E406" s="1"/>
      <c r="F406" s="1"/>
      <c r="G406" s="1"/>
      <c r="H406" s="1"/>
      <c r="I406">
        <v>400</v>
      </c>
      <c r="J406">
        <v>0</v>
      </c>
      <c r="K406">
        <v>400</v>
      </c>
      <c r="L406" t="s">
        <v>748</v>
      </c>
    </row>
    <row r="407" spans="1:12" hidden="1" x14ac:dyDescent="0.3">
      <c r="A407">
        <v>2030</v>
      </c>
      <c r="B407" t="s">
        <v>366</v>
      </c>
      <c r="C407" t="s">
        <v>367</v>
      </c>
      <c r="D407" t="s">
        <v>155</v>
      </c>
      <c r="E407" s="1">
        <v>46006</v>
      </c>
      <c r="F407" s="1">
        <v>46157</v>
      </c>
      <c r="G407" s="1">
        <v>46645</v>
      </c>
      <c r="H407" s="1">
        <v>47011</v>
      </c>
      <c r="I407">
        <v>600</v>
      </c>
      <c r="J407">
        <v>5000</v>
      </c>
      <c r="K407">
        <v>5600</v>
      </c>
      <c r="L407" t="s">
        <v>748</v>
      </c>
    </row>
    <row r="408" spans="1:12" hidden="1" x14ac:dyDescent="0.3">
      <c r="A408">
        <v>2030</v>
      </c>
      <c r="B408" t="s">
        <v>162</v>
      </c>
      <c r="C408" t="s">
        <v>163</v>
      </c>
      <c r="D408" t="s">
        <v>164</v>
      </c>
      <c r="E408" s="1"/>
      <c r="F408" s="1"/>
      <c r="G408" s="1"/>
      <c r="H408" s="1"/>
      <c r="I408">
        <v>0</v>
      </c>
      <c r="J408">
        <v>0</v>
      </c>
      <c r="K408">
        <v>0</v>
      </c>
      <c r="L408" t="s">
        <v>748</v>
      </c>
    </row>
    <row r="409" spans="1:12" hidden="1" x14ac:dyDescent="0.3">
      <c r="A409">
        <v>2030</v>
      </c>
      <c r="B409" t="s">
        <v>166</v>
      </c>
      <c r="C409" t="s">
        <v>167</v>
      </c>
      <c r="D409" t="s">
        <v>155</v>
      </c>
      <c r="E409" s="1">
        <v>42499</v>
      </c>
      <c r="F409" s="1">
        <v>45976</v>
      </c>
      <c r="G409" s="1">
        <v>46402</v>
      </c>
      <c r="H409" s="1">
        <v>46980</v>
      </c>
      <c r="I409">
        <v>395</v>
      </c>
      <c r="J409">
        <v>3275</v>
      </c>
      <c r="K409">
        <v>3670</v>
      </c>
      <c r="L409" t="s">
        <v>748</v>
      </c>
    </row>
    <row r="410" spans="1:12" hidden="1" x14ac:dyDescent="0.3">
      <c r="A410">
        <v>2030</v>
      </c>
      <c r="B410" t="s">
        <v>170</v>
      </c>
      <c r="C410" t="s">
        <v>171</v>
      </c>
      <c r="D410" t="s">
        <v>110</v>
      </c>
      <c r="E410" s="1"/>
      <c r="F410" s="1">
        <v>44833</v>
      </c>
      <c r="G410" s="1">
        <v>45976</v>
      </c>
      <c r="H410" s="1">
        <v>46310</v>
      </c>
      <c r="I410">
        <v>0</v>
      </c>
      <c r="J410">
        <v>0</v>
      </c>
      <c r="K410">
        <v>0</v>
      </c>
      <c r="L410" t="s">
        <v>748</v>
      </c>
    </row>
    <row r="411" spans="1:12" hidden="1" x14ac:dyDescent="0.3">
      <c r="A411">
        <v>2030</v>
      </c>
      <c r="B411" t="s">
        <v>137</v>
      </c>
      <c r="C411" t="s">
        <v>138</v>
      </c>
      <c r="D411" t="s">
        <v>123</v>
      </c>
      <c r="E411" s="1"/>
      <c r="F411" s="1">
        <v>45062</v>
      </c>
      <c r="G411" s="1">
        <v>45754</v>
      </c>
      <c r="H411" s="1">
        <v>45945</v>
      </c>
      <c r="I411">
        <v>0</v>
      </c>
      <c r="J411">
        <v>0</v>
      </c>
      <c r="K411">
        <v>0</v>
      </c>
      <c r="L411" t="s">
        <v>748</v>
      </c>
    </row>
    <row r="412" spans="1:12" hidden="1" x14ac:dyDescent="0.3">
      <c r="A412">
        <v>2030</v>
      </c>
      <c r="B412" t="s">
        <v>181</v>
      </c>
      <c r="C412" t="s">
        <v>296</v>
      </c>
      <c r="D412" t="s">
        <v>110</v>
      </c>
      <c r="E412" s="1"/>
      <c r="F412" s="1">
        <v>45590</v>
      </c>
      <c r="G412" s="1">
        <v>46157</v>
      </c>
      <c r="H412" s="1">
        <v>46157</v>
      </c>
      <c r="I412">
        <v>0</v>
      </c>
      <c r="J412">
        <v>0</v>
      </c>
      <c r="K412">
        <v>0</v>
      </c>
      <c r="L412" t="s">
        <v>748</v>
      </c>
    </row>
    <row r="413" spans="1:12" hidden="1" x14ac:dyDescent="0.3">
      <c r="A413">
        <v>2030</v>
      </c>
      <c r="B413" t="s">
        <v>185</v>
      </c>
      <c r="C413" t="s">
        <v>186</v>
      </c>
      <c r="D413" t="s">
        <v>110</v>
      </c>
      <c r="E413" s="1"/>
      <c r="F413" s="1">
        <v>44823</v>
      </c>
      <c r="G413" s="1">
        <v>46310</v>
      </c>
      <c r="H413" s="1">
        <v>46521</v>
      </c>
      <c r="I413">
        <v>0</v>
      </c>
      <c r="J413">
        <v>0</v>
      </c>
      <c r="K413">
        <v>0</v>
      </c>
      <c r="L413" t="s">
        <v>748</v>
      </c>
    </row>
    <row r="414" spans="1:12" hidden="1" x14ac:dyDescent="0.3">
      <c r="A414">
        <v>2030</v>
      </c>
      <c r="B414" t="s">
        <v>189</v>
      </c>
      <c r="C414" t="s">
        <v>190</v>
      </c>
      <c r="D414" t="s">
        <v>123</v>
      </c>
      <c r="E414" s="1"/>
      <c r="F414" s="1">
        <v>45684</v>
      </c>
      <c r="G414" s="1"/>
      <c r="H414" s="1">
        <v>46006</v>
      </c>
      <c r="I414">
        <v>0</v>
      </c>
      <c r="J414">
        <v>0</v>
      </c>
      <c r="K414">
        <v>0</v>
      </c>
      <c r="L414" t="s">
        <v>749</v>
      </c>
    </row>
    <row r="415" spans="1:12" hidden="1" x14ac:dyDescent="0.3">
      <c r="A415">
        <v>2030</v>
      </c>
      <c r="B415" t="s">
        <v>132</v>
      </c>
      <c r="C415" t="s">
        <v>288</v>
      </c>
      <c r="D415" t="s">
        <v>123</v>
      </c>
      <c r="E415" s="1"/>
      <c r="F415" s="1">
        <v>45218</v>
      </c>
      <c r="G415" s="1">
        <v>45722</v>
      </c>
      <c r="H415" s="1">
        <v>45976</v>
      </c>
      <c r="I415">
        <v>0</v>
      </c>
      <c r="J415">
        <v>0</v>
      </c>
      <c r="K415">
        <v>0</v>
      </c>
      <c r="L415" t="s">
        <v>749</v>
      </c>
    </row>
    <row r="416" spans="1:12" hidden="1" x14ac:dyDescent="0.3">
      <c r="A416">
        <v>2030</v>
      </c>
      <c r="B416" t="s">
        <v>141</v>
      </c>
      <c r="C416" t="s">
        <v>142</v>
      </c>
      <c r="D416" t="s">
        <v>123</v>
      </c>
      <c r="E416" s="1">
        <v>42499</v>
      </c>
      <c r="F416" s="1">
        <v>42900</v>
      </c>
      <c r="G416" s="1">
        <v>45323</v>
      </c>
      <c r="H416" s="1">
        <v>45889</v>
      </c>
      <c r="I416">
        <v>0</v>
      </c>
      <c r="J416">
        <v>0</v>
      </c>
      <c r="K416">
        <v>0</v>
      </c>
      <c r="L416" t="s">
        <v>748</v>
      </c>
    </row>
    <row r="417" spans="1:12" hidden="1" x14ac:dyDescent="0.3">
      <c r="A417">
        <v>2030</v>
      </c>
      <c r="B417" t="s">
        <v>368</v>
      </c>
      <c r="C417" t="s">
        <v>369</v>
      </c>
      <c r="D417" t="s">
        <v>291</v>
      </c>
      <c r="E417" s="1"/>
      <c r="F417" s="1"/>
      <c r="G417" s="1"/>
      <c r="H417" s="1"/>
      <c r="I417">
        <v>200</v>
      </c>
      <c r="J417">
        <v>0</v>
      </c>
      <c r="K417">
        <v>200</v>
      </c>
      <c r="L417" t="s">
        <v>748</v>
      </c>
    </row>
    <row r="418" spans="1:12" hidden="1" x14ac:dyDescent="0.3">
      <c r="A418">
        <v>2030</v>
      </c>
      <c r="B418" t="s">
        <v>160</v>
      </c>
      <c r="C418" t="s">
        <v>161</v>
      </c>
      <c r="D418" t="s">
        <v>164</v>
      </c>
      <c r="E418" s="1">
        <v>43013</v>
      </c>
      <c r="F418" s="1">
        <v>44956</v>
      </c>
      <c r="G418" s="1">
        <v>45321</v>
      </c>
      <c r="H418" s="1">
        <v>45687</v>
      </c>
      <c r="I418">
        <v>0</v>
      </c>
      <c r="J418">
        <v>0</v>
      </c>
      <c r="K418">
        <v>0</v>
      </c>
      <c r="L418" t="s">
        <v>748</v>
      </c>
    </row>
    <row r="419" spans="1:12" hidden="1" x14ac:dyDescent="0.3">
      <c r="A419">
        <v>2030</v>
      </c>
      <c r="B419" t="s">
        <v>371</v>
      </c>
      <c r="C419" t="s">
        <v>372</v>
      </c>
      <c r="D419" t="s">
        <v>291</v>
      </c>
      <c r="E419" s="1"/>
      <c r="F419" s="1"/>
      <c r="G419" s="1"/>
      <c r="H419" s="1"/>
      <c r="I419">
        <v>200</v>
      </c>
      <c r="J419">
        <v>0</v>
      </c>
      <c r="K419">
        <v>200</v>
      </c>
      <c r="L419" t="s">
        <v>748</v>
      </c>
    </row>
    <row r="420" spans="1:12" hidden="1" x14ac:dyDescent="0.3">
      <c r="A420">
        <v>2030</v>
      </c>
      <c r="B420" t="s">
        <v>195</v>
      </c>
      <c r="C420" t="s">
        <v>196</v>
      </c>
      <c r="D420" t="s">
        <v>110</v>
      </c>
      <c r="E420" s="1"/>
      <c r="F420" s="1">
        <v>44889</v>
      </c>
      <c r="G420" s="1">
        <v>46068</v>
      </c>
      <c r="H420" s="1">
        <v>46583</v>
      </c>
      <c r="I420">
        <v>112</v>
      </c>
      <c r="J420">
        <v>21000</v>
      </c>
      <c r="K420">
        <v>21112</v>
      </c>
      <c r="L420" t="s">
        <v>748</v>
      </c>
    </row>
    <row r="421" spans="1:12" hidden="1" x14ac:dyDescent="0.3">
      <c r="A421">
        <v>2030</v>
      </c>
      <c r="B421" t="s">
        <v>375</v>
      </c>
      <c r="C421" t="s">
        <v>376</v>
      </c>
      <c r="D421" t="s">
        <v>155</v>
      </c>
      <c r="E421" s="1">
        <v>46006</v>
      </c>
      <c r="F421" s="1">
        <v>46280</v>
      </c>
      <c r="G421" s="1">
        <v>46645</v>
      </c>
      <c r="H421" s="1">
        <v>47011</v>
      </c>
      <c r="I421">
        <v>500</v>
      </c>
      <c r="J421">
        <v>6000</v>
      </c>
      <c r="K421">
        <v>6500</v>
      </c>
      <c r="L421" t="s">
        <v>748</v>
      </c>
    </row>
    <row r="422" spans="1:12" hidden="1" x14ac:dyDescent="0.3">
      <c r="A422">
        <v>2030</v>
      </c>
      <c r="B422" t="s">
        <v>174</v>
      </c>
      <c r="C422" t="s">
        <v>175</v>
      </c>
      <c r="D422" t="s">
        <v>164</v>
      </c>
      <c r="E422" s="1">
        <v>44014</v>
      </c>
      <c r="F422" s="1">
        <v>44014</v>
      </c>
      <c r="G422" s="1">
        <v>44294</v>
      </c>
      <c r="H422" s="1">
        <v>45239</v>
      </c>
      <c r="I422">
        <v>0</v>
      </c>
      <c r="J422">
        <v>0</v>
      </c>
      <c r="K422">
        <v>0</v>
      </c>
      <c r="L422" t="s">
        <v>748</v>
      </c>
    </row>
    <row r="423" spans="1:12" hidden="1" x14ac:dyDescent="0.3">
      <c r="A423">
        <v>2030</v>
      </c>
      <c r="B423" t="s">
        <v>203</v>
      </c>
      <c r="C423" t="s">
        <v>204</v>
      </c>
      <c r="D423" t="s">
        <v>155</v>
      </c>
      <c r="E423" s="1">
        <v>45730</v>
      </c>
      <c r="F423" s="1">
        <v>45960</v>
      </c>
      <c r="G423" s="1">
        <v>46264</v>
      </c>
      <c r="H423" s="1">
        <v>46629</v>
      </c>
      <c r="I423">
        <v>0</v>
      </c>
      <c r="J423">
        <v>0</v>
      </c>
      <c r="K423">
        <v>0</v>
      </c>
      <c r="L423" t="s">
        <v>748</v>
      </c>
    </row>
    <row r="424" spans="1:12" hidden="1" x14ac:dyDescent="0.3">
      <c r="A424">
        <v>2030</v>
      </c>
      <c r="B424" t="s">
        <v>114</v>
      </c>
      <c r="C424" t="s">
        <v>719</v>
      </c>
      <c r="D424" t="s">
        <v>123</v>
      </c>
      <c r="E424" s="1"/>
      <c r="F424" s="1">
        <v>45105</v>
      </c>
      <c r="G424" s="1">
        <v>45789</v>
      </c>
      <c r="H424" s="1">
        <v>45932</v>
      </c>
      <c r="I424">
        <v>0</v>
      </c>
      <c r="J424">
        <v>0</v>
      </c>
      <c r="K424">
        <v>0</v>
      </c>
      <c r="L424" t="s">
        <v>749</v>
      </c>
    </row>
    <row r="425" spans="1:12" hidden="1" x14ac:dyDescent="0.3">
      <c r="A425">
        <v>2030</v>
      </c>
      <c r="B425" t="s">
        <v>207</v>
      </c>
      <c r="C425" t="s">
        <v>208</v>
      </c>
      <c r="D425" t="s">
        <v>155</v>
      </c>
      <c r="E425" s="1">
        <v>44476</v>
      </c>
      <c r="F425" s="1">
        <v>45976</v>
      </c>
      <c r="G425" s="1">
        <v>46096</v>
      </c>
      <c r="H425" s="1">
        <v>46280</v>
      </c>
      <c r="I425">
        <v>0</v>
      </c>
      <c r="J425">
        <v>0</v>
      </c>
      <c r="K425">
        <v>0</v>
      </c>
      <c r="L425" t="s">
        <v>749</v>
      </c>
    </row>
    <row r="426" spans="1:12" hidden="1" x14ac:dyDescent="0.3">
      <c r="A426">
        <v>2030</v>
      </c>
      <c r="B426" t="s">
        <v>377</v>
      </c>
      <c r="C426" t="s">
        <v>378</v>
      </c>
      <c r="D426" t="s">
        <v>155</v>
      </c>
      <c r="E426" s="1"/>
      <c r="F426" s="1">
        <v>46068</v>
      </c>
      <c r="G426" s="1">
        <v>46461</v>
      </c>
      <c r="H426" s="1">
        <v>46888</v>
      </c>
      <c r="I426">
        <v>0</v>
      </c>
      <c r="J426">
        <v>0</v>
      </c>
      <c r="K426">
        <v>0</v>
      </c>
      <c r="L426" t="s">
        <v>748</v>
      </c>
    </row>
    <row r="427" spans="1:12" hidden="1" x14ac:dyDescent="0.3">
      <c r="A427">
        <v>2030</v>
      </c>
      <c r="B427" t="s">
        <v>210</v>
      </c>
      <c r="C427" t="s">
        <v>211</v>
      </c>
      <c r="D427" t="s">
        <v>155</v>
      </c>
      <c r="E427" s="1"/>
      <c r="F427" s="1">
        <v>45976</v>
      </c>
      <c r="G427" s="1">
        <v>46341</v>
      </c>
      <c r="H427" s="1">
        <v>46706</v>
      </c>
      <c r="I427">
        <v>0</v>
      </c>
      <c r="J427">
        <v>0</v>
      </c>
      <c r="K427">
        <v>0</v>
      </c>
      <c r="L427" t="s">
        <v>748</v>
      </c>
    </row>
    <row r="428" spans="1:12" hidden="1" x14ac:dyDescent="0.3">
      <c r="A428">
        <v>2030</v>
      </c>
      <c r="B428" t="s">
        <v>379</v>
      </c>
      <c r="C428" t="s">
        <v>380</v>
      </c>
      <c r="D428" t="s">
        <v>291</v>
      </c>
      <c r="E428" s="1"/>
      <c r="F428" s="1"/>
      <c r="G428" s="1"/>
      <c r="H428" s="1"/>
      <c r="I428">
        <v>0</v>
      </c>
      <c r="J428">
        <v>0</v>
      </c>
      <c r="K428">
        <v>0</v>
      </c>
      <c r="L428" t="s">
        <v>748</v>
      </c>
    </row>
    <row r="429" spans="1:12" hidden="1" x14ac:dyDescent="0.3">
      <c r="A429">
        <v>2030</v>
      </c>
      <c r="B429" t="s">
        <v>383</v>
      </c>
      <c r="C429" t="s">
        <v>384</v>
      </c>
      <c r="D429" t="s">
        <v>291</v>
      </c>
      <c r="E429" s="1"/>
      <c r="F429" s="1"/>
      <c r="G429" s="1"/>
      <c r="H429" s="1"/>
      <c r="I429">
        <v>0</v>
      </c>
      <c r="J429">
        <v>0</v>
      </c>
      <c r="K429">
        <v>0</v>
      </c>
      <c r="L429" t="s">
        <v>748</v>
      </c>
    </row>
    <row r="430" spans="1:12" hidden="1" x14ac:dyDescent="0.3">
      <c r="A430">
        <v>2030</v>
      </c>
      <c r="B430" t="s">
        <v>212</v>
      </c>
      <c r="C430" t="s">
        <v>213</v>
      </c>
      <c r="D430" t="s">
        <v>155</v>
      </c>
      <c r="E430" s="1">
        <v>45337</v>
      </c>
      <c r="F430" s="1">
        <v>46127</v>
      </c>
      <c r="G430" s="1">
        <v>46798</v>
      </c>
      <c r="H430" s="1">
        <v>47192</v>
      </c>
      <c r="I430">
        <v>300</v>
      </c>
      <c r="J430">
        <v>5000</v>
      </c>
      <c r="K430">
        <v>5300</v>
      </c>
      <c r="L430" t="s">
        <v>748</v>
      </c>
    </row>
    <row r="431" spans="1:12" hidden="1" x14ac:dyDescent="0.3">
      <c r="A431">
        <v>2030</v>
      </c>
      <c r="B431" t="s">
        <v>385</v>
      </c>
      <c r="C431" t="s">
        <v>740</v>
      </c>
      <c r="D431" t="s">
        <v>155</v>
      </c>
      <c r="E431" s="1">
        <v>45672</v>
      </c>
      <c r="F431" s="1">
        <v>45960</v>
      </c>
      <c r="G431" s="1">
        <v>46266</v>
      </c>
      <c r="H431" s="1">
        <v>46631</v>
      </c>
      <c r="I431">
        <v>0</v>
      </c>
      <c r="J431">
        <v>0</v>
      </c>
      <c r="K431">
        <v>0</v>
      </c>
      <c r="L431" t="s">
        <v>748</v>
      </c>
    </row>
    <row r="432" spans="1:12" hidden="1" x14ac:dyDescent="0.3">
      <c r="A432">
        <v>2030</v>
      </c>
      <c r="B432" t="s">
        <v>220</v>
      </c>
      <c r="C432" t="s">
        <v>221</v>
      </c>
      <c r="D432" t="s">
        <v>155</v>
      </c>
      <c r="E432" s="1"/>
      <c r="F432" s="1">
        <v>45976</v>
      </c>
      <c r="G432" s="1">
        <v>46264</v>
      </c>
      <c r="H432" s="1">
        <v>46553</v>
      </c>
      <c r="I432">
        <v>0</v>
      </c>
      <c r="J432">
        <v>0</v>
      </c>
      <c r="K432">
        <v>0</v>
      </c>
      <c r="L432" t="s">
        <v>748</v>
      </c>
    </row>
    <row r="433" spans="1:12" hidden="1" x14ac:dyDescent="0.3">
      <c r="A433">
        <v>2030</v>
      </c>
      <c r="B433" t="s">
        <v>224</v>
      </c>
      <c r="C433" t="s">
        <v>520</v>
      </c>
      <c r="D433" t="s">
        <v>123</v>
      </c>
      <c r="E433" s="1">
        <v>44365</v>
      </c>
      <c r="F433" s="1">
        <v>44623</v>
      </c>
      <c r="G433" s="1">
        <v>45698</v>
      </c>
      <c r="H433" s="1">
        <v>46341</v>
      </c>
      <c r="I433">
        <v>27.999999999999993</v>
      </c>
      <c r="J433">
        <v>5153.0000000000009</v>
      </c>
      <c r="K433">
        <v>5181.0000000000009</v>
      </c>
      <c r="L433" t="s">
        <v>748</v>
      </c>
    </row>
    <row r="434" spans="1:12" hidden="1" x14ac:dyDescent="0.3">
      <c r="A434">
        <v>2030</v>
      </c>
      <c r="B434" t="s">
        <v>373</v>
      </c>
      <c r="C434" t="s">
        <v>374</v>
      </c>
      <c r="D434" t="s">
        <v>155</v>
      </c>
      <c r="E434" s="1">
        <v>45833</v>
      </c>
      <c r="F434" s="1">
        <v>45960</v>
      </c>
      <c r="G434" s="1">
        <v>46280</v>
      </c>
      <c r="H434" s="1">
        <v>46645</v>
      </c>
      <c r="I434">
        <v>500</v>
      </c>
      <c r="J434">
        <v>8000</v>
      </c>
      <c r="K434">
        <v>8500</v>
      </c>
      <c r="L434" t="s">
        <v>748</v>
      </c>
    </row>
    <row r="435" spans="1:12" hidden="1" x14ac:dyDescent="0.3">
      <c r="A435">
        <v>2030</v>
      </c>
      <c r="B435" t="s">
        <v>226</v>
      </c>
      <c r="C435" t="s">
        <v>227</v>
      </c>
      <c r="D435" t="s">
        <v>110</v>
      </c>
      <c r="E435" s="1"/>
      <c r="F435" s="1">
        <v>45330</v>
      </c>
      <c r="G435" s="1">
        <v>46690</v>
      </c>
      <c r="H435" s="1">
        <v>47376</v>
      </c>
      <c r="I435">
        <v>1000</v>
      </c>
      <c r="J435">
        <v>0</v>
      </c>
      <c r="K435">
        <v>1000</v>
      </c>
      <c r="L435" t="s">
        <v>748</v>
      </c>
    </row>
    <row r="436" spans="1:12" hidden="1" x14ac:dyDescent="0.3">
      <c r="A436">
        <v>2030</v>
      </c>
      <c r="B436" t="s">
        <v>145</v>
      </c>
      <c r="C436" t="s">
        <v>720</v>
      </c>
      <c r="D436" t="s">
        <v>110</v>
      </c>
      <c r="E436" s="1"/>
      <c r="F436" s="1">
        <v>44609</v>
      </c>
      <c r="G436" s="1">
        <v>45996</v>
      </c>
      <c r="H436" s="1">
        <v>46310</v>
      </c>
      <c r="I436">
        <v>0</v>
      </c>
      <c r="J436">
        <v>0</v>
      </c>
      <c r="K436">
        <v>0</v>
      </c>
      <c r="L436" t="s">
        <v>748</v>
      </c>
    </row>
    <row r="437" spans="1:12" hidden="1" x14ac:dyDescent="0.3">
      <c r="A437">
        <v>2030</v>
      </c>
      <c r="B437" t="s">
        <v>231</v>
      </c>
      <c r="C437" t="s">
        <v>232</v>
      </c>
      <c r="D437" t="s">
        <v>110</v>
      </c>
      <c r="E437" s="1"/>
      <c r="F437" s="1">
        <v>45099</v>
      </c>
      <c r="G437" s="1">
        <v>46037</v>
      </c>
      <c r="H437" s="1">
        <v>46283</v>
      </c>
      <c r="I437">
        <v>0</v>
      </c>
      <c r="J437">
        <v>0</v>
      </c>
      <c r="K437">
        <v>0</v>
      </c>
      <c r="L437" t="s">
        <v>748</v>
      </c>
    </row>
    <row r="438" spans="1:12" hidden="1" x14ac:dyDescent="0.3">
      <c r="A438">
        <v>2030</v>
      </c>
      <c r="B438" t="s">
        <v>233</v>
      </c>
      <c r="C438" t="s">
        <v>542</v>
      </c>
      <c r="D438" t="s">
        <v>155</v>
      </c>
      <c r="E438" s="1"/>
      <c r="F438" s="1">
        <v>46127</v>
      </c>
      <c r="G438" s="1">
        <v>46553</v>
      </c>
      <c r="H438" s="1">
        <v>46980</v>
      </c>
      <c r="I438">
        <v>0</v>
      </c>
      <c r="J438">
        <v>0</v>
      </c>
      <c r="K438">
        <v>0</v>
      </c>
      <c r="L438" t="s">
        <v>748</v>
      </c>
    </row>
    <row r="439" spans="1:12" hidden="1" x14ac:dyDescent="0.3">
      <c r="A439">
        <v>2030</v>
      </c>
      <c r="B439" t="s">
        <v>235</v>
      </c>
      <c r="C439" t="s">
        <v>510</v>
      </c>
      <c r="D439" t="s">
        <v>110</v>
      </c>
      <c r="E439" s="1"/>
      <c r="F439" s="1">
        <v>45706</v>
      </c>
      <c r="G439" s="1">
        <v>46055</v>
      </c>
      <c r="H439" s="1">
        <v>46273</v>
      </c>
      <c r="I439">
        <v>0</v>
      </c>
      <c r="J439">
        <v>0</v>
      </c>
      <c r="K439">
        <v>0</v>
      </c>
      <c r="L439" t="s">
        <v>748</v>
      </c>
    </row>
    <row r="440" spans="1:12" hidden="1" x14ac:dyDescent="0.3">
      <c r="A440">
        <v>2030</v>
      </c>
      <c r="B440" t="s">
        <v>398</v>
      </c>
      <c r="C440" t="s">
        <v>541</v>
      </c>
      <c r="D440" t="s">
        <v>291</v>
      </c>
      <c r="E440" s="1"/>
      <c r="F440" s="1"/>
      <c r="G440" s="1"/>
      <c r="H440" s="1"/>
      <c r="I440">
        <v>700</v>
      </c>
      <c r="J440">
        <v>15000</v>
      </c>
      <c r="K440">
        <v>15700</v>
      </c>
      <c r="L440" t="s">
        <v>748</v>
      </c>
    </row>
    <row r="441" spans="1:12" hidden="1" x14ac:dyDescent="0.3">
      <c r="A441">
        <v>2030</v>
      </c>
      <c r="B441" t="s">
        <v>237</v>
      </c>
      <c r="C441" t="s">
        <v>665</v>
      </c>
      <c r="D441" t="s">
        <v>110</v>
      </c>
      <c r="E441" s="1"/>
      <c r="F441" s="1">
        <v>45915</v>
      </c>
      <c r="G441" s="1">
        <v>46037</v>
      </c>
      <c r="H441" s="1">
        <v>46310</v>
      </c>
      <c r="I441">
        <v>0</v>
      </c>
      <c r="J441">
        <v>0</v>
      </c>
      <c r="K441">
        <v>0</v>
      </c>
      <c r="L441" t="s">
        <v>748</v>
      </c>
    </row>
    <row r="442" spans="1:12" hidden="1" x14ac:dyDescent="0.3">
      <c r="A442">
        <v>2030</v>
      </c>
      <c r="B442" t="s">
        <v>400</v>
      </c>
      <c r="C442" t="s">
        <v>401</v>
      </c>
      <c r="D442" t="s">
        <v>155</v>
      </c>
      <c r="E442" s="1">
        <v>45946</v>
      </c>
      <c r="F442" s="1">
        <v>46002</v>
      </c>
      <c r="G442" s="1">
        <v>46461</v>
      </c>
      <c r="H442" s="1">
        <v>46794</v>
      </c>
      <c r="I442">
        <v>0</v>
      </c>
      <c r="J442">
        <v>0</v>
      </c>
      <c r="K442">
        <v>0</v>
      </c>
      <c r="L442" t="s">
        <v>748</v>
      </c>
    </row>
    <row r="443" spans="1:12" hidden="1" x14ac:dyDescent="0.3">
      <c r="A443">
        <v>2030</v>
      </c>
      <c r="B443" t="s">
        <v>106</v>
      </c>
      <c r="C443" t="s">
        <v>107</v>
      </c>
      <c r="D443" t="s">
        <v>123</v>
      </c>
      <c r="E443" s="1"/>
      <c r="F443" s="1">
        <v>45014</v>
      </c>
      <c r="G443" s="1">
        <v>45799</v>
      </c>
      <c r="H443" s="1">
        <v>46006</v>
      </c>
      <c r="I443">
        <v>0</v>
      </c>
      <c r="J443">
        <v>0</v>
      </c>
      <c r="K443">
        <v>0</v>
      </c>
      <c r="L443" t="s">
        <v>749</v>
      </c>
    </row>
    <row r="444" spans="1:12" hidden="1" x14ac:dyDescent="0.3">
      <c r="A444">
        <v>2030</v>
      </c>
      <c r="B444" t="s">
        <v>240</v>
      </c>
      <c r="C444" t="s">
        <v>241</v>
      </c>
      <c r="D444" t="s">
        <v>110</v>
      </c>
      <c r="E444" s="1"/>
      <c r="F444" s="1">
        <v>45708</v>
      </c>
      <c r="G444" s="1">
        <v>45923</v>
      </c>
      <c r="H444" s="1">
        <v>46296</v>
      </c>
      <c r="I444">
        <v>0</v>
      </c>
      <c r="J444">
        <v>0</v>
      </c>
      <c r="K444">
        <v>0</v>
      </c>
      <c r="L444" t="s">
        <v>748</v>
      </c>
    </row>
    <row r="445" spans="1:12" hidden="1" x14ac:dyDescent="0.3">
      <c r="A445">
        <v>2030</v>
      </c>
      <c r="B445" t="s">
        <v>153</v>
      </c>
      <c r="C445" t="s">
        <v>154</v>
      </c>
      <c r="D445" t="s">
        <v>123</v>
      </c>
      <c r="E445" s="1"/>
      <c r="F445" s="1">
        <v>45601</v>
      </c>
      <c r="G445" s="1">
        <v>45731</v>
      </c>
      <c r="H445" s="1">
        <v>45976</v>
      </c>
      <c r="I445">
        <v>0</v>
      </c>
      <c r="J445">
        <v>0</v>
      </c>
      <c r="K445">
        <v>0</v>
      </c>
      <c r="L445" t="s">
        <v>749</v>
      </c>
    </row>
    <row r="446" spans="1:12" hidden="1" x14ac:dyDescent="0.3">
      <c r="A446">
        <v>2030</v>
      </c>
      <c r="B446" t="s">
        <v>403</v>
      </c>
      <c r="C446" t="s">
        <v>643</v>
      </c>
      <c r="D446" t="s">
        <v>155</v>
      </c>
      <c r="E446" s="1">
        <v>46006</v>
      </c>
      <c r="F446" s="1">
        <v>46218</v>
      </c>
      <c r="G446" s="1">
        <v>46722</v>
      </c>
      <c r="H446" s="1">
        <v>47011</v>
      </c>
      <c r="I446">
        <v>200</v>
      </c>
      <c r="J446">
        <v>10500</v>
      </c>
      <c r="K446">
        <v>10700</v>
      </c>
      <c r="L446" t="s">
        <v>748</v>
      </c>
    </row>
    <row r="447" spans="1:12" hidden="1" x14ac:dyDescent="0.3">
      <c r="A447">
        <v>2030</v>
      </c>
      <c r="B447" t="s">
        <v>150</v>
      </c>
      <c r="C447" t="s">
        <v>721</v>
      </c>
      <c r="D447" t="s">
        <v>123</v>
      </c>
      <c r="E447" s="1"/>
      <c r="F447" s="1">
        <v>45079</v>
      </c>
      <c r="G447" s="1">
        <v>45685</v>
      </c>
      <c r="H447" s="1">
        <v>46142</v>
      </c>
      <c r="I447">
        <v>0</v>
      </c>
      <c r="J447">
        <v>0</v>
      </c>
      <c r="K447">
        <v>0</v>
      </c>
      <c r="L447" t="s">
        <v>748</v>
      </c>
    </row>
    <row r="448" spans="1:12" hidden="1" x14ac:dyDescent="0.3">
      <c r="A448">
        <v>2030</v>
      </c>
      <c r="B448" t="s">
        <v>407</v>
      </c>
      <c r="C448" t="s">
        <v>514</v>
      </c>
      <c r="D448" t="s">
        <v>155</v>
      </c>
      <c r="E448" s="1"/>
      <c r="F448" s="1">
        <v>46127</v>
      </c>
      <c r="G448" s="1">
        <v>46492</v>
      </c>
      <c r="H448" s="1">
        <v>46706</v>
      </c>
      <c r="I448">
        <v>0</v>
      </c>
      <c r="J448">
        <v>0</v>
      </c>
      <c r="K448">
        <v>0</v>
      </c>
      <c r="L448" t="s">
        <v>749</v>
      </c>
    </row>
    <row r="449" spans="1:12" hidden="1" x14ac:dyDescent="0.3">
      <c r="A449">
        <v>2030</v>
      </c>
      <c r="B449" t="s">
        <v>405</v>
      </c>
      <c r="C449" t="s">
        <v>406</v>
      </c>
      <c r="D449" t="s">
        <v>155</v>
      </c>
      <c r="E449" s="1">
        <v>45763</v>
      </c>
      <c r="F449" s="1">
        <v>46054</v>
      </c>
      <c r="G449" s="1">
        <v>46427</v>
      </c>
      <c r="H449" s="1">
        <v>46813</v>
      </c>
      <c r="I449">
        <v>600</v>
      </c>
      <c r="J449">
        <v>5500</v>
      </c>
      <c r="K449">
        <v>6100</v>
      </c>
      <c r="L449" t="s">
        <v>748</v>
      </c>
    </row>
    <row r="450" spans="1:12" hidden="1" x14ac:dyDescent="0.3">
      <c r="A450">
        <v>2030</v>
      </c>
      <c r="B450" t="s">
        <v>243</v>
      </c>
      <c r="C450" t="s">
        <v>739</v>
      </c>
      <c r="D450" t="s">
        <v>155</v>
      </c>
      <c r="E450" s="1">
        <v>45588</v>
      </c>
      <c r="F450" s="1">
        <v>45976</v>
      </c>
      <c r="G450" s="1">
        <v>46280</v>
      </c>
      <c r="H450" s="1">
        <v>46433</v>
      </c>
      <c r="I450">
        <v>0</v>
      </c>
      <c r="J450">
        <v>0</v>
      </c>
      <c r="K450">
        <v>0</v>
      </c>
      <c r="L450" t="s">
        <v>748</v>
      </c>
    </row>
    <row r="451" spans="1:12" hidden="1" x14ac:dyDescent="0.3">
      <c r="A451">
        <v>2030</v>
      </c>
      <c r="B451" t="s">
        <v>246</v>
      </c>
      <c r="C451" t="s">
        <v>515</v>
      </c>
      <c r="D451" t="s">
        <v>110</v>
      </c>
      <c r="E451" s="1"/>
      <c r="F451" s="1">
        <v>45679</v>
      </c>
      <c r="G451" s="1">
        <v>46096</v>
      </c>
      <c r="H451" s="1">
        <v>46371</v>
      </c>
      <c r="I451">
        <v>0</v>
      </c>
      <c r="J451">
        <v>0</v>
      </c>
      <c r="K451">
        <v>0</v>
      </c>
      <c r="L451" t="s">
        <v>748</v>
      </c>
    </row>
    <row r="452" spans="1:12" hidden="1" x14ac:dyDescent="0.3">
      <c r="A452">
        <v>2030</v>
      </c>
      <c r="B452" t="s">
        <v>409</v>
      </c>
      <c r="C452" t="s">
        <v>410</v>
      </c>
      <c r="D452" t="s">
        <v>155</v>
      </c>
      <c r="E452" s="1"/>
      <c r="F452" s="1">
        <v>46143</v>
      </c>
      <c r="G452" s="1">
        <v>46508</v>
      </c>
      <c r="H452" s="1">
        <v>46874</v>
      </c>
      <c r="I452">
        <v>0</v>
      </c>
      <c r="J452">
        <v>0</v>
      </c>
      <c r="K452">
        <v>0</v>
      </c>
      <c r="L452" t="s">
        <v>748</v>
      </c>
    </row>
    <row r="453" spans="1:12" hidden="1" x14ac:dyDescent="0.3">
      <c r="A453">
        <v>2030</v>
      </c>
      <c r="B453" t="s">
        <v>412</v>
      </c>
      <c r="C453" t="s">
        <v>644</v>
      </c>
      <c r="D453" t="s">
        <v>291</v>
      </c>
      <c r="E453" s="1"/>
      <c r="F453" s="1"/>
      <c r="G453" s="1"/>
      <c r="H453" s="1"/>
      <c r="I453">
        <v>120</v>
      </c>
      <c r="J453">
        <v>1300</v>
      </c>
      <c r="K453">
        <v>1420</v>
      </c>
      <c r="L453" t="s">
        <v>748</v>
      </c>
    </row>
    <row r="454" spans="1:12" hidden="1" x14ac:dyDescent="0.3">
      <c r="A454">
        <v>2030</v>
      </c>
      <c r="B454" t="s">
        <v>415</v>
      </c>
      <c r="C454" t="s">
        <v>416</v>
      </c>
      <c r="D454" t="s">
        <v>155</v>
      </c>
      <c r="E454" s="1"/>
      <c r="F454" s="1">
        <v>46143</v>
      </c>
      <c r="G454" s="1">
        <v>46508</v>
      </c>
      <c r="H454" s="1">
        <v>46874</v>
      </c>
      <c r="I454">
        <v>0</v>
      </c>
      <c r="J454">
        <v>0</v>
      </c>
      <c r="K454">
        <v>0</v>
      </c>
      <c r="L454" t="s">
        <v>748</v>
      </c>
    </row>
    <row r="455" spans="1:12" hidden="1" x14ac:dyDescent="0.3">
      <c r="A455">
        <v>2030</v>
      </c>
      <c r="B455" t="s">
        <v>381</v>
      </c>
      <c r="C455" t="s">
        <v>382</v>
      </c>
      <c r="D455" t="s">
        <v>291</v>
      </c>
      <c r="E455" s="1"/>
      <c r="F455" s="1"/>
      <c r="G455" s="1"/>
      <c r="H455" s="1"/>
      <c r="I455">
        <v>0</v>
      </c>
      <c r="J455">
        <v>0</v>
      </c>
      <c r="K455">
        <v>0</v>
      </c>
      <c r="L455" t="s">
        <v>748</v>
      </c>
    </row>
    <row r="456" spans="1:12" hidden="1" x14ac:dyDescent="0.3">
      <c r="A456">
        <v>2030</v>
      </c>
      <c r="B456" t="s">
        <v>635</v>
      </c>
      <c r="C456" t="s">
        <v>636</v>
      </c>
      <c r="D456" t="s">
        <v>155</v>
      </c>
      <c r="E456" s="1"/>
      <c r="F456" s="1">
        <v>46266</v>
      </c>
      <c r="G456" s="1">
        <v>46631</v>
      </c>
      <c r="H456" s="1">
        <v>46997</v>
      </c>
      <c r="I456">
        <v>750</v>
      </c>
      <c r="J456">
        <v>0</v>
      </c>
      <c r="K456">
        <v>750</v>
      </c>
      <c r="L456" t="s">
        <v>748</v>
      </c>
    </row>
    <row r="457" spans="1:12" hidden="1" x14ac:dyDescent="0.3">
      <c r="A457">
        <v>2030</v>
      </c>
      <c r="B457" t="s">
        <v>393</v>
      </c>
      <c r="C457" t="s">
        <v>394</v>
      </c>
      <c r="D457" t="s">
        <v>291</v>
      </c>
      <c r="E457" s="1"/>
      <c r="F457" s="1"/>
      <c r="G457" s="1"/>
      <c r="H457" s="1"/>
      <c r="I457">
        <v>0</v>
      </c>
      <c r="J457">
        <v>0</v>
      </c>
      <c r="K457">
        <v>0</v>
      </c>
      <c r="L457" t="s">
        <v>748</v>
      </c>
    </row>
    <row r="458" spans="1:12" hidden="1" x14ac:dyDescent="0.3">
      <c r="A458">
        <v>2030</v>
      </c>
      <c r="B458" t="s">
        <v>396</v>
      </c>
      <c r="C458" t="s">
        <v>397</v>
      </c>
      <c r="D458" t="s">
        <v>155</v>
      </c>
      <c r="E458" s="1">
        <v>46068</v>
      </c>
      <c r="F458" s="1">
        <v>46371</v>
      </c>
      <c r="G458" s="1">
        <v>46736</v>
      </c>
      <c r="H458" s="1">
        <v>47102</v>
      </c>
      <c r="I458">
        <v>0</v>
      </c>
      <c r="J458">
        <v>0</v>
      </c>
      <c r="K458">
        <v>0</v>
      </c>
      <c r="L458" t="s">
        <v>748</v>
      </c>
    </row>
    <row r="459" spans="1:12" hidden="1" x14ac:dyDescent="0.3">
      <c r="A459">
        <v>2030</v>
      </c>
      <c r="B459" t="s">
        <v>418</v>
      </c>
      <c r="C459" t="s">
        <v>530</v>
      </c>
      <c r="D459" t="s">
        <v>291</v>
      </c>
      <c r="E459" s="1"/>
      <c r="F459" s="1"/>
      <c r="G459" s="1"/>
      <c r="H459" s="1"/>
      <c r="I459">
        <v>100</v>
      </c>
      <c r="J459">
        <v>0</v>
      </c>
      <c r="K459">
        <v>100</v>
      </c>
      <c r="L459" t="s">
        <v>748</v>
      </c>
    </row>
    <row r="460" spans="1:12" hidden="1" x14ac:dyDescent="0.3">
      <c r="A460">
        <v>2030</v>
      </c>
      <c r="B460" t="s">
        <v>422</v>
      </c>
      <c r="C460" t="s">
        <v>423</v>
      </c>
      <c r="D460" t="s">
        <v>291</v>
      </c>
      <c r="E460" s="1"/>
      <c r="F460" s="1"/>
      <c r="G460" s="1"/>
      <c r="H460" s="1"/>
      <c r="I460">
        <v>0</v>
      </c>
      <c r="J460">
        <v>0</v>
      </c>
      <c r="K460">
        <v>0</v>
      </c>
      <c r="L460" t="s">
        <v>748</v>
      </c>
    </row>
    <row r="461" spans="1:12" hidden="1" x14ac:dyDescent="0.3">
      <c r="A461">
        <v>2030</v>
      </c>
      <c r="B461" t="s">
        <v>424</v>
      </c>
      <c r="C461" t="s">
        <v>425</v>
      </c>
      <c r="D461" t="s">
        <v>291</v>
      </c>
      <c r="E461" s="1"/>
      <c r="F461" s="1"/>
      <c r="G461" s="1"/>
      <c r="H461" s="1"/>
      <c r="I461">
        <v>0</v>
      </c>
      <c r="J461">
        <v>0</v>
      </c>
      <c r="K461">
        <v>0</v>
      </c>
      <c r="L461" t="s">
        <v>748</v>
      </c>
    </row>
    <row r="462" spans="1:12" hidden="1" x14ac:dyDescent="0.3">
      <c r="A462">
        <v>2030</v>
      </c>
      <c r="B462" t="s">
        <v>428</v>
      </c>
      <c r="C462" t="s">
        <v>429</v>
      </c>
      <c r="D462" t="s">
        <v>291</v>
      </c>
      <c r="E462" s="1"/>
      <c r="F462" s="1"/>
      <c r="G462" s="1"/>
      <c r="H462" s="1"/>
      <c r="I462">
        <v>0</v>
      </c>
      <c r="J462">
        <v>0</v>
      </c>
      <c r="K462">
        <v>0</v>
      </c>
      <c r="L462" t="s">
        <v>748</v>
      </c>
    </row>
    <row r="463" spans="1:12" hidden="1" x14ac:dyDescent="0.3">
      <c r="A463">
        <v>2030</v>
      </c>
      <c r="B463" t="s">
        <v>432</v>
      </c>
      <c r="C463" t="s">
        <v>433</v>
      </c>
      <c r="D463" t="s">
        <v>291</v>
      </c>
      <c r="E463" s="1"/>
      <c r="F463" s="1"/>
      <c r="G463" s="1"/>
      <c r="H463" s="1"/>
      <c r="I463">
        <v>100</v>
      </c>
      <c r="J463">
        <v>0</v>
      </c>
      <c r="K463">
        <v>100</v>
      </c>
      <c r="L463" t="s">
        <v>748</v>
      </c>
    </row>
    <row r="464" spans="1:12" hidden="1" x14ac:dyDescent="0.3">
      <c r="A464">
        <v>2030</v>
      </c>
      <c r="B464" t="s">
        <v>426</v>
      </c>
      <c r="C464" t="s">
        <v>527</v>
      </c>
      <c r="D464" t="s">
        <v>155</v>
      </c>
      <c r="E464" s="1">
        <v>45827</v>
      </c>
      <c r="F464" s="1">
        <v>46249</v>
      </c>
      <c r="G464" s="1">
        <v>46675</v>
      </c>
      <c r="H464" s="1">
        <v>47041</v>
      </c>
      <c r="I464">
        <v>0</v>
      </c>
      <c r="J464">
        <v>0</v>
      </c>
      <c r="K464">
        <v>0</v>
      </c>
      <c r="L464" t="s">
        <v>748</v>
      </c>
    </row>
    <row r="465" spans="1:12" hidden="1" x14ac:dyDescent="0.3">
      <c r="A465">
        <v>2030</v>
      </c>
      <c r="B465" t="s">
        <v>430</v>
      </c>
      <c r="C465" t="s">
        <v>639</v>
      </c>
      <c r="D465" t="s">
        <v>291</v>
      </c>
      <c r="E465" s="1"/>
      <c r="F465" s="1"/>
      <c r="G465" s="1"/>
      <c r="H465" s="1"/>
      <c r="I465">
        <v>100</v>
      </c>
      <c r="J465">
        <v>1000</v>
      </c>
      <c r="K465">
        <v>1100</v>
      </c>
      <c r="L465" t="s">
        <v>748</v>
      </c>
    </row>
    <row r="466" spans="1:12" hidden="1" x14ac:dyDescent="0.3">
      <c r="A466">
        <v>2030</v>
      </c>
      <c r="B466" t="s">
        <v>436</v>
      </c>
      <c r="C466" t="s">
        <v>437</v>
      </c>
      <c r="D466" t="s">
        <v>291</v>
      </c>
      <c r="E466" s="1"/>
      <c r="F466" s="1"/>
      <c r="G466" s="1"/>
      <c r="H466" s="1"/>
      <c r="I466">
        <v>0</v>
      </c>
      <c r="J466">
        <v>0</v>
      </c>
      <c r="K466">
        <v>0</v>
      </c>
      <c r="L466" t="s">
        <v>748</v>
      </c>
    </row>
    <row r="467" spans="1:12" hidden="1" x14ac:dyDescent="0.3">
      <c r="A467">
        <v>2030</v>
      </c>
      <c r="B467" t="s">
        <v>248</v>
      </c>
      <c r="C467" t="s">
        <v>722</v>
      </c>
      <c r="D467" t="s">
        <v>110</v>
      </c>
      <c r="E467" s="1"/>
      <c r="F467" s="1">
        <v>45476</v>
      </c>
      <c r="G467" s="1">
        <v>46006</v>
      </c>
      <c r="H467" s="1">
        <v>46006</v>
      </c>
      <c r="I467">
        <v>0</v>
      </c>
      <c r="J467">
        <v>0</v>
      </c>
      <c r="K467">
        <v>0</v>
      </c>
      <c r="L467" t="s">
        <v>748</v>
      </c>
    </row>
    <row r="468" spans="1:12" hidden="1" x14ac:dyDescent="0.3">
      <c r="A468">
        <v>2030</v>
      </c>
      <c r="B468" t="s">
        <v>438</v>
      </c>
      <c r="C468" t="s">
        <v>439</v>
      </c>
      <c r="D468" t="s">
        <v>291</v>
      </c>
      <c r="E468" s="1"/>
      <c r="F468" s="1"/>
      <c r="G468" s="1"/>
      <c r="H468" s="1"/>
      <c r="I468">
        <v>175</v>
      </c>
      <c r="J468">
        <v>1500</v>
      </c>
      <c r="K468">
        <v>1675</v>
      </c>
      <c r="L468" t="s">
        <v>748</v>
      </c>
    </row>
    <row r="469" spans="1:12" hidden="1" x14ac:dyDescent="0.3">
      <c r="A469">
        <v>2030</v>
      </c>
      <c r="B469" t="s">
        <v>157</v>
      </c>
      <c r="C469" t="s">
        <v>158</v>
      </c>
      <c r="D469" t="s">
        <v>155</v>
      </c>
      <c r="E469" s="1"/>
      <c r="F469" s="1">
        <v>45991</v>
      </c>
      <c r="G469" s="1"/>
      <c r="H469" s="1">
        <v>46249</v>
      </c>
      <c r="I469">
        <v>0</v>
      </c>
      <c r="J469">
        <v>0</v>
      </c>
      <c r="K469">
        <v>0</v>
      </c>
      <c r="L469" t="s">
        <v>748</v>
      </c>
    </row>
    <row r="470" spans="1:12" hidden="1" x14ac:dyDescent="0.3">
      <c r="A470">
        <v>2030</v>
      </c>
      <c r="B470" t="s">
        <v>440</v>
      </c>
      <c r="C470" t="s">
        <v>441</v>
      </c>
      <c r="D470" t="s">
        <v>155</v>
      </c>
      <c r="E470" s="1"/>
      <c r="F470" s="1">
        <v>45992</v>
      </c>
      <c r="G470" s="1"/>
      <c r="H470" s="1">
        <v>45992</v>
      </c>
      <c r="I470">
        <v>0</v>
      </c>
      <c r="J470">
        <v>0</v>
      </c>
      <c r="K470">
        <v>0</v>
      </c>
      <c r="L470" t="s">
        <v>748</v>
      </c>
    </row>
    <row r="471" spans="1:12" hidden="1" x14ac:dyDescent="0.3">
      <c r="A471">
        <v>2030</v>
      </c>
      <c r="B471" t="s">
        <v>442</v>
      </c>
      <c r="C471" t="s">
        <v>526</v>
      </c>
      <c r="D471" t="s">
        <v>291</v>
      </c>
      <c r="E471" s="1"/>
      <c r="F471" s="1"/>
      <c r="G471" s="1"/>
      <c r="H471" s="1"/>
      <c r="I471">
        <v>200</v>
      </c>
      <c r="J471">
        <v>0</v>
      </c>
      <c r="K471">
        <v>200</v>
      </c>
      <c r="L471" t="s">
        <v>748</v>
      </c>
    </row>
    <row r="472" spans="1:12" hidden="1" x14ac:dyDescent="0.3">
      <c r="A472">
        <v>2030</v>
      </c>
      <c r="B472" t="s">
        <v>250</v>
      </c>
      <c r="C472" t="s">
        <v>251</v>
      </c>
      <c r="D472" t="s">
        <v>110</v>
      </c>
      <c r="E472" s="1"/>
      <c r="F472" s="1">
        <v>45490</v>
      </c>
      <c r="G472" s="1"/>
      <c r="H472" s="1">
        <v>46447</v>
      </c>
      <c r="I472">
        <v>0</v>
      </c>
      <c r="J472">
        <v>0</v>
      </c>
      <c r="K472">
        <v>0</v>
      </c>
      <c r="L472" t="s">
        <v>748</v>
      </c>
    </row>
    <row r="473" spans="1:12" hidden="1" x14ac:dyDescent="0.3">
      <c r="A473">
        <v>2030</v>
      </c>
      <c r="B473" t="s">
        <v>253</v>
      </c>
      <c r="C473" t="s">
        <v>254</v>
      </c>
      <c r="D473" t="s">
        <v>291</v>
      </c>
      <c r="E473" s="1"/>
      <c r="F473" s="1"/>
      <c r="G473" s="1"/>
      <c r="H473" s="1"/>
      <c r="I473">
        <v>0</v>
      </c>
      <c r="J473">
        <v>0</v>
      </c>
      <c r="K473">
        <v>0</v>
      </c>
      <c r="L473" t="s">
        <v>748</v>
      </c>
    </row>
    <row r="474" spans="1:12" hidden="1" x14ac:dyDescent="0.3">
      <c r="A474">
        <v>2030</v>
      </c>
      <c r="B474" t="s">
        <v>444</v>
      </c>
      <c r="C474" t="s">
        <v>666</v>
      </c>
      <c r="D474" t="s">
        <v>291</v>
      </c>
      <c r="E474" s="1"/>
      <c r="F474" s="1"/>
      <c r="G474" s="1"/>
      <c r="H474" s="1"/>
      <c r="I474">
        <v>150</v>
      </c>
      <c r="J474">
        <v>0</v>
      </c>
      <c r="K474">
        <v>150</v>
      </c>
      <c r="L474" t="s">
        <v>748</v>
      </c>
    </row>
    <row r="475" spans="1:12" hidden="1" x14ac:dyDescent="0.3">
      <c r="A475">
        <v>2030</v>
      </c>
      <c r="B475" t="s">
        <v>446</v>
      </c>
      <c r="C475" t="s">
        <v>447</v>
      </c>
      <c r="D475" t="s">
        <v>291</v>
      </c>
      <c r="E475" s="1"/>
      <c r="F475" s="1"/>
      <c r="G475" s="1"/>
      <c r="H475" s="1"/>
      <c r="I475">
        <v>0</v>
      </c>
      <c r="J475">
        <v>0</v>
      </c>
      <c r="K475">
        <v>0</v>
      </c>
      <c r="L475" t="s">
        <v>748</v>
      </c>
    </row>
    <row r="476" spans="1:12" hidden="1" x14ac:dyDescent="0.3">
      <c r="A476">
        <v>2030</v>
      </c>
      <c r="B476" t="s">
        <v>448</v>
      </c>
      <c r="C476" t="s">
        <v>449</v>
      </c>
      <c r="D476" t="s">
        <v>291</v>
      </c>
      <c r="E476" s="1"/>
      <c r="F476" s="1"/>
      <c r="G476" s="1"/>
      <c r="H476" s="1"/>
      <c r="I476">
        <v>0</v>
      </c>
      <c r="J476">
        <v>0</v>
      </c>
      <c r="K476">
        <v>0</v>
      </c>
      <c r="L476" t="s">
        <v>748</v>
      </c>
    </row>
    <row r="477" spans="1:12" hidden="1" x14ac:dyDescent="0.3">
      <c r="A477">
        <v>2030</v>
      </c>
      <c r="B477" t="s">
        <v>255</v>
      </c>
      <c r="C477" t="s">
        <v>529</v>
      </c>
      <c r="D477" t="s">
        <v>291</v>
      </c>
      <c r="E477" s="1"/>
      <c r="F477" s="1"/>
      <c r="G477" s="1"/>
      <c r="H477" s="1">
        <v>46006</v>
      </c>
      <c r="I477">
        <v>0</v>
      </c>
      <c r="J477">
        <v>0</v>
      </c>
      <c r="K477">
        <v>0</v>
      </c>
      <c r="L477" t="s">
        <v>748</v>
      </c>
    </row>
    <row r="478" spans="1:12" hidden="1" x14ac:dyDescent="0.3">
      <c r="A478">
        <v>2030</v>
      </c>
      <c r="B478" t="s">
        <v>259</v>
      </c>
      <c r="C478" t="s">
        <v>260</v>
      </c>
      <c r="D478" t="s">
        <v>291</v>
      </c>
      <c r="E478" s="1"/>
      <c r="F478" s="1"/>
      <c r="G478" s="1"/>
      <c r="H478" s="1"/>
      <c r="I478">
        <v>0</v>
      </c>
      <c r="J478">
        <v>0</v>
      </c>
      <c r="K478">
        <v>0</v>
      </c>
      <c r="L478" t="s">
        <v>749</v>
      </c>
    </row>
    <row r="479" spans="1:12" hidden="1" x14ac:dyDescent="0.3">
      <c r="A479">
        <v>2030</v>
      </c>
      <c r="B479" t="s">
        <v>454</v>
      </c>
      <c r="C479" t="s">
        <v>455</v>
      </c>
      <c r="D479" t="s">
        <v>291</v>
      </c>
      <c r="E479" s="1"/>
      <c r="F479" s="1"/>
      <c r="G479" s="1"/>
      <c r="H479" s="1"/>
      <c r="I479">
        <v>150</v>
      </c>
      <c r="J479">
        <v>0</v>
      </c>
      <c r="K479">
        <v>150</v>
      </c>
      <c r="L479" t="s">
        <v>748</v>
      </c>
    </row>
    <row r="480" spans="1:12" hidden="1" x14ac:dyDescent="0.3">
      <c r="A480">
        <v>2030</v>
      </c>
      <c r="B480" t="s">
        <v>456</v>
      </c>
      <c r="C480" t="s">
        <v>457</v>
      </c>
      <c r="D480" t="s">
        <v>291</v>
      </c>
      <c r="E480" s="1"/>
      <c r="F480" s="1"/>
      <c r="G480" s="1"/>
      <c r="H480" s="1"/>
      <c r="I480">
        <v>0</v>
      </c>
      <c r="J480">
        <v>0</v>
      </c>
      <c r="K480">
        <v>0</v>
      </c>
      <c r="L480" t="s">
        <v>748</v>
      </c>
    </row>
    <row r="481" spans="1:12" hidden="1" x14ac:dyDescent="0.3">
      <c r="A481">
        <v>2030</v>
      </c>
      <c r="B481" t="s">
        <v>458</v>
      </c>
      <c r="C481" t="s">
        <v>459</v>
      </c>
      <c r="D481" t="s">
        <v>291</v>
      </c>
      <c r="E481" s="1"/>
      <c r="F481" s="1"/>
      <c r="G481" s="1"/>
      <c r="H481" s="1"/>
      <c r="I481">
        <v>0</v>
      </c>
      <c r="J481">
        <v>0</v>
      </c>
      <c r="K481">
        <v>0</v>
      </c>
      <c r="L481" t="s">
        <v>748</v>
      </c>
    </row>
    <row r="482" spans="1:12" hidden="1" x14ac:dyDescent="0.3">
      <c r="A482">
        <v>2030</v>
      </c>
      <c r="B482" t="s">
        <v>460</v>
      </c>
      <c r="C482" t="s">
        <v>461</v>
      </c>
      <c r="D482" t="s">
        <v>291</v>
      </c>
      <c r="E482" s="1"/>
      <c r="F482" s="1"/>
      <c r="G482" s="1"/>
      <c r="H482" s="1"/>
      <c r="I482">
        <v>0</v>
      </c>
      <c r="J482">
        <v>0</v>
      </c>
      <c r="K482">
        <v>0</v>
      </c>
      <c r="L482" t="s">
        <v>748</v>
      </c>
    </row>
    <row r="483" spans="1:12" hidden="1" x14ac:dyDescent="0.3">
      <c r="A483">
        <v>2030</v>
      </c>
      <c r="B483" t="s">
        <v>462</v>
      </c>
      <c r="C483" t="s">
        <v>463</v>
      </c>
      <c r="D483" t="s">
        <v>291</v>
      </c>
      <c r="E483" s="1"/>
      <c r="F483" s="1"/>
      <c r="G483" s="1"/>
      <c r="H483" s="1"/>
      <c r="I483">
        <v>0</v>
      </c>
      <c r="J483">
        <v>0</v>
      </c>
      <c r="K483">
        <v>0</v>
      </c>
      <c r="L483" t="s">
        <v>748</v>
      </c>
    </row>
    <row r="484" spans="1:12" hidden="1" x14ac:dyDescent="0.3">
      <c r="A484">
        <v>2030</v>
      </c>
      <c r="B484" t="s">
        <v>464</v>
      </c>
      <c r="C484" t="s">
        <v>465</v>
      </c>
      <c r="D484" t="s">
        <v>291</v>
      </c>
      <c r="E484" s="1"/>
      <c r="F484" s="1"/>
      <c r="G484" s="1"/>
      <c r="H484" s="1"/>
      <c r="I484">
        <v>0</v>
      </c>
      <c r="J484">
        <v>0</v>
      </c>
      <c r="K484">
        <v>0</v>
      </c>
      <c r="L484" t="s">
        <v>748</v>
      </c>
    </row>
    <row r="485" spans="1:12" hidden="1" x14ac:dyDescent="0.3">
      <c r="A485">
        <v>2030</v>
      </c>
      <c r="B485" t="s">
        <v>470</v>
      </c>
      <c r="C485" t="s">
        <v>471</v>
      </c>
      <c r="D485" t="s">
        <v>291</v>
      </c>
      <c r="E485" s="1"/>
      <c r="F485" s="1"/>
      <c r="G485" s="1"/>
      <c r="H485" s="1"/>
      <c r="I485">
        <v>100</v>
      </c>
      <c r="J485">
        <v>0</v>
      </c>
      <c r="K485">
        <v>100</v>
      </c>
      <c r="L485" t="s">
        <v>748</v>
      </c>
    </row>
    <row r="486" spans="1:12" hidden="1" x14ac:dyDescent="0.3">
      <c r="A486">
        <v>2030</v>
      </c>
      <c r="B486" t="s">
        <v>474</v>
      </c>
      <c r="C486" t="s">
        <v>637</v>
      </c>
      <c r="D486" t="s">
        <v>291</v>
      </c>
      <c r="E486" s="1"/>
      <c r="F486" s="1"/>
      <c r="G486" s="1"/>
      <c r="H486" s="1"/>
      <c r="I486">
        <v>0</v>
      </c>
      <c r="J486">
        <v>0</v>
      </c>
      <c r="K486">
        <v>0</v>
      </c>
      <c r="L486" t="s">
        <v>748</v>
      </c>
    </row>
    <row r="487" spans="1:12" hidden="1" x14ac:dyDescent="0.3">
      <c r="A487">
        <v>2030</v>
      </c>
      <c r="B487" t="s">
        <v>511</v>
      </c>
      <c r="C487" t="s">
        <v>512</v>
      </c>
      <c r="D487" t="s">
        <v>155</v>
      </c>
      <c r="E487" s="1"/>
      <c r="F487" s="1">
        <v>46006</v>
      </c>
      <c r="G487" s="1">
        <v>46341</v>
      </c>
      <c r="H487" s="1">
        <v>46706</v>
      </c>
      <c r="I487">
        <v>0</v>
      </c>
      <c r="J487">
        <v>0</v>
      </c>
      <c r="K487">
        <v>0</v>
      </c>
      <c r="L487" t="s">
        <v>748</v>
      </c>
    </row>
    <row r="488" spans="1:12" hidden="1" x14ac:dyDescent="0.3">
      <c r="A488">
        <v>2030</v>
      </c>
      <c r="B488" t="s">
        <v>516</v>
      </c>
      <c r="C488" t="s">
        <v>517</v>
      </c>
      <c r="D488" t="s">
        <v>110</v>
      </c>
      <c r="E488" s="1"/>
      <c r="F488" s="1">
        <v>45904</v>
      </c>
      <c r="G488" s="1"/>
      <c r="H488" s="1">
        <v>46096</v>
      </c>
      <c r="I488">
        <v>0</v>
      </c>
      <c r="J488">
        <v>0</v>
      </c>
      <c r="K488">
        <v>0</v>
      </c>
      <c r="L488" t="s">
        <v>748</v>
      </c>
    </row>
    <row r="489" spans="1:12" hidden="1" x14ac:dyDescent="0.3">
      <c r="A489">
        <v>2030</v>
      </c>
      <c r="B489" t="s">
        <v>518</v>
      </c>
      <c r="C489" t="s">
        <v>519</v>
      </c>
      <c r="D489" t="s">
        <v>155</v>
      </c>
      <c r="E489" s="1"/>
      <c r="F489" s="1">
        <v>46127</v>
      </c>
      <c r="G489" s="1"/>
      <c r="H489" s="1"/>
      <c r="I489">
        <v>0</v>
      </c>
      <c r="J489">
        <v>0</v>
      </c>
      <c r="K489">
        <v>0</v>
      </c>
      <c r="L489" t="s">
        <v>748</v>
      </c>
    </row>
    <row r="490" spans="1:12" hidden="1" x14ac:dyDescent="0.3">
      <c r="A490">
        <v>2030</v>
      </c>
      <c r="B490" t="s">
        <v>522</v>
      </c>
      <c r="C490" t="s">
        <v>523</v>
      </c>
      <c r="D490" t="s">
        <v>291</v>
      </c>
      <c r="E490" s="1"/>
      <c r="F490" s="1"/>
      <c r="G490" s="1"/>
      <c r="H490" s="1"/>
      <c r="I490">
        <v>200</v>
      </c>
      <c r="J490">
        <v>2000</v>
      </c>
      <c r="K490">
        <v>2200</v>
      </c>
      <c r="L490" t="s">
        <v>748</v>
      </c>
    </row>
    <row r="491" spans="1:12" hidden="1" x14ac:dyDescent="0.3">
      <c r="A491">
        <v>2030</v>
      </c>
      <c r="B491" t="s">
        <v>531</v>
      </c>
      <c r="C491" t="s">
        <v>532</v>
      </c>
      <c r="D491" t="s">
        <v>291</v>
      </c>
      <c r="E491" s="1"/>
      <c r="F491" s="1"/>
      <c r="G491" s="1"/>
      <c r="H491" s="1"/>
      <c r="I491">
        <v>0</v>
      </c>
      <c r="J491">
        <v>0</v>
      </c>
      <c r="K491">
        <v>0</v>
      </c>
      <c r="L491" t="s">
        <v>748</v>
      </c>
    </row>
    <row r="492" spans="1:12" hidden="1" x14ac:dyDescent="0.3">
      <c r="A492">
        <v>2030</v>
      </c>
      <c r="B492" t="s">
        <v>543</v>
      </c>
      <c r="C492" t="s">
        <v>544</v>
      </c>
      <c r="D492" t="s">
        <v>123</v>
      </c>
      <c r="E492" s="1"/>
      <c r="F492" s="1">
        <v>45762</v>
      </c>
      <c r="G492" s="1">
        <v>46096</v>
      </c>
      <c r="H492" s="1">
        <v>46096</v>
      </c>
      <c r="I492">
        <v>0</v>
      </c>
      <c r="J492">
        <v>0</v>
      </c>
      <c r="K492">
        <v>0</v>
      </c>
      <c r="L492" t="s">
        <v>748</v>
      </c>
    </row>
    <row r="493" spans="1:12" hidden="1" x14ac:dyDescent="0.3">
      <c r="A493">
        <v>2030</v>
      </c>
      <c r="B493" t="s">
        <v>597</v>
      </c>
      <c r="C493" t="s">
        <v>598</v>
      </c>
      <c r="D493" t="s">
        <v>291</v>
      </c>
      <c r="E493" s="1"/>
      <c r="F493" s="1"/>
      <c r="G493" s="1"/>
      <c r="H493" s="1"/>
      <c r="I493">
        <v>0</v>
      </c>
      <c r="J493">
        <v>0</v>
      </c>
      <c r="K493">
        <v>0</v>
      </c>
      <c r="L493" t="s">
        <v>748</v>
      </c>
    </row>
    <row r="494" spans="1:12" hidden="1" x14ac:dyDescent="0.3">
      <c r="A494">
        <v>2030</v>
      </c>
      <c r="B494" t="s">
        <v>601</v>
      </c>
      <c r="C494" t="s">
        <v>602</v>
      </c>
      <c r="D494" t="s">
        <v>291</v>
      </c>
      <c r="E494" s="1"/>
      <c r="F494" s="1"/>
      <c r="G494" s="1"/>
      <c r="H494" s="1"/>
      <c r="I494">
        <v>0</v>
      </c>
      <c r="J494">
        <v>0</v>
      </c>
      <c r="K494">
        <v>0</v>
      </c>
      <c r="L494" t="s">
        <v>748</v>
      </c>
    </row>
    <row r="495" spans="1:12" hidden="1" x14ac:dyDescent="0.3">
      <c r="A495">
        <v>2030</v>
      </c>
      <c r="B495" t="s">
        <v>606</v>
      </c>
      <c r="C495" t="s">
        <v>607</v>
      </c>
      <c r="D495" t="s">
        <v>291</v>
      </c>
      <c r="E495" s="1"/>
      <c r="F495" s="1"/>
      <c r="G495" s="1"/>
      <c r="H495" s="1"/>
      <c r="I495">
        <v>0</v>
      </c>
      <c r="J495">
        <v>0</v>
      </c>
      <c r="K495">
        <v>0</v>
      </c>
      <c r="L495" t="s">
        <v>748</v>
      </c>
    </row>
    <row r="496" spans="1:12" hidden="1" x14ac:dyDescent="0.3">
      <c r="A496">
        <v>2030</v>
      </c>
      <c r="B496" t="s">
        <v>647</v>
      </c>
      <c r="C496" t="s">
        <v>648</v>
      </c>
      <c r="D496" t="s">
        <v>291</v>
      </c>
      <c r="E496" s="1"/>
      <c r="F496" s="1"/>
      <c r="G496" s="1"/>
      <c r="H496" s="1"/>
      <c r="I496">
        <v>0</v>
      </c>
      <c r="J496">
        <v>0</v>
      </c>
      <c r="K496">
        <v>0</v>
      </c>
      <c r="L496" t="s">
        <v>748</v>
      </c>
    </row>
    <row r="497" spans="1:12" hidden="1" x14ac:dyDescent="0.3">
      <c r="A497">
        <v>2030</v>
      </c>
      <c r="B497" t="s">
        <v>649</v>
      </c>
      <c r="C497" t="s">
        <v>650</v>
      </c>
      <c r="D497" t="s">
        <v>291</v>
      </c>
      <c r="E497" s="1"/>
      <c r="F497" s="1"/>
      <c r="G497" s="1"/>
      <c r="H497" s="1"/>
      <c r="I497">
        <v>0</v>
      </c>
      <c r="J497">
        <v>0</v>
      </c>
      <c r="K497">
        <v>0</v>
      </c>
      <c r="L497" t="s">
        <v>748</v>
      </c>
    </row>
    <row r="498" spans="1:12" hidden="1" x14ac:dyDescent="0.3">
      <c r="A498">
        <v>2030</v>
      </c>
      <c r="B498" t="s">
        <v>651</v>
      </c>
      <c r="C498" t="s">
        <v>652</v>
      </c>
      <c r="D498" t="s">
        <v>291</v>
      </c>
      <c r="E498" s="1"/>
      <c r="F498" s="1"/>
      <c r="G498" s="1"/>
      <c r="H498" s="1"/>
      <c r="I498">
        <v>0</v>
      </c>
      <c r="J498">
        <v>0</v>
      </c>
      <c r="K498">
        <v>0</v>
      </c>
      <c r="L498" t="s">
        <v>748</v>
      </c>
    </row>
    <row r="499" spans="1:12" hidden="1" x14ac:dyDescent="0.3">
      <c r="A499">
        <v>2030</v>
      </c>
      <c r="B499" t="s">
        <v>653</v>
      </c>
      <c r="C499" t="s">
        <v>654</v>
      </c>
      <c r="D499" t="s">
        <v>291</v>
      </c>
      <c r="E499" s="1"/>
      <c r="F499" s="1"/>
      <c r="G499" s="1"/>
      <c r="H499" s="1"/>
      <c r="I499">
        <v>0</v>
      </c>
      <c r="J499">
        <v>0</v>
      </c>
      <c r="K499">
        <v>0</v>
      </c>
      <c r="L499" t="s">
        <v>748</v>
      </c>
    </row>
    <row r="500" spans="1:12" hidden="1" x14ac:dyDescent="0.3">
      <c r="A500">
        <v>2030</v>
      </c>
      <c r="B500" t="s">
        <v>712</v>
      </c>
      <c r="C500" t="s">
        <v>686</v>
      </c>
      <c r="E500" s="1"/>
      <c r="F500" s="1"/>
      <c r="G500" s="1"/>
      <c r="H500" s="1"/>
      <c r="I500">
        <v>200</v>
      </c>
      <c r="J500">
        <v>1500</v>
      </c>
      <c r="K500">
        <v>1700</v>
      </c>
      <c r="L500" t="s">
        <v>748</v>
      </c>
    </row>
    <row r="501" spans="1:12" hidden="1" x14ac:dyDescent="0.3">
      <c r="A501">
        <v>2030</v>
      </c>
      <c r="B501" t="s">
        <v>713</v>
      </c>
      <c r="C501" t="s">
        <v>693</v>
      </c>
      <c r="E501" s="1"/>
      <c r="F501" s="1"/>
      <c r="G501" s="1"/>
      <c r="H501" s="1"/>
      <c r="I501">
        <v>0</v>
      </c>
      <c r="J501">
        <v>0</v>
      </c>
      <c r="K501">
        <v>0</v>
      </c>
      <c r="L501" t="s">
        <v>748</v>
      </c>
    </row>
    <row r="502" spans="1:12" hidden="1" x14ac:dyDescent="0.3">
      <c r="A502">
        <v>2030</v>
      </c>
      <c r="B502" t="s">
        <v>714</v>
      </c>
      <c r="C502" t="s">
        <v>697</v>
      </c>
      <c r="E502" s="1"/>
      <c r="F502" s="1"/>
      <c r="G502" s="1"/>
      <c r="H502" s="1"/>
      <c r="I502">
        <v>0</v>
      </c>
      <c r="J502">
        <v>0</v>
      </c>
      <c r="K502">
        <v>0</v>
      </c>
      <c r="L502" t="s">
        <v>748</v>
      </c>
    </row>
    <row r="503" spans="1:12" hidden="1" x14ac:dyDescent="0.3">
      <c r="A503">
        <v>2030</v>
      </c>
      <c r="B503" t="s">
        <v>715</v>
      </c>
      <c r="C503" t="s">
        <v>694</v>
      </c>
      <c r="E503" s="1"/>
      <c r="F503" s="1"/>
      <c r="G503" s="1"/>
      <c r="H503" s="1"/>
      <c r="I503">
        <v>0</v>
      </c>
      <c r="J503">
        <v>0</v>
      </c>
      <c r="K503">
        <v>0</v>
      </c>
      <c r="L503" t="s">
        <v>748</v>
      </c>
    </row>
    <row r="504" spans="1:12" hidden="1" x14ac:dyDescent="0.3">
      <c r="A504">
        <v>2030</v>
      </c>
      <c r="B504" t="s">
        <v>716</v>
      </c>
      <c r="C504" t="s">
        <v>702</v>
      </c>
      <c r="E504" s="1"/>
      <c r="F504" s="1"/>
      <c r="G504" s="1"/>
      <c r="H504" s="1"/>
      <c r="I504">
        <v>0</v>
      </c>
      <c r="J504">
        <v>0</v>
      </c>
      <c r="K504">
        <v>0</v>
      </c>
      <c r="L504" t="s">
        <v>748</v>
      </c>
    </row>
    <row r="505" spans="1:12" hidden="1" x14ac:dyDescent="0.3">
      <c r="A505">
        <v>2030</v>
      </c>
      <c r="B505" t="s">
        <v>717</v>
      </c>
      <c r="C505" t="s">
        <v>695</v>
      </c>
      <c r="E505" s="1"/>
      <c r="F505" s="1"/>
      <c r="G505" s="1"/>
      <c r="H505" s="1"/>
      <c r="I505">
        <v>0</v>
      </c>
      <c r="J505">
        <v>0</v>
      </c>
      <c r="K505">
        <v>0</v>
      </c>
      <c r="L505" t="s">
        <v>748</v>
      </c>
    </row>
    <row r="506" spans="1:12" hidden="1" x14ac:dyDescent="0.3">
      <c r="A506">
        <v>2030</v>
      </c>
      <c r="B506" t="s">
        <v>718</v>
      </c>
      <c r="C506" t="s">
        <v>696</v>
      </c>
      <c r="E506" s="1"/>
      <c r="F506" s="1"/>
      <c r="G506" s="1"/>
      <c r="H506" s="1"/>
      <c r="I506">
        <v>0</v>
      </c>
      <c r="J506">
        <v>0</v>
      </c>
      <c r="K506">
        <v>0</v>
      </c>
      <c r="L506" t="s">
        <v>748</v>
      </c>
    </row>
    <row r="507" spans="1:12" hidden="1" x14ac:dyDescent="0.3">
      <c r="A507">
        <v>2031</v>
      </c>
      <c r="B507" t="s">
        <v>364</v>
      </c>
      <c r="C507" t="s">
        <v>365</v>
      </c>
      <c r="D507" t="s">
        <v>291</v>
      </c>
      <c r="E507" s="1"/>
      <c r="F507" s="1"/>
      <c r="G507" s="1"/>
      <c r="H507" s="1"/>
      <c r="I507">
        <v>400</v>
      </c>
      <c r="J507">
        <v>4500</v>
      </c>
      <c r="K507">
        <v>4900</v>
      </c>
      <c r="L507" t="s">
        <v>748</v>
      </c>
    </row>
    <row r="508" spans="1:12" hidden="1" x14ac:dyDescent="0.3">
      <c r="A508">
        <v>2031</v>
      </c>
      <c r="B508" t="s">
        <v>366</v>
      </c>
      <c r="C508" t="s">
        <v>367</v>
      </c>
      <c r="D508" t="s">
        <v>155</v>
      </c>
      <c r="E508" s="1">
        <v>46006</v>
      </c>
      <c r="F508" s="1">
        <v>46157</v>
      </c>
      <c r="G508" s="1">
        <v>46645</v>
      </c>
      <c r="H508" s="1">
        <v>47011</v>
      </c>
      <c r="I508">
        <v>0</v>
      </c>
      <c r="J508">
        <v>0</v>
      </c>
      <c r="K508">
        <v>0</v>
      </c>
      <c r="L508" t="s">
        <v>748</v>
      </c>
    </row>
    <row r="509" spans="1:12" hidden="1" x14ac:dyDescent="0.3">
      <c r="A509">
        <v>2031</v>
      </c>
      <c r="B509" t="s">
        <v>162</v>
      </c>
      <c r="C509" t="s">
        <v>163</v>
      </c>
      <c r="D509" t="s">
        <v>164</v>
      </c>
      <c r="E509" s="1"/>
      <c r="F509" s="1"/>
      <c r="G509" s="1"/>
      <c r="H509" s="1"/>
      <c r="I509">
        <v>0</v>
      </c>
      <c r="J509">
        <v>0</v>
      </c>
      <c r="K509">
        <v>0</v>
      </c>
      <c r="L509" t="s">
        <v>748</v>
      </c>
    </row>
    <row r="510" spans="1:12" hidden="1" x14ac:dyDescent="0.3">
      <c r="A510">
        <v>2031</v>
      </c>
      <c r="B510" t="s">
        <v>166</v>
      </c>
      <c r="C510" t="s">
        <v>167</v>
      </c>
      <c r="D510" t="s">
        <v>155</v>
      </c>
      <c r="E510" s="1">
        <v>42499</v>
      </c>
      <c r="F510" s="1">
        <v>45976</v>
      </c>
      <c r="G510" s="1">
        <v>46402</v>
      </c>
      <c r="H510" s="1">
        <v>46980</v>
      </c>
      <c r="I510">
        <v>509</v>
      </c>
      <c r="J510">
        <v>16319</v>
      </c>
      <c r="K510">
        <v>16828</v>
      </c>
      <c r="L510" t="s">
        <v>748</v>
      </c>
    </row>
    <row r="511" spans="1:12" hidden="1" x14ac:dyDescent="0.3">
      <c r="A511">
        <v>2031</v>
      </c>
      <c r="B511" t="s">
        <v>170</v>
      </c>
      <c r="C511" t="s">
        <v>171</v>
      </c>
      <c r="D511" t="s">
        <v>110</v>
      </c>
      <c r="E511" s="1"/>
      <c r="F511" s="1">
        <v>44833</v>
      </c>
      <c r="G511" s="1">
        <v>45976</v>
      </c>
      <c r="H511" s="1">
        <v>46310</v>
      </c>
      <c r="I511">
        <v>0</v>
      </c>
      <c r="J511">
        <v>0</v>
      </c>
      <c r="K511">
        <v>0</v>
      </c>
      <c r="L511" t="s">
        <v>748</v>
      </c>
    </row>
    <row r="512" spans="1:12" hidden="1" x14ac:dyDescent="0.3">
      <c r="A512">
        <v>2031</v>
      </c>
      <c r="B512" t="s">
        <v>137</v>
      </c>
      <c r="C512" t="s">
        <v>138</v>
      </c>
      <c r="D512" t="s">
        <v>123</v>
      </c>
      <c r="E512" s="1"/>
      <c r="F512" s="1">
        <v>45062</v>
      </c>
      <c r="G512" s="1">
        <v>45754</v>
      </c>
      <c r="H512" s="1">
        <v>45945</v>
      </c>
      <c r="I512">
        <v>0</v>
      </c>
      <c r="J512">
        <v>0</v>
      </c>
      <c r="K512">
        <v>0</v>
      </c>
      <c r="L512" t="s">
        <v>748</v>
      </c>
    </row>
    <row r="513" spans="1:12" hidden="1" x14ac:dyDescent="0.3">
      <c r="A513">
        <v>2031</v>
      </c>
      <c r="B513" t="s">
        <v>181</v>
      </c>
      <c r="C513" t="s">
        <v>296</v>
      </c>
      <c r="D513" t="s">
        <v>110</v>
      </c>
      <c r="E513" s="1"/>
      <c r="F513" s="1">
        <v>45590</v>
      </c>
      <c r="G513" s="1">
        <v>46157</v>
      </c>
      <c r="H513" s="1">
        <v>46157</v>
      </c>
      <c r="I513">
        <v>0</v>
      </c>
      <c r="J513">
        <v>0</v>
      </c>
      <c r="K513">
        <v>0</v>
      </c>
      <c r="L513" t="s">
        <v>748</v>
      </c>
    </row>
    <row r="514" spans="1:12" hidden="1" x14ac:dyDescent="0.3">
      <c r="A514">
        <v>2031</v>
      </c>
      <c r="B514" t="s">
        <v>185</v>
      </c>
      <c r="C514" t="s">
        <v>186</v>
      </c>
      <c r="D514" t="s">
        <v>110</v>
      </c>
      <c r="E514" s="1"/>
      <c r="F514" s="1">
        <v>44823</v>
      </c>
      <c r="G514" s="1">
        <v>46310</v>
      </c>
      <c r="H514" s="1">
        <v>46521</v>
      </c>
      <c r="I514">
        <v>0</v>
      </c>
      <c r="J514">
        <v>0</v>
      </c>
      <c r="K514">
        <v>0</v>
      </c>
      <c r="L514" t="s">
        <v>748</v>
      </c>
    </row>
    <row r="515" spans="1:12" hidden="1" x14ac:dyDescent="0.3">
      <c r="A515">
        <v>2031</v>
      </c>
      <c r="B515" t="s">
        <v>189</v>
      </c>
      <c r="C515" t="s">
        <v>190</v>
      </c>
      <c r="D515" t="s">
        <v>123</v>
      </c>
      <c r="E515" s="1"/>
      <c r="F515" s="1">
        <v>45684</v>
      </c>
      <c r="G515" s="1"/>
      <c r="H515" s="1">
        <v>46006</v>
      </c>
      <c r="I515">
        <v>0</v>
      </c>
      <c r="J515">
        <v>0</v>
      </c>
      <c r="K515">
        <v>0</v>
      </c>
      <c r="L515" t="s">
        <v>749</v>
      </c>
    </row>
    <row r="516" spans="1:12" hidden="1" x14ac:dyDescent="0.3">
      <c r="A516">
        <v>2031</v>
      </c>
      <c r="B516" t="s">
        <v>132</v>
      </c>
      <c r="C516" t="s">
        <v>288</v>
      </c>
      <c r="D516" t="s">
        <v>123</v>
      </c>
      <c r="E516" s="1"/>
      <c r="F516" s="1">
        <v>45218</v>
      </c>
      <c r="G516" s="1">
        <v>45722</v>
      </c>
      <c r="H516" s="1">
        <v>45976</v>
      </c>
      <c r="I516">
        <v>0</v>
      </c>
      <c r="J516">
        <v>0</v>
      </c>
      <c r="K516">
        <v>0</v>
      </c>
      <c r="L516" t="s">
        <v>749</v>
      </c>
    </row>
    <row r="517" spans="1:12" hidden="1" x14ac:dyDescent="0.3">
      <c r="A517">
        <v>2031</v>
      </c>
      <c r="B517" t="s">
        <v>141</v>
      </c>
      <c r="C517" t="s">
        <v>142</v>
      </c>
      <c r="D517" t="s">
        <v>123</v>
      </c>
      <c r="E517" s="1">
        <v>42499</v>
      </c>
      <c r="F517" s="1">
        <v>42900</v>
      </c>
      <c r="G517" s="1">
        <v>45323</v>
      </c>
      <c r="H517" s="1">
        <v>45889</v>
      </c>
      <c r="I517">
        <v>0</v>
      </c>
      <c r="J517">
        <v>0</v>
      </c>
      <c r="K517">
        <v>0</v>
      </c>
      <c r="L517" t="s">
        <v>748</v>
      </c>
    </row>
    <row r="518" spans="1:12" hidden="1" x14ac:dyDescent="0.3">
      <c r="A518">
        <v>2031</v>
      </c>
      <c r="B518" t="s">
        <v>368</v>
      </c>
      <c r="C518" t="s">
        <v>369</v>
      </c>
      <c r="D518" t="s">
        <v>291</v>
      </c>
      <c r="E518" s="1"/>
      <c r="F518" s="1"/>
      <c r="G518" s="1"/>
      <c r="H518" s="1"/>
      <c r="I518">
        <v>500</v>
      </c>
      <c r="J518">
        <v>5700</v>
      </c>
      <c r="K518">
        <v>6200</v>
      </c>
      <c r="L518" t="s">
        <v>748</v>
      </c>
    </row>
    <row r="519" spans="1:12" hidden="1" x14ac:dyDescent="0.3">
      <c r="A519">
        <v>2031</v>
      </c>
      <c r="B519" t="s">
        <v>160</v>
      </c>
      <c r="C519" t="s">
        <v>161</v>
      </c>
      <c r="D519" t="s">
        <v>164</v>
      </c>
      <c r="E519" s="1">
        <v>43013</v>
      </c>
      <c r="F519" s="1">
        <v>44956</v>
      </c>
      <c r="G519" s="1">
        <v>45321</v>
      </c>
      <c r="H519" s="1">
        <v>45687</v>
      </c>
      <c r="I519">
        <v>0</v>
      </c>
      <c r="J519">
        <v>0</v>
      </c>
      <c r="K519">
        <v>0</v>
      </c>
      <c r="L519" t="s">
        <v>748</v>
      </c>
    </row>
    <row r="520" spans="1:12" hidden="1" x14ac:dyDescent="0.3">
      <c r="A520">
        <v>2031</v>
      </c>
      <c r="B520" t="s">
        <v>371</v>
      </c>
      <c r="C520" t="s">
        <v>372</v>
      </c>
      <c r="D520" t="s">
        <v>291</v>
      </c>
      <c r="E520" s="1"/>
      <c r="F520" s="1"/>
      <c r="G520" s="1"/>
      <c r="H520" s="1"/>
      <c r="I520">
        <v>450</v>
      </c>
      <c r="J520">
        <v>7500</v>
      </c>
      <c r="K520">
        <v>7950</v>
      </c>
      <c r="L520" t="s">
        <v>748</v>
      </c>
    </row>
    <row r="521" spans="1:12" hidden="1" x14ac:dyDescent="0.3">
      <c r="A521">
        <v>2031</v>
      </c>
      <c r="B521" t="s">
        <v>195</v>
      </c>
      <c r="C521" t="s">
        <v>196</v>
      </c>
      <c r="D521" t="s">
        <v>110</v>
      </c>
      <c r="E521" s="1"/>
      <c r="F521" s="1">
        <v>44889</v>
      </c>
      <c r="G521" s="1">
        <v>46068</v>
      </c>
      <c r="H521" s="1">
        <v>46583</v>
      </c>
      <c r="I521">
        <v>0</v>
      </c>
      <c r="J521">
        <v>0</v>
      </c>
      <c r="K521">
        <v>0</v>
      </c>
      <c r="L521" t="s">
        <v>748</v>
      </c>
    </row>
    <row r="522" spans="1:12" hidden="1" x14ac:dyDescent="0.3">
      <c r="A522">
        <v>2031</v>
      </c>
      <c r="B522" t="s">
        <v>375</v>
      </c>
      <c r="C522" t="s">
        <v>376</v>
      </c>
      <c r="D522" t="s">
        <v>155</v>
      </c>
      <c r="E522" s="1">
        <v>46006</v>
      </c>
      <c r="F522" s="1">
        <v>46280</v>
      </c>
      <c r="G522" s="1">
        <v>46645</v>
      </c>
      <c r="H522" s="1">
        <v>47011</v>
      </c>
      <c r="I522">
        <v>600</v>
      </c>
      <c r="J522">
        <v>10000</v>
      </c>
      <c r="K522">
        <v>10600</v>
      </c>
      <c r="L522" t="s">
        <v>748</v>
      </c>
    </row>
    <row r="523" spans="1:12" hidden="1" x14ac:dyDescent="0.3">
      <c r="A523">
        <v>2031</v>
      </c>
      <c r="B523" t="s">
        <v>174</v>
      </c>
      <c r="C523" t="s">
        <v>175</v>
      </c>
      <c r="D523" t="s">
        <v>164</v>
      </c>
      <c r="E523" s="1">
        <v>44014</v>
      </c>
      <c r="F523" s="1">
        <v>44014</v>
      </c>
      <c r="G523" s="1">
        <v>44294</v>
      </c>
      <c r="H523" s="1">
        <v>45239</v>
      </c>
      <c r="I523">
        <v>0</v>
      </c>
      <c r="J523">
        <v>0</v>
      </c>
      <c r="K523">
        <v>0</v>
      </c>
      <c r="L523" t="s">
        <v>748</v>
      </c>
    </row>
    <row r="524" spans="1:12" hidden="1" x14ac:dyDescent="0.3">
      <c r="A524">
        <v>2031</v>
      </c>
      <c r="B524" t="s">
        <v>203</v>
      </c>
      <c r="C524" t="s">
        <v>204</v>
      </c>
      <c r="D524" t="s">
        <v>155</v>
      </c>
      <c r="E524" s="1">
        <v>45730</v>
      </c>
      <c r="F524" s="1">
        <v>45960</v>
      </c>
      <c r="G524" s="1">
        <v>46264</v>
      </c>
      <c r="H524" s="1">
        <v>46629</v>
      </c>
      <c r="I524">
        <v>0</v>
      </c>
      <c r="J524">
        <v>0</v>
      </c>
      <c r="K524">
        <v>0</v>
      </c>
      <c r="L524" t="s">
        <v>748</v>
      </c>
    </row>
    <row r="525" spans="1:12" hidden="1" x14ac:dyDescent="0.3">
      <c r="A525">
        <v>2031</v>
      </c>
      <c r="B525" t="s">
        <v>114</v>
      </c>
      <c r="C525" t="s">
        <v>719</v>
      </c>
      <c r="D525" t="s">
        <v>123</v>
      </c>
      <c r="E525" s="1"/>
      <c r="F525" s="1">
        <v>45105</v>
      </c>
      <c r="G525" s="1">
        <v>45789</v>
      </c>
      <c r="H525" s="1">
        <v>45932</v>
      </c>
      <c r="I525">
        <v>0</v>
      </c>
      <c r="J525">
        <v>0</v>
      </c>
      <c r="K525">
        <v>0</v>
      </c>
      <c r="L525" t="s">
        <v>749</v>
      </c>
    </row>
    <row r="526" spans="1:12" hidden="1" x14ac:dyDescent="0.3">
      <c r="A526">
        <v>2031</v>
      </c>
      <c r="B526" t="s">
        <v>207</v>
      </c>
      <c r="C526" t="s">
        <v>208</v>
      </c>
      <c r="D526" t="s">
        <v>155</v>
      </c>
      <c r="E526" s="1">
        <v>44476</v>
      </c>
      <c r="F526" s="1">
        <v>45976</v>
      </c>
      <c r="G526" s="1">
        <v>46096</v>
      </c>
      <c r="H526" s="1">
        <v>46280</v>
      </c>
      <c r="I526">
        <v>0</v>
      </c>
      <c r="J526">
        <v>0</v>
      </c>
      <c r="K526">
        <v>0</v>
      </c>
      <c r="L526" t="s">
        <v>749</v>
      </c>
    </row>
    <row r="527" spans="1:12" hidden="1" x14ac:dyDescent="0.3">
      <c r="A527">
        <v>2031</v>
      </c>
      <c r="B527" t="s">
        <v>377</v>
      </c>
      <c r="C527" t="s">
        <v>378</v>
      </c>
      <c r="D527" t="s">
        <v>155</v>
      </c>
      <c r="E527" s="1"/>
      <c r="F527" s="1">
        <v>46068</v>
      </c>
      <c r="G527" s="1">
        <v>46461</v>
      </c>
      <c r="H527" s="1">
        <v>46888</v>
      </c>
      <c r="I527">
        <v>0</v>
      </c>
      <c r="J527">
        <v>0</v>
      </c>
      <c r="K527">
        <v>0</v>
      </c>
      <c r="L527" t="s">
        <v>748</v>
      </c>
    </row>
    <row r="528" spans="1:12" hidden="1" x14ac:dyDescent="0.3">
      <c r="A528">
        <v>2031</v>
      </c>
      <c r="B528" t="s">
        <v>210</v>
      </c>
      <c r="C528" t="s">
        <v>211</v>
      </c>
      <c r="D528" t="s">
        <v>155</v>
      </c>
      <c r="E528" s="1"/>
      <c r="F528" s="1">
        <v>45976</v>
      </c>
      <c r="G528" s="1">
        <v>46341</v>
      </c>
      <c r="H528" s="1">
        <v>46706</v>
      </c>
      <c r="I528">
        <v>0</v>
      </c>
      <c r="J528">
        <v>0</v>
      </c>
      <c r="K528">
        <v>0</v>
      </c>
      <c r="L528" t="s">
        <v>748</v>
      </c>
    </row>
    <row r="529" spans="1:12" hidden="1" x14ac:dyDescent="0.3">
      <c r="A529">
        <v>2031</v>
      </c>
      <c r="B529" t="s">
        <v>379</v>
      </c>
      <c r="C529" t="s">
        <v>380</v>
      </c>
      <c r="D529" t="s">
        <v>291</v>
      </c>
      <c r="E529" s="1"/>
      <c r="F529" s="1"/>
      <c r="G529" s="1"/>
      <c r="H529" s="1"/>
      <c r="I529">
        <v>0</v>
      </c>
      <c r="J529">
        <v>0</v>
      </c>
      <c r="K529">
        <v>0</v>
      </c>
      <c r="L529" t="s">
        <v>748</v>
      </c>
    </row>
    <row r="530" spans="1:12" hidden="1" x14ac:dyDescent="0.3">
      <c r="A530">
        <v>2031</v>
      </c>
      <c r="B530" t="s">
        <v>383</v>
      </c>
      <c r="C530" t="s">
        <v>384</v>
      </c>
      <c r="D530" t="s">
        <v>291</v>
      </c>
      <c r="E530" s="1"/>
      <c r="F530" s="1"/>
      <c r="G530" s="1"/>
      <c r="H530" s="1"/>
      <c r="I530">
        <v>0</v>
      </c>
      <c r="J530">
        <v>0</v>
      </c>
      <c r="K530">
        <v>0</v>
      </c>
      <c r="L530" t="s">
        <v>748</v>
      </c>
    </row>
    <row r="531" spans="1:12" hidden="1" x14ac:dyDescent="0.3">
      <c r="A531">
        <v>2031</v>
      </c>
      <c r="B531" t="s">
        <v>212</v>
      </c>
      <c r="C531" t="s">
        <v>213</v>
      </c>
      <c r="D531" t="s">
        <v>155</v>
      </c>
      <c r="E531" s="1">
        <v>45337</v>
      </c>
      <c r="F531" s="1">
        <v>46127</v>
      </c>
      <c r="G531" s="1">
        <v>46798</v>
      </c>
      <c r="H531" s="1">
        <v>47192</v>
      </c>
      <c r="I531">
        <v>474</v>
      </c>
      <c r="J531">
        <v>10000</v>
      </c>
      <c r="K531">
        <v>10474</v>
      </c>
      <c r="L531" t="s">
        <v>748</v>
      </c>
    </row>
    <row r="532" spans="1:12" hidden="1" x14ac:dyDescent="0.3">
      <c r="A532">
        <v>2031</v>
      </c>
      <c r="B532" t="s">
        <v>385</v>
      </c>
      <c r="C532" t="s">
        <v>740</v>
      </c>
      <c r="D532" t="s">
        <v>155</v>
      </c>
      <c r="E532" s="1">
        <v>45672</v>
      </c>
      <c r="F532" s="1">
        <v>45960</v>
      </c>
      <c r="G532" s="1">
        <v>46266</v>
      </c>
      <c r="H532" s="1">
        <v>46631</v>
      </c>
      <c r="I532">
        <v>0</v>
      </c>
      <c r="J532">
        <v>0</v>
      </c>
      <c r="K532">
        <v>0</v>
      </c>
      <c r="L532" t="s">
        <v>748</v>
      </c>
    </row>
    <row r="533" spans="1:12" hidden="1" x14ac:dyDescent="0.3">
      <c r="A533">
        <v>2031</v>
      </c>
      <c r="B533" t="s">
        <v>220</v>
      </c>
      <c r="C533" t="s">
        <v>221</v>
      </c>
      <c r="D533" t="s">
        <v>155</v>
      </c>
      <c r="E533" s="1"/>
      <c r="F533" s="1">
        <v>45976</v>
      </c>
      <c r="G533" s="1">
        <v>46264</v>
      </c>
      <c r="H533" s="1">
        <v>46553</v>
      </c>
      <c r="I533">
        <v>0</v>
      </c>
      <c r="J533">
        <v>0</v>
      </c>
      <c r="K533">
        <v>0</v>
      </c>
      <c r="L533" t="s">
        <v>748</v>
      </c>
    </row>
    <row r="534" spans="1:12" hidden="1" x14ac:dyDescent="0.3">
      <c r="A534">
        <v>2031</v>
      </c>
      <c r="B534" t="s">
        <v>224</v>
      </c>
      <c r="C534" t="s">
        <v>520</v>
      </c>
      <c r="D534" t="s">
        <v>123</v>
      </c>
      <c r="E534" s="1">
        <v>44365</v>
      </c>
      <c r="F534" s="1">
        <v>44623</v>
      </c>
      <c r="G534" s="1">
        <v>45698</v>
      </c>
      <c r="H534" s="1">
        <v>46341</v>
      </c>
      <c r="I534">
        <v>28</v>
      </c>
      <c r="J534">
        <v>5046.9999999999991</v>
      </c>
      <c r="K534">
        <v>5074.9999999999991</v>
      </c>
      <c r="L534" t="s">
        <v>748</v>
      </c>
    </row>
    <row r="535" spans="1:12" hidden="1" x14ac:dyDescent="0.3">
      <c r="A535">
        <v>2031</v>
      </c>
      <c r="B535" t="s">
        <v>373</v>
      </c>
      <c r="C535" t="s">
        <v>374</v>
      </c>
      <c r="D535" t="s">
        <v>155</v>
      </c>
      <c r="E535" s="1">
        <v>45833</v>
      </c>
      <c r="F535" s="1">
        <v>45960</v>
      </c>
      <c r="G535" s="1">
        <v>46280</v>
      </c>
      <c r="H535" s="1">
        <v>46645</v>
      </c>
      <c r="I535">
        <v>500</v>
      </c>
      <c r="J535">
        <v>8000</v>
      </c>
      <c r="K535">
        <v>8500</v>
      </c>
      <c r="L535" t="s">
        <v>748</v>
      </c>
    </row>
    <row r="536" spans="1:12" hidden="1" x14ac:dyDescent="0.3">
      <c r="A536">
        <v>2031</v>
      </c>
      <c r="B536" t="s">
        <v>226</v>
      </c>
      <c r="C536" t="s">
        <v>227</v>
      </c>
      <c r="D536" t="s">
        <v>110</v>
      </c>
      <c r="E536" s="1"/>
      <c r="F536" s="1">
        <v>45330</v>
      </c>
      <c r="G536" s="1">
        <v>46690</v>
      </c>
      <c r="H536" s="1">
        <v>47376</v>
      </c>
      <c r="I536">
        <v>1087</v>
      </c>
      <c r="J536">
        <v>17162</v>
      </c>
      <c r="K536">
        <v>18249</v>
      </c>
      <c r="L536" t="s">
        <v>748</v>
      </c>
    </row>
    <row r="537" spans="1:12" hidden="1" x14ac:dyDescent="0.3">
      <c r="A537">
        <v>2031</v>
      </c>
      <c r="B537" t="s">
        <v>145</v>
      </c>
      <c r="C537" t="s">
        <v>720</v>
      </c>
      <c r="D537" t="s">
        <v>110</v>
      </c>
      <c r="E537" s="1"/>
      <c r="F537" s="1">
        <v>44609</v>
      </c>
      <c r="G537" s="1">
        <v>45996</v>
      </c>
      <c r="H537" s="1">
        <v>46310</v>
      </c>
      <c r="I537">
        <v>0</v>
      </c>
      <c r="J537">
        <v>0</v>
      </c>
      <c r="K537">
        <v>0</v>
      </c>
      <c r="L537" t="s">
        <v>748</v>
      </c>
    </row>
    <row r="538" spans="1:12" hidden="1" x14ac:dyDescent="0.3">
      <c r="A538">
        <v>2031</v>
      </c>
      <c r="B538" t="s">
        <v>231</v>
      </c>
      <c r="C538" t="s">
        <v>232</v>
      </c>
      <c r="D538" t="s">
        <v>110</v>
      </c>
      <c r="E538" s="1"/>
      <c r="F538" s="1">
        <v>45099</v>
      </c>
      <c r="G538" s="1">
        <v>46037</v>
      </c>
      <c r="H538" s="1">
        <v>46283</v>
      </c>
      <c r="I538">
        <v>0</v>
      </c>
      <c r="J538">
        <v>0</v>
      </c>
      <c r="K538">
        <v>0</v>
      </c>
      <c r="L538" t="s">
        <v>748</v>
      </c>
    </row>
    <row r="539" spans="1:12" hidden="1" x14ac:dyDescent="0.3">
      <c r="A539">
        <v>2031</v>
      </c>
      <c r="B539" t="s">
        <v>233</v>
      </c>
      <c r="C539" t="s">
        <v>542</v>
      </c>
      <c r="D539" t="s">
        <v>155</v>
      </c>
      <c r="E539" s="1"/>
      <c r="F539" s="1">
        <v>46127</v>
      </c>
      <c r="G539" s="1">
        <v>46553</v>
      </c>
      <c r="H539" s="1">
        <v>46980</v>
      </c>
      <c r="I539">
        <v>0</v>
      </c>
      <c r="J539">
        <v>0</v>
      </c>
      <c r="K539">
        <v>0</v>
      </c>
      <c r="L539" t="s">
        <v>748</v>
      </c>
    </row>
    <row r="540" spans="1:12" hidden="1" x14ac:dyDescent="0.3">
      <c r="A540">
        <v>2031</v>
      </c>
      <c r="B540" t="s">
        <v>235</v>
      </c>
      <c r="C540" t="s">
        <v>510</v>
      </c>
      <c r="D540" t="s">
        <v>110</v>
      </c>
      <c r="E540" s="1"/>
      <c r="F540" s="1">
        <v>45706</v>
      </c>
      <c r="G540" s="1">
        <v>46055</v>
      </c>
      <c r="H540" s="1">
        <v>46273</v>
      </c>
      <c r="I540">
        <v>0</v>
      </c>
      <c r="J540">
        <v>0</v>
      </c>
      <c r="K540">
        <v>0</v>
      </c>
      <c r="L540" t="s">
        <v>748</v>
      </c>
    </row>
    <row r="541" spans="1:12" hidden="1" x14ac:dyDescent="0.3">
      <c r="A541">
        <v>2031</v>
      </c>
      <c r="B541" t="s">
        <v>398</v>
      </c>
      <c r="C541" t="s">
        <v>541</v>
      </c>
      <c r="D541" t="s">
        <v>291</v>
      </c>
      <c r="E541" s="1"/>
      <c r="F541" s="1"/>
      <c r="G541" s="1"/>
      <c r="H541" s="1"/>
      <c r="I541">
        <v>0</v>
      </c>
      <c r="J541">
        <v>0</v>
      </c>
      <c r="K541">
        <v>0</v>
      </c>
      <c r="L541" t="s">
        <v>748</v>
      </c>
    </row>
    <row r="542" spans="1:12" hidden="1" x14ac:dyDescent="0.3">
      <c r="A542">
        <v>2031</v>
      </c>
      <c r="B542" t="s">
        <v>237</v>
      </c>
      <c r="C542" t="s">
        <v>665</v>
      </c>
      <c r="D542" t="s">
        <v>110</v>
      </c>
      <c r="E542" s="1"/>
      <c r="F542" s="1">
        <v>45915</v>
      </c>
      <c r="G542" s="1">
        <v>46037</v>
      </c>
      <c r="H542" s="1">
        <v>46310</v>
      </c>
      <c r="I542">
        <v>0</v>
      </c>
      <c r="J542">
        <v>0</v>
      </c>
      <c r="K542">
        <v>0</v>
      </c>
      <c r="L542" t="s">
        <v>748</v>
      </c>
    </row>
    <row r="543" spans="1:12" hidden="1" x14ac:dyDescent="0.3">
      <c r="A543">
        <v>2031</v>
      </c>
      <c r="B543" t="s">
        <v>400</v>
      </c>
      <c r="C543" t="s">
        <v>401</v>
      </c>
      <c r="D543" t="s">
        <v>155</v>
      </c>
      <c r="E543" s="1">
        <v>45946</v>
      </c>
      <c r="F543" s="1">
        <v>46002</v>
      </c>
      <c r="G543" s="1">
        <v>46461</v>
      </c>
      <c r="H543" s="1">
        <v>46794</v>
      </c>
      <c r="I543">
        <v>0</v>
      </c>
      <c r="J543">
        <v>0</v>
      </c>
      <c r="K543">
        <v>0</v>
      </c>
      <c r="L543" t="s">
        <v>748</v>
      </c>
    </row>
    <row r="544" spans="1:12" hidden="1" x14ac:dyDescent="0.3">
      <c r="A544">
        <v>2031</v>
      </c>
      <c r="B544" t="s">
        <v>106</v>
      </c>
      <c r="C544" t="s">
        <v>107</v>
      </c>
      <c r="D544" t="s">
        <v>123</v>
      </c>
      <c r="E544" s="1"/>
      <c r="F544" s="1">
        <v>45014</v>
      </c>
      <c r="G544" s="1">
        <v>45799</v>
      </c>
      <c r="H544" s="1">
        <v>46006</v>
      </c>
      <c r="I544">
        <v>0</v>
      </c>
      <c r="J544">
        <v>0</v>
      </c>
      <c r="K544">
        <v>0</v>
      </c>
      <c r="L544" t="s">
        <v>749</v>
      </c>
    </row>
    <row r="545" spans="1:12" hidden="1" x14ac:dyDescent="0.3">
      <c r="A545">
        <v>2031</v>
      </c>
      <c r="B545" t="s">
        <v>240</v>
      </c>
      <c r="C545" t="s">
        <v>241</v>
      </c>
      <c r="D545" t="s">
        <v>110</v>
      </c>
      <c r="E545" s="1"/>
      <c r="F545" s="1">
        <v>45708</v>
      </c>
      <c r="G545" s="1">
        <v>45923</v>
      </c>
      <c r="H545" s="1">
        <v>46296</v>
      </c>
      <c r="I545">
        <v>0</v>
      </c>
      <c r="J545">
        <v>0</v>
      </c>
      <c r="K545">
        <v>0</v>
      </c>
      <c r="L545" t="s">
        <v>748</v>
      </c>
    </row>
    <row r="546" spans="1:12" hidden="1" x14ac:dyDescent="0.3">
      <c r="A546">
        <v>2031</v>
      </c>
      <c r="B546" t="s">
        <v>153</v>
      </c>
      <c r="C546" t="s">
        <v>154</v>
      </c>
      <c r="D546" t="s">
        <v>123</v>
      </c>
      <c r="E546" s="1"/>
      <c r="F546" s="1">
        <v>45601</v>
      </c>
      <c r="G546" s="1">
        <v>45731</v>
      </c>
      <c r="H546" s="1">
        <v>45976</v>
      </c>
      <c r="I546">
        <v>0</v>
      </c>
      <c r="J546">
        <v>0</v>
      </c>
      <c r="K546">
        <v>0</v>
      </c>
      <c r="L546" t="s">
        <v>749</v>
      </c>
    </row>
    <row r="547" spans="1:12" hidden="1" x14ac:dyDescent="0.3">
      <c r="A547">
        <v>2031</v>
      </c>
      <c r="B547" t="s">
        <v>403</v>
      </c>
      <c r="C547" t="s">
        <v>643</v>
      </c>
      <c r="D547" t="s">
        <v>155</v>
      </c>
      <c r="E547" s="1">
        <v>46006</v>
      </c>
      <c r="F547" s="1">
        <v>46218</v>
      </c>
      <c r="G547" s="1">
        <v>46722</v>
      </c>
      <c r="H547" s="1">
        <v>47011</v>
      </c>
      <c r="I547">
        <v>0</v>
      </c>
      <c r="J547">
        <v>0</v>
      </c>
      <c r="K547">
        <v>0</v>
      </c>
      <c r="L547" t="s">
        <v>748</v>
      </c>
    </row>
    <row r="548" spans="1:12" hidden="1" x14ac:dyDescent="0.3">
      <c r="A548">
        <v>2031</v>
      </c>
      <c r="B548" t="s">
        <v>150</v>
      </c>
      <c r="C548" t="s">
        <v>721</v>
      </c>
      <c r="D548" t="s">
        <v>123</v>
      </c>
      <c r="E548" s="1"/>
      <c r="F548" s="1">
        <v>45079</v>
      </c>
      <c r="G548" s="1">
        <v>45685</v>
      </c>
      <c r="H548" s="1">
        <v>46142</v>
      </c>
      <c r="I548">
        <v>0</v>
      </c>
      <c r="J548">
        <v>0</v>
      </c>
      <c r="K548">
        <v>0</v>
      </c>
      <c r="L548" t="s">
        <v>748</v>
      </c>
    </row>
    <row r="549" spans="1:12" hidden="1" x14ac:dyDescent="0.3">
      <c r="A549">
        <v>2031</v>
      </c>
      <c r="B549" t="s">
        <v>407</v>
      </c>
      <c r="C549" t="s">
        <v>514</v>
      </c>
      <c r="D549" t="s">
        <v>155</v>
      </c>
      <c r="E549" s="1"/>
      <c r="F549" s="1">
        <v>46127</v>
      </c>
      <c r="G549" s="1">
        <v>46492</v>
      </c>
      <c r="H549" s="1">
        <v>46706</v>
      </c>
      <c r="I549">
        <v>0</v>
      </c>
      <c r="J549">
        <v>0</v>
      </c>
      <c r="K549">
        <v>0</v>
      </c>
      <c r="L549" t="s">
        <v>749</v>
      </c>
    </row>
    <row r="550" spans="1:12" hidden="1" x14ac:dyDescent="0.3">
      <c r="A550">
        <v>2031</v>
      </c>
      <c r="B550" t="s">
        <v>405</v>
      </c>
      <c r="C550" t="s">
        <v>406</v>
      </c>
      <c r="D550" t="s">
        <v>155</v>
      </c>
      <c r="E550" s="1">
        <v>45763</v>
      </c>
      <c r="F550" s="1">
        <v>46054</v>
      </c>
      <c r="G550" s="1">
        <v>46427</v>
      </c>
      <c r="H550" s="1">
        <v>46813</v>
      </c>
      <c r="I550">
        <v>600</v>
      </c>
      <c r="J550">
        <v>5500</v>
      </c>
      <c r="K550">
        <v>6100</v>
      </c>
      <c r="L550" t="s">
        <v>748</v>
      </c>
    </row>
    <row r="551" spans="1:12" hidden="1" x14ac:dyDescent="0.3">
      <c r="A551">
        <v>2031</v>
      </c>
      <c r="B551" t="s">
        <v>243</v>
      </c>
      <c r="C551" t="s">
        <v>739</v>
      </c>
      <c r="D551" t="s">
        <v>155</v>
      </c>
      <c r="E551" s="1">
        <v>45588</v>
      </c>
      <c r="F551" s="1">
        <v>45976</v>
      </c>
      <c r="G551" s="1">
        <v>46280</v>
      </c>
      <c r="H551" s="1">
        <v>46433</v>
      </c>
      <c r="I551">
        <v>0</v>
      </c>
      <c r="J551">
        <v>0</v>
      </c>
      <c r="K551">
        <v>0</v>
      </c>
      <c r="L551" t="s">
        <v>748</v>
      </c>
    </row>
    <row r="552" spans="1:12" hidden="1" x14ac:dyDescent="0.3">
      <c r="A552">
        <v>2031</v>
      </c>
      <c r="B552" t="s">
        <v>246</v>
      </c>
      <c r="C552" t="s">
        <v>515</v>
      </c>
      <c r="D552" t="s">
        <v>110</v>
      </c>
      <c r="E552" s="1"/>
      <c r="F552" s="1">
        <v>45679</v>
      </c>
      <c r="G552" s="1">
        <v>46096</v>
      </c>
      <c r="H552" s="1">
        <v>46371</v>
      </c>
      <c r="I552">
        <v>0</v>
      </c>
      <c r="J552">
        <v>0</v>
      </c>
      <c r="K552">
        <v>0</v>
      </c>
      <c r="L552" t="s">
        <v>748</v>
      </c>
    </row>
    <row r="553" spans="1:12" hidden="1" x14ac:dyDescent="0.3">
      <c r="A553">
        <v>2031</v>
      </c>
      <c r="B553" t="s">
        <v>409</v>
      </c>
      <c r="C553" t="s">
        <v>410</v>
      </c>
      <c r="D553" t="s">
        <v>155</v>
      </c>
      <c r="E553" s="1"/>
      <c r="F553" s="1">
        <v>46143</v>
      </c>
      <c r="G553" s="1">
        <v>46508</v>
      </c>
      <c r="H553" s="1">
        <v>46874</v>
      </c>
      <c r="I553">
        <v>0</v>
      </c>
      <c r="J553">
        <v>0</v>
      </c>
      <c r="K553">
        <v>0</v>
      </c>
      <c r="L553" t="s">
        <v>748</v>
      </c>
    </row>
    <row r="554" spans="1:12" hidden="1" x14ac:dyDescent="0.3">
      <c r="A554">
        <v>2031</v>
      </c>
      <c r="B554" t="s">
        <v>412</v>
      </c>
      <c r="C554" t="s">
        <v>644</v>
      </c>
      <c r="D554" t="s">
        <v>291</v>
      </c>
      <c r="E554" s="1"/>
      <c r="F554" s="1"/>
      <c r="G554" s="1"/>
      <c r="H554" s="1"/>
      <c r="I554">
        <v>0</v>
      </c>
      <c r="J554">
        <v>0</v>
      </c>
      <c r="K554">
        <v>0</v>
      </c>
      <c r="L554" t="s">
        <v>748</v>
      </c>
    </row>
    <row r="555" spans="1:12" hidden="1" x14ac:dyDescent="0.3">
      <c r="A555">
        <v>2031</v>
      </c>
      <c r="B555" t="s">
        <v>415</v>
      </c>
      <c r="C555" t="s">
        <v>416</v>
      </c>
      <c r="D555" t="s">
        <v>155</v>
      </c>
      <c r="E555" s="1"/>
      <c r="F555" s="1">
        <v>46143</v>
      </c>
      <c r="G555" s="1">
        <v>46508</v>
      </c>
      <c r="H555" s="1">
        <v>46874</v>
      </c>
      <c r="I555">
        <v>0</v>
      </c>
      <c r="J555">
        <v>0</v>
      </c>
      <c r="K555">
        <v>0</v>
      </c>
      <c r="L555" t="s">
        <v>748</v>
      </c>
    </row>
    <row r="556" spans="1:12" hidden="1" x14ac:dyDescent="0.3">
      <c r="A556">
        <v>2031</v>
      </c>
      <c r="B556" t="s">
        <v>381</v>
      </c>
      <c r="C556" t="s">
        <v>382</v>
      </c>
      <c r="D556" t="s">
        <v>291</v>
      </c>
      <c r="E556" s="1"/>
      <c r="F556" s="1"/>
      <c r="G556" s="1"/>
      <c r="H556" s="1"/>
      <c r="I556">
        <v>0</v>
      </c>
      <c r="J556">
        <v>0</v>
      </c>
      <c r="K556">
        <v>0</v>
      </c>
      <c r="L556" t="s">
        <v>748</v>
      </c>
    </row>
    <row r="557" spans="1:12" hidden="1" x14ac:dyDescent="0.3">
      <c r="A557">
        <v>2031</v>
      </c>
      <c r="B557" t="s">
        <v>635</v>
      </c>
      <c r="C557" t="s">
        <v>636</v>
      </c>
      <c r="D557" t="s">
        <v>155</v>
      </c>
      <c r="E557" s="1"/>
      <c r="F557" s="1">
        <v>46266</v>
      </c>
      <c r="G557" s="1">
        <v>46631</v>
      </c>
      <c r="H557" s="1">
        <v>46997</v>
      </c>
      <c r="I557">
        <v>875</v>
      </c>
      <c r="J557">
        <v>5136</v>
      </c>
      <c r="K557">
        <v>6011</v>
      </c>
      <c r="L557" t="s">
        <v>748</v>
      </c>
    </row>
    <row r="558" spans="1:12" hidden="1" x14ac:dyDescent="0.3">
      <c r="A558">
        <v>2031</v>
      </c>
      <c r="B558" t="s">
        <v>393</v>
      </c>
      <c r="C558" t="s">
        <v>394</v>
      </c>
      <c r="D558" t="s">
        <v>291</v>
      </c>
      <c r="E558" s="1"/>
      <c r="F558" s="1"/>
      <c r="G558" s="1"/>
      <c r="H558" s="1"/>
      <c r="I558">
        <v>0</v>
      </c>
      <c r="J558">
        <v>0</v>
      </c>
      <c r="K558">
        <v>0</v>
      </c>
      <c r="L558" t="s">
        <v>748</v>
      </c>
    </row>
    <row r="559" spans="1:12" hidden="1" x14ac:dyDescent="0.3">
      <c r="A559">
        <v>2031</v>
      </c>
      <c r="B559" t="s">
        <v>396</v>
      </c>
      <c r="C559" t="s">
        <v>397</v>
      </c>
      <c r="D559" t="s">
        <v>155</v>
      </c>
      <c r="E559" s="1">
        <v>46068</v>
      </c>
      <c r="F559" s="1">
        <v>46371</v>
      </c>
      <c r="G559" s="1">
        <v>46736</v>
      </c>
      <c r="H559" s="1">
        <v>47102</v>
      </c>
      <c r="I559">
        <v>0</v>
      </c>
      <c r="J559">
        <v>0</v>
      </c>
      <c r="K559">
        <v>0</v>
      </c>
      <c r="L559" t="s">
        <v>748</v>
      </c>
    </row>
    <row r="560" spans="1:12" hidden="1" x14ac:dyDescent="0.3">
      <c r="A560">
        <v>2031</v>
      </c>
      <c r="B560" t="s">
        <v>418</v>
      </c>
      <c r="C560" t="s">
        <v>530</v>
      </c>
      <c r="D560" t="s">
        <v>291</v>
      </c>
      <c r="E560" s="1"/>
      <c r="F560" s="1"/>
      <c r="G560" s="1"/>
      <c r="H560" s="1"/>
      <c r="I560">
        <v>200</v>
      </c>
      <c r="J560">
        <v>0</v>
      </c>
      <c r="K560">
        <v>200</v>
      </c>
      <c r="L560" t="s">
        <v>748</v>
      </c>
    </row>
    <row r="561" spans="1:12" hidden="1" x14ac:dyDescent="0.3">
      <c r="A561">
        <v>2031</v>
      </c>
      <c r="B561" t="s">
        <v>422</v>
      </c>
      <c r="C561" t="s">
        <v>423</v>
      </c>
      <c r="D561" t="s">
        <v>291</v>
      </c>
      <c r="E561" s="1"/>
      <c r="F561" s="1"/>
      <c r="G561" s="1"/>
      <c r="H561" s="1"/>
      <c r="I561">
        <v>100</v>
      </c>
      <c r="J561">
        <v>0</v>
      </c>
      <c r="K561">
        <v>100</v>
      </c>
      <c r="L561" t="s">
        <v>748</v>
      </c>
    </row>
    <row r="562" spans="1:12" hidden="1" x14ac:dyDescent="0.3">
      <c r="A562">
        <v>2031</v>
      </c>
      <c r="B562" t="s">
        <v>424</v>
      </c>
      <c r="C562" t="s">
        <v>425</v>
      </c>
      <c r="D562" t="s">
        <v>291</v>
      </c>
      <c r="E562" s="1"/>
      <c r="F562" s="1"/>
      <c r="G562" s="1"/>
      <c r="H562" s="1"/>
      <c r="I562">
        <v>100</v>
      </c>
      <c r="J562">
        <v>0</v>
      </c>
      <c r="K562">
        <v>100</v>
      </c>
      <c r="L562" t="s">
        <v>748</v>
      </c>
    </row>
    <row r="563" spans="1:12" hidden="1" x14ac:dyDescent="0.3">
      <c r="A563">
        <v>2031</v>
      </c>
      <c r="B563" t="s">
        <v>428</v>
      </c>
      <c r="C563" t="s">
        <v>429</v>
      </c>
      <c r="D563" t="s">
        <v>291</v>
      </c>
      <c r="E563" s="1"/>
      <c r="F563" s="1"/>
      <c r="G563" s="1"/>
      <c r="H563" s="1"/>
      <c r="I563">
        <v>0</v>
      </c>
      <c r="J563">
        <v>0</v>
      </c>
      <c r="K563">
        <v>0</v>
      </c>
      <c r="L563" t="s">
        <v>748</v>
      </c>
    </row>
    <row r="564" spans="1:12" hidden="1" x14ac:dyDescent="0.3">
      <c r="A564">
        <v>2031</v>
      </c>
      <c r="B564" t="s">
        <v>432</v>
      </c>
      <c r="C564" t="s">
        <v>433</v>
      </c>
      <c r="D564" t="s">
        <v>291</v>
      </c>
      <c r="E564" s="1"/>
      <c r="F564" s="1"/>
      <c r="G564" s="1"/>
      <c r="H564" s="1"/>
      <c r="I564">
        <v>200</v>
      </c>
      <c r="J564">
        <v>5000</v>
      </c>
      <c r="K564">
        <v>5200</v>
      </c>
      <c r="L564" t="s">
        <v>748</v>
      </c>
    </row>
    <row r="565" spans="1:12" hidden="1" x14ac:dyDescent="0.3">
      <c r="A565">
        <v>2031</v>
      </c>
      <c r="B565" t="s">
        <v>426</v>
      </c>
      <c r="C565" t="s">
        <v>527</v>
      </c>
      <c r="D565" t="s">
        <v>155</v>
      </c>
      <c r="E565" s="1">
        <v>45827</v>
      </c>
      <c r="F565" s="1">
        <v>46249</v>
      </c>
      <c r="G565" s="1">
        <v>46675</v>
      </c>
      <c r="H565" s="1">
        <v>47041</v>
      </c>
      <c r="I565">
        <v>0</v>
      </c>
      <c r="J565">
        <v>0</v>
      </c>
      <c r="K565">
        <v>0</v>
      </c>
      <c r="L565" t="s">
        <v>748</v>
      </c>
    </row>
    <row r="566" spans="1:12" hidden="1" x14ac:dyDescent="0.3">
      <c r="A566">
        <v>2031</v>
      </c>
      <c r="B566" t="s">
        <v>430</v>
      </c>
      <c r="C566" t="s">
        <v>639</v>
      </c>
      <c r="D566" t="s">
        <v>291</v>
      </c>
      <c r="E566" s="1"/>
      <c r="F566" s="1"/>
      <c r="G566" s="1"/>
      <c r="H566" s="1"/>
      <c r="I566">
        <v>0</v>
      </c>
      <c r="J566">
        <v>0</v>
      </c>
      <c r="K566">
        <v>0</v>
      </c>
      <c r="L566" t="s">
        <v>748</v>
      </c>
    </row>
    <row r="567" spans="1:12" hidden="1" x14ac:dyDescent="0.3">
      <c r="A567">
        <v>2031</v>
      </c>
      <c r="B567" t="s">
        <v>436</v>
      </c>
      <c r="C567" t="s">
        <v>437</v>
      </c>
      <c r="D567" t="s">
        <v>291</v>
      </c>
      <c r="E567" s="1"/>
      <c r="F567" s="1"/>
      <c r="G567" s="1"/>
      <c r="H567" s="1"/>
      <c r="I567">
        <v>0</v>
      </c>
      <c r="J567">
        <v>0</v>
      </c>
      <c r="K567">
        <v>0</v>
      </c>
      <c r="L567" t="s">
        <v>748</v>
      </c>
    </row>
    <row r="568" spans="1:12" hidden="1" x14ac:dyDescent="0.3">
      <c r="A568">
        <v>2031</v>
      </c>
      <c r="B568" t="s">
        <v>248</v>
      </c>
      <c r="C568" t="s">
        <v>722</v>
      </c>
      <c r="D568" t="s">
        <v>110</v>
      </c>
      <c r="E568" s="1"/>
      <c r="F568" s="1">
        <v>45476</v>
      </c>
      <c r="G568" s="1">
        <v>46006</v>
      </c>
      <c r="H568" s="1">
        <v>46006</v>
      </c>
      <c r="I568">
        <v>0</v>
      </c>
      <c r="J568">
        <v>0</v>
      </c>
      <c r="K568">
        <v>0</v>
      </c>
      <c r="L568" t="s">
        <v>748</v>
      </c>
    </row>
    <row r="569" spans="1:12" hidden="1" x14ac:dyDescent="0.3">
      <c r="A569">
        <v>2031</v>
      </c>
      <c r="B569" t="s">
        <v>438</v>
      </c>
      <c r="C569" t="s">
        <v>439</v>
      </c>
      <c r="D569" t="s">
        <v>291</v>
      </c>
      <c r="E569" s="1"/>
      <c r="F569" s="1"/>
      <c r="G569" s="1"/>
      <c r="H569" s="1"/>
      <c r="I569">
        <v>0</v>
      </c>
      <c r="J569">
        <v>0</v>
      </c>
      <c r="K569">
        <v>0</v>
      </c>
      <c r="L569" t="s">
        <v>748</v>
      </c>
    </row>
    <row r="570" spans="1:12" hidden="1" x14ac:dyDescent="0.3">
      <c r="A570">
        <v>2031</v>
      </c>
      <c r="B570" t="s">
        <v>157</v>
      </c>
      <c r="C570" t="s">
        <v>158</v>
      </c>
      <c r="D570" t="s">
        <v>155</v>
      </c>
      <c r="E570" s="1"/>
      <c r="F570" s="1">
        <v>45991</v>
      </c>
      <c r="G570" s="1"/>
      <c r="H570" s="1">
        <v>46249</v>
      </c>
      <c r="I570">
        <v>0</v>
      </c>
      <c r="J570">
        <v>0</v>
      </c>
      <c r="K570">
        <v>0</v>
      </c>
      <c r="L570" t="s">
        <v>748</v>
      </c>
    </row>
    <row r="571" spans="1:12" hidden="1" x14ac:dyDescent="0.3">
      <c r="A571">
        <v>2031</v>
      </c>
      <c r="B571" t="s">
        <v>440</v>
      </c>
      <c r="C571" t="s">
        <v>441</v>
      </c>
      <c r="D571" t="s">
        <v>155</v>
      </c>
      <c r="E571" s="1"/>
      <c r="F571" s="1">
        <v>45992</v>
      </c>
      <c r="G571" s="1"/>
      <c r="H571" s="1">
        <v>45992</v>
      </c>
      <c r="I571">
        <v>0</v>
      </c>
      <c r="J571">
        <v>0</v>
      </c>
      <c r="K571">
        <v>0</v>
      </c>
      <c r="L571" t="s">
        <v>748</v>
      </c>
    </row>
    <row r="572" spans="1:12" hidden="1" x14ac:dyDescent="0.3">
      <c r="A572">
        <v>2031</v>
      </c>
      <c r="B572" t="s">
        <v>442</v>
      </c>
      <c r="C572" t="s">
        <v>526</v>
      </c>
      <c r="D572" t="s">
        <v>291</v>
      </c>
      <c r="E572" s="1"/>
      <c r="F572" s="1"/>
      <c r="G572" s="1"/>
      <c r="H572" s="1"/>
      <c r="I572">
        <v>200</v>
      </c>
      <c r="J572">
        <v>0</v>
      </c>
      <c r="K572">
        <v>200</v>
      </c>
      <c r="L572" t="s">
        <v>748</v>
      </c>
    </row>
    <row r="573" spans="1:12" hidden="1" x14ac:dyDescent="0.3">
      <c r="A573">
        <v>2031</v>
      </c>
      <c r="B573" t="s">
        <v>250</v>
      </c>
      <c r="C573" t="s">
        <v>251</v>
      </c>
      <c r="D573" t="s">
        <v>110</v>
      </c>
      <c r="E573" s="1"/>
      <c r="F573" s="1">
        <v>45490</v>
      </c>
      <c r="G573" s="1"/>
      <c r="H573" s="1">
        <v>46447</v>
      </c>
      <c r="I573">
        <v>0</v>
      </c>
      <c r="J573">
        <v>0</v>
      </c>
      <c r="K573">
        <v>0</v>
      </c>
      <c r="L573" t="s">
        <v>748</v>
      </c>
    </row>
    <row r="574" spans="1:12" hidden="1" x14ac:dyDescent="0.3">
      <c r="A574">
        <v>2031</v>
      </c>
      <c r="B574" t="s">
        <v>253</v>
      </c>
      <c r="C574" t="s">
        <v>254</v>
      </c>
      <c r="D574" t="s">
        <v>291</v>
      </c>
      <c r="E574" s="1"/>
      <c r="F574" s="1"/>
      <c r="G574" s="1"/>
      <c r="H574" s="1"/>
      <c r="I574">
        <v>0</v>
      </c>
      <c r="J574">
        <v>0</v>
      </c>
      <c r="K574">
        <v>0</v>
      </c>
      <c r="L574" t="s">
        <v>748</v>
      </c>
    </row>
    <row r="575" spans="1:12" hidden="1" x14ac:dyDescent="0.3">
      <c r="A575">
        <v>2031</v>
      </c>
      <c r="B575" t="s">
        <v>444</v>
      </c>
      <c r="C575" t="s">
        <v>666</v>
      </c>
      <c r="D575" t="s">
        <v>291</v>
      </c>
      <c r="E575" s="1"/>
      <c r="F575" s="1"/>
      <c r="G575" s="1"/>
      <c r="H575" s="1"/>
      <c r="I575">
        <v>150</v>
      </c>
      <c r="J575">
        <v>0</v>
      </c>
      <c r="K575">
        <v>150</v>
      </c>
      <c r="L575" t="s">
        <v>748</v>
      </c>
    </row>
    <row r="576" spans="1:12" hidden="1" x14ac:dyDescent="0.3">
      <c r="A576">
        <v>2031</v>
      </c>
      <c r="B576" t="s">
        <v>446</v>
      </c>
      <c r="C576" t="s">
        <v>447</v>
      </c>
      <c r="D576" t="s">
        <v>291</v>
      </c>
      <c r="E576" s="1"/>
      <c r="F576" s="1"/>
      <c r="G576" s="1"/>
      <c r="H576" s="1"/>
      <c r="I576">
        <v>0</v>
      </c>
      <c r="J576">
        <v>0</v>
      </c>
      <c r="K576">
        <v>0</v>
      </c>
      <c r="L576" t="s">
        <v>748</v>
      </c>
    </row>
    <row r="577" spans="1:12" hidden="1" x14ac:dyDescent="0.3">
      <c r="A577">
        <v>2031</v>
      </c>
      <c r="B577" t="s">
        <v>448</v>
      </c>
      <c r="C577" t="s">
        <v>449</v>
      </c>
      <c r="D577" t="s">
        <v>291</v>
      </c>
      <c r="E577" s="1"/>
      <c r="F577" s="1"/>
      <c r="G577" s="1"/>
      <c r="H577" s="1"/>
      <c r="I577">
        <v>0</v>
      </c>
      <c r="J577">
        <v>0</v>
      </c>
      <c r="K577">
        <v>0</v>
      </c>
      <c r="L577" t="s">
        <v>748</v>
      </c>
    </row>
    <row r="578" spans="1:12" hidden="1" x14ac:dyDescent="0.3">
      <c r="A578">
        <v>2031</v>
      </c>
      <c r="B578" t="s">
        <v>255</v>
      </c>
      <c r="C578" t="s">
        <v>529</v>
      </c>
      <c r="D578" t="s">
        <v>291</v>
      </c>
      <c r="E578" s="1"/>
      <c r="F578" s="1"/>
      <c r="G578" s="1"/>
      <c r="H578" s="1">
        <v>46006</v>
      </c>
      <c r="I578">
        <v>0</v>
      </c>
      <c r="J578">
        <v>0</v>
      </c>
      <c r="K578">
        <v>0</v>
      </c>
      <c r="L578" t="s">
        <v>748</v>
      </c>
    </row>
    <row r="579" spans="1:12" hidden="1" x14ac:dyDescent="0.3">
      <c r="A579">
        <v>2031</v>
      </c>
      <c r="B579" t="s">
        <v>259</v>
      </c>
      <c r="C579" t="s">
        <v>260</v>
      </c>
      <c r="D579" t="s">
        <v>291</v>
      </c>
      <c r="E579" s="1"/>
      <c r="F579" s="1"/>
      <c r="G579" s="1"/>
      <c r="H579" s="1"/>
      <c r="I579">
        <v>0</v>
      </c>
      <c r="J579">
        <v>0</v>
      </c>
      <c r="K579">
        <v>0</v>
      </c>
      <c r="L579" t="s">
        <v>749</v>
      </c>
    </row>
    <row r="580" spans="1:12" hidden="1" x14ac:dyDescent="0.3">
      <c r="A580">
        <v>2031</v>
      </c>
      <c r="B580" t="s">
        <v>454</v>
      </c>
      <c r="C580" t="s">
        <v>455</v>
      </c>
      <c r="D580" t="s">
        <v>291</v>
      </c>
      <c r="E580" s="1"/>
      <c r="F580" s="1"/>
      <c r="G580" s="1"/>
      <c r="H580" s="1"/>
      <c r="I580">
        <v>500</v>
      </c>
      <c r="J580">
        <v>0</v>
      </c>
      <c r="K580">
        <v>500</v>
      </c>
      <c r="L580" t="s">
        <v>748</v>
      </c>
    </row>
    <row r="581" spans="1:12" hidden="1" x14ac:dyDescent="0.3">
      <c r="A581">
        <v>2031</v>
      </c>
      <c r="B581" t="s">
        <v>456</v>
      </c>
      <c r="C581" t="s">
        <v>457</v>
      </c>
      <c r="D581" t="s">
        <v>291</v>
      </c>
      <c r="E581" s="1"/>
      <c r="F581" s="1"/>
      <c r="G581" s="1"/>
      <c r="H581" s="1"/>
      <c r="I581">
        <v>0</v>
      </c>
      <c r="J581">
        <v>0</v>
      </c>
      <c r="K581">
        <v>0</v>
      </c>
      <c r="L581" t="s">
        <v>748</v>
      </c>
    </row>
    <row r="582" spans="1:12" hidden="1" x14ac:dyDescent="0.3">
      <c r="A582">
        <v>2031</v>
      </c>
      <c r="B582" t="s">
        <v>458</v>
      </c>
      <c r="C582" t="s">
        <v>459</v>
      </c>
      <c r="D582" t="s">
        <v>291</v>
      </c>
      <c r="E582" s="1"/>
      <c r="F582" s="1"/>
      <c r="G582" s="1"/>
      <c r="H582" s="1"/>
      <c r="I582">
        <v>150</v>
      </c>
      <c r="J582">
        <v>0</v>
      </c>
      <c r="K582">
        <v>150</v>
      </c>
      <c r="L582" t="s">
        <v>748</v>
      </c>
    </row>
    <row r="583" spans="1:12" hidden="1" x14ac:dyDescent="0.3">
      <c r="A583">
        <v>2031</v>
      </c>
      <c r="B583" t="s">
        <v>460</v>
      </c>
      <c r="C583" t="s">
        <v>461</v>
      </c>
      <c r="D583" t="s">
        <v>291</v>
      </c>
      <c r="E583" s="1"/>
      <c r="F583" s="1"/>
      <c r="G583" s="1"/>
      <c r="H583" s="1"/>
      <c r="I583">
        <v>0</v>
      </c>
      <c r="J583">
        <v>0</v>
      </c>
      <c r="K583">
        <v>0</v>
      </c>
      <c r="L583" t="s">
        <v>748</v>
      </c>
    </row>
    <row r="584" spans="1:12" hidden="1" x14ac:dyDescent="0.3">
      <c r="A584">
        <v>2031</v>
      </c>
      <c r="B584" t="s">
        <v>462</v>
      </c>
      <c r="C584" t="s">
        <v>463</v>
      </c>
      <c r="D584" t="s">
        <v>291</v>
      </c>
      <c r="E584" s="1"/>
      <c r="F584" s="1"/>
      <c r="G584" s="1"/>
      <c r="H584" s="1"/>
      <c r="I584">
        <v>150</v>
      </c>
      <c r="J584">
        <v>0</v>
      </c>
      <c r="K584">
        <v>150</v>
      </c>
      <c r="L584" t="s">
        <v>748</v>
      </c>
    </row>
    <row r="585" spans="1:12" hidden="1" x14ac:dyDescent="0.3">
      <c r="A585">
        <v>2031</v>
      </c>
      <c r="B585" t="s">
        <v>464</v>
      </c>
      <c r="C585" t="s">
        <v>465</v>
      </c>
      <c r="D585" t="s">
        <v>291</v>
      </c>
      <c r="E585" s="1"/>
      <c r="F585" s="1"/>
      <c r="G585" s="1"/>
      <c r="H585" s="1"/>
      <c r="I585">
        <v>150</v>
      </c>
      <c r="J585">
        <v>0</v>
      </c>
      <c r="K585">
        <v>150</v>
      </c>
      <c r="L585" t="s">
        <v>748</v>
      </c>
    </row>
    <row r="586" spans="1:12" hidden="1" x14ac:dyDescent="0.3">
      <c r="A586">
        <v>2031</v>
      </c>
      <c r="B586" t="s">
        <v>470</v>
      </c>
      <c r="C586" t="s">
        <v>471</v>
      </c>
      <c r="D586" t="s">
        <v>291</v>
      </c>
      <c r="E586" s="1"/>
      <c r="F586" s="1"/>
      <c r="G586" s="1"/>
      <c r="H586" s="1"/>
      <c r="I586">
        <v>200</v>
      </c>
      <c r="J586">
        <v>0</v>
      </c>
      <c r="K586">
        <v>200</v>
      </c>
      <c r="L586" t="s">
        <v>748</v>
      </c>
    </row>
    <row r="587" spans="1:12" hidden="1" x14ac:dyDescent="0.3">
      <c r="A587">
        <v>2031</v>
      </c>
      <c r="B587" t="s">
        <v>474</v>
      </c>
      <c r="C587" t="s">
        <v>637</v>
      </c>
      <c r="D587" t="s">
        <v>291</v>
      </c>
      <c r="E587" s="1"/>
      <c r="F587" s="1"/>
      <c r="G587" s="1"/>
      <c r="H587" s="1"/>
      <c r="I587">
        <v>375</v>
      </c>
      <c r="J587">
        <v>0</v>
      </c>
      <c r="K587">
        <v>375</v>
      </c>
      <c r="L587" t="s">
        <v>748</v>
      </c>
    </row>
    <row r="588" spans="1:12" hidden="1" x14ac:dyDescent="0.3">
      <c r="A588">
        <v>2031</v>
      </c>
      <c r="B588" t="s">
        <v>511</v>
      </c>
      <c r="C588" t="s">
        <v>512</v>
      </c>
      <c r="D588" t="s">
        <v>155</v>
      </c>
      <c r="E588" s="1"/>
      <c r="F588" s="1">
        <v>46006</v>
      </c>
      <c r="G588" s="1">
        <v>46341</v>
      </c>
      <c r="H588" s="1">
        <v>46706</v>
      </c>
      <c r="I588">
        <v>0</v>
      </c>
      <c r="J588">
        <v>0</v>
      </c>
      <c r="K588">
        <v>0</v>
      </c>
      <c r="L588" t="s">
        <v>748</v>
      </c>
    </row>
    <row r="589" spans="1:12" hidden="1" x14ac:dyDescent="0.3">
      <c r="A589">
        <v>2031</v>
      </c>
      <c r="B589" t="s">
        <v>516</v>
      </c>
      <c r="C589" t="s">
        <v>517</v>
      </c>
      <c r="D589" t="s">
        <v>110</v>
      </c>
      <c r="E589" s="1"/>
      <c r="F589" s="1">
        <v>45904</v>
      </c>
      <c r="G589" s="1"/>
      <c r="H589" s="1">
        <v>46096</v>
      </c>
      <c r="I589">
        <v>0</v>
      </c>
      <c r="J589">
        <v>0</v>
      </c>
      <c r="K589">
        <v>0</v>
      </c>
      <c r="L589" t="s">
        <v>748</v>
      </c>
    </row>
    <row r="590" spans="1:12" hidden="1" x14ac:dyDescent="0.3">
      <c r="A590">
        <v>2031</v>
      </c>
      <c r="B590" t="s">
        <v>518</v>
      </c>
      <c r="C590" t="s">
        <v>519</v>
      </c>
      <c r="D590" t="s">
        <v>155</v>
      </c>
      <c r="E590" s="1"/>
      <c r="F590" s="1">
        <v>46127</v>
      </c>
      <c r="G590" s="1"/>
      <c r="H590" s="1"/>
      <c r="I590">
        <v>0</v>
      </c>
      <c r="J590">
        <v>0</v>
      </c>
      <c r="K590">
        <v>0</v>
      </c>
      <c r="L590" t="s">
        <v>748</v>
      </c>
    </row>
    <row r="591" spans="1:12" hidden="1" x14ac:dyDescent="0.3">
      <c r="A591">
        <v>2031</v>
      </c>
      <c r="B591" t="s">
        <v>522</v>
      </c>
      <c r="C591" t="s">
        <v>523</v>
      </c>
      <c r="D591" t="s">
        <v>291</v>
      </c>
      <c r="E591" s="1"/>
      <c r="F591" s="1"/>
      <c r="G591" s="1"/>
      <c r="H591" s="1"/>
      <c r="I591">
        <v>0</v>
      </c>
      <c r="J591">
        <v>0</v>
      </c>
      <c r="K591">
        <v>0</v>
      </c>
      <c r="L591" t="s">
        <v>748</v>
      </c>
    </row>
    <row r="592" spans="1:12" hidden="1" x14ac:dyDescent="0.3">
      <c r="A592">
        <v>2031</v>
      </c>
      <c r="B592" t="s">
        <v>531</v>
      </c>
      <c r="C592" t="s">
        <v>532</v>
      </c>
      <c r="D592" t="s">
        <v>291</v>
      </c>
      <c r="E592" s="1"/>
      <c r="F592" s="1"/>
      <c r="G592" s="1"/>
      <c r="H592" s="1"/>
      <c r="I592">
        <v>0</v>
      </c>
      <c r="J592">
        <v>0</v>
      </c>
      <c r="K592">
        <v>0</v>
      </c>
      <c r="L592" t="s">
        <v>748</v>
      </c>
    </row>
    <row r="593" spans="1:12" hidden="1" x14ac:dyDescent="0.3">
      <c r="A593">
        <v>2031</v>
      </c>
      <c r="B593" t="s">
        <v>543</v>
      </c>
      <c r="C593" t="s">
        <v>544</v>
      </c>
      <c r="D593" t="s">
        <v>123</v>
      </c>
      <c r="E593" s="1"/>
      <c r="F593" s="1">
        <v>45762</v>
      </c>
      <c r="G593" s="1">
        <v>46096</v>
      </c>
      <c r="H593" s="1">
        <v>46096</v>
      </c>
      <c r="I593">
        <v>0</v>
      </c>
      <c r="J593">
        <v>0</v>
      </c>
      <c r="K593">
        <v>0</v>
      </c>
      <c r="L593" t="s">
        <v>748</v>
      </c>
    </row>
    <row r="594" spans="1:12" hidden="1" x14ac:dyDescent="0.3">
      <c r="A594">
        <v>2031</v>
      </c>
      <c r="B594" t="s">
        <v>597</v>
      </c>
      <c r="C594" t="s">
        <v>598</v>
      </c>
      <c r="D594" t="s">
        <v>291</v>
      </c>
      <c r="E594" s="1"/>
      <c r="F594" s="1"/>
      <c r="G594" s="1"/>
      <c r="H594" s="1"/>
      <c r="I594">
        <v>0</v>
      </c>
      <c r="J594">
        <v>0</v>
      </c>
      <c r="K594">
        <v>0</v>
      </c>
      <c r="L594" t="s">
        <v>748</v>
      </c>
    </row>
    <row r="595" spans="1:12" hidden="1" x14ac:dyDescent="0.3">
      <c r="A595">
        <v>2031</v>
      </c>
      <c r="B595" t="s">
        <v>601</v>
      </c>
      <c r="C595" t="s">
        <v>602</v>
      </c>
      <c r="D595" t="s">
        <v>291</v>
      </c>
      <c r="E595" s="1"/>
      <c r="F595" s="1"/>
      <c r="G595" s="1"/>
      <c r="H595" s="1"/>
      <c r="I595">
        <v>0</v>
      </c>
      <c r="J595">
        <v>0</v>
      </c>
      <c r="K595">
        <v>0</v>
      </c>
      <c r="L595" t="s">
        <v>748</v>
      </c>
    </row>
    <row r="596" spans="1:12" hidden="1" x14ac:dyDescent="0.3">
      <c r="A596">
        <v>2031</v>
      </c>
      <c r="B596" t="s">
        <v>606</v>
      </c>
      <c r="C596" t="s">
        <v>607</v>
      </c>
      <c r="D596" t="s">
        <v>291</v>
      </c>
      <c r="E596" s="1"/>
      <c r="F596" s="1"/>
      <c r="G596" s="1"/>
      <c r="H596" s="1"/>
      <c r="I596">
        <v>0</v>
      </c>
      <c r="J596">
        <v>0</v>
      </c>
      <c r="K596">
        <v>0</v>
      </c>
      <c r="L596" t="s">
        <v>748</v>
      </c>
    </row>
    <row r="597" spans="1:12" hidden="1" x14ac:dyDescent="0.3">
      <c r="A597">
        <v>2031</v>
      </c>
      <c r="B597" t="s">
        <v>647</v>
      </c>
      <c r="C597" t="s">
        <v>648</v>
      </c>
      <c r="D597" t="s">
        <v>291</v>
      </c>
      <c r="E597" s="1"/>
      <c r="F597" s="1"/>
      <c r="G597" s="1"/>
      <c r="H597" s="1"/>
      <c r="I597">
        <v>0</v>
      </c>
      <c r="J597">
        <v>0</v>
      </c>
      <c r="K597">
        <v>0</v>
      </c>
      <c r="L597" t="s">
        <v>748</v>
      </c>
    </row>
    <row r="598" spans="1:12" hidden="1" x14ac:dyDescent="0.3">
      <c r="A598">
        <v>2031</v>
      </c>
      <c r="B598" t="s">
        <v>649</v>
      </c>
      <c r="C598" t="s">
        <v>650</v>
      </c>
      <c r="D598" t="s">
        <v>291</v>
      </c>
      <c r="E598" s="1"/>
      <c r="F598" s="1"/>
      <c r="G598" s="1"/>
      <c r="H598" s="1"/>
      <c r="I598">
        <v>0</v>
      </c>
      <c r="J598">
        <v>0</v>
      </c>
      <c r="K598">
        <v>0</v>
      </c>
      <c r="L598" t="s">
        <v>748</v>
      </c>
    </row>
    <row r="599" spans="1:12" hidden="1" x14ac:dyDescent="0.3">
      <c r="A599">
        <v>2031</v>
      </c>
      <c r="B599" t="s">
        <v>651</v>
      </c>
      <c r="C599" t="s">
        <v>652</v>
      </c>
      <c r="D599" t="s">
        <v>291</v>
      </c>
      <c r="E599" s="1"/>
      <c r="F599" s="1"/>
      <c r="G599" s="1"/>
      <c r="H599" s="1"/>
      <c r="I599">
        <v>0</v>
      </c>
      <c r="J599">
        <v>0</v>
      </c>
      <c r="K599">
        <v>0</v>
      </c>
      <c r="L599" t="s">
        <v>748</v>
      </c>
    </row>
    <row r="600" spans="1:12" hidden="1" x14ac:dyDescent="0.3">
      <c r="A600">
        <v>2031</v>
      </c>
      <c r="B600" t="s">
        <v>653</v>
      </c>
      <c r="C600" t="s">
        <v>654</v>
      </c>
      <c r="D600" t="s">
        <v>291</v>
      </c>
      <c r="E600" s="1"/>
      <c r="F600" s="1"/>
      <c r="G600" s="1"/>
      <c r="H600" s="1"/>
      <c r="I600">
        <v>0</v>
      </c>
      <c r="J600">
        <v>0</v>
      </c>
      <c r="K600">
        <v>0</v>
      </c>
      <c r="L600" t="s">
        <v>748</v>
      </c>
    </row>
    <row r="601" spans="1:12" hidden="1" x14ac:dyDescent="0.3">
      <c r="A601">
        <v>2031</v>
      </c>
      <c r="B601" t="s">
        <v>712</v>
      </c>
      <c r="C601" t="s">
        <v>686</v>
      </c>
      <c r="E601" s="1"/>
      <c r="F601" s="1"/>
      <c r="G601" s="1"/>
      <c r="H601" s="1"/>
      <c r="I601">
        <v>0</v>
      </c>
      <c r="J601">
        <v>0</v>
      </c>
      <c r="K601">
        <v>0</v>
      </c>
      <c r="L601" t="s">
        <v>748</v>
      </c>
    </row>
    <row r="602" spans="1:12" hidden="1" x14ac:dyDescent="0.3">
      <c r="A602">
        <v>2031</v>
      </c>
      <c r="B602" t="s">
        <v>713</v>
      </c>
      <c r="C602" t="s">
        <v>693</v>
      </c>
      <c r="E602" s="1"/>
      <c r="F602" s="1"/>
      <c r="G602" s="1"/>
      <c r="H602" s="1"/>
      <c r="I602">
        <v>0</v>
      </c>
      <c r="J602">
        <v>0</v>
      </c>
      <c r="K602">
        <v>0</v>
      </c>
      <c r="L602" t="s">
        <v>748</v>
      </c>
    </row>
    <row r="603" spans="1:12" hidden="1" x14ac:dyDescent="0.3">
      <c r="A603">
        <v>2031</v>
      </c>
      <c r="B603" t="s">
        <v>714</v>
      </c>
      <c r="C603" t="s">
        <v>697</v>
      </c>
      <c r="E603" s="1"/>
      <c r="F603" s="1"/>
      <c r="G603" s="1"/>
      <c r="H603" s="1"/>
      <c r="I603">
        <v>0</v>
      </c>
      <c r="J603">
        <v>0</v>
      </c>
      <c r="K603">
        <v>0</v>
      </c>
      <c r="L603" t="s">
        <v>748</v>
      </c>
    </row>
    <row r="604" spans="1:12" hidden="1" x14ac:dyDescent="0.3">
      <c r="A604">
        <v>2031</v>
      </c>
      <c r="B604" t="s">
        <v>715</v>
      </c>
      <c r="C604" t="s">
        <v>694</v>
      </c>
      <c r="E604" s="1"/>
      <c r="F604" s="1"/>
      <c r="G604" s="1"/>
      <c r="H604" s="1"/>
      <c r="I604">
        <v>0</v>
      </c>
      <c r="J604">
        <v>0</v>
      </c>
      <c r="K604">
        <v>0</v>
      </c>
      <c r="L604" t="s">
        <v>748</v>
      </c>
    </row>
    <row r="605" spans="1:12" hidden="1" x14ac:dyDescent="0.3">
      <c r="A605">
        <v>2031</v>
      </c>
      <c r="B605" t="s">
        <v>716</v>
      </c>
      <c r="C605" t="s">
        <v>702</v>
      </c>
      <c r="E605" s="1"/>
      <c r="F605" s="1"/>
      <c r="G605" s="1"/>
      <c r="H605" s="1"/>
      <c r="I605">
        <v>0</v>
      </c>
      <c r="J605">
        <v>0</v>
      </c>
      <c r="K605">
        <v>0</v>
      </c>
      <c r="L605" t="s">
        <v>748</v>
      </c>
    </row>
    <row r="606" spans="1:12" hidden="1" x14ac:dyDescent="0.3">
      <c r="A606">
        <v>2031</v>
      </c>
      <c r="B606" t="s">
        <v>717</v>
      </c>
      <c r="C606" t="s">
        <v>695</v>
      </c>
      <c r="E606" s="1"/>
      <c r="F606" s="1"/>
      <c r="G606" s="1"/>
      <c r="H606" s="1"/>
      <c r="I606">
        <v>0</v>
      </c>
      <c r="J606">
        <v>0</v>
      </c>
      <c r="K606">
        <v>0</v>
      </c>
      <c r="L606" t="s">
        <v>748</v>
      </c>
    </row>
    <row r="607" spans="1:12" hidden="1" x14ac:dyDescent="0.3">
      <c r="A607">
        <v>2031</v>
      </c>
      <c r="B607" t="s">
        <v>718</v>
      </c>
      <c r="C607" t="s">
        <v>696</v>
      </c>
      <c r="E607" s="1"/>
      <c r="F607" s="1"/>
      <c r="G607" s="1"/>
      <c r="H607" s="1"/>
      <c r="I607">
        <v>0</v>
      </c>
      <c r="J607">
        <v>0</v>
      </c>
      <c r="K607">
        <v>0</v>
      </c>
      <c r="L607" t="s">
        <v>748</v>
      </c>
    </row>
    <row r="608" spans="1:12" hidden="1" x14ac:dyDescent="0.3">
      <c r="A608">
        <v>2032</v>
      </c>
      <c r="B608" t="s">
        <v>364</v>
      </c>
      <c r="C608" t="s">
        <v>365</v>
      </c>
      <c r="D608" t="s">
        <v>291</v>
      </c>
      <c r="E608" s="1"/>
      <c r="F608" s="1"/>
      <c r="G608" s="1"/>
      <c r="H608" s="1"/>
      <c r="I608">
        <v>400</v>
      </c>
      <c r="J608">
        <v>7000</v>
      </c>
      <c r="K608">
        <v>7400</v>
      </c>
      <c r="L608" t="s">
        <v>748</v>
      </c>
    </row>
    <row r="609" spans="1:12" hidden="1" x14ac:dyDescent="0.3">
      <c r="A609">
        <v>2032</v>
      </c>
      <c r="B609" t="s">
        <v>366</v>
      </c>
      <c r="C609" t="s">
        <v>367</v>
      </c>
      <c r="D609" t="s">
        <v>155</v>
      </c>
      <c r="E609" s="1">
        <v>46006</v>
      </c>
      <c r="F609" s="1">
        <v>46157</v>
      </c>
      <c r="G609" s="1">
        <v>46645</v>
      </c>
      <c r="H609" s="1">
        <v>47011</v>
      </c>
      <c r="I609">
        <v>500</v>
      </c>
      <c r="J609">
        <v>4700</v>
      </c>
      <c r="K609">
        <v>5200</v>
      </c>
      <c r="L609" t="s">
        <v>748</v>
      </c>
    </row>
    <row r="610" spans="1:12" hidden="1" x14ac:dyDescent="0.3">
      <c r="A610">
        <v>2032</v>
      </c>
      <c r="B610" t="s">
        <v>162</v>
      </c>
      <c r="C610" t="s">
        <v>163</v>
      </c>
      <c r="D610" t="s">
        <v>164</v>
      </c>
      <c r="E610" s="1"/>
      <c r="F610" s="1"/>
      <c r="G610" s="1"/>
      <c r="H610" s="1"/>
      <c r="I610">
        <v>0</v>
      </c>
      <c r="J610">
        <v>0</v>
      </c>
      <c r="K610">
        <v>0</v>
      </c>
      <c r="L610" t="s">
        <v>748</v>
      </c>
    </row>
    <row r="611" spans="1:12" hidden="1" x14ac:dyDescent="0.3">
      <c r="A611">
        <v>2032</v>
      </c>
      <c r="B611" t="s">
        <v>166</v>
      </c>
      <c r="C611" t="s">
        <v>167</v>
      </c>
      <c r="D611" t="s">
        <v>155</v>
      </c>
      <c r="E611" s="1">
        <v>42499</v>
      </c>
      <c r="F611" s="1">
        <v>45976</v>
      </c>
      <c r="G611" s="1">
        <v>46402</v>
      </c>
      <c r="H611" s="1">
        <v>46980</v>
      </c>
      <c r="I611">
        <v>0</v>
      </c>
      <c r="J611">
        <v>0</v>
      </c>
      <c r="K611">
        <v>0</v>
      </c>
      <c r="L611" t="s">
        <v>748</v>
      </c>
    </row>
    <row r="612" spans="1:12" hidden="1" x14ac:dyDescent="0.3">
      <c r="A612">
        <v>2032</v>
      </c>
      <c r="B612" t="s">
        <v>170</v>
      </c>
      <c r="C612" t="s">
        <v>171</v>
      </c>
      <c r="D612" t="s">
        <v>110</v>
      </c>
      <c r="E612" s="1"/>
      <c r="F612" s="1">
        <v>44833</v>
      </c>
      <c r="G612" s="1">
        <v>45976</v>
      </c>
      <c r="H612" s="1">
        <v>46310</v>
      </c>
      <c r="I612">
        <v>0</v>
      </c>
      <c r="J612">
        <v>0</v>
      </c>
      <c r="K612">
        <v>0</v>
      </c>
      <c r="L612" t="s">
        <v>748</v>
      </c>
    </row>
    <row r="613" spans="1:12" hidden="1" x14ac:dyDescent="0.3">
      <c r="A613">
        <v>2032</v>
      </c>
      <c r="B613" t="s">
        <v>137</v>
      </c>
      <c r="C613" t="s">
        <v>138</v>
      </c>
      <c r="D613" t="s">
        <v>123</v>
      </c>
      <c r="E613" s="1"/>
      <c r="F613" s="1">
        <v>45062</v>
      </c>
      <c r="G613" s="1">
        <v>45754</v>
      </c>
      <c r="H613" s="1">
        <v>45945</v>
      </c>
      <c r="I613">
        <v>0</v>
      </c>
      <c r="J613">
        <v>0</v>
      </c>
      <c r="K613">
        <v>0</v>
      </c>
      <c r="L613" t="s">
        <v>748</v>
      </c>
    </row>
    <row r="614" spans="1:12" hidden="1" x14ac:dyDescent="0.3">
      <c r="A614">
        <v>2032</v>
      </c>
      <c r="B614" t="s">
        <v>181</v>
      </c>
      <c r="C614" t="s">
        <v>296</v>
      </c>
      <c r="D614" t="s">
        <v>110</v>
      </c>
      <c r="E614" s="1"/>
      <c r="F614" s="1">
        <v>45590</v>
      </c>
      <c r="G614" s="1">
        <v>46157</v>
      </c>
      <c r="H614" s="1">
        <v>46157</v>
      </c>
      <c r="I614">
        <v>0</v>
      </c>
      <c r="J614">
        <v>0</v>
      </c>
      <c r="K614">
        <v>0</v>
      </c>
      <c r="L614" t="s">
        <v>748</v>
      </c>
    </row>
    <row r="615" spans="1:12" hidden="1" x14ac:dyDescent="0.3">
      <c r="A615">
        <v>2032</v>
      </c>
      <c r="B615" t="s">
        <v>185</v>
      </c>
      <c r="C615" t="s">
        <v>186</v>
      </c>
      <c r="D615" t="s">
        <v>110</v>
      </c>
      <c r="E615" s="1"/>
      <c r="F615" s="1">
        <v>44823</v>
      </c>
      <c r="G615" s="1">
        <v>46310</v>
      </c>
      <c r="H615" s="1">
        <v>46521</v>
      </c>
      <c r="I615">
        <v>0</v>
      </c>
      <c r="J615">
        <v>0</v>
      </c>
      <c r="K615">
        <v>0</v>
      </c>
      <c r="L615" t="s">
        <v>748</v>
      </c>
    </row>
    <row r="616" spans="1:12" hidden="1" x14ac:dyDescent="0.3">
      <c r="A616">
        <v>2032</v>
      </c>
      <c r="B616" t="s">
        <v>189</v>
      </c>
      <c r="C616" t="s">
        <v>190</v>
      </c>
      <c r="D616" t="s">
        <v>123</v>
      </c>
      <c r="E616" s="1"/>
      <c r="F616" s="1">
        <v>45684</v>
      </c>
      <c r="G616" s="1"/>
      <c r="H616" s="1">
        <v>46006</v>
      </c>
      <c r="I616">
        <v>0</v>
      </c>
      <c r="J616">
        <v>0</v>
      </c>
      <c r="K616">
        <v>0</v>
      </c>
      <c r="L616" t="s">
        <v>749</v>
      </c>
    </row>
    <row r="617" spans="1:12" hidden="1" x14ac:dyDescent="0.3">
      <c r="A617">
        <v>2032</v>
      </c>
      <c r="B617" t="s">
        <v>132</v>
      </c>
      <c r="C617" t="s">
        <v>288</v>
      </c>
      <c r="D617" t="s">
        <v>123</v>
      </c>
      <c r="E617" s="1"/>
      <c r="F617" s="1">
        <v>45218</v>
      </c>
      <c r="G617" s="1">
        <v>45722</v>
      </c>
      <c r="H617" s="1">
        <v>45976</v>
      </c>
      <c r="I617">
        <v>0</v>
      </c>
      <c r="J617">
        <v>0</v>
      </c>
      <c r="K617">
        <v>0</v>
      </c>
      <c r="L617" t="s">
        <v>749</v>
      </c>
    </row>
    <row r="618" spans="1:12" hidden="1" x14ac:dyDescent="0.3">
      <c r="A618">
        <v>2032</v>
      </c>
      <c r="B618" t="s">
        <v>141</v>
      </c>
      <c r="C618" t="s">
        <v>142</v>
      </c>
      <c r="D618" t="s">
        <v>123</v>
      </c>
      <c r="E618" s="1">
        <v>42499</v>
      </c>
      <c r="F618" s="1">
        <v>42900</v>
      </c>
      <c r="G618" s="1">
        <v>45323</v>
      </c>
      <c r="H618" s="1">
        <v>45889</v>
      </c>
      <c r="I618">
        <v>0</v>
      </c>
      <c r="J618">
        <v>0</v>
      </c>
      <c r="K618">
        <v>0</v>
      </c>
      <c r="L618" t="s">
        <v>748</v>
      </c>
    </row>
    <row r="619" spans="1:12" hidden="1" x14ac:dyDescent="0.3">
      <c r="A619">
        <v>2032</v>
      </c>
      <c r="B619" t="s">
        <v>368</v>
      </c>
      <c r="C619" t="s">
        <v>369</v>
      </c>
      <c r="D619" t="s">
        <v>291</v>
      </c>
      <c r="E619" s="1"/>
      <c r="F619" s="1"/>
      <c r="G619" s="1"/>
      <c r="H619" s="1"/>
      <c r="I619">
        <v>500</v>
      </c>
      <c r="J619">
        <v>5500</v>
      </c>
      <c r="K619">
        <v>6000</v>
      </c>
      <c r="L619" t="s">
        <v>748</v>
      </c>
    </row>
    <row r="620" spans="1:12" hidden="1" x14ac:dyDescent="0.3">
      <c r="A620">
        <v>2032</v>
      </c>
      <c r="B620" t="s">
        <v>160</v>
      </c>
      <c r="C620" t="s">
        <v>161</v>
      </c>
      <c r="D620" t="s">
        <v>164</v>
      </c>
      <c r="E620" s="1">
        <v>43013</v>
      </c>
      <c r="F620" s="1">
        <v>44956</v>
      </c>
      <c r="G620" s="1">
        <v>45321</v>
      </c>
      <c r="H620" s="1">
        <v>45687</v>
      </c>
      <c r="I620">
        <v>0</v>
      </c>
      <c r="J620">
        <v>0</v>
      </c>
      <c r="K620">
        <v>0</v>
      </c>
      <c r="L620" t="s">
        <v>748</v>
      </c>
    </row>
    <row r="621" spans="1:12" hidden="1" x14ac:dyDescent="0.3">
      <c r="A621">
        <v>2032</v>
      </c>
      <c r="B621" t="s">
        <v>371</v>
      </c>
      <c r="C621" t="s">
        <v>372</v>
      </c>
      <c r="D621" t="s">
        <v>291</v>
      </c>
      <c r="E621" s="1"/>
      <c r="F621" s="1"/>
      <c r="G621" s="1"/>
      <c r="H621" s="1"/>
      <c r="I621">
        <v>0</v>
      </c>
      <c r="J621">
        <v>0</v>
      </c>
      <c r="K621">
        <v>0</v>
      </c>
      <c r="L621" t="s">
        <v>748</v>
      </c>
    </row>
    <row r="622" spans="1:12" hidden="1" x14ac:dyDescent="0.3">
      <c r="A622">
        <v>2032</v>
      </c>
      <c r="B622" t="s">
        <v>195</v>
      </c>
      <c r="C622" t="s">
        <v>196</v>
      </c>
      <c r="D622" t="s">
        <v>110</v>
      </c>
      <c r="E622" s="1"/>
      <c r="F622" s="1">
        <v>44889</v>
      </c>
      <c r="G622" s="1">
        <v>46068</v>
      </c>
      <c r="H622" s="1">
        <v>46583</v>
      </c>
      <c r="I622">
        <v>0</v>
      </c>
      <c r="J622">
        <v>0</v>
      </c>
      <c r="K622">
        <v>0</v>
      </c>
      <c r="L622" t="s">
        <v>748</v>
      </c>
    </row>
    <row r="623" spans="1:12" hidden="1" x14ac:dyDescent="0.3">
      <c r="A623">
        <v>2032</v>
      </c>
      <c r="B623" t="s">
        <v>375</v>
      </c>
      <c r="C623" t="s">
        <v>376</v>
      </c>
      <c r="D623" t="s">
        <v>155</v>
      </c>
      <c r="E623" s="1">
        <v>46006</v>
      </c>
      <c r="F623" s="1">
        <v>46280</v>
      </c>
      <c r="G623" s="1">
        <v>46645</v>
      </c>
      <c r="H623" s="1">
        <v>47011</v>
      </c>
      <c r="I623">
        <v>0</v>
      </c>
      <c r="J623">
        <v>0</v>
      </c>
      <c r="K623">
        <v>0</v>
      </c>
      <c r="L623" t="s">
        <v>748</v>
      </c>
    </row>
    <row r="624" spans="1:12" hidden="1" x14ac:dyDescent="0.3">
      <c r="A624">
        <v>2032</v>
      </c>
      <c r="B624" t="s">
        <v>174</v>
      </c>
      <c r="C624" t="s">
        <v>175</v>
      </c>
      <c r="D624" t="s">
        <v>164</v>
      </c>
      <c r="E624" s="1">
        <v>44014</v>
      </c>
      <c r="F624" s="1">
        <v>44014</v>
      </c>
      <c r="G624" s="1">
        <v>44294</v>
      </c>
      <c r="H624" s="1">
        <v>45239</v>
      </c>
      <c r="I624">
        <v>0</v>
      </c>
      <c r="J624">
        <v>0</v>
      </c>
      <c r="K624">
        <v>0</v>
      </c>
      <c r="L624" t="s">
        <v>748</v>
      </c>
    </row>
    <row r="625" spans="1:12" hidden="1" x14ac:dyDescent="0.3">
      <c r="A625">
        <v>2032</v>
      </c>
      <c r="B625" t="s">
        <v>203</v>
      </c>
      <c r="C625" t="s">
        <v>204</v>
      </c>
      <c r="D625" t="s">
        <v>155</v>
      </c>
      <c r="E625" s="1">
        <v>45730</v>
      </c>
      <c r="F625" s="1">
        <v>45960</v>
      </c>
      <c r="G625" s="1">
        <v>46264</v>
      </c>
      <c r="H625" s="1">
        <v>46629</v>
      </c>
      <c r="I625">
        <v>0</v>
      </c>
      <c r="J625">
        <v>0</v>
      </c>
      <c r="K625">
        <v>0</v>
      </c>
      <c r="L625" t="s">
        <v>748</v>
      </c>
    </row>
    <row r="626" spans="1:12" hidden="1" x14ac:dyDescent="0.3">
      <c r="A626">
        <v>2032</v>
      </c>
      <c r="B626" t="s">
        <v>114</v>
      </c>
      <c r="C626" t="s">
        <v>719</v>
      </c>
      <c r="D626" t="s">
        <v>123</v>
      </c>
      <c r="E626" s="1"/>
      <c r="F626" s="1">
        <v>45105</v>
      </c>
      <c r="G626" s="1">
        <v>45789</v>
      </c>
      <c r="H626" s="1">
        <v>45932</v>
      </c>
      <c r="I626">
        <v>0</v>
      </c>
      <c r="J626">
        <v>0</v>
      </c>
      <c r="K626">
        <v>0</v>
      </c>
      <c r="L626" t="s">
        <v>749</v>
      </c>
    </row>
    <row r="627" spans="1:12" hidden="1" x14ac:dyDescent="0.3">
      <c r="A627">
        <v>2032</v>
      </c>
      <c r="B627" t="s">
        <v>207</v>
      </c>
      <c r="C627" t="s">
        <v>208</v>
      </c>
      <c r="D627" t="s">
        <v>155</v>
      </c>
      <c r="E627" s="1">
        <v>44476</v>
      </c>
      <c r="F627" s="1">
        <v>45976</v>
      </c>
      <c r="G627" s="1">
        <v>46096</v>
      </c>
      <c r="H627" s="1">
        <v>46280</v>
      </c>
      <c r="I627">
        <v>0</v>
      </c>
      <c r="J627">
        <v>0</v>
      </c>
      <c r="K627">
        <v>0</v>
      </c>
      <c r="L627" t="s">
        <v>749</v>
      </c>
    </row>
    <row r="628" spans="1:12" hidden="1" x14ac:dyDescent="0.3">
      <c r="A628">
        <v>2032</v>
      </c>
      <c r="B628" t="s">
        <v>377</v>
      </c>
      <c r="C628" t="s">
        <v>378</v>
      </c>
      <c r="D628" t="s">
        <v>155</v>
      </c>
      <c r="E628" s="1"/>
      <c r="F628" s="1">
        <v>46068</v>
      </c>
      <c r="G628" s="1">
        <v>46461</v>
      </c>
      <c r="H628" s="1">
        <v>46888</v>
      </c>
      <c r="I628">
        <v>0</v>
      </c>
      <c r="J628">
        <v>0</v>
      </c>
      <c r="K628">
        <v>0</v>
      </c>
      <c r="L628" t="s">
        <v>748</v>
      </c>
    </row>
    <row r="629" spans="1:12" hidden="1" x14ac:dyDescent="0.3">
      <c r="A629">
        <v>2032</v>
      </c>
      <c r="B629" t="s">
        <v>210</v>
      </c>
      <c r="C629" t="s">
        <v>211</v>
      </c>
      <c r="D629" t="s">
        <v>155</v>
      </c>
      <c r="E629" s="1"/>
      <c r="F629" s="1">
        <v>45976</v>
      </c>
      <c r="G629" s="1">
        <v>46341</v>
      </c>
      <c r="H629" s="1">
        <v>46706</v>
      </c>
      <c r="I629">
        <v>0</v>
      </c>
      <c r="J629">
        <v>0</v>
      </c>
      <c r="K629">
        <v>0</v>
      </c>
      <c r="L629" t="s">
        <v>748</v>
      </c>
    </row>
    <row r="630" spans="1:12" hidden="1" x14ac:dyDescent="0.3">
      <c r="A630">
        <v>2032</v>
      </c>
      <c r="B630" t="s">
        <v>379</v>
      </c>
      <c r="C630" t="s">
        <v>380</v>
      </c>
      <c r="D630" t="s">
        <v>291</v>
      </c>
      <c r="E630" s="1"/>
      <c r="F630" s="1"/>
      <c r="G630" s="1"/>
      <c r="H630" s="1"/>
      <c r="I630">
        <v>0</v>
      </c>
      <c r="J630">
        <v>0</v>
      </c>
      <c r="K630">
        <v>0</v>
      </c>
      <c r="L630" t="s">
        <v>748</v>
      </c>
    </row>
    <row r="631" spans="1:12" hidden="1" x14ac:dyDescent="0.3">
      <c r="A631">
        <v>2032</v>
      </c>
      <c r="B631" t="s">
        <v>383</v>
      </c>
      <c r="C631" t="s">
        <v>384</v>
      </c>
      <c r="D631" t="s">
        <v>291</v>
      </c>
      <c r="E631" s="1"/>
      <c r="F631" s="1"/>
      <c r="G631" s="1"/>
      <c r="H631" s="1"/>
      <c r="I631">
        <v>0</v>
      </c>
      <c r="J631">
        <v>0</v>
      </c>
      <c r="K631">
        <v>0</v>
      </c>
      <c r="L631" t="s">
        <v>748</v>
      </c>
    </row>
    <row r="632" spans="1:12" hidden="1" x14ac:dyDescent="0.3">
      <c r="A632">
        <v>2032</v>
      </c>
      <c r="B632" t="s">
        <v>212</v>
      </c>
      <c r="C632" t="s">
        <v>213</v>
      </c>
      <c r="D632" t="s">
        <v>155</v>
      </c>
      <c r="E632" s="1">
        <v>45337</v>
      </c>
      <c r="F632" s="1">
        <v>46127</v>
      </c>
      <c r="G632" s="1">
        <v>46798</v>
      </c>
      <c r="H632" s="1">
        <v>47192</v>
      </c>
      <c r="I632">
        <v>0</v>
      </c>
      <c r="J632">
        <v>0</v>
      </c>
      <c r="K632">
        <v>0</v>
      </c>
      <c r="L632" t="s">
        <v>748</v>
      </c>
    </row>
    <row r="633" spans="1:12" hidden="1" x14ac:dyDescent="0.3">
      <c r="A633">
        <v>2032</v>
      </c>
      <c r="B633" t="s">
        <v>385</v>
      </c>
      <c r="C633" t="s">
        <v>740</v>
      </c>
      <c r="D633" t="s">
        <v>155</v>
      </c>
      <c r="E633" s="1">
        <v>45672</v>
      </c>
      <c r="F633" s="1">
        <v>45960</v>
      </c>
      <c r="G633" s="1">
        <v>46266</v>
      </c>
      <c r="H633" s="1">
        <v>46631</v>
      </c>
      <c r="I633">
        <v>0</v>
      </c>
      <c r="J633">
        <v>0</v>
      </c>
      <c r="K633">
        <v>0</v>
      </c>
      <c r="L633" t="s">
        <v>748</v>
      </c>
    </row>
    <row r="634" spans="1:12" hidden="1" x14ac:dyDescent="0.3">
      <c r="A634">
        <v>2032</v>
      </c>
      <c r="B634" t="s">
        <v>220</v>
      </c>
      <c r="C634" t="s">
        <v>221</v>
      </c>
      <c r="D634" t="s">
        <v>155</v>
      </c>
      <c r="E634" s="1"/>
      <c r="F634" s="1">
        <v>45976</v>
      </c>
      <c r="G634" s="1">
        <v>46264</v>
      </c>
      <c r="H634" s="1">
        <v>46553</v>
      </c>
      <c r="I634">
        <v>0</v>
      </c>
      <c r="J634">
        <v>0</v>
      </c>
      <c r="K634">
        <v>0</v>
      </c>
      <c r="L634" t="s">
        <v>748</v>
      </c>
    </row>
    <row r="635" spans="1:12" hidden="1" x14ac:dyDescent="0.3">
      <c r="A635">
        <v>2032</v>
      </c>
      <c r="B635" t="s">
        <v>224</v>
      </c>
      <c r="C635" t="s">
        <v>520</v>
      </c>
      <c r="D635" t="s">
        <v>123</v>
      </c>
      <c r="E635" s="1">
        <v>44365</v>
      </c>
      <c r="F635" s="1">
        <v>44623</v>
      </c>
      <c r="G635" s="1">
        <v>45698</v>
      </c>
      <c r="H635" s="1">
        <v>46341</v>
      </c>
      <c r="I635">
        <v>0</v>
      </c>
      <c r="J635">
        <v>0</v>
      </c>
      <c r="K635">
        <v>0</v>
      </c>
      <c r="L635" t="s">
        <v>748</v>
      </c>
    </row>
    <row r="636" spans="1:12" hidden="1" x14ac:dyDescent="0.3">
      <c r="A636">
        <v>2032</v>
      </c>
      <c r="B636" t="s">
        <v>373</v>
      </c>
      <c r="C636" t="s">
        <v>374</v>
      </c>
      <c r="D636" t="s">
        <v>155</v>
      </c>
      <c r="E636" s="1">
        <v>45833</v>
      </c>
      <c r="F636" s="1">
        <v>45960</v>
      </c>
      <c r="G636" s="1">
        <v>46280</v>
      </c>
      <c r="H636" s="1">
        <v>46645</v>
      </c>
      <c r="I636">
        <v>0</v>
      </c>
      <c r="J636">
        <v>0</v>
      </c>
      <c r="K636">
        <v>0</v>
      </c>
      <c r="L636" t="s">
        <v>748</v>
      </c>
    </row>
    <row r="637" spans="1:12" hidden="1" x14ac:dyDescent="0.3">
      <c r="A637">
        <v>2032</v>
      </c>
      <c r="B637" t="s">
        <v>226</v>
      </c>
      <c r="C637" t="s">
        <v>227</v>
      </c>
      <c r="D637" t="s">
        <v>110</v>
      </c>
      <c r="E637" s="1"/>
      <c r="F637" s="1">
        <v>45330</v>
      </c>
      <c r="G637" s="1">
        <v>46690</v>
      </c>
      <c r="H637" s="1">
        <v>47376</v>
      </c>
      <c r="I637">
        <v>0</v>
      </c>
      <c r="J637">
        <v>0</v>
      </c>
      <c r="K637">
        <v>0</v>
      </c>
      <c r="L637" t="s">
        <v>748</v>
      </c>
    </row>
    <row r="638" spans="1:12" hidden="1" x14ac:dyDescent="0.3">
      <c r="A638">
        <v>2032</v>
      </c>
      <c r="B638" t="s">
        <v>145</v>
      </c>
      <c r="C638" t="s">
        <v>720</v>
      </c>
      <c r="D638" t="s">
        <v>110</v>
      </c>
      <c r="E638" s="1"/>
      <c r="F638" s="1">
        <v>44609</v>
      </c>
      <c r="G638" s="1">
        <v>45996</v>
      </c>
      <c r="H638" s="1">
        <v>46310</v>
      </c>
      <c r="I638">
        <v>0</v>
      </c>
      <c r="J638">
        <v>0</v>
      </c>
      <c r="K638">
        <v>0</v>
      </c>
      <c r="L638" t="s">
        <v>748</v>
      </c>
    </row>
    <row r="639" spans="1:12" hidden="1" x14ac:dyDescent="0.3">
      <c r="A639">
        <v>2032</v>
      </c>
      <c r="B639" t="s">
        <v>231</v>
      </c>
      <c r="C639" t="s">
        <v>232</v>
      </c>
      <c r="D639" t="s">
        <v>110</v>
      </c>
      <c r="E639" s="1"/>
      <c r="F639" s="1">
        <v>45099</v>
      </c>
      <c r="G639" s="1">
        <v>46037</v>
      </c>
      <c r="H639" s="1">
        <v>46283</v>
      </c>
      <c r="I639">
        <v>0</v>
      </c>
      <c r="J639">
        <v>0</v>
      </c>
      <c r="K639">
        <v>0</v>
      </c>
      <c r="L639" t="s">
        <v>748</v>
      </c>
    </row>
    <row r="640" spans="1:12" hidden="1" x14ac:dyDescent="0.3">
      <c r="A640">
        <v>2032</v>
      </c>
      <c r="B640" t="s">
        <v>233</v>
      </c>
      <c r="C640" t="s">
        <v>542</v>
      </c>
      <c r="D640" t="s">
        <v>155</v>
      </c>
      <c r="E640" s="1"/>
      <c r="F640" s="1">
        <v>46127</v>
      </c>
      <c r="G640" s="1">
        <v>46553</v>
      </c>
      <c r="H640" s="1">
        <v>46980</v>
      </c>
      <c r="I640">
        <v>0</v>
      </c>
      <c r="J640">
        <v>0</v>
      </c>
      <c r="K640">
        <v>0</v>
      </c>
      <c r="L640" t="s">
        <v>748</v>
      </c>
    </row>
    <row r="641" spans="1:12" hidden="1" x14ac:dyDescent="0.3">
      <c r="A641">
        <v>2032</v>
      </c>
      <c r="B641" t="s">
        <v>235</v>
      </c>
      <c r="C641" t="s">
        <v>510</v>
      </c>
      <c r="D641" t="s">
        <v>110</v>
      </c>
      <c r="E641" s="1"/>
      <c r="F641" s="1">
        <v>45706</v>
      </c>
      <c r="G641" s="1">
        <v>46055</v>
      </c>
      <c r="H641" s="1">
        <v>46273</v>
      </c>
      <c r="I641">
        <v>0</v>
      </c>
      <c r="J641">
        <v>0</v>
      </c>
      <c r="K641">
        <v>0</v>
      </c>
      <c r="L641" t="s">
        <v>748</v>
      </c>
    </row>
    <row r="642" spans="1:12" hidden="1" x14ac:dyDescent="0.3">
      <c r="A642">
        <v>2032</v>
      </c>
      <c r="B642" t="s">
        <v>398</v>
      </c>
      <c r="C642" t="s">
        <v>541</v>
      </c>
      <c r="D642" t="s">
        <v>291</v>
      </c>
      <c r="E642" s="1"/>
      <c r="F642" s="1"/>
      <c r="G642" s="1"/>
      <c r="H642" s="1"/>
      <c r="I642">
        <v>0</v>
      </c>
      <c r="J642">
        <v>0</v>
      </c>
      <c r="K642">
        <v>0</v>
      </c>
      <c r="L642" t="s">
        <v>748</v>
      </c>
    </row>
    <row r="643" spans="1:12" hidden="1" x14ac:dyDescent="0.3">
      <c r="A643">
        <v>2032</v>
      </c>
      <c r="B643" t="s">
        <v>237</v>
      </c>
      <c r="C643" t="s">
        <v>665</v>
      </c>
      <c r="D643" t="s">
        <v>110</v>
      </c>
      <c r="E643" s="1"/>
      <c r="F643" s="1">
        <v>45915</v>
      </c>
      <c r="G643" s="1">
        <v>46037</v>
      </c>
      <c r="H643" s="1">
        <v>46310</v>
      </c>
      <c r="I643">
        <v>0</v>
      </c>
      <c r="J643">
        <v>0</v>
      </c>
      <c r="K643">
        <v>0</v>
      </c>
      <c r="L643" t="s">
        <v>748</v>
      </c>
    </row>
    <row r="644" spans="1:12" hidden="1" x14ac:dyDescent="0.3">
      <c r="A644">
        <v>2032</v>
      </c>
      <c r="B644" t="s">
        <v>400</v>
      </c>
      <c r="C644" t="s">
        <v>401</v>
      </c>
      <c r="D644" t="s">
        <v>155</v>
      </c>
      <c r="E644" s="1">
        <v>45946</v>
      </c>
      <c r="F644" s="1">
        <v>46002</v>
      </c>
      <c r="G644" s="1">
        <v>46461</v>
      </c>
      <c r="H644" s="1">
        <v>46794</v>
      </c>
      <c r="I644">
        <v>0</v>
      </c>
      <c r="J644">
        <v>0</v>
      </c>
      <c r="K644">
        <v>0</v>
      </c>
      <c r="L644" t="s">
        <v>748</v>
      </c>
    </row>
    <row r="645" spans="1:12" hidden="1" x14ac:dyDescent="0.3">
      <c r="A645">
        <v>2032</v>
      </c>
      <c r="B645" t="s">
        <v>106</v>
      </c>
      <c r="C645" t="s">
        <v>107</v>
      </c>
      <c r="D645" t="s">
        <v>123</v>
      </c>
      <c r="E645" s="1"/>
      <c r="F645" s="1">
        <v>45014</v>
      </c>
      <c r="G645" s="1">
        <v>45799</v>
      </c>
      <c r="H645" s="1">
        <v>46006</v>
      </c>
      <c r="I645">
        <v>0</v>
      </c>
      <c r="J645">
        <v>0</v>
      </c>
      <c r="K645">
        <v>0</v>
      </c>
      <c r="L645" t="s">
        <v>749</v>
      </c>
    </row>
    <row r="646" spans="1:12" hidden="1" x14ac:dyDescent="0.3">
      <c r="A646">
        <v>2032</v>
      </c>
      <c r="B646" t="s">
        <v>240</v>
      </c>
      <c r="C646" t="s">
        <v>241</v>
      </c>
      <c r="D646" t="s">
        <v>110</v>
      </c>
      <c r="E646" s="1"/>
      <c r="F646" s="1">
        <v>45708</v>
      </c>
      <c r="G646" s="1">
        <v>45923</v>
      </c>
      <c r="H646" s="1">
        <v>46296</v>
      </c>
      <c r="I646">
        <v>0</v>
      </c>
      <c r="J646">
        <v>0</v>
      </c>
      <c r="K646">
        <v>0</v>
      </c>
      <c r="L646" t="s">
        <v>748</v>
      </c>
    </row>
    <row r="647" spans="1:12" hidden="1" x14ac:dyDescent="0.3">
      <c r="A647">
        <v>2032</v>
      </c>
      <c r="B647" t="s">
        <v>153</v>
      </c>
      <c r="C647" t="s">
        <v>154</v>
      </c>
      <c r="D647" t="s">
        <v>123</v>
      </c>
      <c r="E647" s="1"/>
      <c r="F647" s="1">
        <v>45601</v>
      </c>
      <c r="G647" s="1">
        <v>45731</v>
      </c>
      <c r="H647" s="1">
        <v>45976</v>
      </c>
      <c r="I647">
        <v>0</v>
      </c>
      <c r="J647">
        <v>0</v>
      </c>
      <c r="K647">
        <v>0</v>
      </c>
      <c r="L647" t="s">
        <v>749</v>
      </c>
    </row>
    <row r="648" spans="1:12" hidden="1" x14ac:dyDescent="0.3">
      <c r="A648">
        <v>2032</v>
      </c>
      <c r="B648" t="s">
        <v>403</v>
      </c>
      <c r="C648" t="s">
        <v>643</v>
      </c>
      <c r="D648" t="s">
        <v>155</v>
      </c>
      <c r="E648" s="1">
        <v>46006</v>
      </c>
      <c r="F648" s="1">
        <v>46218</v>
      </c>
      <c r="G648" s="1">
        <v>46722</v>
      </c>
      <c r="H648" s="1">
        <v>47011</v>
      </c>
      <c r="I648">
        <v>0</v>
      </c>
      <c r="J648">
        <v>0</v>
      </c>
      <c r="K648">
        <v>0</v>
      </c>
      <c r="L648" t="s">
        <v>748</v>
      </c>
    </row>
    <row r="649" spans="1:12" hidden="1" x14ac:dyDescent="0.3">
      <c r="A649">
        <v>2032</v>
      </c>
      <c r="B649" t="s">
        <v>150</v>
      </c>
      <c r="C649" t="s">
        <v>721</v>
      </c>
      <c r="D649" t="s">
        <v>123</v>
      </c>
      <c r="E649" s="1"/>
      <c r="F649" s="1">
        <v>45079</v>
      </c>
      <c r="G649" s="1">
        <v>45685</v>
      </c>
      <c r="H649" s="1">
        <v>46142</v>
      </c>
      <c r="I649">
        <v>0</v>
      </c>
      <c r="J649">
        <v>0</v>
      </c>
      <c r="K649">
        <v>0</v>
      </c>
      <c r="L649" t="s">
        <v>748</v>
      </c>
    </row>
    <row r="650" spans="1:12" hidden="1" x14ac:dyDescent="0.3">
      <c r="A650">
        <v>2032</v>
      </c>
      <c r="B650" t="s">
        <v>407</v>
      </c>
      <c r="C650" t="s">
        <v>514</v>
      </c>
      <c r="D650" t="s">
        <v>155</v>
      </c>
      <c r="E650" s="1"/>
      <c r="F650" s="1">
        <v>46127</v>
      </c>
      <c r="G650" s="1">
        <v>46492</v>
      </c>
      <c r="H650" s="1">
        <v>46706</v>
      </c>
      <c r="I650">
        <v>0</v>
      </c>
      <c r="J650">
        <v>0</v>
      </c>
      <c r="K650">
        <v>0</v>
      </c>
      <c r="L650" t="s">
        <v>749</v>
      </c>
    </row>
    <row r="651" spans="1:12" hidden="1" x14ac:dyDescent="0.3">
      <c r="A651">
        <v>2032</v>
      </c>
      <c r="B651" t="s">
        <v>405</v>
      </c>
      <c r="C651" t="s">
        <v>406</v>
      </c>
      <c r="D651" t="s">
        <v>155</v>
      </c>
      <c r="E651" s="1">
        <v>45763</v>
      </c>
      <c r="F651" s="1">
        <v>46054</v>
      </c>
      <c r="G651" s="1">
        <v>46427</v>
      </c>
      <c r="H651" s="1">
        <v>46813</v>
      </c>
      <c r="I651">
        <v>600</v>
      </c>
      <c r="J651">
        <v>6000</v>
      </c>
      <c r="K651">
        <v>6600</v>
      </c>
      <c r="L651" t="s">
        <v>748</v>
      </c>
    </row>
    <row r="652" spans="1:12" hidden="1" x14ac:dyDescent="0.3">
      <c r="A652">
        <v>2032</v>
      </c>
      <c r="B652" t="s">
        <v>243</v>
      </c>
      <c r="C652" t="s">
        <v>739</v>
      </c>
      <c r="D652" t="s">
        <v>155</v>
      </c>
      <c r="E652" s="1">
        <v>45588</v>
      </c>
      <c r="F652" s="1">
        <v>45976</v>
      </c>
      <c r="G652" s="1">
        <v>46280</v>
      </c>
      <c r="H652" s="1">
        <v>46433</v>
      </c>
      <c r="I652">
        <v>0</v>
      </c>
      <c r="J652">
        <v>0</v>
      </c>
      <c r="K652">
        <v>0</v>
      </c>
      <c r="L652" t="s">
        <v>748</v>
      </c>
    </row>
    <row r="653" spans="1:12" hidden="1" x14ac:dyDescent="0.3">
      <c r="A653">
        <v>2032</v>
      </c>
      <c r="B653" t="s">
        <v>246</v>
      </c>
      <c r="C653" t="s">
        <v>515</v>
      </c>
      <c r="D653" t="s">
        <v>110</v>
      </c>
      <c r="E653" s="1"/>
      <c r="F653" s="1">
        <v>45679</v>
      </c>
      <c r="G653" s="1">
        <v>46096</v>
      </c>
      <c r="H653" s="1">
        <v>46371</v>
      </c>
      <c r="I653">
        <v>0</v>
      </c>
      <c r="J653">
        <v>0</v>
      </c>
      <c r="K653">
        <v>0</v>
      </c>
      <c r="L653" t="s">
        <v>748</v>
      </c>
    </row>
    <row r="654" spans="1:12" hidden="1" x14ac:dyDescent="0.3">
      <c r="A654">
        <v>2032</v>
      </c>
      <c r="B654" t="s">
        <v>409</v>
      </c>
      <c r="C654" t="s">
        <v>410</v>
      </c>
      <c r="D654" t="s">
        <v>155</v>
      </c>
      <c r="E654" s="1"/>
      <c r="F654" s="1">
        <v>46143</v>
      </c>
      <c r="G654" s="1">
        <v>46508</v>
      </c>
      <c r="H654" s="1">
        <v>46874</v>
      </c>
      <c r="I654">
        <v>0</v>
      </c>
      <c r="J654">
        <v>0</v>
      </c>
      <c r="K654">
        <v>0</v>
      </c>
      <c r="L654" t="s">
        <v>748</v>
      </c>
    </row>
    <row r="655" spans="1:12" hidden="1" x14ac:dyDescent="0.3">
      <c r="A655">
        <v>2032</v>
      </c>
      <c r="B655" t="s">
        <v>412</v>
      </c>
      <c r="C655" t="s">
        <v>644</v>
      </c>
      <c r="D655" t="s">
        <v>291</v>
      </c>
      <c r="E655" s="1"/>
      <c r="F655" s="1"/>
      <c r="G655" s="1"/>
      <c r="H655" s="1"/>
      <c r="I655">
        <v>0</v>
      </c>
      <c r="J655">
        <v>0</v>
      </c>
      <c r="K655">
        <v>0</v>
      </c>
      <c r="L655" t="s">
        <v>748</v>
      </c>
    </row>
    <row r="656" spans="1:12" hidden="1" x14ac:dyDescent="0.3">
      <c r="A656">
        <v>2032</v>
      </c>
      <c r="B656" t="s">
        <v>415</v>
      </c>
      <c r="C656" t="s">
        <v>416</v>
      </c>
      <c r="D656" t="s">
        <v>155</v>
      </c>
      <c r="E656" s="1"/>
      <c r="F656" s="1">
        <v>46143</v>
      </c>
      <c r="G656" s="1">
        <v>46508</v>
      </c>
      <c r="H656" s="1">
        <v>46874</v>
      </c>
      <c r="I656">
        <v>0</v>
      </c>
      <c r="J656">
        <v>0</v>
      </c>
      <c r="K656">
        <v>0</v>
      </c>
      <c r="L656" t="s">
        <v>748</v>
      </c>
    </row>
    <row r="657" spans="1:12" hidden="1" x14ac:dyDescent="0.3">
      <c r="A657">
        <v>2032</v>
      </c>
      <c r="B657" t="s">
        <v>381</v>
      </c>
      <c r="C657" t="s">
        <v>382</v>
      </c>
      <c r="D657" t="s">
        <v>291</v>
      </c>
      <c r="E657" s="1"/>
      <c r="F657" s="1"/>
      <c r="G657" s="1"/>
      <c r="H657" s="1"/>
      <c r="I657">
        <v>0</v>
      </c>
      <c r="J657">
        <v>0</v>
      </c>
      <c r="K657">
        <v>0</v>
      </c>
      <c r="L657" t="s">
        <v>748</v>
      </c>
    </row>
    <row r="658" spans="1:12" hidden="1" x14ac:dyDescent="0.3">
      <c r="A658">
        <v>2032</v>
      </c>
      <c r="B658" t="s">
        <v>635</v>
      </c>
      <c r="C658" t="s">
        <v>636</v>
      </c>
      <c r="D658" t="s">
        <v>155</v>
      </c>
      <c r="E658" s="1"/>
      <c r="F658" s="1">
        <v>46266</v>
      </c>
      <c r="G658" s="1">
        <v>46631</v>
      </c>
      <c r="H658" s="1">
        <v>46997</v>
      </c>
      <c r="I658">
        <v>1250</v>
      </c>
      <c r="J658">
        <v>34450</v>
      </c>
      <c r="K658">
        <v>35700</v>
      </c>
      <c r="L658" t="s">
        <v>748</v>
      </c>
    </row>
    <row r="659" spans="1:12" hidden="1" x14ac:dyDescent="0.3">
      <c r="A659">
        <v>2032</v>
      </c>
      <c r="B659" t="s">
        <v>393</v>
      </c>
      <c r="C659" t="s">
        <v>394</v>
      </c>
      <c r="D659" t="s">
        <v>291</v>
      </c>
      <c r="E659" s="1"/>
      <c r="F659" s="1"/>
      <c r="G659" s="1"/>
      <c r="H659" s="1"/>
      <c r="I659">
        <v>0</v>
      </c>
      <c r="J659">
        <v>0</v>
      </c>
      <c r="K659">
        <v>0</v>
      </c>
      <c r="L659" t="s">
        <v>748</v>
      </c>
    </row>
    <row r="660" spans="1:12" hidden="1" x14ac:dyDescent="0.3">
      <c r="A660">
        <v>2032</v>
      </c>
      <c r="B660" t="s">
        <v>396</v>
      </c>
      <c r="C660" t="s">
        <v>397</v>
      </c>
      <c r="D660" t="s">
        <v>155</v>
      </c>
      <c r="E660" s="1">
        <v>46068</v>
      </c>
      <c r="F660" s="1">
        <v>46371</v>
      </c>
      <c r="G660" s="1">
        <v>46736</v>
      </c>
      <c r="H660" s="1">
        <v>47102</v>
      </c>
      <c r="I660">
        <v>0</v>
      </c>
      <c r="J660">
        <v>0</v>
      </c>
      <c r="K660">
        <v>0</v>
      </c>
      <c r="L660" t="s">
        <v>748</v>
      </c>
    </row>
    <row r="661" spans="1:12" hidden="1" x14ac:dyDescent="0.3">
      <c r="A661">
        <v>2032</v>
      </c>
      <c r="B661" t="s">
        <v>418</v>
      </c>
      <c r="C661" t="s">
        <v>530</v>
      </c>
      <c r="D661" t="s">
        <v>291</v>
      </c>
      <c r="E661" s="1"/>
      <c r="F661" s="1"/>
      <c r="G661" s="1"/>
      <c r="H661" s="1"/>
      <c r="I661">
        <v>450</v>
      </c>
      <c r="J661">
        <v>7500</v>
      </c>
      <c r="K661">
        <v>7950</v>
      </c>
      <c r="L661" t="s">
        <v>748</v>
      </c>
    </row>
    <row r="662" spans="1:12" hidden="1" x14ac:dyDescent="0.3">
      <c r="A662">
        <v>2032</v>
      </c>
      <c r="B662" t="s">
        <v>422</v>
      </c>
      <c r="C662" t="s">
        <v>423</v>
      </c>
      <c r="D662" t="s">
        <v>291</v>
      </c>
      <c r="E662" s="1"/>
      <c r="F662" s="1"/>
      <c r="G662" s="1"/>
      <c r="H662" s="1"/>
      <c r="I662">
        <v>200</v>
      </c>
      <c r="J662">
        <v>0</v>
      </c>
      <c r="K662">
        <v>200</v>
      </c>
      <c r="L662" t="s">
        <v>748</v>
      </c>
    </row>
    <row r="663" spans="1:12" hidden="1" x14ac:dyDescent="0.3">
      <c r="A663">
        <v>2032</v>
      </c>
      <c r="B663" t="s">
        <v>424</v>
      </c>
      <c r="C663" t="s">
        <v>425</v>
      </c>
      <c r="D663" t="s">
        <v>291</v>
      </c>
      <c r="E663" s="1"/>
      <c r="F663" s="1"/>
      <c r="G663" s="1"/>
      <c r="H663" s="1"/>
      <c r="I663">
        <v>100</v>
      </c>
      <c r="J663">
        <v>0</v>
      </c>
      <c r="K663">
        <v>100</v>
      </c>
      <c r="L663" t="s">
        <v>748</v>
      </c>
    </row>
    <row r="664" spans="1:12" hidden="1" x14ac:dyDescent="0.3">
      <c r="A664">
        <v>2032</v>
      </c>
      <c r="B664" t="s">
        <v>428</v>
      </c>
      <c r="C664" t="s">
        <v>429</v>
      </c>
      <c r="D664" t="s">
        <v>291</v>
      </c>
      <c r="E664" s="1"/>
      <c r="F664" s="1"/>
      <c r="G664" s="1"/>
      <c r="H664" s="1"/>
      <c r="I664">
        <v>100</v>
      </c>
      <c r="J664">
        <v>0</v>
      </c>
      <c r="K664">
        <v>100</v>
      </c>
      <c r="L664" t="s">
        <v>748</v>
      </c>
    </row>
    <row r="665" spans="1:12" hidden="1" x14ac:dyDescent="0.3">
      <c r="A665">
        <v>2032</v>
      </c>
      <c r="B665" t="s">
        <v>432</v>
      </c>
      <c r="C665" t="s">
        <v>433</v>
      </c>
      <c r="D665" t="s">
        <v>291</v>
      </c>
      <c r="E665" s="1"/>
      <c r="F665" s="1"/>
      <c r="G665" s="1"/>
      <c r="H665" s="1"/>
      <c r="I665">
        <v>0</v>
      </c>
      <c r="J665">
        <v>0</v>
      </c>
      <c r="K665">
        <v>0</v>
      </c>
      <c r="L665" t="s">
        <v>748</v>
      </c>
    </row>
    <row r="666" spans="1:12" hidden="1" x14ac:dyDescent="0.3">
      <c r="A666">
        <v>2032</v>
      </c>
      <c r="B666" t="s">
        <v>426</v>
      </c>
      <c r="C666" t="s">
        <v>527</v>
      </c>
      <c r="D666" t="s">
        <v>155</v>
      </c>
      <c r="E666" s="1">
        <v>45827</v>
      </c>
      <c r="F666" s="1">
        <v>46249</v>
      </c>
      <c r="G666" s="1">
        <v>46675</v>
      </c>
      <c r="H666" s="1">
        <v>47041</v>
      </c>
      <c r="I666">
        <v>0</v>
      </c>
      <c r="J666">
        <v>0</v>
      </c>
      <c r="K666">
        <v>0</v>
      </c>
      <c r="L666" t="s">
        <v>748</v>
      </c>
    </row>
    <row r="667" spans="1:12" hidden="1" x14ac:dyDescent="0.3">
      <c r="A667">
        <v>2032</v>
      </c>
      <c r="B667" t="s">
        <v>430</v>
      </c>
      <c r="C667" t="s">
        <v>639</v>
      </c>
      <c r="D667" t="s">
        <v>291</v>
      </c>
      <c r="E667" s="1"/>
      <c r="F667" s="1"/>
      <c r="G667" s="1"/>
      <c r="H667" s="1"/>
      <c r="I667">
        <v>0</v>
      </c>
      <c r="J667">
        <v>0</v>
      </c>
      <c r="K667">
        <v>0</v>
      </c>
      <c r="L667" t="s">
        <v>748</v>
      </c>
    </row>
    <row r="668" spans="1:12" hidden="1" x14ac:dyDescent="0.3">
      <c r="A668">
        <v>2032</v>
      </c>
      <c r="B668" t="s">
        <v>436</v>
      </c>
      <c r="C668" t="s">
        <v>437</v>
      </c>
      <c r="D668" t="s">
        <v>291</v>
      </c>
      <c r="E668" s="1"/>
      <c r="F668" s="1"/>
      <c r="G668" s="1"/>
      <c r="H668" s="1"/>
      <c r="I668">
        <v>0</v>
      </c>
      <c r="J668">
        <v>0</v>
      </c>
      <c r="K668">
        <v>0</v>
      </c>
      <c r="L668" t="s">
        <v>748</v>
      </c>
    </row>
    <row r="669" spans="1:12" hidden="1" x14ac:dyDescent="0.3">
      <c r="A669">
        <v>2032</v>
      </c>
      <c r="B669" t="s">
        <v>248</v>
      </c>
      <c r="C669" t="s">
        <v>722</v>
      </c>
      <c r="D669" t="s">
        <v>110</v>
      </c>
      <c r="E669" s="1"/>
      <c r="F669" s="1">
        <v>45476</v>
      </c>
      <c r="G669" s="1">
        <v>46006</v>
      </c>
      <c r="H669" s="1">
        <v>46006</v>
      </c>
      <c r="I669">
        <v>0</v>
      </c>
      <c r="J669">
        <v>0</v>
      </c>
      <c r="K669">
        <v>0</v>
      </c>
      <c r="L669" t="s">
        <v>748</v>
      </c>
    </row>
    <row r="670" spans="1:12" hidden="1" x14ac:dyDescent="0.3">
      <c r="A670">
        <v>2032</v>
      </c>
      <c r="B670" t="s">
        <v>438</v>
      </c>
      <c r="C670" t="s">
        <v>439</v>
      </c>
      <c r="D670" t="s">
        <v>291</v>
      </c>
      <c r="E670" s="1"/>
      <c r="F670" s="1"/>
      <c r="G670" s="1"/>
      <c r="H670" s="1"/>
      <c r="I670">
        <v>0</v>
      </c>
      <c r="J670">
        <v>0</v>
      </c>
      <c r="K670">
        <v>0</v>
      </c>
      <c r="L670" t="s">
        <v>748</v>
      </c>
    </row>
    <row r="671" spans="1:12" hidden="1" x14ac:dyDescent="0.3">
      <c r="A671">
        <v>2032</v>
      </c>
      <c r="B671" t="s">
        <v>157</v>
      </c>
      <c r="C671" t="s">
        <v>158</v>
      </c>
      <c r="D671" t="s">
        <v>155</v>
      </c>
      <c r="E671" s="1"/>
      <c r="F671" s="1">
        <v>45991</v>
      </c>
      <c r="G671" s="1"/>
      <c r="H671" s="1">
        <v>46249</v>
      </c>
      <c r="I671">
        <v>0</v>
      </c>
      <c r="J671">
        <v>0</v>
      </c>
      <c r="K671">
        <v>0</v>
      </c>
      <c r="L671" t="s">
        <v>748</v>
      </c>
    </row>
    <row r="672" spans="1:12" hidden="1" x14ac:dyDescent="0.3">
      <c r="A672">
        <v>2032</v>
      </c>
      <c r="B672" t="s">
        <v>440</v>
      </c>
      <c r="C672" t="s">
        <v>441</v>
      </c>
      <c r="D672" t="s">
        <v>155</v>
      </c>
      <c r="E672" s="1"/>
      <c r="F672" s="1">
        <v>45992</v>
      </c>
      <c r="G672" s="1"/>
      <c r="H672" s="1">
        <v>45992</v>
      </c>
      <c r="I672">
        <v>0</v>
      </c>
      <c r="J672">
        <v>0</v>
      </c>
      <c r="K672">
        <v>0</v>
      </c>
      <c r="L672" t="s">
        <v>748</v>
      </c>
    </row>
    <row r="673" spans="1:12" hidden="1" x14ac:dyDescent="0.3">
      <c r="A673">
        <v>2032</v>
      </c>
      <c r="B673" t="s">
        <v>442</v>
      </c>
      <c r="C673" t="s">
        <v>526</v>
      </c>
      <c r="D673" t="s">
        <v>291</v>
      </c>
      <c r="E673" s="1"/>
      <c r="F673" s="1"/>
      <c r="G673" s="1"/>
      <c r="H673" s="1"/>
      <c r="I673">
        <v>500</v>
      </c>
      <c r="J673">
        <v>7500</v>
      </c>
      <c r="K673">
        <v>8000</v>
      </c>
      <c r="L673" t="s">
        <v>748</v>
      </c>
    </row>
    <row r="674" spans="1:12" hidden="1" x14ac:dyDescent="0.3">
      <c r="A674">
        <v>2032</v>
      </c>
      <c r="B674" t="s">
        <v>250</v>
      </c>
      <c r="C674" t="s">
        <v>251</v>
      </c>
      <c r="D674" t="s">
        <v>110</v>
      </c>
      <c r="E674" s="1"/>
      <c r="F674" s="1">
        <v>45490</v>
      </c>
      <c r="G674" s="1"/>
      <c r="H674" s="1">
        <v>46447</v>
      </c>
      <c r="I674">
        <v>0</v>
      </c>
      <c r="J674">
        <v>0</v>
      </c>
      <c r="K674">
        <v>0</v>
      </c>
      <c r="L674" t="s">
        <v>748</v>
      </c>
    </row>
    <row r="675" spans="1:12" hidden="1" x14ac:dyDescent="0.3">
      <c r="A675">
        <v>2032</v>
      </c>
      <c r="B675" t="s">
        <v>253</v>
      </c>
      <c r="C675" t="s">
        <v>254</v>
      </c>
      <c r="D675" t="s">
        <v>291</v>
      </c>
      <c r="E675" s="1"/>
      <c r="F675" s="1"/>
      <c r="G675" s="1"/>
      <c r="H675" s="1"/>
      <c r="I675">
        <v>0</v>
      </c>
      <c r="J675">
        <v>0</v>
      </c>
      <c r="K675">
        <v>0</v>
      </c>
      <c r="L675" t="s">
        <v>748</v>
      </c>
    </row>
    <row r="676" spans="1:12" hidden="1" x14ac:dyDescent="0.3">
      <c r="A676">
        <v>2032</v>
      </c>
      <c r="B676" t="s">
        <v>444</v>
      </c>
      <c r="C676" t="s">
        <v>666</v>
      </c>
      <c r="D676" t="s">
        <v>291</v>
      </c>
      <c r="E676" s="1"/>
      <c r="F676" s="1"/>
      <c r="G676" s="1"/>
      <c r="H676" s="1"/>
      <c r="I676">
        <v>600</v>
      </c>
      <c r="J676">
        <v>12000</v>
      </c>
      <c r="K676">
        <v>12600</v>
      </c>
      <c r="L676" t="s">
        <v>748</v>
      </c>
    </row>
    <row r="677" spans="1:12" hidden="1" x14ac:dyDescent="0.3">
      <c r="A677">
        <v>2032</v>
      </c>
      <c r="B677" t="s">
        <v>446</v>
      </c>
      <c r="C677" t="s">
        <v>447</v>
      </c>
      <c r="D677" t="s">
        <v>291</v>
      </c>
      <c r="E677" s="1"/>
      <c r="F677" s="1"/>
      <c r="G677" s="1"/>
      <c r="H677" s="1"/>
      <c r="I677">
        <v>0</v>
      </c>
      <c r="J677">
        <v>0</v>
      </c>
      <c r="K677">
        <v>0</v>
      </c>
      <c r="L677" t="s">
        <v>748</v>
      </c>
    </row>
    <row r="678" spans="1:12" hidden="1" x14ac:dyDescent="0.3">
      <c r="A678">
        <v>2032</v>
      </c>
      <c r="B678" t="s">
        <v>448</v>
      </c>
      <c r="C678" t="s">
        <v>449</v>
      </c>
      <c r="D678" t="s">
        <v>291</v>
      </c>
      <c r="E678" s="1"/>
      <c r="F678" s="1"/>
      <c r="G678" s="1"/>
      <c r="H678" s="1"/>
      <c r="I678">
        <v>0</v>
      </c>
      <c r="J678">
        <v>0</v>
      </c>
      <c r="K678">
        <v>0</v>
      </c>
      <c r="L678" t="s">
        <v>748</v>
      </c>
    </row>
    <row r="679" spans="1:12" hidden="1" x14ac:dyDescent="0.3">
      <c r="A679">
        <v>2032</v>
      </c>
      <c r="B679" t="s">
        <v>255</v>
      </c>
      <c r="C679" t="s">
        <v>529</v>
      </c>
      <c r="D679" t="s">
        <v>291</v>
      </c>
      <c r="E679" s="1"/>
      <c r="F679" s="1"/>
      <c r="G679" s="1"/>
      <c r="H679" s="1">
        <v>46006</v>
      </c>
      <c r="I679">
        <v>0</v>
      </c>
      <c r="J679">
        <v>0</v>
      </c>
      <c r="K679">
        <v>0</v>
      </c>
      <c r="L679" t="s">
        <v>748</v>
      </c>
    </row>
    <row r="680" spans="1:12" hidden="1" x14ac:dyDescent="0.3">
      <c r="A680">
        <v>2032</v>
      </c>
      <c r="B680" t="s">
        <v>259</v>
      </c>
      <c r="C680" t="s">
        <v>260</v>
      </c>
      <c r="D680" t="s">
        <v>291</v>
      </c>
      <c r="E680" s="1"/>
      <c r="F680" s="1"/>
      <c r="G680" s="1"/>
      <c r="H680" s="1"/>
      <c r="I680">
        <v>0</v>
      </c>
      <c r="J680">
        <v>0</v>
      </c>
      <c r="K680">
        <v>0</v>
      </c>
      <c r="L680" t="s">
        <v>749</v>
      </c>
    </row>
    <row r="681" spans="1:12" hidden="1" x14ac:dyDescent="0.3">
      <c r="A681">
        <v>2032</v>
      </c>
      <c r="B681" t="s">
        <v>454</v>
      </c>
      <c r="C681" t="s">
        <v>455</v>
      </c>
      <c r="D681" t="s">
        <v>291</v>
      </c>
      <c r="E681" s="1"/>
      <c r="F681" s="1"/>
      <c r="G681" s="1"/>
      <c r="H681" s="1"/>
      <c r="I681">
        <v>500</v>
      </c>
      <c r="J681">
        <v>5000</v>
      </c>
      <c r="K681">
        <v>5500</v>
      </c>
      <c r="L681" t="s">
        <v>748</v>
      </c>
    </row>
    <row r="682" spans="1:12" hidden="1" x14ac:dyDescent="0.3">
      <c r="A682">
        <v>2032</v>
      </c>
      <c r="B682" t="s">
        <v>456</v>
      </c>
      <c r="C682" t="s">
        <v>457</v>
      </c>
      <c r="D682" t="s">
        <v>291</v>
      </c>
      <c r="E682" s="1"/>
      <c r="F682" s="1"/>
      <c r="G682" s="1"/>
      <c r="H682" s="1"/>
      <c r="I682">
        <v>150</v>
      </c>
      <c r="J682">
        <v>0</v>
      </c>
      <c r="K682">
        <v>150</v>
      </c>
      <c r="L682" t="s">
        <v>748</v>
      </c>
    </row>
    <row r="683" spans="1:12" hidden="1" x14ac:dyDescent="0.3">
      <c r="A683">
        <v>2032</v>
      </c>
      <c r="B683" t="s">
        <v>458</v>
      </c>
      <c r="C683" t="s">
        <v>459</v>
      </c>
      <c r="D683" t="s">
        <v>291</v>
      </c>
      <c r="E683" s="1"/>
      <c r="F683" s="1"/>
      <c r="G683" s="1"/>
      <c r="H683" s="1"/>
      <c r="I683">
        <v>150</v>
      </c>
      <c r="J683">
        <v>0</v>
      </c>
      <c r="K683">
        <v>150</v>
      </c>
      <c r="L683" t="s">
        <v>748</v>
      </c>
    </row>
    <row r="684" spans="1:12" hidden="1" x14ac:dyDescent="0.3">
      <c r="A684">
        <v>2032</v>
      </c>
      <c r="B684" t="s">
        <v>460</v>
      </c>
      <c r="C684" t="s">
        <v>461</v>
      </c>
      <c r="D684" t="s">
        <v>291</v>
      </c>
      <c r="E684" s="1"/>
      <c r="F684" s="1"/>
      <c r="G684" s="1"/>
      <c r="H684" s="1"/>
      <c r="I684">
        <v>150</v>
      </c>
      <c r="J684">
        <v>0</v>
      </c>
      <c r="K684">
        <v>150</v>
      </c>
      <c r="L684" t="s">
        <v>748</v>
      </c>
    </row>
    <row r="685" spans="1:12" hidden="1" x14ac:dyDescent="0.3">
      <c r="A685">
        <v>2032</v>
      </c>
      <c r="B685" t="s">
        <v>462</v>
      </c>
      <c r="C685" t="s">
        <v>463</v>
      </c>
      <c r="D685" t="s">
        <v>291</v>
      </c>
      <c r="E685" s="1"/>
      <c r="F685" s="1"/>
      <c r="G685" s="1"/>
      <c r="H685" s="1"/>
      <c r="I685">
        <v>150</v>
      </c>
      <c r="J685">
        <v>0</v>
      </c>
      <c r="K685">
        <v>150</v>
      </c>
      <c r="L685" t="s">
        <v>748</v>
      </c>
    </row>
    <row r="686" spans="1:12" hidden="1" x14ac:dyDescent="0.3">
      <c r="A686">
        <v>2032</v>
      </c>
      <c r="B686" t="s">
        <v>464</v>
      </c>
      <c r="C686" t="s">
        <v>465</v>
      </c>
      <c r="D686" t="s">
        <v>291</v>
      </c>
      <c r="E686" s="1"/>
      <c r="F686" s="1"/>
      <c r="G686" s="1"/>
      <c r="H686" s="1"/>
      <c r="I686">
        <v>150</v>
      </c>
      <c r="J686">
        <v>0</v>
      </c>
      <c r="K686">
        <v>150</v>
      </c>
      <c r="L686" t="s">
        <v>748</v>
      </c>
    </row>
    <row r="687" spans="1:12" hidden="1" x14ac:dyDescent="0.3">
      <c r="A687">
        <v>2032</v>
      </c>
      <c r="B687" t="s">
        <v>470</v>
      </c>
      <c r="C687" t="s">
        <v>471</v>
      </c>
      <c r="D687" t="s">
        <v>291</v>
      </c>
      <c r="E687" s="1"/>
      <c r="F687" s="1"/>
      <c r="G687" s="1"/>
      <c r="H687" s="1"/>
      <c r="I687">
        <v>500</v>
      </c>
      <c r="J687">
        <v>3000</v>
      </c>
      <c r="K687">
        <v>3500</v>
      </c>
      <c r="L687" t="s">
        <v>748</v>
      </c>
    </row>
    <row r="688" spans="1:12" hidden="1" x14ac:dyDescent="0.3">
      <c r="A688">
        <v>2032</v>
      </c>
      <c r="B688" t="s">
        <v>474</v>
      </c>
      <c r="C688" t="s">
        <v>637</v>
      </c>
      <c r="D688" t="s">
        <v>291</v>
      </c>
      <c r="E688" s="1"/>
      <c r="F688" s="1"/>
      <c r="G688" s="1"/>
      <c r="H688" s="1"/>
      <c r="I688">
        <v>750</v>
      </c>
      <c r="J688">
        <v>0</v>
      </c>
      <c r="K688">
        <v>750</v>
      </c>
      <c r="L688" t="s">
        <v>748</v>
      </c>
    </row>
    <row r="689" spans="1:12" hidden="1" x14ac:dyDescent="0.3">
      <c r="A689">
        <v>2032</v>
      </c>
      <c r="B689" t="s">
        <v>511</v>
      </c>
      <c r="C689" t="s">
        <v>512</v>
      </c>
      <c r="D689" t="s">
        <v>155</v>
      </c>
      <c r="E689" s="1"/>
      <c r="F689" s="1">
        <v>46006</v>
      </c>
      <c r="G689" s="1">
        <v>46341</v>
      </c>
      <c r="H689" s="1">
        <v>46706</v>
      </c>
      <c r="I689">
        <v>0</v>
      </c>
      <c r="J689">
        <v>0</v>
      </c>
      <c r="K689">
        <v>0</v>
      </c>
      <c r="L689" t="s">
        <v>748</v>
      </c>
    </row>
    <row r="690" spans="1:12" hidden="1" x14ac:dyDescent="0.3">
      <c r="A690">
        <v>2032</v>
      </c>
      <c r="B690" t="s">
        <v>516</v>
      </c>
      <c r="C690" t="s">
        <v>517</v>
      </c>
      <c r="D690" t="s">
        <v>110</v>
      </c>
      <c r="E690" s="1"/>
      <c r="F690" s="1">
        <v>45904</v>
      </c>
      <c r="G690" s="1"/>
      <c r="H690" s="1">
        <v>46096</v>
      </c>
      <c r="I690">
        <v>0</v>
      </c>
      <c r="J690">
        <v>0</v>
      </c>
      <c r="K690">
        <v>0</v>
      </c>
      <c r="L690" t="s">
        <v>748</v>
      </c>
    </row>
    <row r="691" spans="1:12" hidden="1" x14ac:dyDescent="0.3">
      <c r="A691">
        <v>2032</v>
      </c>
      <c r="B691" t="s">
        <v>518</v>
      </c>
      <c r="C691" t="s">
        <v>519</v>
      </c>
      <c r="D691" t="s">
        <v>155</v>
      </c>
      <c r="E691" s="1"/>
      <c r="F691" s="1">
        <v>46127</v>
      </c>
      <c r="G691" s="1"/>
      <c r="H691" s="1"/>
      <c r="I691">
        <v>0</v>
      </c>
      <c r="J691">
        <v>0</v>
      </c>
      <c r="K691">
        <v>0</v>
      </c>
      <c r="L691" t="s">
        <v>748</v>
      </c>
    </row>
    <row r="692" spans="1:12" hidden="1" x14ac:dyDescent="0.3">
      <c r="A692">
        <v>2032</v>
      </c>
      <c r="B692" t="s">
        <v>522</v>
      </c>
      <c r="C692" t="s">
        <v>523</v>
      </c>
      <c r="D692" t="s">
        <v>291</v>
      </c>
      <c r="E692" s="1"/>
      <c r="F692" s="1"/>
      <c r="G692" s="1"/>
      <c r="H692" s="1"/>
      <c r="I692">
        <v>0</v>
      </c>
      <c r="J692">
        <v>0</v>
      </c>
      <c r="K692">
        <v>0</v>
      </c>
      <c r="L692" t="s">
        <v>748</v>
      </c>
    </row>
    <row r="693" spans="1:12" hidden="1" x14ac:dyDescent="0.3">
      <c r="A693">
        <v>2032</v>
      </c>
      <c r="B693" t="s">
        <v>531</v>
      </c>
      <c r="C693" t="s">
        <v>532</v>
      </c>
      <c r="D693" t="s">
        <v>291</v>
      </c>
      <c r="E693" s="1"/>
      <c r="F693" s="1"/>
      <c r="G693" s="1"/>
      <c r="H693" s="1"/>
      <c r="I693">
        <v>150</v>
      </c>
      <c r="J693">
        <v>0</v>
      </c>
      <c r="K693">
        <v>150</v>
      </c>
      <c r="L693" t="s">
        <v>748</v>
      </c>
    </row>
    <row r="694" spans="1:12" hidden="1" x14ac:dyDescent="0.3">
      <c r="A694">
        <v>2032</v>
      </c>
      <c r="B694" t="s">
        <v>543</v>
      </c>
      <c r="C694" t="s">
        <v>544</v>
      </c>
      <c r="D694" t="s">
        <v>123</v>
      </c>
      <c r="E694" s="1"/>
      <c r="F694" s="1">
        <v>45762</v>
      </c>
      <c r="G694" s="1">
        <v>46096</v>
      </c>
      <c r="H694" s="1">
        <v>46096</v>
      </c>
      <c r="I694">
        <v>0</v>
      </c>
      <c r="J694">
        <v>0</v>
      </c>
      <c r="K694">
        <v>0</v>
      </c>
      <c r="L694" t="s">
        <v>748</v>
      </c>
    </row>
    <row r="695" spans="1:12" hidden="1" x14ac:dyDescent="0.3">
      <c r="A695">
        <v>2032</v>
      </c>
      <c r="B695" t="s">
        <v>597</v>
      </c>
      <c r="C695" t="s">
        <v>598</v>
      </c>
      <c r="D695" t="s">
        <v>291</v>
      </c>
      <c r="E695" s="1"/>
      <c r="F695" s="1"/>
      <c r="G695" s="1"/>
      <c r="H695" s="1"/>
      <c r="I695">
        <v>0</v>
      </c>
      <c r="J695">
        <v>0</v>
      </c>
      <c r="K695">
        <v>0</v>
      </c>
      <c r="L695" t="s">
        <v>748</v>
      </c>
    </row>
    <row r="696" spans="1:12" hidden="1" x14ac:dyDescent="0.3">
      <c r="A696">
        <v>2032</v>
      </c>
      <c r="B696" t="s">
        <v>601</v>
      </c>
      <c r="C696" t="s">
        <v>602</v>
      </c>
      <c r="D696" t="s">
        <v>291</v>
      </c>
      <c r="E696" s="1"/>
      <c r="F696" s="1"/>
      <c r="G696" s="1"/>
      <c r="H696" s="1"/>
      <c r="I696">
        <v>0</v>
      </c>
      <c r="J696">
        <v>0</v>
      </c>
      <c r="K696">
        <v>0</v>
      </c>
      <c r="L696" t="s">
        <v>748</v>
      </c>
    </row>
    <row r="697" spans="1:12" hidden="1" x14ac:dyDescent="0.3">
      <c r="A697">
        <v>2032</v>
      </c>
      <c r="B697" t="s">
        <v>606</v>
      </c>
      <c r="C697" t="s">
        <v>607</v>
      </c>
      <c r="D697" t="s">
        <v>291</v>
      </c>
      <c r="E697" s="1"/>
      <c r="F697" s="1"/>
      <c r="G697" s="1"/>
      <c r="H697" s="1"/>
      <c r="I697">
        <v>0</v>
      </c>
      <c r="J697">
        <v>0</v>
      </c>
      <c r="K697">
        <v>0</v>
      </c>
      <c r="L697" t="s">
        <v>748</v>
      </c>
    </row>
    <row r="698" spans="1:12" hidden="1" x14ac:dyDescent="0.3">
      <c r="A698">
        <v>2032</v>
      </c>
      <c r="B698" t="s">
        <v>647</v>
      </c>
      <c r="C698" t="s">
        <v>648</v>
      </c>
      <c r="D698" t="s">
        <v>291</v>
      </c>
      <c r="E698" s="1"/>
      <c r="F698" s="1"/>
      <c r="G698" s="1"/>
      <c r="H698" s="1"/>
      <c r="I698">
        <v>0</v>
      </c>
      <c r="J698">
        <v>0</v>
      </c>
      <c r="K698">
        <v>0</v>
      </c>
      <c r="L698" t="s">
        <v>748</v>
      </c>
    </row>
    <row r="699" spans="1:12" hidden="1" x14ac:dyDescent="0.3">
      <c r="A699">
        <v>2032</v>
      </c>
      <c r="B699" t="s">
        <v>649</v>
      </c>
      <c r="C699" t="s">
        <v>650</v>
      </c>
      <c r="D699" t="s">
        <v>291</v>
      </c>
      <c r="E699" s="1"/>
      <c r="F699" s="1"/>
      <c r="G699" s="1"/>
      <c r="H699" s="1"/>
      <c r="I699">
        <v>0</v>
      </c>
      <c r="J699">
        <v>0</v>
      </c>
      <c r="K699">
        <v>0</v>
      </c>
      <c r="L699" t="s">
        <v>748</v>
      </c>
    </row>
    <row r="700" spans="1:12" hidden="1" x14ac:dyDescent="0.3">
      <c r="A700">
        <v>2032</v>
      </c>
      <c r="B700" t="s">
        <v>651</v>
      </c>
      <c r="C700" t="s">
        <v>652</v>
      </c>
      <c r="D700" t="s">
        <v>291</v>
      </c>
      <c r="E700" s="1"/>
      <c r="F700" s="1"/>
      <c r="G700" s="1"/>
      <c r="H700" s="1"/>
      <c r="I700">
        <v>0</v>
      </c>
      <c r="J700">
        <v>0</v>
      </c>
      <c r="K700">
        <v>0</v>
      </c>
      <c r="L700" t="s">
        <v>748</v>
      </c>
    </row>
    <row r="701" spans="1:12" hidden="1" x14ac:dyDescent="0.3">
      <c r="A701">
        <v>2032</v>
      </c>
      <c r="B701" t="s">
        <v>653</v>
      </c>
      <c r="C701" t="s">
        <v>654</v>
      </c>
      <c r="D701" t="s">
        <v>291</v>
      </c>
      <c r="E701" s="1"/>
      <c r="F701" s="1"/>
      <c r="G701" s="1"/>
      <c r="H701" s="1"/>
      <c r="I701">
        <v>0</v>
      </c>
      <c r="J701">
        <v>0</v>
      </c>
      <c r="K701">
        <v>0</v>
      </c>
      <c r="L701" t="s">
        <v>748</v>
      </c>
    </row>
    <row r="702" spans="1:12" hidden="1" x14ac:dyDescent="0.3">
      <c r="A702">
        <v>2032</v>
      </c>
      <c r="B702" t="s">
        <v>712</v>
      </c>
      <c r="C702" t="s">
        <v>686</v>
      </c>
      <c r="E702" s="1"/>
      <c r="F702" s="1"/>
      <c r="G702" s="1"/>
      <c r="H702" s="1"/>
      <c r="I702">
        <v>0</v>
      </c>
      <c r="J702">
        <v>0</v>
      </c>
      <c r="K702">
        <v>0</v>
      </c>
      <c r="L702" t="s">
        <v>748</v>
      </c>
    </row>
    <row r="703" spans="1:12" hidden="1" x14ac:dyDescent="0.3">
      <c r="A703">
        <v>2032</v>
      </c>
      <c r="B703" t="s">
        <v>713</v>
      </c>
      <c r="C703" t="s">
        <v>693</v>
      </c>
      <c r="E703" s="1"/>
      <c r="F703" s="1"/>
      <c r="G703" s="1"/>
      <c r="H703" s="1"/>
      <c r="I703">
        <v>0</v>
      </c>
      <c r="J703">
        <v>0</v>
      </c>
      <c r="K703">
        <v>0</v>
      </c>
      <c r="L703" t="s">
        <v>748</v>
      </c>
    </row>
    <row r="704" spans="1:12" hidden="1" x14ac:dyDescent="0.3">
      <c r="A704">
        <v>2032</v>
      </c>
      <c r="B704" t="s">
        <v>714</v>
      </c>
      <c r="C704" t="s">
        <v>697</v>
      </c>
      <c r="E704" s="1"/>
      <c r="F704" s="1"/>
      <c r="G704" s="1"/>
      <c r="H704" s="1"/>
      <c r="I704">
        <v>0</v>
      </c>
      <c r="J704">
        <v>0</v>
      </c>
      <c r="K704">
        <v>0</v>
      </c>
      <c r="L704" t="s">
        <v>748</v>
      </c>
    </row>
    <row r="705" spans="1:12" hidden="1" x14ac:dyDescent="0.3">
      <c r="A705">
        <v>2032</v>
      </c>
      <c r="B705" t="s">
        <v>715</v>
      </c>
      <c r="C705" t="s">
        <v>694</v>
      </c>
      <c r="E705" s="1"/>
      <c r="F705" s="1"/>
      <c r="G705" s="1"/>
      <c r="H705" s="1"/>
      <c r="I705">
        <v>0</v>
      </c>
      <c r="J705">
        <v>0</v>
      </c>
      <c r="K705">
        <v>0</v>
      </c>
      <c r="L705" t="s">
        <v>748</v>
      </c>
    </row>
    <row r="706" spans="1:12" hidden="1" x14ac:dyDescent="0.3">
      <c r="A706">
        <v>2032</v>
      </c>
      <c r="B706" t="s">
        <v>716</v>
      </c>
      <c r="C706" t="s">
        <v>702</v>
      </c>
      <c r="E706" s="1"/>
      <c r="F706" s="1"/>
      <c r="G706" s="1"/>
      <c r="H706" s="1"/>
      <c r="I706">
        <v>0</v>
      </c>
      <c r="J706">
        <v>0</v>
      </c>
      <c r="K706">
        <v>0</v>
      </c>
      <c r="L706" t="s">
        <v>748</v>
      </c>
    </row>
    <row r="707" spans="1:12" hidden="1" x14ac:dyDescent="0.3">
      <c r="A707">
        <v>2032</v>
      </c>
      <c r="B707" t="s">
        <v>717</v>
      </c>
      <c r="C707" t="s">
        <v>695</v>
      </c>
      <c r="E707" s="1"/>
      <c r="F707" s="1"/>
      <c r="G707" s="1"/>
      <c r="H707" s="1"/>
      <c r="I707">
        <v>0</v>
      </c>
      <c r="J707">
        <v>0</v>
      </c>
      <c r="K707">
        <v>0</v>
      </c>
      <c r="L707" t="s">
        <v>748</v>
      </c>
    </row>
    <row r="708" spans="1:12" hidden="1" x14ac:dyDescent="0.3">
      <c r="A708">
        <v>2032</v>
      </c>
      <c r="B708" t="s">
        <v>718</v>
      </c>
      <c r="C708" t="s">
        <v>696</v>
      </c>
      <c r="E708" s="1"/>
      <c r="F708" s="1"/>
      <c r="G708" s="1"/>
      <c r="H708" s="1"/>
      <c r="I708">
        <v>0</v>
      </c>
      <c r="J708">
        <v>0</v>
      </c>
      <c r="K708">
        <v>0</v>
      </c>
      <c r="L708" t="s">
        <v>748</v>
      </c>
    </row>
    <row r="709" spans="1:12" hidden="1" x14ac:dyDescent="0.3">
      <c r="A709">
        <v>2033</v>
      </c>
      <c r="B709" t="s">
        <v>364</v>
      </c>
      <c r="C709" t="s">
        <v>365</v>
      </c>
      <c r="D709" t="s">
        <v>291</v>
      </c>
      <c r="E709" s="1"/>
      <c r="F709" s="1"/>
      <c r="G709" s="1"/>
      <c r="H709" s="1"/>
      <c r="I709">
        <v>400</v>
      </c>
      <c r="J709">
        <v>7000</v>
      </c>
      <c r="K709">
        <v>7400</v>
      </c>
      <c r="L709" t="s">
        <v>748</v>
      </c>
    </row>
    <row r="710" spans="1:12" hidden="1" x14ac:dyDescent="0.3">
      <c r="A710">
        <v>2033</v>
      </c>
      <c r="B710" t="s">
        <v>366</v>
      </c>
      <c r="C710" t="s">
        <v>367</v>
      </c>
      <c r="D710" t="s">
        <v>155</v>
      </c>
      <c r="E710" s="1">
        <v>46006</v>
      </c>
      <c r="F710" s="1">
        <v>46157</v>
      </c>
      <c r="G710" s="1">
        <v>46645</v>
      </c>
      <c r="H710" s="1">
        <v>47011</v>
      </c>
      <c r="I710">
        <v>600</v>
      </c>
      <c r="J710">
        <v>5000</v>
      </c>
      <c r="K710">
        <v>5600</v>
      </c>
      <c r="L710" t="s">
        <v>748</v>
      </c>
    </row>
    <row r="711" spans="1:12" hidden="1" x14ac:dyDescent="0.3">
      <c r="A711">
        <v>2033</v>
      </c>
      <c r="B711" t="s">
        <v>162</v>
      </c>
      <c r="C711" t="s">
        <v>163</v>
      </c>
      <c r="D711" t="s">
        <v>164</v>
      </c>
      <c r="E711" s="1"/>
      <c r="F711" s="1"/>
      <c r="G711" s="1"/>
      <c r="H711" s="1"/>
      <c r="I711">
        <v>0</v>
      </c>
      <c r="J711">
        <v>0</v>
      </c>
      <c r="K711">
        <v>0</v>
      </c>
      <c r="L711" t="s">
        <v>748</v>
      </c>
    </row>
    <row r="712" spans="1:12" hidden="1" x14ac:dyDescent="0.3">
      <c r="A712">
        <v>2033</v>
      </c>
      <c r="B712" t="s">
        <v>166</v>
      </c>
      <c r="C712" t="s">
        <v>167</v>
      </c>
      <c r="D712" t="s">
        <v>155</v>
      </c>
      <c r="E712" s="1">
        <v>42499</v>
      </c>
      <c r="F712" s="1">
        <v>45976</v>
      </c>
      <c r="G712" s="1">
        <v>46402</v>
      </c>
      <c r="H712" s="1">
        <v>46980</v>
      </c>
      <c r="I712">
        <v>0</v>
      </c>
      <c r="J712">
        <v>0</v>
      </c>
      <c r="K712">
        <v>0</v>
      </c>
      <c r="L712" t="s">
        <v>748</v>
      </c>
    </row>
    <row r="713" spans="1:12" hidden="1" x14ac:dyDescent="0.3">
      <c r="A713">
        <v>2033</v>
      </c>
      <c r="B713" t="s">
        <v>170</v>
      </c>
      <c r="C713" t="s">
        <v>171</v>
      </c>
      <c r="D713" t="s">
        <v>110</v>
      </c>
      <c r="E713" s="1"/>
      <c r="F713" s="1">
        <v>44833</v>
      </c>
      <c r="G713" s="1">
        <v>45976</v>
      </c>
      <c r="H713" s="1">
        <v>46310</v>
      </c>
      <c r="I713">
        <v>0</v>
      </c>
      <c r="J713">
        <v>0</v>
      </c>
      <c r="K713">
        <v>0</v>
      </c>
      <c r="L713" t="s">
        <v>748</v>
      </c>
    </row>
    <row r="714" spans="1:12" hidden="1" x14ac:dyDescent="0.3">
      <c r="A714">
        <v>2033</v>
      </c>
      <c r="B714" t="s">
        <v>137</v>
      </c>
      <c r="C714" t="s">
        <v>138</v>
      </c>
      <c r="D714" t="s">
        <v>123</v>
      </c>
      <c r="E714" s="1"/>
      <c r="F714" s="1">
        <v>45062</v>
      </c>
      <c r="G714" s="1">
        <v>45754</v>
      </c>
      <c r="H714" s="1">
        <v>45945</v>
      </c>
      <c r="I714">
        <v>0</v>
      </c>
      <c r="J714">
        <v>0</v>
      </c>
      <c r="K714">
        <v>0</v>
      </c>
      <c r="L714" t="s">
        <v>748</v>
      </c>
    </row>
    <row r="715" spans="1:12" hidden="1" x14ac:dyDescent="0.3">
      <c r="A715">
        <v>2033</v>
      </c>
      <c r="B715" t="s">
        <v>181</v>
      </c>
      <c r="C715" t="s">
        <v>296</v>
      </c>
      <c r="D715" t="s">
        <v>110</v>
      </c>
      <c r="E715" s="1"/>
      <c r="F715" s="1">
        <v>45590</v>
      </c>
      <c r="G715" s="1">
        <v>46157</v>
      </c>
      <c r="H715" s="1">
        <v>46157</v>
      </c>
      <c r="I715">
        <v>0</v>
      </c>
      <c r="J715">
        <v>0</v>
      </c>
      <c r="K715">
        <v>0</v>
      </c>
      <c r="L715" t="s">
        <v>748</v>
      </c>
    </row>
    <row r="716" spans="1:12" hidden="1" x14ac:dyDescent="0.3">
      <c r="A716">
        <v>2033</v>
      </c>
      <c r="B716" t="s">
        <v>185</v>
      </c>
      <c r="C716" t="s">
        <v>186</v>
      </c>
      <c r="D716" t="s">
        <v>110</v>
      </c>
      <c r="E716" s="1"/>
      <c r="F716" s="1">
        <v>44823</v>
      </c>
      <c r="G716" s="1">
        <v>46310</v>
      </c>
      <c r="H716" s="1">
        <v>46521</v>
      </c>
      <c r="I716">
        <v>0</v>
      </c>
      <c r="J716">
        <v>0</v>
      </c>
      <c r="K716">
        <v>0</v>
      </c>
      <c r="L716" t="s">
        <v>748</v>
      </c>
    </row>
    <row r="717" spans="1:12" hidden="1" x14ac:dyDescent="0.3">
      <c r="A717">
        <v>2033</v>
      </c>
      <c r="B717" t="s">
        <v>189</v>
      </c>
      <c r="C717" t="s">
        <v>190</v>
      </c>
      <c r="D717" t="s">
        <v>123</v>
      </c>
      <c r="E717" s="1"/>
      <c r="F717" s="1">
        <v>45684</v>
      </c>
      <c r="G717" s="1"/>
      <c r="H717" s="1">
        <v>46006</v>
      </c>
      <c r="I717">
        <v>0</v>
      </c>
      <c r="J717">
        <v>0</v>
      </c>
      <c r="K717">
        <v>0</v>
      </c>
      <c r="L717" t="s">
        <v>749</v>
      </c>
    </row>
    <row r="718" spans="1:12" hidden="1" x14ac:dyDescent="0.3">
      <c r="A718">
        <v>2033</v>
      </c>
      <c r="B718" t="s">
        <v>132</v>
      </c>
      <c r="C718" t="s">
        <v>288</v>
      </c>
      <c r="D718" t="s">
        <v>123</v>
      </c>
      <c r="E718" s="1"/>
      <c r="F718" s="1">
        <v>45218</v>
      </c>
      <c r="G718" s="1">
        <v>45722</v>
      </c>
      <c r="H718" s="1">
        <v>45976</v>
      </c>
      <c r="I718">
        <v>0</v>
      </c>
      <c r="J718">
        <v>0</v>
      </c>
      <c r="K718">
        <v>0</v>
      </c>
      <c r="L718" t="s">
        <v>749</v>
      </c>
    </row>
    <row r="719" spans="1:12" hidden="1" x14ac:dyDescent="0.3">
      <c r="A719">
        <v>2033</v>
      </c>
      <c r="B719" t="s">
        <v>141</v>
      </c>
      <c r="C719" t="s">
        <v>142</v>
      </c>
      <c r="D719" t="s">
        <v>123</v>
      </c>
      <c r="E719" s="1">
        <v>42499</v>
      </c>
      <c r="F719" s="1">
        <v>42900</v>
      </c>
      <c r="G719" s="1">
        <v>45323</v>
      </c>
      <c r="H719" s="1">
        <v>45889</v>
      </c>
      <c r="I719">
        <v>0</v>
      </c>
      <c r="J719">
        <v>0</v>
      </c>
      <c r="K719">
        <v>0</v>
      </c>
      <c r="L719" t="s">
        <v>748</v>
      </c>
    </row>
    <row r="720" spans="1:12" hidden="1" x14ac:dyDescent="0.3">
      <c r="A720">
        <v>2033</v>
      </c>
      <c r="B720" t="s">
        <v>368</v>
      </c>
      <c r="C720" t="s">
        <v>369</v>
      </c>
      <c r="D720" t="s">
        <v>291</v>
      </c>
      <c r="E720" s="1"/>
      <c r="F720" s="1"/>
      <c r="G720" s="1"/>
      <c r="H720" s="1"/>
      <c r="I720">
        <v>500</v>
      </c>
      <c r="J720">
        <v>6700</v>
      </c>
      <c r="K720">
        <v>7200</v>
      </c>
      <c r="L720" t="s">
        <v>748</v>
      </c>
    </row>
    <row r="721" spans="1:12" hidden="1" x14ac:dyDescent="0.3">
      <c r="A721">
        <v>2033</v>
      </c>
      <c r="B721" t="s">
        <v>160</v>
      </c>
      <c r="C721" t="s">
        <v>161</v>
      </c>
      <c r="D721" t="s">
        <v>164</v>
      </c>
      <c r="E721" s="1">
        <v>43013</v>
      </c>
      <c r="F721" s="1">
        <v>44956</v>
      </c>
      <c r="G721" s="1">
        <v>45321</v>
      </c>
      <c r="H721" s="1">
        <v>45687</v>
      </c>
      <c r="I721">
        <v>0</v>
      </c>
      <c r="J721">
        <v>0</v>
      </c>
      <c r="K721">
        <v>0</v>
      </c>
      <c r="L721" t="s">
        <v>748</v>
      </c>
    </row>
    <row r="722" spans="1:12" hidden="1" x14ac:dyDescent="0.3">
      <c r="A722">
        <v>2033</v>
      </c>
      <c r="B722" t="s">
        <v>371</v>
      </c>
      <c r="C722" t="s">
        <v>372</v>
      </c>
      <c r="D722" t="s">
        <v>291</v>
      </c>
      <c r="E722" s="1"/>
      <c r="F722" s="1"/>
      <c r="G722" s="1"/>
      <c r="H722" s="1"/>
      <c r="I722">
        <v>0</v>
      </c>
      <c r="J722">
        <v>0</v>
      </c>
      <c r="K722">
        <v>0</v>
      </c>
      <c r="L722" t="s">
        <v>748</v>
      </c>
    </row>
    <row r="723" spans="1:12" hidden="1" x14ac:dyDescent="0.3">
      <c r="A723">
        <v>2033</v>
      </c>
      <c r="B723" t="s">
        <v>195</v>
      </c>
      <c r="C723" t="s">
        <v>196</v>
      </c>
      <c r="D723" t="s">
        <v>110</v>
      </c>
      <c r="E723" s="1"/>
      <c r="F723" s="1">
        <v>44889</v>
      </c>
      <c r="G723" s="1">
        <v>46068</v>
      </c>
      <c r="H723" s="1">
        <v>46583</v>
      </c>
      <c r="I723">
        <v>0</v>
      </c>
      <c r="J723">
        <v>0</v>
      </c>
      <c r="K723">
        <v>0</v>
      </c>
      <c r="L723" t="s">
        <v>748</v>
      </c>
    </row>
    <row r="724" spans="1:12" hidden="1" x14ac:dyDescent="0.3">
      <c r="A724">
        <v>2033</v>
      </c>
      <c r="B724" t="s">
        <v>375</v>
      </c>
      <c r="C724" t="s">
        <v>376</v>
      </c>
      <c r="D724" t="s">
        <v>155</v>
      </c>
      <c r="E724" s="1">
        <v>46006</v>
      </c>
      <c r="F724" s="1">
        <v>46280</v>
      </c>
      <c r="G724" s="1">
        <v>46645</v>
      </c>
      <c r="H724" s="1">
        <v>47011</v>
      </c>
      <c r="I724">
        <v>0</v>
      </c>
      <c r="J724">
        <v>0</v>
      </c>
      <c r="K724">
        <v>0</v>
      </c>
      <c r="L724" t="s">
        <v>748</v>
      </c>
    </row>
    <row r="725" spans="1:12" hidden="1" x14ac:dyDescent="0.3">
      <c r="A725">
        <v>2033</v>
      </c>
      <c r="B725" t="s">
        <v>174</v>
      </c>
      <c r="C725" t="s">
        <v>175</v>
      </c>
      <c r="D725" t="s">
        <v>164</v>
      </c>
      <c r="E725" s="1">
        <v>44014</v>
      </c>
      <c r="F725" s="1">
        <v>44014</v>
      </c>
      <c r="G725" s="1">
        <v>44294</v>
      </c>
      <c r="H725" s="1">
        <v>45239</v>
      </c>
      <c r="I725">
        <v>0</v>
      </c>
      <c r="J725">
        <v>0</v>
      </c>
      <c r="K725">
        <v>0</v>
      </c>
      <c r="L725" t="s">
        <v>748</v>
      </c>
    </row>
    <row r="726" spans="1:12" hidden="1" x14ac:dyDescent="0.3">
      <c r="A726">
        <v>2033</v>
      </c>
      <c r="B726" t="s">
        <v>203</v>
      </c>
      <c r="C726" t="s">
        <v>204</v>
      </c>
      <c r="D726" t="s">
        <v>155</v>
      </c>
      <c r="E726" s="1">
        <v>45730</v>
      </c>
      <c r="F726" s="1">
        <v>45960</v>
      </c>
      <c r="G726" s="1">
        <v>46264</v>
      </c>
      <c r="H726" s="1">
        <v>46629</v>
      </c>
      <c r="I726">
        <v>0</v>
      </c>
      <c r="J726">
        <v>0</v>
      </c>
      <c r="K726">
        <v>0</v>
      </c>
      <c r="L726" t="s">
        <v>748</v>
      </c>
    </row>
    <row r="727" spans="1:12" hidden="1" x14ac:dyDescent="0.3">
      <c r="A727">
        <v>2033</v>
      </c>
      <c r="B727" t="s">
        <v>114</v>
      </c>
      <c r="C727" t="s">
        <v>719</v>
      </c>
      <c r="D727" t="s">
        <v>123</v>
      </c>
      <c r="E727" s="1"/>
      <c r="F727" s="1">
        <v>45105</v>
      </c>
      <c r="G727" s="1">
        <v>45789</v>
      </c>
      <c r="H727" s="1">
        <v>45932</v>
      </c>
      <c r="I727">
        <v>0</v>
      </c>
      <c r="J727">
        <v>0</v>
      </c>
      <c r="K727">
        <v>0</v>
      </c>
      <c r="L727" t="s">
        <v>749</v>
      </c>
    </row>
    <row r="728" spans="1:12" hidden="1" x14ac:dyDescent="0.3">
      <c r="A728">
        <v>2033</v>
      </c>
      <c r="B728" t="s">
        <v>207</v>
      </c>
      <c r="C728" t="s">
        <v>208</v>
      </c>
      <c r="D728" t="s">
        <v>155</v>
      </c>
      <c r="E728" s="1">
        <v>44476</v>
      </c>
      <c r="F728" s="1">
        <v>45976</v>
      </c>
      <c r="G728" s="1">
        <v>46096</v>
      </c>
      <c r="H728" s="1">
        <v>46280</v>
      </c>
      <c r="I728">
        <v>0</v>
      </c>
      <c r="J728">
        <v>0</v>
      </c>
      <c r="K728">
        <v>0</v>
      </c>
      <c r="L728" t="s">
        <v>749</v>
      </c>
    </row>
    <row r="729" spans="1:12" hidden="1" x14ac:dyDescent="0.3">
      <c r="A729">
        <v>2033</v>
      </c>
      <c r="B729" t="s">
        <v>377</v>
      </c>
      <c r="C729" t="s">
        <v>378</v>
      </c>
      <c r="D729" t="s">
        <v>155</v>
      </c>
      <c r="E729" s="1"/>
      <c r="F729" s="1">
        <v>46068</v>
      </c>
      <c r="G729" s="1">
        <v>46461</v>
      </c>
      <c r="H729" s="1">
        <v>46888</v>
      </c>
      <c r="I729">
        <v>0</v>
      </c>
      <c r="J729">
        <v>0</v>
      </c>
      <c r="K729">
        <v>0</v>
      </c>
      <c r="L729" t="s">
        <v>748</v>
      </c>
    </row>
    <row r="730" spans="1:12" hidden="1" x14ac:dyDescent="0.3">
      <c r="A730">
        <v>2033</v>
      </c>
      <c r="B730" t="s">
        <v>210</v>
      </c>
      <c r="C730" t="s">
        <v>211</v>
      </c>
      <c r="D730" t="s">
        <v>155</v>
      </c>
      <c r="E730" s="1"/>
      <c r="F730" s="1">
        <v>45976</v>
      </c>
      <c r="G730" s="1">
        <v>46341</v>
      </c>
      <c r="H730" s="1">
        <v>46706</v>
      </c>
      <c r="I730">
        <v>0</v>
      </c>
      <c r="J730">
        <v>0</v>
      </c>
      <c r="K730">
        <v>0</v>
      </c>
      <c r="L730" t="s">
        <v>748</v>
      </c>
    </row>
    <row r="731" spans="1:12" hidden="1" x14ac:dyDescent="0.3">
      <c r="A731">
        <v>2033</v>
      </c>
      <c r="B731" t="s">
        <v>379</v>
      </c>
      <c r="C731" t="s">
        <v>380</v>
      </c>
      <c r="D731" t="s">
        <v>291</v>
      </c>
      <c r="E731" s="1"/>
      <c r="F731" s="1"/>
      <c r="G731" s="1"/>
      <c r="H731" s="1"/>
      <c r="I731">
        <v>0</v>
      </c>
      <c r="J731">
        <v>0</v>
      </c>
      <c r="K731">
        <v>0</v>
      </c>
      <c r="L731" t="s">
        <v>748</v>
      </c>
    </row>
    <row r="732" spans="1:12" hidden="1" x14ac:dyDescent="0.3">
      <c r="A732">
        <v>2033</v>
      </c>
      <c r="B732" t="s">
        <v>383</v>
      </c>
      <c r="C732" t="s">
        <v>384</v>
      </c>
      <c r="D732" t="s">
        <v>291</v>
      </c>
      <c r="E732" s="1"/>
      <c r="F732" s="1"/>
      <c r="G732" s="1"/>
      <c r="H732" s="1"/>
      <c r="I732">
        <v>0</v>
      </c>
      <c r="J732">
        <v>0</v>
      </c>
      <c r="K732">
        <v>0</v>
      </c>
      <c r="L732" t="s">
        <v>748</v>
      </c>
    </row>
    <row r="733" spans="1:12" hidden="1" x14ac:dyDescent="0.3">
      <c r="A733">
        <v>2033</v>
      </c>
      <c r="B733" t="s">
        <v>212</v>
      </c>
      <c r="C733" t="s">
        <v>213</v>
      </c>
      <c r="D733" t="s">
        <v>155</v>
      </c>
      <c r="E733" s="1">
        <v>45337</v>
      </c>
      <c r="F733" s="1">
        <v>46127</v>
      </c>
      <c r="G733" s="1">
        <v>46798</v>
      </c>
      <c r="H733" s="1">
        <v>47192</v>
      </c>
      <c r="I733">
        <v>0</v>
      </c>
      <c r="J733">
        <v>0</v>
      </c>
      <c r="K733">
        <v>0</v>
      </c>
      <c r="L733" t="s">
        <v>748</v>
      </c>
    </row>
    <row r="734" spans="1:12" hidden="1" x14ac:dyDescent="0.3">
      <c r="A734">
        <v>2033</v>
      </c>
      <c r="B734" t="s">
        <v>385</v>
      </c>
      <c r="C734" t="s">
        <v>740</v>
      </c>
      <c r="D734" t="s">
        <v>155</v>
      </c>
      <c r="E734" s="1">
        <v>45672</v>
      </c>
      <c r="F734" s="1">
        <v>45960</v>
      </c>
      <c r="G734" s="1">
        <v>46266</v>
      </c>
      <c r="H734" s="1">
        <v>46631</v>
      </c>
      <c r="I734">
        <v>0</v>
      </c>
      <c r="J734">
        <v>0</v>
      </c>
      <c r="K734">
        <v>0</v>
      </c>
      <c r="L734" t="s">
        <v>748</v>
      </c>
    </row>
    <row r="735" spans="1:12" hidden="1" x14ac:dyDescent="0.3">
      <c r="A735">
        <v>2033</v>
      </c>
      <c r="B735" t="s">
        <v>220</v>
      </c>
      <c r="C735" t="s">
        <v>221</v>
      </c>
      <c r="D735" t="s">
        <v>155</v>
      </c>
      <c r="E735" s="1"/>
      <c r="F735" s="1">
        <v>45976</v>
      </c>
      <c r="G735" s="1">
        <v>46264</v>
      </c>
      <c r="H735" s="1">
        <v>46553</v>
      </c>
      <c r="I735">
        <v>0</v>
      </c>
      <c r="J735">
        <v>0</v>
      </c>
      <c r="K735">
        <v>0</v>
      </c>
      <c r="L735" t="s">
        <v>748</v>
      </c>
    </row>
    <row r="736" spans="1:12" hidden="1" x14ac:dyDescent="0.3">
      <c r="A736">
        <v>2033</v>
      </c>
      <c r="B736" t="s">
        <v>224</v>
      </c>
      <c r="C736" t="s">
        <v>520</v>
      </c>
      <c r="D736" t="s">
        <v>123</v>
      </c>
      <c r="E736" s="1">
        <v>44365</v>
      </c>
      <c r="F736" s="1">
        <v>44623</v>
      </c>
      <c r="G736" s="1">
        <v>45698</v>
      </c>
      <c r="H736" s="1">
        <v>46341</v>
      </c>
      <c r="I736">
        <v>0</v>
      </c>
      <c r="J736">
        <v>0</v>
      </c>
      <c r="K736">
        <v>0</v>
      </c>
      <c r="L736" t="s">
        <v>748</v>
      </c>
    </row>
    <row r="737" spans="1:12" hidden="1" x14ac:dyDescent="0.3">
      <c r="A737">
        <v>2033</v>
      </c>
      <c r="B737" t="s">
        <v>373</v>
      </c>
      <c r="C737" t="s">
        <v>374</v>
      </c>
      <c r="D737" t="s">
        <v>155</v>
      </c>
      <c r="E737" s="1">
        <v>45833</v>
      </c>
      <c r="F737" s="1">
        <v>45960</v>
      </c>
      <c r="G737" s="1">
        <v>46280</v>
      </c>
      <c r="H737" s="1">
        <v>46645</v>
      </c>
      <c r="I737">
        <v>0</v>
      </c>
      <c r="J737">
        <v>0</v>
      </c>
      <c r="K737">
        <v>0</v>
      </c>
      <c r="L737" t="s">
        <v>748</v>
      </c>
    </row>
    <row r="738" spans="1:12" hidden="1" x14ac:dyDescent="0.3">
      <c r="A738">
        <v>2033</v>
      </c>
      <c r="B738" t="s">
        <v>226</v>
      </c>
      <c r="C738" t="s">
        <v>227</v>
      </c>
      <c r="D738" t="s">
        <v>110</v>
      </c>
      <c r="E738" s="1"/>
      <c r="F738" s="1">
        <v>45330</v>
      </c>
      <c r="G738" s="1">
        <v>46690</v>
      </c>
      <c r="H738" s="1">
        <v>47376</v>
      </c>
      <c r="I738">
        <v>0</v>
      </c>
      <c r="J738">
        <v>0</v>
      </c>
      <c r="K738">
        <v>0</v>
      </c>
      <c r="L738" t="s">
        <v>748</v>
      </c>
    </row>
    <row r="739" spans="1:12" hidden="1" x14ac:dyDescent="0.3">
      <c r="A739">
        <v>2033</v>
      </c>
      <c r="B739" t="s">
        <v>145</v>
      </c>
      <c r="C739" t="s">
        <v>720</v>
      </c>
      <c r="D739" t="s">
        <v>110</v>
      </c>
      <c r="E739" s="1"/>
      <c r="F739" s="1">
        <v>44609</v>
      </c>
      <c r="G739" s="1">
        <v>45996</v>
      </c>
      <c r="H739" s="1">
        <v>46310</v>
      </c>
      <c r="I739">
        <v>0</v>
      </c>
      <c r="J739">
        <v>0</v>
      </c>
      <c r="K739">
        <v>0</v>
      </c>
      <c r="L739" t="s">
        <v>748</v>
      </c>
    </row>
    <row r="740" spans="1:12" hidden="1" x14ac:dyDescent="0.3">
      <c r="A740">
        <v>2033</v>
      </c>
      <c r="B740" t="s">
        <v>231</v>
      </c>
      <c r="C740" t="s">
        <v>232</v>
      </c>
      <c r="D740" t="s">
        <v>110</v>
      </c>
      <c r="E740" s="1"/>
      <c r="F740" s="1">
        <v>45099</v>
      </c>
      <c r="G740" s="1">
        <v>46037</v>
      </c>
      <c r="H740" s="1">
        <v>46283</v>
      </c>
      <c r="I740">
        <v>0</v>
      </c>
      <c r="J740">
        <v>0</v>
      </c>
      <c r="K740">
        <v>0</v>
      </c>
      <c r="L740" t="s">
        <v>748</v>
      </c>
    </row>
    <row r="741" spans="1:12" hidden="1" x14ac:dyDescent="0.3">
      <c r="A741">
        <v>2033</v>
      </c>
      <c r="B741" t="s">
        <v>233</v>
      </c>
      <c r="C741" t="s">
        <v>542</v>
      </c>
      <c r="D741" t="s">
        <v>155</v>
      </c>
      <c r="E741" s="1"/>
      <c r="F741" s="1">
        <v>46127</v>
      </c>
      <c r="G741" s="1">
        <v>46553</v>
      </c>
      <c r="H741" s="1">
        <v>46980</v>
      </c>
      <c r="I741">
        <v>0</v>
      </c>
      <c r="J741">
        <v>0</v>
      </c>
      <c r="K741">
        <v>0</v>
      </c>
      <c r="L741" t="s">
        <v>748</v>
      </c>
    </row>
    <row r="742" spans="1:12" hidden="1" x14ac:dyDescent="0.3">
      <c r="A742">
        <v>2033</v>
      </c>
      <c r="B742" t="s">
        <v>235</v>
      </c>
      <c r="C742" t="s">
        <v>510</v>
      </c>
      <c r="D742" t="s">
        <v>110</v>
      </c>
      <c r="E742" s="1"/>
      <c r="F742" s="1">
        <v>45706</v>
      </c>
      <c r="G742" s="1">
        <v>46055</v>
      </c>
      <c r="H742" s="1">
        <v>46273</v>
      </c>
      <c r="I742">
        <v>0</v>
      </c>
      <c r="J742">
        <v>0</v>
      </c>
      <c r="K742">
        <v>0</v>
      </c>
      <c r="L742" t="s">
        <v>748</v>
      </c>
    </row>
    <row r="743" spans="1:12" hidden="1" x14ac:dyDescent="0.3">
      <c r="A743">
        <v>2033</v>
      </c>
      <c r="B743" t="s">
        <v>398</v>
      </c>
      <c r="C743" t="s">
        <v>541</v>
      </c>
      <c r="D743" t="s">
        <v>291</v>
      </c>
      <c r="E743" s="1"/>
      <c r="F743" s="1"/>
      <c r="G743" s="1"/>
      <c r="H743" s="1"/>
      <c r="I743">
        <v>0</v>
      </c>
      <c r="J743">
        <v>0</v>
      </c>
      <c r="K743">
        <v>0</v>
      </c>
      <c r="L743" t="s">
        <v>748</v>
      </c>
    </row>
    <row r="744" spans="1:12" hidden="1" x14ac:dyDescent="0.3">
      <c r="A744">
        <v>2033</v>
      </c>
      <c r="B744" t="s">
        <v>237</v>
      </c>
      <c r="C744" t="s">
        <v>665</v>
      </c>
      <c r="D744" t="s">
        <v>110</v>
      </c>
      <c r="E744" s="1"/>
      <c r="F744" s="1">
        <v>45915</v>
      </c>
      <c r="G744" s="1">
        <v>46037</v>
      </c>
      <c r="H744" s="1">
        <v>46310</v>
      </c>
      <c r="I744">
        <v>0</v>
      </c>
      <c r="J744">
        <v>0</v>
      </c>
      <c r="K744">
        <v>0</v>
      </c>
      <c r="L744" t="s">
        <v>748</v>
      </c>
    </row>
    <row r="745" spans="1:12" hidden="1" x14ac:dyDescent="0.3">
      <c r="A745">
        <v>2033</v>
      </c>
      <c r="B745" t="s">
        <v>400</v>
      </c>
      <c r="C745" t="s">
        <v>401</v>
      </c>
      <c r="D745" t="s">
        <v>155</v>
      </c>
      <c r="E745" s="1">
        <v>45946</v>
      </c>
      <c r="F745" s="1">
        <v>46002</v>
      </c>
      <c r="G745" s="1">
        <v>46461</v>
      </c>
      <c r="H745" s="1">
        <v>46794</v>
      </c>
      <c r="I745">
        <v>0</v>
      </c>
      <c r="J745">
        <v>0</v>
      </c>
      <c r="K745">
        <v>0</v>
      </c>
      <c r="L745" t="s">
        <v>748</v>
      </c>
    </row>
    <row r="746" spans="1:12" hidden="1" x14ac:dyDescent="0.3">
      <c r="A746">
        <v>2033</v>
      </c>
      <c r="B746" t="s">
        <v>106</v>
      </c>
      <c r="C746" t="s">
        <v>107</v>
      </c>
      <c r="D746" t="s">
        <v>123</v>
      </c>
      <c r="E746" s="1"/>
      <c r="F746" s="1">
        <v>45014</v>
      </c>
      <c r="G746" s="1">
        <v>45799</v>
      </c>
      <c r="H746" s="1">
        <v>46006</v>
      </c>
      <c r="I746">
        <v>0</v>
      </c>
      <c r="J746">
        <v>0</v>
      </c>
      <c r="K746">
        <v>0</v>
      </c>
      <c r="L746" t="s">
        <v>749</v>
      </c>
    </row>
    <row r="747" spans="1:12" hidden="1" x14ac:dyDescent="0.3">
      <c r="A747">
        <v>2033</v>
      </c>
      <c r="B747" t="s">
        <v>240</v>
      </c>
      <c r="C747" t="s">
        <v>241</v>
      </c>
      <c r="D747" t="s">
        <v>110</v>
      </c>
      <c r="E747" s="1"/>
      <c r="F747" s="1">
        <v>45708</v>
      </c>
      <c r="G747" s="1">
        <v>45923</v>
      </c>
      <c r="H747" s="1">
        <v>46296</v>
      </c>
      <c r="I747">
        <v>0</v>
      </c>
      <c r="J747">
        <v>0</v>
      </c>
      <c r="K747">
        <v>0</v>
      </c>
      <c r="L747" t="s">
        <v>748</v>
      </c>
    </row>
    <row r="748" spans="1:12" hidden="1" x14ac:dyDescent="0.3">
      <c r="A748">
        <v>2033</v>
      </c>
      <c r="B748" t="s">
        <v>153</v>
      </c>
      <c r="C748" t="s">
        <v>154</v>
      </c>
      <c r="D748" t="s">
        <v>123</v>
      </c>
      <c r="E748" s="1"/>
      <c r="F748" s="1">
        <v>45601</v>
      </c>
      <c r="G748" s="1">
        <v>45731</v>
      </c>
      <c r="H748" s="1">
        <v>45976</v>
      </c>
      <c r="I748">
        <v>0</v>
      </c>
      <c r="J748">
        <v>0</v>
      </c>
      <c r="K748">
        <v>0</v>
      </c>
      <c r="L748" t="s">
        <v>749</v>
      </c>
    </row>
    <row r="749" spans="1:12" hidden="1" x14ac:dyDescent="0.3">
      <c r="A749">
        <v>2033</v>
      </c>
      <c r="B749" t="s">
        <v>403</v>
      </c>
      <c r="C749" t="s">
        <v>643</v>
      </c>
      <c r="D749" t="s">
        <v>155</v>
      </c>
      <c r="E749" s="1">
        <v>46006</v>
      </c>
      <c r="F749" s="1">
        <v>46218</v>
      </c>
      <c r="G749" s="1">
        <v>46722</v>
      </c>
      <c r="H749" s="1">
        <v>47011</v>
      </c>
      <c r="I749">
        <v>0</v>
      </c>
      <c r="J749">
        <v>0</v>
      </c>
      <c r="K749">
        <v>0</v>
      </c>
      <c r="L749" t="s">
        <v>748</v>
      </c>
    </row>
    <row r="750" spans="1:12" hidden="1" x14ac:dyDescent="0.3">
      <c r="A750">
        <v>2033</v>
      </c>
      <c r="B750" t="s">
        <v>150</v>
      </c>
      <c r="C750" t="s">
        <v>721</v>
      </c>
      <c r="D750" t="s">
        <v>123</v>
      </c>
      <c r="E750" s="1"/>
      <c r="F750" s="1">
        <v>45079</v>
      </c>
      <c r="G750" s="1">
        <v>45685</v>
      </c>
      <c r="H750" s="1">
        <v>46142</v>
      </c>
      <c r="I750">
        <v>0</v>
      </c>
      <c r="J750">
        <v>0</v>
      </c>
      <c r="K750">
        <v>0</v>
      </c>
      <c r="L750" t="s">
        <v>748</v>
      </c>
    </row>
    <row r="751" spans="1:12" hidden="1" x14ac:dyDescent="0.3">
      <c r="A751">
        <v>2033</v>
      </c>
      <c r="B751" t="s">
        <v>407</v>
      </c>
      <c r="C751" t="s">
        <v>514</v>
      </c>
      <c r="D751" t="s">
        <v>155</v>
      </c>
      <c r="E751" s="1"/>
      <c r="F751" s="1">
        <v>46127</v>
      </c>
      <c r="G751" s="1">
        <v>46492</v>
      </c>
      <c r="H751" s="1">
        <v>46706</v>
      </c>
      <c r="I751">
        <v>0</v>
      </c>
      <c r="J751">
        <v>0</v>
      </c>
      <c r="K751">
        <v>0</v>
      </c>
      <c r="L751" t="s">
        <v>749</v>
      </c>
    </row>
    <row r="752" spans="1:12" hidden="1" x14ac:dyDescent="0.3">
      <c r="A752">
        <v>2033</v>
      </c>
      <c r="B752" t="s">
        <v>405</v>
      </c>
      <c r="C752" t="s">
        <v>406</v>
      </c>
      <c r="D752" t="s">
        <v>155</v>
      </c>
      <c r="E752" s="1">
        <v>45763</v>
      </c>
      <c r="F752" s="1">
        <v>46054</v>
      </c>
      <c r="G752" s="1">
        <v>46427</v>
      </c>
      <c r="H752" s="1">
        <v>46813</v>
      </c>
      <c r="I752">
        <v>0</v>
      </c>
      <c r="J752">
        <v>0</v>
      </c>
      <c r="K752">
        <v>0</v>
      </c>
      <c r="L752" t="s">
        <v>748</v>
      </c>
    </row>
    <row r="753" spans="1:12" hidden="1" x14ac:dyDescent="0.3">
      <c r="A753">
        <v>2033</v>
      </c>
      <c r="B753" t="s">
        <v>243</v>
      </c>
      <c r="C753" t="s">
        <v>739</v>
      </c>
      <c r="D753" t="s">
        <v>155</v>
      </c>
      <c r="E753" s="1">
        <v>45588</v>
      </c>
      <c r="F753" s="1">
        <v>45976</v>
      </c>
      <c r="G753" s="1">
        <v>46280</v>
      </c>
      <c r="H753" s="1">
        <v>46433</v>
      </c>
      <c r="I753">
        <v>0</v>
      </c>
      <c r="J753">
        <v>0</v>
      </c>
      <c r="K753">
        <v>0</v>
      </c>
      <c r="L753" t="s">
        <v>748</v>
      </c>
    </row>
    <row r="754" spans="1:12" hidden="1" x14ac:dyDescent="0.3">
      <c r="A754">
        <v>2033</v>
      </c>
      <c r="B754" t="s">
        <v>246</v>
      </c>
      <c r="C754" t="s">
        <v>515</v>
      </c>
      <c r="D754" t="s">
        <v>110</v>
      </c>
      <c r="E754" s="1"/>
      <c r="F754" s="1">
        <v>45679</v>
      </c>
      <c r="G754" s="1">
        <v>46096</v>
      </c>
      <c r="H754" s="1">
        <v>46371</v>
      </c>
      <c r="I754">
        <v>0</v>
      </c>
      <c r="J754">
        <v>0</v>
      </c>
      <c r="K754">
        <v>0</v>
      </c>
      <c r="L754" t="s">
        <v>748</v>
      </c>
    </row>
    <row r="755" spans="1:12" hidden="1" x14ac:dyDescent="0.3">
      <c r="A755">
        <v>2033</v>
      </c>
      <c r="B755" t="s">
        <v>409</v>
      </c>
      <c r="C755" t="s">
        <v>410</v>
      </c>
      <c r="D755" t="s">
        <v>155</v>
      </c>
      <c r="E755" s="1"/>
      <c r="F755" s="1">
        <v>46143</v>
      </c>
      <c r="G755" s="1">
        <v>46508</v>
      </c>
      <c r="H755" s="1">
        <v>46874</v>
      </c>
      <c r="I755">
        <v>0</v>
      </c>
      <c r="J755">
        <v>0</v>
      </c>
      <c r="K755">
        <v>0</v>
      </c>
      <c r="L755" t="s">
        <v>748</v>
      </c>
    </row>
    <row r="756" spans="1:12" hidden="1" x14ac:dyDescent="0.3">
      <c r="A756">
        <v>2033</v>
      </c>
      <c r="B756" t="s">
        <v>412</v>
      </c>
      <c r="C756" t="s">
        <v>644</v>
      </c>
      <c r="D756" t="s">
        <v>291</v>
      </c>
      <c r="E756" s="1"/>
      <c r="F756" s="1"/>
      <c r="G756" s="1"/>
      <c r="H756" s="1"/>
      <c r="I756">
        <v>0</v>
      </c>
      <c r="J756">
        <v>0</v>
      </c>
      <c r="K756">
        <v>0</v>
      </c>
      <c r="L756" t="s">
        <v>748</v>
      </c>
    </row>
    <row r="757" spans="1:12" hidden="1" x14ac:dyDescent="0.3">
      <c r="A757">
        <v>2033</v>
      </c>
      <c r="B757" t="s">
        <v>415</v>
      </c>
      <c r="C757" t="s">
        <v>416</v>
      </c>
      <c r="D757" t="s">
        <v>155</v>
      </c>
      <c r="E757" s="1"/>
      <c r="F757" s="1">
        <v>46143</v>
      </c>
      <c r="G757" s="1">
        <v>46508</v>
      </c>
      <c r="H757" s="1">
        <v>46874</v>
      </c>
      <c r="I757">
        <v>0</v>
      </c>
      <c r="J757">
        <v>0</v>
      </c>
      <c r="K757">
        <v>0</v>
      </c>
      <c r="L757" t="s">
        <v>748</v>
      </c>
    </row>
    <row r="758" spans="1:12" hidden="1" x14ac:dyDescent="0.3">
      <c r="A758">
        <v>2033</v>
      </c>
      <c r="B758" t="s">
        <v>381</v>
      </c>
      <c r="C758" t="s">
        <v>382</v>
      </c>
      <c r="D758" t="s">
        <v>291</v>
      </c>
      <c r="E758" s="1"/>
      <c r="F758" s="1"/>
      <c r="G758" s="1"/>
      <c r="H758" s="1"/>
      <c r="I758">
        <v>0</v>
      </c>
      <c r="J758">
        <v>0</v>
      </c>
      <c r="K758">
        <v>0</v>
      </c>
      <c r="L758" t="s">
        <v>748</v>
      </c>
    </row>
    <row r="759" spans="1:12" hidden="1" x14ac:dyDescent="0.3">
      <c r="A759">
        <v>2033</v>
      </c>
      <c r="B759" t="s">
        <v>635</v>
      </c>
      <c r="C759" t="s">
        <v>636</v>
      </c>
      <c r="D759" t="s">
        <v>155</v>
      </c>
      <c r="E759" s="1"/>
      <c r="F759" s="1">
        <v>46266</v>
      </c>
      <c r="G759" s="1">
        <v>46631</v>
      </c>
      <c r="H759" s="1">
        <v>46997</v>
      </c>
      <c r="I759">
        <v>500</v>
      </c>
      <c r="J759">
        <v>28275</v>
      </c>
      <c r="K759">
        <v>28775</v>
      </c>
      <c r="L759" t="s">
        <v>748</v>
      </c>
    </row>
    <row r="760" spans="1:12" hidden="1" x14ac:dyDescent="0.3">
      <c r="A760">
        <v>2033</v>
      </c>
      <c r="B760" t="s">
        <v>393</v>
      </c>
      <c r="C760" t="s">
        <v>394</v>
      </c>
      <c r="D760" t="s">
        <v>291</v>
      </c>
      <c r="E760" s="1"/>
      <c r="F760" s="1"/>
      <c r="G760" s="1"/>
      <c r="H760" s="1"/>
      <c r="I760">
        <v>100</v>
      </c>
      <c r="J760">
        <v>0</v>
      </c>
      <c r="K760">
        <v>100</v>
      </c>
      <c r="L760" t="s">
        <v>748</v>
      </c>
    </row>
    <row r="761" spans="1:12" hidden="1" x14ac:dyDescent="0.3">
      <c r="A761">
        <v>2033</v>
      </c>
      <c r="B761" t="s">
        <v>396</v>
      </c>
      <c r="C761" t="s">
        <v>397</v>
      </c>
      <c r="D761" t="s">
        <v>155</v>
      </c>
      <c r="E761" s="1">
        <v>46068</v>
      </c>
      <c r="F761" s="1">
        <v>46371</v>
      </c>
      <c r="G761" s="1">
        <v>46736</v>
      </c>
      <c r="H761" s="1">
        <v>47102</v>
      </c>
      <c r="I761">
        <v>0</v>
      </c>
      <c r="J761">
        <v>0</v>
      </c>
      <c r="K761">
        <v>0</v>
      </c>
      <c r="L761" t="s">
        <v>748</v>
      </c>
    </row>
    <row r="762" spans="1:12" hidden="1" x14ac:dyDescent="0.3">
      <c r="A762">
        <v>2033</v>
      </c>
      <c r="B762" t="s">
        <v>418</v>
      </c>
      <c r="C762" t="s">
        <v>530</v>
      </c>
      <c r="D762" t="s">
        <v>291</v>
      </c>
      <c r="E762" s="1"/>
      <c r="F762" s="1"/>
      <c r="G762" s="1"/>
      <c r="H762" s="1"/>
      <c r="I762">
        <v>0</v>
      </c>
      <c r="J762">
        <v>0</v>
      </c>
      <c r="K762">
        <v>0</v>
      </c>
      <c r="L762" t="s">
        <v>748</v>
      </c>
    </row>
    <row r="763" spans="1:12" hidden="1" x14ac:dyDescent="0.3">
      <c r="A763">
        <v>2033</v>
      </c>
      <c r="B763" t="s">
        <v>422</v>
      </c>
      <c r="C763" t="s">
        <v>423</v>
      </c>
      <c r="D763" t="s">
        <v>291</v>
      </c>
      <c r="E763" s="1"/>
      <c r="F763" s="1"/>
      <c r="G763" s="1"/>
      <c r="H763" s="1"/>
      <c r="I763">
        <v>250</v>
      </c>
      <c r="J763">
        <v>7500</v>
      </c>
      <c r="K763">
        <v>7750</v>
      </c>
      <c r="L763" t="s">
        <v>748</v>
      </c>
    </row>
    <row r="764" spans="1:12" hidden="1" x14ac:dyDescent="0.3">
      <c r="A764">
        <v>2033</v>
      </c>
      <c r="B764" t="s">
        <v>424</v>
      </c>
      <c r="C764" t="s">
        <v>425</v>
      </c>
      <c r="D764" t="s">
        <v>291</v>
      </c>
      <c r="E764" s="1"/>
      <c r="F764" s="1"/>
      <c r="G764" s="1"/>
      <c r="H764" s="1"/>
      <c r="I764">
        <v>200</v>
      </c>
      <c r="J764">
        <v>5000</v>
      </c>
      <c r="K764">
        <v>5200</v>
      </c>
      <c r="L764" t="s">
        <v>748</v>
      </c>
    </row>
    <row r="765" spans="1:12" hidden="1" x14ac:dyDescent="0.3">
      <c r="A765">
        <v>2033</v>
      </c>
      <c r="B765" t="s">
        <v>428</v>
      </c>
      <c r="C765" t="s">
        <v>429</v>
      </c>
      <c r="D765" t="s">
        <v>291</v>
      </c>
      <c r="E765" s="1"/>
      <c r="F765" s="1"/>
      <c r="G765" s="1"/>
      <c r="H765" s="1"/>
      <c r="I765">
        <v>200</v>
      </c>
      <c r="J765">
        <v>5000</v>
      </c>
      <c r="K765">
        <v>5200</v>
      </c>
      <c r="L765" t="s">
        <v>748</v>
      </c>
    </row>
    <row r="766" spans="1:12" hidden="1" x14ac:dyDescent="0.3">
      <c r="A766">
        <v>2033</v>
      </c>
      <c r="B766" t="s">
        <v>432</v>
      </c>
      <c r="C766" t="s">
        <v>433</v>
      </c>
      <c r="D766" t="s">
        <v>291</v>
      </c>
      <c r="E766" s="1"/>
      <c r="F766" s="1"/>
      <c r="G766" s="1"/>
      <c r="H766" s="1"/>
      <c r="I766">
        <v>0</v>
      </c>
      <c r="J766">
        <v>0</v>
      </c>
      <c r="K766">
        <v>0</v>
      </c>
      <c r="L766" t="s">
        <v>748</v>
      </c>
    </row>
    <row r="767" spans="1:12" hidden="1" x14ac:dyDescent="0.3">
      <c r="A767">
        <v>2033</v>
      </c>
      <c r="B767" t="s">
        <v>426</v>
      </c>
      <c r="C767" t="s">
        <v>527</v>
      </c>
      <c r="D767" t="s">
        <v>155</v>
      </c>
      <c r="E767" s="1">
        <v>45827</v>
      </c>
      <c r="F767" s="1">
        <v>46249</v>
      </c>
      <c r="G767" s="1">
        <v>46675</v>
      </c>
      <c r="H767" s="1">
        <v>47041</v>
      </c>
      <c r="I767">
        <v>0</v>
      </c>
      <c r="J767">
        <v>0</v>
      </c>
      <c r="K767">
        <v>0</v>
      </c>
      <c r="L767" t="s">
        <v>748</v>
      </c>
    </row>
    <row r="768" spans="1:12" hidden="1" x14ac:dyDescent="0.3">
      <c r="A768">
        <v>2033</v>
      </c>
      <c r="B768" t="s">
        <v>430</v>
      </c>
      <c r="C768" t="s">
        <v>639</v>
      </c>
      <c r="D768" t="s">
        <v>291</v>
      </c>
      <c r="E768" s="1"/>
      <c r="F768" s="1"/>
      <c r="G768" s="1"/>
      <c r="H768" s="1"/>
      <c r="I768">
        <v>0</v>
      </c>
      <c r="J768">
        <v>0</v>
      </c>
      <c r="K768">
        <v>0</v>
      </c>
      <c r="L768" t="s">
        <v>748</v>
      </c>
    </row>
    <row r="769" spans="1:12" hidden="1" x14ac:dyDescent="0.3">
      <c r="A769">
        <v>2033</v>
      </c>
      <c r="B769" t="s">
        <v>436</v>
      </c>
      <c r="C769" t="s">
        <v>437</v>
      </c>
      <c r="D769" t="s">
        <v>291</v>
      </c>
      <c r="E769" s="1"/>
      <c r="F769" s="1"/>
      <c r="G769" s="1"/>
      <c r="H769" s="1"/>
      <c r="I769">
        <v>0</v>
      </c>
      <c r="J769">
        <v>0</v>
      </c>
      <c r="K769">
        <v>0</v>
      </c>
      <c r="L769" t="s">
        <v>748</v>
      </c>
    </row>
    <row r="770" spans="1:12" hidden="1" x14ac:dyDescent="0.3">
      <c r="A770">
        <v>2033</v>
      </c>
      <c r="B770" t="s">
        <v>248</v>
      </c>
      <c r="C770" t="s">
        <v>722</v>
      </c>
      <c r="D770" t="s">
        <v>110</v>
      </c>
      <c r="E770" s="1"/>
      <c r="F770" s="1">
        <v>45476</v>
      </c>
      <c r="G770" s="1">
        <v>46006</v>
      </c>
      <c r="H770" s="1">
        <v>46006</v>
      </c>
      <c r="I770">
        <v>0</v>
      </c>
      <c r="J770">
        <v>0</v>
      </c>
      <c r="K770">
        <v>0</v>
      </c>
      <c r="L770" t="s">
        <v>748</v>
      </c>
    </row>
    <row r="771" spans="1:12" hidden="1" x14ac:dyDescent="0.3">
      <c r="A771">
        <v>2033</v>
      </c>
      <c r="B771" t="s">
        <v>438</v>
      </c>
      <c r="C771" t="s">
        <v>439</v>
      </c>
      <c r="D771" t="s">
        <v>291</v>
      </c>
      <c r="E771" s="1"/>
      <c r="F771" s="1"/>
      <c r="G771" s="1"/>
      <c r="H771" s="1"/>
      <c r="I771">
        <v>0</v>
      </c>
      <c r="J771">
        <v>0</v>
      </c>
      <c r="K771">
        <v>0</v>
      </c>
      <c r="L771" t="s">
        <v>748</v>
      </c>
    </row>
    <row r="772" spans="1:12" hidden="1" x14ac:dyDescent="0.3">
      <c r="A772">
        <v>2033</v>
      </c>
      <c r="B772" t="s">
        <v>157</v>
      </c>
      <c r="C772" t="s">
        <v>158</v>
      </c>
      <c r="D772" t="s">
        <v>155</v>
      </c>
      <c r="E772" s="1"/>
      <c r="F772" s="1">
        <v>45991</v>
      </c>
      <c r="G772" s="1"/>
      <c r="H772" s="1">
        <v>46249</v>
      </c>
      <c r="I772">
        <v>0</v>
      </c>
      <c r="J772">
        <v>0</v>
      </c>
      <c r="K772">
        <v>0</v>
      </c>
      <c r="L772" t="s">
        <v>748</v>
      </c>
    </row>
    <row r="773" spans="1:12" hidden="1" x14ac:dyDescent="0.3">
      <c r="A773">
        <v>2033</v>
      </c>
      <c r="B773" t="s">
        <v>440</v>
      </c>
      <c r="C773" t="s">
        <v>441</v>
      </c>
      <c r="D773" t="s">
        <v>155</v>
      </c>
      <c r="E773" s="1"/>
      <c r="F773" s="1">
        <v>45992</v>
      </c>
      <c r="G773" s="1"/>
      <c r="H773" s="1">
        <v>45992</v>
      </c>
      <c r="I773">
        <v>0</v>
      </c>
      <c r="J773">
        <v>0</v>
      </c>
      <c r="K773">
        <v>0</v>
      </c>
      <c r="L773" t="s">
        <v>748</v>
      </c>
    </row>
    <row r="774" spans="1:12" hidden="1" x14ac:dyDescent="0.3">
      <c r="A774">
        <v>2033</v>
      </c>
      <c r="B774" t="s">
        <v>442</v>
      </c>
      <c r="C774" t="s">
        <v>526</v>
      </c>
      <c r="D774" t="s">
        <v>291</v>
      </c>
      <c r="E774" s="1"/>
      <c r="F774" s="1"/>
      <c r="G774" s="1"/>
      <c r="H774" s="1"/>
      <c r="I774">
        <v>500</v>
      </c>
      <c r="J774">
        <v>7500</v>
      </c>
      <c r="K774">
        <v>8000</v>
      </c>
      <c r="L774" t="s">
        <v>748</v>
      </c>
    </row>
    <row r="775" spans="1:12" hidden="1" x14ac:dyDescent="0.3">
      <c r="A775">
        <v>2033</v>
      </c>
      <c r="B775" t="s">
        <v>250</v>
      </c>
      <c r="C775" t="s">
        <v>251</v>
      </c>
      <c r="D775" t="s">
        <v>110</v>
      </c>
      <c r="E775" s="1"/>
      <c r="F775" s="1">
        <v>45490</v>
      </c>
      <c r="G775" s="1"/>
      <c r="H775" s="1">
        <v>46447</v>
      </c>
      <c r="I775">
        <v>0</v>
      </c>
      <c r="J775">
        <v>0</v>
      </c>
      <c r="K775">
        <v>0</v>
      </c>
      <c r="L775" t="s">
        <v>748</v>
      </c>
    </row>
    <row r="776" spans="1:12" hidden="1" x14ac:dyDescent="0.3">
      <c r="A776">
        <v>2033</v>
      </c>
      <c r="B776" t="s">
        <v>253</v>
      </c>
      <c r="C776" t="s">
        <v>254</v>
      </c>
      <c r="D776" t="s">
        <v>291</v>
      </c>
      <c r="E776" s="1"/>
      <c r="F776" s="1"/>
      <c r="G776" s="1"/>
      <c r="H776" s="1"/>
      <c r="I776">
        <v>0</v>
      </c>
      <c r="J776">
        <v>0</v>
      </c>
      <c r="K776">
        <v>0</v>
      </c>
      <c r="L776" t="s">
        <v>748</v>
      </c>
    </row>
    <row r="777" spans="1:12" hidden="1" x14ac:dyDescent="0.3">
      <c r="A777">
        <v>2033</v>
      </c>
      <c r="B777" t="s">
        <v>444</v>
      </c>
      <c r="C777" t="s">
        <v>666</v>
      </c>
      <c r="D777" t="s">
        <v>291</v>
      </c>
      <c r="E777" s="1"/>
      <c r="F777" s="1"/>
      <c r="G777" s="1"/>
      <c r="H777" s="1"/>
      <c r="I777">
        <v>0</v>
      </c>
      <c r="J777">
        <v>0</v>
      </c>
      <c r="K777">
        <v>0</v>
      </c>
      <c r="L777" t="s">
        <v>748</v>
      </c>
    </row>
    <row r="778" spans="1:12" hidden="1" x14ac:dyDescent="0.3">
      <c r="A778">
        <v>2033</v>
      </c>
      <c r="B778" t="s">
        <v>446</v>
      </c>
      <c r="C778" t="s">
        <v>447</v>
      </c>
      <c r="D778" t="s">
        <v>291</v>
      </c>
      <c r="E778" s="1"/>
      <c r="F778" s="1"/>
      <c r="G778" s="1"/>
      <c r="H778" s="1"/>
      <c r="I778">
        <v>150</v>
      </c>
      <c r="J778">
        <v>0</v>
      </c>
      <c r="K778">
        <v>150</v>
      </c>
      <c r="L778" t="s">
        <v>748</v>
      </c>
    </row>
    <row r="779" spans="1:12" hidden="1" x14ac:dyDescent="0.3">
      <c r="A779">
        <v>2033</v>
      </c>
      <c r="B779" t="s">
        <v>448</v>
      </c>
      <c r="C779" t="s">
        <v>449</v>
      </c>
      <c r="D779" t="s">
        <v>291</v>
      </c>
      <c r="E779" s="1"/>
      <c r="F779" s="1"/>
      <c r="G779" s="1"/>
      <c r="H779" s="1"/>
      <c r="I779">
        <v>0</v>
      </c>
      <c r="J779">
        <v>0</v>
      </c>
      <c r="K779">
        <v>0</v>
      </c>
      <c r="L779" t="s">
        <v>748</v>
      </c>
    </row>
    <row r="780" spans="1:12" hidden="1" x14ac:dyDescent="0.3">
      <c r="A780">
        <v>2033</v>
      </c>
      <c r="B780" t="s">
        <v>255</v>
      </c>
      <c r="C780" t="s">
        <v>529</v>
      </c>
      <c r="D780" t="s">
        <v>291</v>
      </c>
      <c r="E780" s="1"/>
      <c r="F780" s="1"/>
      <c r="G780" s="1"/>
      <c r="H780" s="1">
        <v>46006</v>
      </c>
      <c r="I780">
        <v>0</v>
      </c>
      <c r="J780">
        <v>0</v>
      </c>
      <c r="K780">
        <v>0</v>
      </c>
      <c r="L780" t="s">
        <v>748</v>
      </c>
    </row>
    <row r="781" spans="1:12" hidden="1" x14ac:dyDescent="0.3">
      <c r="A781">
        <v>2033</v>
      </c>
      <c r="B781" t="s">
        <v>259</v>
      </c>
      <c r="C781" t="s">
        <v>260</v>
      </c>
      <c r="D781" t="s">
        <v>291</v>
      </c>
      <c r="E781" s="1"/>
      <c r="F781" s="1"/>
      <c r="G781" s="1"/>
      <c r="H781" s="1"/>
      <c r="I781">
        <v>0</v>
      </c>
      <c r="J781">
        <v>0</v>
      </c>
      <c r="K781">
        <v>0</v>
      </c>
      <c r="L781" t="s">
        <v>749</v>
      </c>
    </row>
    <row r="782" spans="1:12" hidden="1" x14ac:dyDescent="0.3">
      <c r="A782">
        <v>2033</v>
      </c>
      <c r="B782" t="s">
        <v>454</v>
      </c>
      <c r="C782" t="s">
        <v>455</v>
      </c>
      <c r="D782" t="s">
        <v>291</v>
      </c>
      <c r="E782" s="1"/>
      <c r="F782" s="1"/>
      <c r="G782" s="1"/>
      <c r="H782" s="1"/>
      <c r="I782">
        <v>500</v>
      </c>
      <c r="J782">
        <v>5000</v>
      </c>
      <c r="K782">
        <v>5500</v>
      </c>
      <c r="L782" t="s">
        <v>748</v>
      </c>
    </row>
    <row r="783" spans="1:12" hidden="1" x14ac:dyDescent="0.3">
      <c r="A783">
        <v>2033</v>
      </c>
      <c r="B783" t="s">
        <v>456</v>
      </c>
      <c r="C783" t="s">
        <v>457</v>
      </c>
      <c r="D783" t="s">
        <v>291</v>
      </c>
      <c r="E783" s="1"/>
      <c r="F783" s="1"/>
      <c r="G783" s="1"/>
      <c r="H783" s="1"/>
      <c r="I783">
        <v>150</v>
      </c>
      <c r="J783">
        <v>0</v>
      </c>
      <c r="K783">
        <v>150</v>
      </c>
      <c r="L783" t="s">
        <v>748</v>
      </c>
    </row>
    <row r="784" spans="1:12" hidden="1" x14ac:dyDescent="0.3">
      <c r="A784">
        <v>2033</v>
      </c>
      <c r="B784" t="s">
        <v>458</v>
      </c>
      <c r="C784" t="s">
        <v>459</v>
      </c>
      <c r="D784" t="s">
        <v>291</v>
      </c>
      <c r="E784" s="1"/>
      <c r="F784" s="1"/>
      <c r="G784" s="1"/>
      <c r="H784" s="1"/>
      <c r="I784">
        <v>500</v>
      </c>
      <c r="J784">
        <v>6500</v>
      </c>
      <c r="K784">
        <v>7000</v>
      </c>
      <c r="L784" t="s">
        <v>748</v>
      </c>
    </row>
    <row r="785" spans="1:12" hidden="1" x14ac:dyDescent="0.3">
      <c r="A785">
        <v>2033</v>
      </c>
      <c r="B785" t="s">
        <v>460</v>
      </c>
      <c r="C785" t="s">
        <v>461</v>
      </c>
      <c r="D785" t="s">
        <v>291</v>
      </c>
      <c r="E785" s="1"/>
      <c r="F785" s="1"/>
      <c r="G785" s="1"/>
      <c r="H785" s="1"/>
      <c r="I785">
        <v>150</v>
      </c>
      <c r="J785">
        <v>0</v>
      </c>
      <c r="K785">
        <v>150</v>
      </c>
      <c r="L785" t="s">
        <v>748</v>
      </c>
    </row>
    <row r="786" spans="1:12" hidden="1" x14ac:dyDescent="0.3">
      <c r="A786">
        <v>2033</v>
      </c>
      <c r="B786" t="s">
        <v>462</v>
      </c>
      <c r="C786" t="s">
        <v>463</v>
      </c>
      <c r="D786" t="s">
        <v>291</v>
      </c>
      <c r="E786" s="1"/>
      <c r="F786" s="1"/>
      <c r="G786" s="1"/>
      <c r="H786" s="1"/>
      <c r="I786">
        <v>500</v>
      </c>
      <c r="J786">
        <v>6800</v>
      </c>
      <c r="K786">
        <v>7300</v>
      </c>
      <c r="L786" t="s">
        <v>748</v>
      </c>
    </row>
    <row r="787" spans="1:12" hidden="1" x14ac:dyDescent="0.3">
      <c r="A787">
        <v>2033</v>
      </c>
      <c r="B787" t="s">
        <v>464</v>
      </c>
      <c r="C787" t="s">
        <v>465</v>
      </c>
      <c r="D787" t="s">
        <v>291</v>
      </c>
      <c r="E787" s="1"/>
      <c r="F787" s="1"/>
      <c r="G787" s="1"/>
      <c r="H787" s="1"/>
      <c r="I787">
        <v>150</v>
      </c>
      <c r="J787">
        <v>0</v>
      </c>
      <c r="K787">
        <v>150</v>
      </c>
      <c r="L787" t="s">
        <v>748</v>
      </c>
    </row>
    <row r="788" spans="1:12" hidden="1" x14ac:dyDescent="0.3">
      <c r="A788">
        <v>2033</v>
      </c>
      <c r="B788" t="s">
        <v>470</v>
      </c>
      <c r="C788" t="s">
        <v>471</v>
      </c>
      <c r="D788" t="s">
        <v>291</v>
      </c>
      <c r="E788" s="1"/>
      <c r="F788" s="1"/>
      <c r="G788" s="1"/>
      <c r="H788" s="1"/>
      <c r="I788">
        <v>500</v>
      </c>
      <c r="J788">
        <v>3000</v>
      </c>
      <c r="K788">
        <v>3500</v>
      </c>
      <c r="L788" t="s">
        <v>748</v>
      </c>
    </row>
    <row r="789" spans="1:12" hidden="1" x14ac:dyDescent="0.3">
      <c r="A789">
        <v>2033</v>
      </c>
      <c r="B789" t="s">
        <v>474</v>
      </c>
      <c r="C789" t="s">
        <v>637</v>
      </c>
      <c r="D789" t="s">
        <v>291</v>
      </c>
      <c r="E789" s="1"/>
      <c r="F789" s="1"/>
      <c r="G789" s="1"/>
      <c r="H789" s="1"/>
      <c r="I789">
        <v>1125</v>
      </c>
      <c r="J789">
        <v>0</v>
      </c>
      <c r="K789">
        <v>1125</v>
      </c>
      <c r="L789" t="s">
        <v>748</v>
      </c>
    </row>
    <row r="790" spans="1:12" hidden="1" x14ac:dyDescent="0.3">
      <c r="A790">
        <v>2033</v>
      </c>
      <c r="B790" t="s">
        <v>511</v>
      </c>
      <c r="C790" t="s">
        <v>512</v>
      </c>
      <c r="D790" t="s">
        <v>155</v>
      </c>
      <c r="E790" s="1"/>
      <c r="F790" s="1">
        <v>46006</v>
      </c>
      <c r="G790" s="1">
        <v>46341</v>
      </c>
      <c r="H790" s="1">
        <v>46706</v>
      </c>
      <c r="I790">
        <v>0</v>
      </c>
      <c r="J790">
        <v>0</v>
      </c>
      <c r="K790">
        <v>0</v>
      </c>
      <c r="L790" t="s">
        <v>748</v>
      </c>
    </row>
    <row r="791" spans="1:12" hidden="1" x14ac:dyDescent="0.3">
      <c r="A791">
        <v>2033</v>
      </c>
      <c r="B791" t="s">
        <v>516</v>
      </c>
      <c r="C791" t="s">
        <v>517</v>
      </c>
      <c r="D791" t="s">
        <v>110</v>
      </c>
      <c r="E791" s="1"/>
      <c r="F791" s="1">
        <v>45904</v>
      </c>
      <c r="G791" s="1"/>
      <c r="H791" s="1">
        <v>46096</v>
      </c>
      <c r="I791">
        <v>0</v>
      </c>
      <c r="J791">
        <v>0</v>
      </c>
      <c r="K791">
        <v>0</v>
      </c>
      <c r="L791" t="s">
        <v>748</v>
      </c>
    </row>
    <row r="792" spans="1:12" hidden="1" x14ac:dyDescent="0.3">
      <c r="A792">
        <v>2033</v>
      </c>
      <c r="B792" t="s">
        <v>518</v>
      </c>
      <c r="C792" t="s">
        <v>519</v>
      </c>
      <c r="D792" t="s">
        <v>155</v>
      </c>
      <c r="E792" s="1"/>
      <c r="F792" s="1">
        <v>46127</v>
      </c>
      <c r="G792" s="1"/>
      <c r="H792" s="1"/>
      <c r="I792">
        <v>0</v>
      </c>
      <c r="J792">
        <v>0</v>
      </c>
      <c r="K792">
        <v>0</v>
      </c>
      <c r="L792" t="s">
        <v>748</v>
      </c>
    </row>
    <row r="793" spans="1:12" hidden="1" x14ac:dyDescent="0.3">
      <c r="A793">
        <v>2033</v>
      </c>
      <c r="B793" t="s">
        <v>522</v>
      </c>
      <c r="C793" t="s">
        <v>523</v>
      </c>
      <c r="D793" t="s">
        <v>291</v>
      </c>
      <c r="E793" s="1"/>
      <c r="F793" s="1"/>
      <c r="G793" s="1"/>
      <c r="H793" s="1"/>
      <c r="I793">
        <v>0</v>
      </c>
      <c r="J793">
        <v>0</v>
      </c>
      <c r="K793">
        <v>0</v>
      </c>
      <c r="L793" t="s">
        <v>748</v>
      </c>
    </row>
    <row r="794" spans="1:12" hidden="1" x14ac:dyDescent="0.3">
      <c r="A794">
        <v>2033</v>
      </c>
      <c r="B794" t="s">
        <v>531</v>
      </c>
      <c r="C794" t="s">
        <v>532</v>
      </c>
      <c r="D794" t="s">
        <v>291</v>
      </c>
      <c r="E794" s="1"/>
      <c r="F794" s="1"/>
      <c r="G794" s="1"/>
      <c r="H794" s="1"/>
      <c r="I794">
        <v>150</v>
      </c>
      <c r="J794">
        <v>0</v>
      </c>
      <c r="K794">
        <v>150</v>
      </c>
      <c r="L794" t="s">
        <v>748</v>
      </c>
    </row>
    <row r="795" spans="1:12" hidden="1" x14ac:dyDescent="0.3">
      <c r="A795">
        <v>2033</v>
      </c>
      <c r="B795" t="s">
        <v>543</v>
      </c>
      <c r="C795" t="s">
        <v>544</v>
      </c>
      <c r="D795" t="s">
        <v>123</v>
      </c>
      <c r="E795" s="1"/>
      <c r="F795" s="1">
        <v>45762</v>
      </c>
      <c r="G795" s="1">
        <v>46096</v>
      </c>
      <c r="H795" s="1">
        <v>46096</v>
      </c>
      <c r="I795">
        <v>0</v>
      </c>
      <c r="J795">
        <v>0</v>
      </c>
      <c r="K795">
        <v>0</v>
      </c>
      <c r="L795" t="s">
        <v>748</v>
      </c>
    </row>
    <row r="796" spans="1:12" hidden="1" x14ac:dyDescent="0.3">
      <c r="A796">
        <v>2033</v>
      </c>
      <c r="B796" t="s">
        <v>597</v>
      </c>
      <c r="C796" t="s">
        <v>598</v>
      </c>
      <c r="D796" t="s">
        <v>291</v>
      </c>
      <c r="E796" s="1"/>
      <c r="F796" s="1"/>
      <c r="G796" s="1"/>
      <c r="H796" s="1"/>
      <c r="I796">
        <v>0</v>
      </c>
      <c r="J796">
        <v>0</v>
      </c>
      <c r="K796">
        <v>0</v>
      </c>
      <c r="L796" t="s">
        <v>748</v>
      </c>
    </row>
    <row r="797" spans="1:12" hidden="1" x14ac:dyDescent="0.3">
      <c r="A797">
        <v>2033</v>
      </c>
      <c r="B797" t="s">
        <v>601</v>
      </c>
      <c r="C797" t="s">
        <v>602</v>
      </c>
      <c r="D797" t="s">
        <v>291</v>
      </c>
      <c r="E797" s="1"/>
      <c r="F797" s="1"/>
      <c r="G797" s="1"/>
      <c r="H797" s="1"/>
      <c r="I797">
        <v>100</v>
      </c>
      <c r="J797">
        <v>0</v>
      </c>
      <c r="K797">
        <v>100</v>
      </c>
      <c r="L797" t="s">
        <v>748</v>
      </c>
    </row>
    <row r="798" spans="1:12" hidden="1" x14ac:dyDescent="0.3">
      <c r="A798">
        <v>2033</v>
      </c>
      <c r="B798" t="s">
        <v>606</v>
      </c>
      <c r="C798" t="s">
        <v>607</v>
      </c>
      <c r="D798" t="s">
        <v>291</v>
      </c>
      <c r="E798" s="1"/>
      <c r="F798" s="1"/>
      <c r="G798" s="1"/>
      <c r="H798" s="1"/>
      <c r="I798">
        <v>0</v>
      </c>
      <c r="J798">
        <v>0</v>
      </c>
      <c r="K798">
        <v>0</v>
      </c>
      <c r="L798" t="s">
        <v>748</v>
      </c>
    </row>
    <row r="799" spans="1:12" hidden="1" x14ac:dyDescent="0.3">
      <c r="A799">
        <v>2033</v>
      </c>
      <c r="B799" t="s">
        <v>647</v>
      </c>
      <c r="C799" t="s">
        <v>648</v>
      </c>
      <c r="D799" t="s">
        <v>291</v>
      </c>
      <c r="E799" s="1"/>
      <c r="F799" s="1"/>
      <c r="G799" s="1"/>
      <c r="H799" s="1"/>
      <c r="I799">
        <v>0</v>
      </c>
      <c r="J799">
        <v>0</v>
      </c>
      <c r="K799">
        <v>0</v>
      </c>
      <c r="L799" t="s">
        <v>748</v>
      </c>
    </row>
    <row r="800" spans="1:12" hidden="1" x14ac:dyDescent="0.3">
      <c r="A800">
        <v>2033</v>
      </c>
      <c r="B800" t="s">
        <v>649</v>
      </c>
      <c r="C800" t="s">
        <v>650</v>
      </c>
      <c r="D800" t="s">
        <v>291</v>
      </c>
      <c r="E800" s="1"/>
      <c r="F800" s="1"/>
      <c r="G800" s="1"/>
      <c r="H800" s="1"/>
      <c r="I800">
        <v>0</v>
      </c>
      <c r="J800">
        <v>0</v>
      </c>
      <c r="K800">
        <v>0</v>
      </c>
      <c r="L800" t="s">
        <v>748</v>
      </c>
    </row>
    <row r="801" spans="1:12" hidden="1" x14ac:dyDescent="0.3">
      <c r="A801">
        <v>2033</v>
      </c>
      <c r="B801" t="s">
        <v>651</v>
      </c>
      <c r="C801" t="s">
        <v>652</v>
      </c>
      <c r="D801" t="s">
        <v>291</v>
      </c>
      <c r="E801" s="1"/>
      <c r="F801" s="1"/>
      <c r="G801" s="1"/>
      <c r="H801" s="1"/>
      <c r="I801">
        <v>0</v>
      </c>
      <c r="J801">
        <v>0</v>
      </c>
      <c r="K801">
        <v>0</v>
      </c>
      <c r="L801" t="s">
        <v>748</v>
      </c>
    </row>
    <row r="802" spans="1:12" hidden="1" x14ac:dyDescent="0.3">
      <c r="A802">
        <v>2033</v>
      </c>
      <c r="B802" t="s">
        <v>653</v>
      </c>
      <c r="C802" t="s">
        <v>654</v>
      </c>
      <c r="D802" t="s">
        <v>291</v>
      </c>
      <c r="E802" s="1"/>
      <c r="F802" s="1"/>
      <c r="G802" s="1"/>
      <c r="H802" s="1"/>
      <c r="I802">
        <v>0</v>
      </c>
      <c r="J802">
        <v>0</v>
      </c>
      <c r="K802">
        <v>0</v>
      </c>
      <c r="L802" t="s">
        <v>748</v>
      </c>
    </row>
    <row r="803" spans="1:12" hidden="1" x14ac:dyDescent="0.3">
      <c r="A803">
        <v>2033</v>
      </c>
      <c r="B803" t="s">
        <v>712</v>
      </c>
      <c r="C803" t="s">
        <v>686</v>
      </c>
      <c r="E803" s="1"/>
      <c r="F803" s="1"/>
      <c r="G803" s="1"/>
      <c r="H803" s="1"/>
      <c r="I803">
        <v>0</v>
      </c>
      <c r="J803">
        <v>0</v>
      </c>
      <c r="K803">
        <v>0</v>
      </c>
      <c r="L803" t="s">
        <v>748</v>
      </c>
    </row>
    <row r="804" spans="1:12" hidden="1" x14ac:dyDescent="0.3">
      <c r="A804">
        <v>2033</v>
      </c>
      <c r="B804" t="s">
        <v>713</v>
      </c>
      <c r="C804" t="s">
        <v>693</v>
      </c>
      <c r="E804" s="1"/>
      <c r="F804" s="1"/>
      <c r="G804" s="1"/>
      <c r="H804" s="1"/>
      <c r="I804">
        <v>0</v>
      </c>
      <c r="J804">
        <v>0</v>
      </c>
      <c r="K804">
        <v>0</v>
      </c>
      <c r="L804" t="s">
        <v>748</v>
      </c>
    </row>
    <row r="805" spans="1:12" hidden="1" x14ac:dyDescent="0.3">
      <c r="A805">
        <v>2033</v>
      </c>
      <c r="B805" t="s">
        <v>714</v>
      </c>
      <c r="C805" t="s">
        <v>697</v>
      </c>
      <c r="E805" s="1"/>
      <c r="F805" s="1"/>
      <c r="G805" s="1"/>
      <c r="H805" s="1"/>
      <c r="I805">
        <v>0</v>
      </c>
      <c r="J805">
        <v>0</v>
      </c>
      <c r="K805">
        <v>0</v>
      </c>
      <c r="L805" t="s">
        <v>748</v>
      </c>
    </row>
    <row r="806" spans="1:12" hidden="1" x14ac:dyDescent="0.3">
      <c r="A806">
        <v>2033</v>
      </c>
      <c r="B806" t="s">
        <v>715</v>
      </c>
      <c r="C806" t="s">
        <v>694</v>
      </c>
      <c r="E806" s="1"/>
      <c r="F806" s="1"/>
      <c r="G806" s="1"/>
      <c r="H806" s="1"/>
      <c r="I806">
        <v>0</v>
      </c>
      <c r="J806">
        <v>0</v>
      </c>
      <c r="K806">
        <v>0</v>
      </c>
      <c r="L806" t="s">
        <v>748</v>
      </c>
    </row>
    <row r="807" spans="1:12" hidden="1" x14ac:dyDescent="0.3">
      <c r="A807">
        <v>2033</v>
      </c>
      <c r="B807" t="s">
        <v>716</v>
      </c>
      <c r="C807" t="s">
        <v>702</v>
      </c>
      <c r="E807" s="1"/>
      <c r="F807" s="1"/>
      <c r="G807" s="1"/>
      <c r="H807" s="1"/>
      <c r="I807">
        <v>0</v>
      </c>
      <c r="J807">
        <v>0</v>
      </c>
      <c r="K807">
        <v>0</v>
      </c>
      <c r="L807" t="s">
        <v>748</v>
      </c>
    </row>
    <row r="808" spans="1:12" hidden="1" x14ac:dyDescent="0.3">
      <c r="A808">
        <v>2033</v>
      </c>
      <c r="B808" t="s">
        <v>717</v>
      </c>
      <c r="C808" t="s">
        <v>695</v>
      </c>
      <c r="E808" s="1"/>
      <c r="F808" s="1"/>
      <c r="G808" s="1"/>
      <c r="H808" s="1"/>
      <c r="I808">
        <v>0</v>
      </c>
      <c r="J808">
        <v>0</v>
      </c>
      <c r="K808">
        <v>0</v>
      </c>
      <c r="L808" t="s">
        <v>748</v>
      </c>
    </row>
    <row r="809" spans="1:12" hidden="1" x14ac:dyDescent="0.3">
      <c r="A809">
        <v>2033</v>
      </c>
      <c r="B809" t="s">
        <v>718</v>
      </c>
      <c r="C809" t="s">
        <v>696</v>
      </c>
      <c r="E809" s="1"/>
      <c r="F809" s="1"/>
      <c r="G809" s="1"/>
      <c r="H809" s="1"/>
      <c r="I809">
        <v>0</v>
      </c>
      <c r="J809">
        <v>0</v>
      </c>
      <c r="K809">
        <v>0</v>
      </c>
      <c r="L809" t="s">
        <v>748</v>
      </c>
    </row>
    <row r="810" spans="1:12" hidden="1" x14ac:dyDescent="0.3">
      <c r="A810">
        <v>2034</v>
      </c>
      <c r="B810" t="s">
        <v>364</v>
      </c>
      <c r="C810" t="s">
        <v>365</v>
      </c>
      <c r="D810" t="s">
        <v>291</v>
      </c>
      <c r="E810" s="1"/>
      <c r="F810" s="1"/>
      <c r="G810" s="1"/>
      <c r="H810" s="1"/>
      <c r="I810">
        <v>0</v>
      </c>
      <c r="J810">
        <v>0</v>
      </c>
      <c r="K810">
        <v>0</v>
      </c>
      <c r="L810" t="s">
        <v>748</v>
      </c>
    </row>
    <row r="811" spans="1:12" hidden="1" x14ac:dyDescent="0.3">
      <c r="A811">
        <v>2034</v>
      </c>
      <c r="B811" t="s">
        <v>366</v>
      </c>
      <c r="C811" t="s">
        <v>367</v>
      </c>
      <c r="D811" t="s">
        <v>155</v>
      </c>
      <c r="E811" s="1">
        <v>46006</v>
      </c>
      <c r="F811" s="1">
        <v>46157</v>
      </c>
      <c r="G811" s="1">
        <v>46645</v>
      </c>
      <c r="H811" s="1">
        <v>47011</v>
      </c>
      <c r="I811">
        <v>600</v>
      </c>
      <c r="J811">
        <v>5000</v>
      </c>
      <c r="K811">
        <v>5600</v>
      </c>
      <c r="L811" t="s">
        <v>748</v>
      </c>
    </row>
    <row r="812" spans="1:12" hidden="1" x14ac:dyDescent="0.3">
      <c r="A812">
        <v>2034</v>
      </c>
      <c r="B812" t="s">
        <v>162</v>
      </c>
      <c r="C812" t="s">
        <v>163</v>
      </c>
      <c r="D812" t="s">
        <v>164</v>
      </c>
      <c r="E812" s="1"/>
      <c r="F812" s="1"/>
      <c r="G812" s="1"/>
      <c r="H812" s="1"/>
      <c r="I812">
        <v>0</v>
      </c>
      <c r="J812">
        <v>0</v>
      </c>
      <c r="K812">
        <v>0</v>
      </c>
      <c r="L812" t="s">
        <v>748</v>
      </c>
    </row>
    <row r="813" spans="1:12" hidden="1" x14ac:dyDescent="0.3">
      <c r="A813">
        <v>2034</v>
      </c>
      <c r="B813" t="s">
        <v>166</v>
      </c>
      <c r="C813" t="s">
        <v>167</v>
      </c>
      <c r="D813" t="s">
        <v>155</v>
      </c>
      <c r="E813" s="1">
        <v>42499</v>
      </c>
      <c r="F813" s="1">
        <v>45976</v>
      </c>
      <c r="G813" s="1">
        <v>46402</v>
      </c>
      <c r="H813" s="1">
        <v>46980</v>
      </c>
      <c r="I813">
        <v>0</v>
      </c>
      <c r="J813">
        <v>0</v>
      </c>
      <c r="K813">
        <v>0</v>
      </c>
      <c r="L813" t="s">
        <v>748</v>
      </c>
    </row>
    <row r="814" spans="1:12" hidden="1" x14ac:dyDescent="0.3">
      <c r="A814">
        <v>2034</v>
      </c>
      <c r="B814" t="s">
        <v>170</v>
      </c>
      <c r="C814" t="s">
        <v>171</v>
      </c>
      <c r="D814" t="s">
        <v>110</v>
      </c>
      <c r="E814" s="1"/>
      <c r="F814" s="1">
        <v>44833</v>
      </c>
      <c r="G814" s="1">
        <v>45976</v>
      </c>
      <c r="H814" s="1">
        <v>46310</v>
      </c>
      <c r="I814">
        <v>0</v>
      </c>
      <c r="J814">
        <v>0</v>
      </c>
      <c r="K814">
        <v>0</v>
      </c>
      <c r="L814" t="s">
        <v>748</v>
      </c>
    </row>
    <row r="815" spans="1:12" hidden="1" x14ac:dyDescent="0.3">
      <c r="A815">
        <v>2034</v>
      </c>
      <c r="B815" t="s">
        <v>137</v>
      </c>
      <c r="C815" t="s">
        <v>138</v>
      </c>
      <c r="D815" t="s">
        <v>123</v>
      </c>
      <c r="E815" s="1"/>
      <c r="F815" s="1">
        <v>45062</v>
      </c>
      <c r="G815" s="1">
        <v>45754</v>
      </c>
      <c r="H815" s="1">
        <v>45945</v>
      </c>
      <c r="I815">
        <v>0</v>
      </c>
      <c r="J815">
        <v>0</v>
      </c>
      <c r="K815">
        <v>0</v>
      </c>
      <c r="L815" t="s">
        <v>748</v>
      </c>
    </row>
    <row r="816" spans="1:12" hidden="1" x14ac:dyDescent="0.3">
      <c r="A816">
        <v>2034</v>
      </c>
      <c r="B816" t="s">
        <v>181</v>
      </c>
      <c r="C816" t="s">
        <v>296</v>
      </c>
      <c r="D816" t="s">
        <v>110</v>
      </c>
      <c r="E816" s="1"/>
      <c r="F816" s="1">
        <v>45590</v>
      </c>
      <c r="G816" s="1">
        <v>46157</v>
      </c>
      <c r="H816" s="1">
        <v>46157</v>
      </c>
      <c r="I816">
        <v>0</v>
      </c>
      <c r="J816">
        <v>0</v>
      </c>
      <c r="K816">
        <v>0</v>
      </c>
      <c r="L816" t="s">
        <v>748</v>
      </c>
    </row>
    <row r="817" spans="1:12" hidden="1" x14ac:dyDescent="0.3">
      <c r="A817">
        <v>2034</v>
      </c>
      <c r="B817" t="s">
        <v>185</v>
      </c>
      <c r="C817" t="s">
        <v>186</v>
      </c>
      <c r="D817" t="s">
        <v>110</v>
      </c>
      <c r="E817" s="1"/>
      <c r="F817" s="1">
        <v>44823</v>
      </c>
      <c r="G817" s="1">
        <v>46310</v>
      </c>
      <c r="H817" s="1">
        <v>46521</v>
      </c>
      <c r="I817">
        <v>0</v>
      </c>
      <c r="J817">
        <v>0</v>
      </c>
      <c r="K817">
        <v>0</v>
      </c>
      <c r="L817" t="s">
        <v>748</v>
      </c>
    </row>
    <row r="818" spans="1:12" hidden="1" x14ac:dyDescent="0.3">
      <c r="A818">
        <v>2034</v>
      </c>
      <c r="B818" t="s">
        <v>189</v>
      </c>
      <c r="C818" t="s">
        <v>190</v>
      </c>
      <c r="D818" t="s">
        <v>123</v>
      </c>
      <c r="E818" s="1"/>
      <c r="F818" s="1">
        <v>45684</v>
      </c>
      <c r="G818" s="1"/>
      <c r="H818" s="1">
        <v>46006</v>
      </c>
      <c r="I818">
        <v>0</v>
      </c>
      <c r="J818">
        <v>0</v>
      </c>
      <c r="K818">
        <v>0</v>
      </c>
      <c r="L818" t="s">
        <v>749</v>
      </c>
    </row>
    <row r="819" spans="1:12" hidden="1" x14ac:dyDescent="0.3">
      <c r="A819">
        <v>2034</v>
      </c>
      <c r="B819" t="s">
        <v>132</v>
      </c>
      <c r="C819" t="s">
        <v>288</v>
      </c>
      <c r="D819" t="s">
        <v>123</v>
      </c>
      <c r="E819" s="1"/>
      <c r="F819" s="1">
        <v>45218</v>
      </c>
      <c r="G819" s="1">
        <v>45722</v>
      </c>
      <c r="H819" s="1">
        <v>45976</v>
      </c>
      <c r="I819">
        <v>0</v>
      </c>
      <c r="J819">
        <v>0</v>
      </c>
      <c r="K819">
        <v>0</v>
      </c>
      <c r="L819" t="s">
        <v>749</v>
      </c>
    </row>
    <row r="820" spans="1:12" hidden="1" x14ac:dyDescent="0.3">
      <c r="A820">
        <v>2034</v>
      </c>
      <c r="B820" t="s">
        <v>141</v>
      </c>
      <c r="C820" t="s">
        <v>142</v>
      </c>
      <c r="D820" t="s">
        <v>123</v>
      </c>
      <c r="E820" s="1">
        <v>42499</v>
      </c>
      <c r="F820" s="1">
        <v>42900</v>
      </c>
      <c r="G820" s="1">
        <v>45323</v>
      </c>
      <c r="H820" s="1">
        <v>45889</v>
      </c>
      <c r="I820">
        <v>0</v>
      </c>
      <c r="J820">
        <v>0</v>
      </c>
      <c r="K820">
        <v>0</v>
      </c>
      <c r="L820" t="s">
        <v>748</v>
      </c>
    </row>
    <row r="821" spans="1:12" hidden="1" x14ac:dyDescent="0.3">
      <c r="A821">
        <v>2034</v>
      </c>
      <c r="B821" t="s">
        <v>368</v>
      </c>
      <c r="C821" t="s">
        <v>369</v>
      </c>
      <c r="D821" t="s">
        <v>291</v>
      </c>
      <c r="E821" s="1"/>
      <c r="F821" s="1"/>
      <c r="G821" s="1"/>
      <c r="H821" s="1"/>
      <c r="I821">
        <v>0</v>
      </c>
      <c r="J821">
        <v>0</v>
      </c>
      <c r="K821">
        <v>0</v>
      </c>
      <c r="L821" t="s">
        <v>748</v>
      </c>
    </row>
    <row r="822" spans="1:12" hidden="1" x14ac:dyDescent="0.3">
      <c r="A822">
        <v>2034</v>
      </c>
      <c r="B822" t="s">
        <v>160</v>
      </c>
      <c r="C822" t="s">
        <v>161</v>
      </c>
      <c r="D822" t="s">
        <v>164</v>
      </c>
      <c r="E822" s="1">
        <v>43013</v>
      </c>
      <c r="F822" s="1">
        <v>44956</v>
      </c>
      <c r="G822" s="1">
        <v>45321</v>
      </c>
      <c r="H822" s="1">
        <v>45687</v>
      </c>
      <c r="I822">
        <v>0</v>
      </c>
      <c r="J822">
        <v>0</v>
      </c>
      <c r="K822">
        <v>0</v>
      </c>
      <c r="L822" t="s">
        <v>748</v>
      </c>
    </row>
    <row r="823" spans="1:12" hidden="1" x14ac:dyDescent="0.3">
      <c r="A823">
        <v>2034</v>
      </c>
      <c r="B823" t="s">
        <v>371</v>
      </c>
      <c r="C823" t="s">
        <v>372</v>
      </c>
      <c r="D823" t="s">
        <v>291</v>
      </c>
      <c r="E823" s="1"/>
      <c r="F823" s="1"/>
      <c r="G823" s="1"/>
      <c r="H823" s="1"/>
      <c r="I823">
        <v>0</v>
      </c>
      <c r="J823">
        <v>0</v>
      </c>
      <c r="K823">
        <v>0</v>
      </c>
      <c r="L823" t="s">
        <v>748</v>
      </c>
    </row>
    <row r="824" spans="1:12" hidden="1" x14ac:dyDescent="0.3">
      <c r="A824">
        <v>2034</v>
      </c>
      <c r="B824" t="s">
        <v>195</v>
      </c>
      <c r="C824" t="s">
        <v>196</v>
      </c>
      <c r="D824" t="s">
        <v>110</v>
      </c>
      <c r="E824" s="1"/>
      <c r="F824" s="1">
        <v>44889</v>
      </c>
      <c r="G824" s="1">
        <v>46068</v>
      </c>
      <c r="H824" s="1">
        <v>46583</v>
      </c>
      <c r="I824">
        <v>0</v>
      </c>
      <c r="J824">
        <v>0</v>
      </c>
      <c r="K824">
        <v>0</v>
      </c>
      <c r="L824" t="s">
        <v>748</v>
      </c>
    </row>
    <row r="825" spans="1:12" hidden="1" x14ac:dyDescent="0.3">
      <c r="A825">
        <v>2034</v>
      </c>
      <c r="B825" t="s">
        <v>375</v>
      </c>
      <c r="C825" t="s">
        <v>376</v>
      </c>
      <c r="D825" t="s">
        <v>155</v>
      </c>
      <c r="E825" s="1">
        <v>46006</v>
      </c>
      <c r="F825" s="1">
        <v>46280</v>
      </c>
      <c r="G825" s="1">
        <v>46645</v>
      </c>
      <c r="H825" s="1">
        <v>47011</v>
      </c>
      <c r="I825">
        <v>0</v>
      </c>
      <c r="J825">
        <v>0</v>
      </c>
      <c r="K825">
        <v>0</v>
      </c>
      <c r="L825" t="s">
        <v>748</v>
      </c>
    </row>
    <row r="826" spans="1:12" hidden="1" x14ac:dyDescent="0.3">
      <c r="A826">
        <v>2034</v>
      </c>
      <c r="B826" t="s">
        <v>174</v>
      </c>
      <c r="C826" t="s">
        <v>175</v>
      </c>
      <c r="D826" t="s">
        <v>164</v>
      </c>
      <c r="E826" s="1">
        <v>44014</v>
      </c>
      <c r="F826" s="1">
        <v>44014</v>
      </c>
      <c r="G826" s="1">
        <v>44294</v>
      </c>
      <c r="H826" s="1">
        <v>45239</v>
      </c>
      <c r="I826">
        <v>0</v>
      </c>
      <c r="J826">
        <v>0</v>
      </c>
      <c r="K826">
        <v>0</v>
      </c>
      <c r="L826" t="s">
        <v>748</v>
      </c>
    </row>
    <row r="827" spans="1:12" hidden="1" x14ac:dyDescent="0.3">
      <c r="A827">
        <v>2034</v>
      </c>
      <c r="B827" t="s">
        <v>203</v>
      </c>
      <c r="C827" t="s">
        <v>204</v>
      </c>
      <c r="D827" t="s">
        <v>155</v>
      </c>
      <c r="E827" s="1">
        <v>45730</v>
      </c>
      <c r="F827" s="1">
        <v>45960</v>
      </c>
      <c r="G827" s="1">
        <v>46264</v>
      </c>
      <c r="H827" s="1">
        <v>46629</v>
      </c>
      <c r="I827">
        <v>0</v>
      </c>
      <c r="J827">
        <v>0</v>
      </c>
      <c r="K827">
        <v>0</v>
      </c>
      <c r="L827" t="s">
        <v>748</v>
      </c>
    </row>
    <row r="828" spans="1:12" hidden="1" x14ac:dyDescent="0.3">
      <c r="A828">
        <v>2034</v>
      </c>
      <c r="B828" t="s">
        <v>114</v>
      </c>
      <c r="C828" t="s">
        <v>719</v>
      </c>
      <c r="D828" t="s">
        <v>123</v>
      </c>
      <c r="E828" s="1"/>
      <c r="F828" s="1">
        <v>45105</v>
      </c>
      <c r="G828" s="1">
        <v>45789</v>
      </c>
      <c r="H828" s="1">
        <v>45932</v>
      </c>
      <c r="I828">
        <v>0</v>
      </c>
      <c r="J828">
        <v>0</v>
      </c>
      <c r="K828">
        <v>0</v>
      </c>
      <c r="L828" t="s">
        <v>749</v>
      </c>
    </row>
    <row r="829" spans="1:12" hidden="1" x14ac:dyDescent="0.3">
      <c r="A829">
        <v>2034</v>
      </c>
      <c r="B829" t="s">
        <v>207</v>
      </c>
      <c r="C829" t="s">
        <v>208</v>
      </c>
      <c r="D829" t="s">
        <v>155</v>
      </c>
      <c r="E829" s="1">
        <v>44476</v>
      </c>
      <c r="F829" s="1">
        <v>45976</v>
      </c>
      <c r="G829" s="1">
        <v>46096</v>
      </c>
      <c r="H829" s="1">
        <v>46280</v>
      </c>
      <c r="I829">
        <v>0</v>
      </c>
      <c r="J829">
        <v>0</v>
      </c>
      <c r="K829">
        <v>0</v>
      </c>
      <c r="L829" t="s">
        <v>749</v>
      </c>
    </row>
    <row r="830" spans="1:12" hidden="1" x14ac:dyDescent="0.3">
      <c r="A830">
        <v>2034</v>
      </c>
      <c r="B830" t="s">
        <v>377</v>
      </c>
      <c r="C830" t="s">
        <v>378</v>
      </c>
      <c r="D830" t="s">
        <v>155</v>
      </c>
      <c r="E830" s="1"/>
      <c r="F830" s="1">
        <v>46068</v>
      </c>
      <c r="G830" s="1">
        <v>46461</v>
      </c>
      <c r="H830" s="1">
        <v>46888</v>
      </c>
      <c r="I830">
        <v>0</v>
      </c>
      <c r="J830">
        <v>0</v>
      </c>
      <c r="K830">
        <v>0</v>
      </c>
      <c r="L830" t="s">
        <v>748</v>
      </c>
    </row>
    <row r="831" spans="1:12" hidden="1" x14ac:dyDescent="0.3">
      <c r="A831">
        <v>2034</v>
      </c>
      <c r="B831" t="s">
        <v>210</v>
      </c>
      <c r="C831" t="s">
        <v>211</v>
      </c>
      <c r="D831" t="s">
        <v>155</v>
      </c>
      <c r="E831" s="1"/>
      <c r="F831" s="1">
        <v>45976</v>
      </c>
      <c r="G831" s="1">
        <v>46341</v>
      </c>
      <c r="H831" s="1">
        <v>46706</v>
      </c>
      <c r="I831">
        <v>0</v>
      </c>
      <c r="J831">
        <v>0</v>
      </c>
      <c r="K831">
        <v>0</v>
      </c>
      <c r="L831" t="s">
        <v>748</v>
      </c>
    </row>
    <row r="832" spans="1:12" hidden="1" x14ac:dyDescent="0.3">
      <c r="A832">
        <v>2034</v>
      </c>
      <c r="B832" t="s">
        <v>379</v>
      </c>
      <c r="C832" t="s">
        <v>380</v>
      </c>
      <c r="D832" t="s">
        <v>291</v>
      </c>
      <c r="E832" s="1"/>
      <c r="F832" s="1"/>
      <c r="G832" s="1"/>
      <c r="H832" s="1"/>
      <c r="I832">
        <v>150</v>
      </c>
      <c r="J832">
        <v>0</v>
      </c>
      <c r="K832">
        <v>150</v>
      </c>
      <c r="L832" t="s">
        <v>748</v>
      </c>
    </row>
    <row r="833" spans="1:12" hidden="1" x14ac:dyDescent="0.3">
      <c r="A833">
        <v>2034</v>
      </c>
      <c r="B833" t="s">
        <v>383</v>
      </c>
      <c r="C833" t="s">
        <v>384</v>
      </c>
      <c r="D833" t="s">
        <v>291</v>
      </c>
      <c r="E833" s="1"/>
      <c r="F833" s="1"/>
      <c r="G833" s="1"/>
      <c r="H833" s="1"/>
      <c r="I833">
        <v>150</v>
      </c>
      <c r="J833">
        <v>0</v>
      </c>
      <c r="K833">
        <v>150</v>
      </c>
      <c r="L833" t="s">
        <v>748</v>
      </c>
    </row>
    <row r="834" spans="1:12" hidden="1" x14ac:dyDescent="0.3">
      <c r="A834">
        <v>2034</v>
      </c>
      <c r="B834" t="s">
        <v>212</v>
      </c>
      <c r="C834" t="s">
        <v>213</v>
      </c>
      <c r="D834" t="s">
        <v>155</v>
      </c>
      <c r="E834" s="1">
        <v>45337</v>
      </c>
      <c r="F834" s="1">
        <v>46127</v>
      </c>
      <c r="G834" s="1">
        <v>46798</v>
      </c>
      <c r="H834" s="1">
        <v>47192</v>
      </c>
      <c r="I834">
        <v>0</v>
      </c>
      <c r="J834">
        <v>0</v>
      </c>
      <c r="K834">
        <v>0</v>
      </c>
      <c r="L834" t="s">
        <v>748</v>
      </c>
    </row>
    <row r="835" spans="1:12" hidden="1" x14ac:dyDescent="0.3">
      <c r="A835">
        <v>2034</v>
      </c>
      <c r="B835" t="s">
        <v>385</v>
      </c>
      <c r="C835" t="s">
        <v>740</v>
      </c>
      <c r="D835" t="s">
        <v>155</v>
      </c>
      <c r="E835" s="1">
        <v>45672</v>
      </c>
      <c r="F835" s="1">
        <v>45960</v>
      </c>
      <c r="G835" s="1">
        <v>46266</v>
      </c>
      <c r="H835" s="1">
        <v>46631</v>
      </c>
      <c r="I835">
        <v>0</v>
      </c>
      <c r="J835">
        <v>0</v>
      </c>
      <c r="K835">
        <v>0</v>
      </c>
      <c r="L835" t="s">
        <v>748</v>
      </c>
    </row>
    <row r="836" spans="1:12" hidden="1" x14ac:dyDescent="0.3">
      <c r="A836">
        <v>2034</v>
      </c>
      <c r="B836" t="s">
        <v>220</v>
      </c>
      <c r="C836" t="s">
        <v>221</v>
      </c>
      <c r="D836" t="s">
        <v>155</v>
      </c>
      <c r="E836" s="1"/>
      <c r="F836" s="1">
        <v>45976</v>
      </c>
      <c r="G836" s="1">
        <v>46264</v>
      </c>
      <c r="H836" s="1">
        <v>46553</v>
      </c>
      <c r="I836">
        <v>0</v>
      </c>
      <c r="J836">
        <v>0</v>
      </c>
      <c r="K836">
        <v>0</v>
      </c>
      <c r="L836" t="s">
        <v>748</v>
      </c>
    </row>
    <row r="837" spans="1:12" hidden="1" x14ac:dyDescent="0.3">
      <c r="A837">
        <v>2034</v>
      </c>
      <c r="B837" t="s">
        <v>224</v>
      </c>
      <c r="C837" t="s">
        <v>520</v>
      </c>
      <c r="D837" t="s">
        <v>123</v>
      </c>
      <c r="E837" s="1">
        <v>44365</v>
      </c>
      <c r="F837" s="1">
        <v>44623</v>
      </c>
      <c r="G837" s="1">
        <v>45698</v>
      </c>
      <c r="H837" s="1">
        <v>46341</v>
      </c>
      <c r="I837">
        <v>0</v>
      </c>
      <c r="J837">
        <v>0</v>
      </c>
      <c r="K837">
        <v>0</v>
      </c>
      <c r="L837" t="s">
        <v>748</v>
      </c>
    </row>
    <row r="838" spans="1:12" hidden="1" x14ac:dyDescent="0.3">
      <c r="A838">
        <v>2034</v>
      </c>
      <c r="B838" t="s">
        <v>373</v>
      </c>
      <c r="C838" t="s">
        <v>374</v>
      </c>
      <c r="D838" t="s">
        <v>155</v>
      </c>
      <c r="E838" s="1">
        <v>45833</v>
      </c>
      <c r="F838" s="1">
        <v>45960</v>
      </c>
      <c r="G838" s="1">
        <v>46280</v>
      </c>
      <c r="H838" s="1">
        <v>46645</v>
      </c>
      <c r="I838">
        <v>0</v>
      </c>
      <c r="J838">
        <v>0</v>
      </c>
      <c r="K838">
        <v>0</v>
      </c>
      <c r="L838" t="s">
        <v>748</v>
      </c>
    </row>
    <row r="839" spans="1:12" hidden="1" x14ac:dyDescent="0.3">
      <c r="A839">
        <v>2034</v>
      </c>
      <c r="B839" t="s">
        <v>226</v>
      </c>
      <c r="C839" t="s">
        <v>227</v>
      </c>
      <c r="D839" t="s">
        <v>110</v>
      </c>
      <c r="E839" s="1"/>
      <c r="F839" s="1">
        <v>45330</v>
      </c>
      <c r="G839" s="1">
        <v>46690</v>
      </c>
      <c r="H839" s="1">
        <v>47376</v>
      </c>
      <c r="I839">
        <v>0</v>
      </c>
      <c r="J839">
        <v>0</v>
      </c>
      <c r="K839">
        <v>0</v>
      </c>
      <c r="L839" t="s">
        <v>748</v>
      </c>
    </row>
    <row r="840" spans="1:12" hidden="1" x14ac:dyDescent="0.3">
      <c r="A840">
        <v>2034</v>
      </c>
      <c r="B840" t="s">
        <v>145</v>
      </c>
      <c r="C840" t="s">
        <v>720</v>
      </c>
      <c r="D840" t="s">
        <v>110</v>
      </c>
      <c r="E840" s="1"/>
      <c r="F840" s="1">
        <v>44609</v>
      </c>
      <c r="G840" s="1">
        <v>45996</v>
      </c>
      <c r="H840" s="1">
        <v>46310</v>
      </c>
      <c r="I840">
        <v>0</v>
      </c>
      <c r="J840">
        <v>0</v>
      </c>
      <c r="K840">
        <v>0</v>
      </c>
      <c r="L840" t="s">
        <v>748</v>
      </c>
    </row>
    <row r="841" spans="1:12" hidden="1" x14ac:dyDescent="0.3">
      <c r="A841">
        <v>2034</v>
      </c>
      <c r="B841" t="s">
        <v>231</v>
      </c>
      <c r="C841" t="s">
        <v>232</v>
      </c>
      <c r="D841" t="s">
        <v>110</v>
      </c>
      <c r="E841" s="1"/>
      <c r="F841" s="1">
        <v>45099</v>
      </c>
      <c r="G841" s="1">
        <v>46037</v>
      </c>
      <c r="H841" s="1">
        <v>46283</v>
      </c>
      <c r="I841">
        <v>0</v>
      </c>
      <c r="J841">
        <v>0</v>
      </c>
      <c r="K841">
        <v>0</v>
      </c>
      <c r="L841" t="s">
        <v>748</v>
      </c>
    </row>
    <row r="842" spans="1:12" hidden="1" x14ac:dyDescent="0.3">
      <c r="A842">
        <v>2034</v>
      </c>
      <c r="B842" t="s">
        <v>233</v>
      </c>
      <c r="C842" t="s">
        <v>542</v>
      </c>
      <c r="D842" t="s">
        <v>155</v>
      </c>
      <c r="E842" s="1"/>
      <c r="F842" s="1">
        <v>46127</v>
      </c>
      <c r="G842" s="1">
        <v>46553</v>
      </c>
      <c r="H842" s="1">
        <v>46980</v>
      </c>
      <c r="I842">
        <v>0</v>
      </c>
      <c r="J842">
        <v>0</v>
      </c>
      <c r="K842">
        <v>0</v>
      </c>
      <c r="L842" t="s">
        <v>748</v>
      </c>
    </row>
    <row r="843" spans="1:12" hidden="1" x14ac:dyDescent="0.3">
      <c r="A843">
        <v>2034</v>
      </c>
      <c r="B843" t="s">
        <v>235</v>
      </c>
      <c r="C843" t="s">
        <v>510</v>
      </c>
      <c r="D843" t="s">
        <v>110</v>
      </c>
      <c r="E843" s="1"/>
      <c r="F843" s="1">
        <v>45706</v>
      </c>
      <c r="G843" s="1">
        <v>46055</v>
      </c>
      <c r="H843" s="1">
        <v>46273</v>
      </c>
      <c r="I843">
        <v>0</v>
      </c>
      <c r="J843">
        <v>0</v>
      </c>
      <c r="K843">
        <v>0</v>
      </c>
      <c r="L843" t="s">
        <v>748</v>
      </c>
    </row>
    <row r="844" spans="1:12" hidden="1" x14ac:dyDescent="0.3">
      <c r="A844">
        <v>2034</v>
      </c>
      <c r="B844" t="s">
        <v>398</v>
      </c>
      <c r="C844" t="s">
        <v>541</v>
      </c>
      <c r="D844" t="s">
        <v>291</v>
      </c>
      <c r="E844" s="1"/>
      <c r="F844" s="1"/>
      <c r="G844" s="1"/>
      <c r="H844" s="1"/>
      <c r="I844">
        <v>0</v>
      </c>
      <c r="J844">
        <v>0</v>
      </c>
      <c r="K844">
        <v>0</v>
      </c>
      <c r="L844" t="s">
        <v>748</v>
      </c>
    </row>
    <row r="845" spans="1:12" hidden="1" x14ac:dyDescent="0.3">
      <c r="A845">
        <v>2034</v>
      </c>
      <c r="B845" t="s">
        <v>237</v>
      </c>
      <c r="C845" t="s">
        <v>665</v>
      </c>
      <c r="D845" t="s">
        <v>110</v>
      </c>
      <c r="E845" s="1"/>
      <c r="F845" s="1">
        <v>45915</v>
      </c>
      <c r="G845" s="1">
        <v>46037</v>
      </c>
      <c r="H845" s="1">
        <v>46310</v>
      </c>
      <c r="I845">
        <v>0</v>
      </c>
      <c r="J845">
        <v>0</v>
      </c>
      <c r="K845">
        <v>0</v>
      </c>
      <c r="L845" t="s">
        <v>748</v>
      </c>
    </row>
    <row r="846" spans="1:12" hidden="1" x14ac:dyDescent="0.3">
      <c r="A846">
        <v>2034</v>
      </c>
      <c r="B846" t="s">
        <v>400</v>
      </c>
      <c r="C846" t="s">
        <v>401</v>
      </c>
      <c r="D846" t="s">
        <v>155</v>
      </c>
      <c r="E846" s="1">
        <v>45946</v>
      </c>
      <c r="F846" s="1">
        <v>46002</v>
      </c>
      <c r="G846" s="1">
        <v>46461</v>
      </c>
      <c r="H846" s="1">
        <v>46794</v>
      </c>
      <c r="I846">
        <v>0</v>
      </c>
      <c r="J846">
        <v>0</v>
      </c>
      <c r="K846">
        <v>0</v>
      </c>
      <c r="L846" t="s">
        <v>748</v>
      </c>
    </row>
    <row r="847" spans="1:12" hidden="1" x14ac:dyDescent="0.3">
      <c r="A847">
        <v>2034</v>
      </c>
      <c r="B847" t="s">
        <v>106</v>
      </c>
      <c r="C847" t="s">
        <v>107</v>
      </c>
      <c r="D847" t="s">
        <v>123</v>
      </c>
      <c r="E847" s="1"/>
      <c r="F847" s="1">
        <v>45014</v>
      </c>
      <c r="G847" s="1">
        <v>45799</v>
      </c>
      <c r="H847" s="1">
        <v>46006</v>
      </c>
      <c r="I847">
        <v>0</v>
      </c>
      <c r="J847">
        <v>0</v>
      </c>
      <c r="K847">
        <v>0</v>
      </c>
      <c r="L847" t="s">
        <v>749</v>
      </c>
    </row>
    <row r="848" spans="1:12" hidden="1" x14ac:dyDescent="0.3">
      <c r="A848">
        <v>2034</v>
      </c>
      <c r="B848" t="s">
        <v>240</v>
      </c>
      <c r="C848" t="s">
        <v>241</v>
      </c>
      <c r="D848" t="s">
        <v>110</v>
      </c>
      <c r="E848" s="1"/>
      <c r="F848" s="1">
        <v>45708</v>
      </c>
      <c r="G848" s="1">
        <v>45923</v>
      </c>
      <c r="H848" s="1">
        <v>46296</v>
      </c>
      <c r="I848">
        <v>0</v>
      </c>
      <c r="J848">
        <v>0</v>
      </c>
      <c r="K848">
        <v>0</v>
      </c>
      <c r="L848" t="s">
        <v>748</v>
      </c>
    </row>
    <row r="849" spans="1:12" hidden="1" x14ac:dyDescent="0.3">
      <c r="A849">
        <v>2034</v>
      </c>
      <c r="B849" t="s">
        <v>153</v>
      </c>
      <c r="C849" t="s">
        <v>154</v>
      </c>
      <c r="D849" t="s">
        <v>123</v>
      </c>
      <c r="E849" s="1"/>
      <c r="F849" s="1">
        <v>45601</v>
      </c>
      <c r="G849" s="1">
        <v>45731</v>
      </c>
      <c r="H849" s="1">
        <v>45976</v>
      </c>
      <c r="I849">
        <v>0</v>
      </c>
      <c r="J849">
        <v>0</v>
      </c>
      <c r="K849">
        <v>0</v>
      </c>
      <c r="L849" t="s">
        <v>749</v>
      </c>
    </row>
    <row r="850" spans="1:12" hidden="1" x14ac:dyDescent="0.3">
      <c r="A850">
        <v>2034</v>
      </c>
      <c r="B850" t="s">
        <v>403</v>
      </c>
      <c r="C850" t="s">
        <v>643</v>
      </c>
      <c r="D850" t="s">
        <v>155</v>
      </c>
      <c r="E850" s="1">
        <v>46006</v>
      </c>
      <c r="F850" s="1">
        <v>46218</v>
      </c>
      <c r="G850" s="1">
        <v>46722</v>
      </c>
      <c r="H850" s="1">
        <v>47011</v>
      </c>
      <c r="I850">
        <v>0</v>
      </c>
      <c r="J850">
        <v>0</v>
      </c>
      <c r="K850">
        <v>0</v>
      </c>
      <c r="L850" t="s">
        <v>748</v>
      </c>
    </row>
    <row r="851" spans="1:12" hidden="1" x14ac:dyDescent="0.3">
      <c r="A851">
        <v>2034</v>
      </c>
      <c r="B851" t="s">
        <v>150</v>
      </c>
      <c r="C851" t="s">
        <v>721</v>
      </c>
      <c r="D851" t="s">
        <v>123</v>
      </c>
      <c r="E851" s="1"/>
      <c r="F851" s="1">
        <v>45079</v>
      </c>
      <c r="G851" s="1">
        <v>45685</v>
      </c>
      <c r="H851" s="1">
        <v>46142</v>
      </c>
      <c r="I851">
        <v>0</v>
      </c>
      <c r="J851">
        <v>0</v>
      </c>
      <c r="K851">
        <v>0</v>
      </c>
      <c r="L851" t="s">
        <v>748</v>
      </c>
    </row>
    <row r="852" spans="1:12" hidden="1" x14ac:dyDescent="0.3">
      <c r="A852">
        <v>2034</v>
      </c>
      <c r="B852" t="s">
        <v>407</v>
      </c>
      <c r="C852" t="s">
        <v>514</v>
      </c>
      <c r="D852" t="s">
        <v>155</v>
      </c>
      <c r="E852" s="1"/>
      <c r="F852" s="1">
        <v>46127</v>
      </c>
      <c r="G852" s="1">
        <v>46492</v>
      </c>
      <c r="H852" s="1">
        <v>46706</v>
      </c>
      <c r="I852">
        <v>0</v>
      </c>
      <c r="J852">
        <v>0</v>
      </c>
      <c r="K852">
        <v>0</v>
      </c>
      <c r="L852" t="s">
        <v>749</v>
      </c>
    </row>
    <row r="853" spans="1:12" hidden="1" x14ac:dyDescent="0.3">
      <c r="A853">
        <v>2034</v>
      </c>
      <c r="B853" t="s">
        <v>405</v>
      </c>
      <c r="C853" t="s">
        <v>406</v>
      </c>
      <c r="D853" t="s">
        <v>155</v>
      </c>
      <c r="E853" s="1">
        <v>45763</v>
      </c>
      <c r="F853" s="1">
        <v>46054</v>
      </c>
      <c r="G853" s="1">
        <v>46427</v>
      </c>
      <c r="H853" s="1">
        <v>46813</v>
      </c>
      <c r="I853">
        <v>0</v>
      </c>
      <c r="J853">
        <v>0</v>
      </c>
      <c r="K853">
        <v>0</v>
      </c>
      <c r="L853" t="s">
        <v>748</v>
      </c>
    </row>
    <row r="854" spans="1:12" hidden="1" x14ac:dyDescent="0.3">
      <c r="A854">
        <v>2034</v>
      </c>
      <c r="B854" t="s">
        <v>243</v>
      </c>
      <c r="C854" t="s">
        <v>739</v>
      </c>
      <c r="D854" t="s">
        <v>155</v>
      </c>
      <c r="E854" s="1">
        <v>45588</v>
      </c>
      <c r="F854" s="1">
        <v>45976</v>
      </c>
      <c r="G854" s="1">
        <v>46280</v>
      </c>
      <c r="H854" s="1">
        <v>46433</v>
      </c>
      <c r="I854">
        <v>0</v>
      </c>
      <c r="J854">
        <v>0</v>
      </c>
      <c r="K854">
        <v>0</v>
      </c>
      <c r="L854" t="s">
        <v>748</v>
      </c>
    </row>
    <row r="855" spans="1:12" hidden="1" x14ac:dyDescent="0.3">
      <c r="A855">
        <v>2034</v>
      </c>
      <c r="B855" t="s">
        <v>246</v>
      </c>
      <c r="C855" t="s">
        <v>515</v>
      </c>
      <c r="D855" t="s">
        <v>110</v>
      </c>
      <c r="E855" s="1"/>
      <c r="F855" s="1">
        <v>45679</v>
      </c>
      <c r="G855" s="1">
        <v>46096</v>
      </c>
      <c r="H855" s="1">
        <v>46371</v>
      </c>
      <c r="I855">
        <v>0</v>
      </c>
      <c r="J855">
        <v>0</v>
      </c>
      <c r="K855">
        <v>0</v>
      </c>
      <c r="L855" t="s">
        <v>748</v>
      </c>
    </row>
    <row r="856" spans="1:12" hidden="1" x14ac:dyDescent="0.3">
      <c r="A856">
        <v>2034</v>
      </c>
      <c r="B856" t="s">
        <v>409</v>
      </c>
      <c r="C856" t="s">
        <v>410</v>
      </c>
      <c r="D856" t="s">
        <v>155</v>
      </c>
      <c r="E856" s="1"/>
      <c r="F856" s="1">
        <v>46143</v>
      </c>
      <c r="G856" s="1">
        <v>46508</v>
      </c>
      <c r="H856" s="1">
        <v>46874</v>
      </c>
      <c r="I856">
        <v>0</v>
      </c>
      <c r="J856">
        <v>0</v>
      </c>
      <c r="K856">
        <v>0</v>
      </c>
      <c r="L856" t="s">
        <v>748</v>
      </c>
    </row>
    <row r="857" spans="1:12" hidden="1" x14ac:dyDescent="0.3">
      <c r="A857">
        <v>2034</v>
      </c>
      <c r="B857" t="s">
        <v>412</v>
      </c>
      <c r="C857" t="s">
        <v>644</v>
      </c>
      <c r="D857" t="s">
        <v>291</v>
      </c>
      <c r="E857" s="1"/>
      <c r="F857" s="1"/>
      <c r="G857" s="1"/>
      <c r="H857" s="1"/>
      <c r="I857">
        <v>0</v>
      </c>
      <c r="J857">
        <v>0</v>
      </c>
      <c r="K857">
        <v>0</v>
      </c>
      <c r="L857" t="s">
        <v>748</v>
      </c>
    </row>
    <row r="858" spans="1:12" hidden="1" x14ac:dyDescent="0.3">
      <c r="A858">
        <v>2034</v>
      </c>
      <c r="B858" t="s">
        <v>415</v>
      </c>
      <c r="C858" t="s">
        <v>416</v>
      </c>
      <c r="D858" t="s">
        <v>155</v>
      </c>
      <c r="E858" s="1"/>
      <c r="F858" s="1">
        <v>46143</v>
      </c>
      <c r="G858" s="1">
        <v>46508</v>
      </c>
      <c r="H858" s="1">
        <v>46874</v>
      </c>
      <c r="I858">
        <v>0</v>
      </c>
      <c r="J858">
        <v>0</v>
      </c>
      <c r="K858">
        <v>0</v>
      </c>
      <c r="L858" t="s">
        <v>748</v>
      </c>
    </row>
    <row r="859" spans="1:12" hidden="1" x14ac:dyDescent="0.3">
      <c r="A859">
        <v>2034</v>
      </c>
      <c r="B859" t="s">
        <v>381</v>
      </c>
      <c r="C859" t="s">
        <v>382</v>
      </c>
      <c r="D859" t="s">
        <v>291</v>
      </c>
      <c r="E859" s="1"/>
      <c r="F859" s="1"/>
      <c r="G859" s="1"/>
      <c r="H859" s="1"/>
      <c r="I859">
        <v>0</v>
      </c>
      <c r="J859">
        <v>0</v>
      </c>
      <c r="K859">
        <v>0</v>
      </c>
      <c r="L859" t="s">
        <v>748</v>
      </c>
    </row>
    <row r="860" spans="1:12" hidden="1" x14ac:dyDescent="0.3">
      <c r="A860">
        <v>2034</v>
      </c>
      <c r="B860" t="s">
        <v>635</v>
      </c>
      <c r="C860" t="s">
        <v>636</v>
      </c>
      <c r="D860" t="s">
        <v>155</v>
      </c>
      <c r="E860" s="1"/>
      <c r="F860" s="1">
        <v>46266</v>
      </c>
      <c r="G860" s="1">
        <v>46631</v>
      </c>
      <c r="H860" s="1">
        <v>46997</v>
      </c>
      <c r="I860">
        <v>1000</v>
      </c>
      <c r="J860">
        <v>42000</v>
      </c>
      <c r="K860">
        <v>43000</v>
      </c>
      <c r="L860" t="s">
        <v>748</v>
      </c>
    </row>
    <row r="861" spans="1:12" hidden="1" x14ac:dyDescent="0.3">
      <c r="A861">
        <v>2034</v>
      </c>
      <c r="B861" t="s">
        <v>393</v>
      </c>
      <c r="C861" t="s">
        <v>394</v>
      </c>
      <c r="D861" t="s">
        <v>291</v>
      </c>
      <c r="E861" s="1"/>
      <c r="F861" s="1"/>
      <c r="G861" s="1"/>
      <c r="H861" s="1"/>
      <c r="I861">
        <v>100</v>
      </c>
      <c r="J861">
        <v>0</v>
      </c>
      <c r="K861">
        <v>100</v>
      </c>
      <c r="L861" t="s">
        <v>748</v>
      </c>
    </row>
    <row r="862" spans="1:12" hidden="1" x14ac:dyDescent="0.3">
      <c r="A862">
        <v>2034</v>
      </c>
      <c r="B862" t="s">
        <v>396</v>
      </c>
      <c r="C862" t="s">
        <v>397</v>
      </c>
      <c r="D862" t="s">
        <v>155</v>
      </c>
      <c r="E862" s="1">
        <v>46068</v>
      </c>
      <c r="F862" s="1">
        <v>46371</v>
      </c>
      <c r="G862" s="1">
        <v>46736</v>
      </c>
      <c r="H862" s="1">
        <v>47102</v>
      </c>
      <c r="I862">
        <v>0</v>
      </c>
      <c r="J862">
        <v>0</v>
      </c>
      <c r="K862">
        <v>0</v>
      </c>
      <c r="L862" t="s">
        <v>748</v>
      </c>
    </row>
    <row r="863" spans="1:12" hidden="1" x14ac:dyDescent="0.3">
      <c r="A863">
        <v>2034</v>
      </c>
      <c r="B863" t="s">
        <v>418</v>
      </c>
      <c r="C863" t="s">
        <v>530</v>
      </c>
      <c r="D863" t="s">
        <v>291</v>
      </c>
      <c r="E863" s="1"/>
      <c r="F863" s="1"/>
      <c r="G863" s="1"/>
      <c r="H863" s="1"/>
      <c r="I863">
        <v>0</v>
      </c>
      <c r="J863">
        <v>0</v>
      </c>
      <c r="K863">
        <v>0</v>
      </c>
      <c r="L863" t="s">
        <v>748</v>
      </c>
    </row>
    <row r="864" spans="1:12" hidden="1" x14ac:dyDescent="0.3">
      <c r="A864">
        <v>2034</v>
      </c>
      <c r="B864" t="s">
        <v>422</v>
      </c>
      <c r="C864" t="s">
        <v>423</v>
      </c>
      <c r="D864" t="s">
        <v>291</v>
      </c>
      <c r="E864" s="1"/>
      <c r="F864" s="1"/>
      <c r="G864" s="1"/>
      <c r="H864" s="1"/>
      <c r="I864">
        <v>0</v>
      </c>
      <c r="J864">
        <v>0</v>
      </c>
      <c r="K864">
        <v>0</v>
      </c>
      <c r="L864" t="s">
        <v>748</v>
      </c>
    </row>
    <row r="865" spans="1:12" hidden="1" x14ac:dyDescent="0.3">
      <c r="A865">
        <v>2034</v>
      </c>
      <c r="B865" t="s">
        <v>424</v>
      </c>
      <c r="C865" t="s">
        <v>425</v>
      </c>
      <c r="D865" t="s">
        <v>291</v>
      </c>
      <c r="E865" s="1"/>
      <c r="F865" s="1"/>
      <c r="G865" s="1"/>
      <c r="H865" s="1"/>
      <c r="I865">
        <v>0</v>
      </c>
      <c r="J865">
        <v>0</v>
      </c>
      <c r="K865">
        <v>0</v>
      </c>
      <c r="L865" t="s">
        <v>748</v>
      </c>
    </row>
    <row r="866" spans="1:12" hidden="1" x14ac:dyDescent="0.3">
      <c r="A866">
        <v>2034</v>
      </c>
      <c r="B866" t="s">
        <v>428</v>
      </c>
      <c r="C866" t="s">
        <v>429</v>
      </c>
      <c r="D866" t="s">
        <v>291</v>
      </c>
      <c r="E866" s="1"/>
      <c r="F866" s="1"/>
      <c r="G866" s="1"/>
      <c r="H866" s="1"/>
      <c r="I866">
        <v>0</v>
      </c>
      <c r="J866">
        <v>0</v>
      </c>
      <c r="K866">
        <v>0</v>
      </c>
      <c r="L866" t="s">
        <v>748</v>
      </c>
    </row>
    <row r="867" spans="1:12" hidden="1" x14ac:dyDescent="0.3">
      <c r="A867">
        <v>2034</v>
      </c>
      <c r="B867" t="s">
        <v>432</v>
      </c>
      <c r="C867" t="s">
        <v>433</v>
      </c>
      <c r="D867" t="s">
        <v>291</v>
      </c>
      <c r="E867" s="1"/>
      <c r="F867" s="1"/>
      <c r="G867" s="1"/>
      <c r="H867" s="1"/>
      <c r="I867">
        <v>0</v>
      </c>
      <c r="J867">
        <v>0</v>
      </c>
      <c r="K867">
        <v>0</v>
      </c>
      <c r="L867" t="s">
        <v>748</v>
      </c>
    </row>
    <row r="868" spans="1:12" hidden="1" x14ac:dyDescent="0.3">
      <c r="A868">
        <v>2034</v>
      </c>
      <c r="B868" t="s">
        <v>426</v>
      </c>
      <c r="C868" t="s">
        <v>527</v>
      </c>
      <c r="D868" t="s">
        <v>155</v>
      </c>
      <c r="E868" s="1">
        <v>45827</v>
      </c>
      <c r="F868" s="1">
        <v>46249</v>
      </c>
      <c r="G868" s="1">
        <v>46675</v>
      </c>
      <c r="H868" s="1">
        <v>47041</v>
      </c>
      <c r="I868">
        <v>0</v>
      </c>
      <c r="J868">
        <v>0</v>
      </c>
      <c r="K868">
        <v>0</v>
      </c>
      <c r="L868" t="s">
        <v>748</v>
      </c>
    </row>
    <row r="869" spans="1:12" hidden="1" x14ac:dyDescent="0.3">
      <c r="A869">
        <v>2034</v>
      </c>
      <c r="B869" t="s">
        <v>430</v>
      </c>
      <c r="C869" t="s">
        <v>639</v>
      </c>
      <c r="D869" t="s">
        <v>291</v>
      </c>
      <c r="E869" s="1"/>
      <c r="F869" s="1"/>
      <c r="G869" s="1"/>
      <c r="H869" s="1"/>
      <c r="I869">
        <v>0</v>
      </c>
      <c r="J869">
        <v>0</v>
      </c>
      <c r="K869">
        <v>0</v>
      </c>
      <c r="L869" t="s">
        <v>748</v>
      </c>
    </row>
    <row r="870" spans="1:12" hidden="1" x14ac:dyDescent="0.3">
      <c r="A870">
        <v>2034</v>
      </c>
      <c r="B870" t="s">
        <v>436</v>
      </c>
      <c r="C870" t="s">
        <v>437</v>
      </c>
      <c r="D870" t="s">
        <v>291</v>
      </c>
      <c r="E870" s="1"/>
      <c r="F870" s="1"/>
      <c r="G870" s="1"/>
      <c r="H870" s="1"/>
      <c r="I870">
        <v>0</v>
      </c>
      <c r="J870">
        <v>0</v>
      </c>
      <c r="K870">
        <v>0</v>
      </c>
      <c r="L870" t="s">
        <v>748</v>
      </c>
    </row>
    <row r="871" spans="1:12" hidden="1" x14ac:dyDescent="0.3">
      <c r="A871">
        <v>2034</v>
      </c>
      <c r="B871" t="s">
        <v>248</v>
      </c>
      <c r="C871" t="s">
        <v>722</v>
      </c>
      <c r="D871" t="s">
        <v>110</v>
      </c>
      <c r="E871" s="1"/>
      <c r="F871" s="1">
        <v>45476</v>
      </c>
      <c r="G871" s="1">
        <v>46006</v>
      </c>
      <c r="H871" s="1">
        <v>46006</v>
      </c>
      <c r="I871">
        <v>0</v>
      </c>
      <c r="J871">
        <v>0</v>
      </c>
      <c r="K871">
        <v>0</v>
      </c>
      <c r="L871" t="s">
        <v>748</v>
      </c>
    </row>
    <row r="872" spans="1:12" hidden="1" x14ac:dyDescent="0.3">
      <c r="A872">
        <v>2034</v>
      </c>
      <c r="B872" t="s">
        <v>438</v>
      </c>
      <c r="C872" t="s">
        <v>439</v>
      </c>
      <c r="D872" t="s">
        <v>291</v>
      </c>
      <c r="E872" s="1"/>
      <c r="F872" s="1"/>
      <c r="G872" s="1"/>
      <c r="H872" s="1"/>
      <c r="I872">
        <v>0</v>
      </c>
      <c r="J872">
        <v>0</v>
      </c>
      <c r="K872">
        <v>0</v>
      </c>
      <c r="L872" t="s">
        <v>748</v>
      </c>
    </row>
    <row r="873" spans="1:12" hidden="1" x14ac:dyDescent="0.3">
      <c r="A873">
        <v>2034</v>
      </c>
      <c r="B873" t="s">
        <v>157</v>
      </c>
      <c r="C873" t="s">
        <v>158</v>
      </c>
      <c r="D873" t="s">
        <v>155</v>
      </c>
      <c r="E873" s="1"/>
      <c r="F873" s="1">
        <v>45991</v>
      </c>
      <c r="G873" s="1"/>
      <c r="H873" s="1">
        <v>46249</v>
      </c>
      <c r="I873">
        <v>0</v>
      </c>
      <c r="J873">
        <v>0</v>
      </c>
      <c r="K873">
        <v>0</v>
      </c>
      <c r="L873" t="s">
        <v>748</v>
      </c>
    </row>
    <row r="874" spans="1:12" hidden="1" x14ac:dyDescent="0.3">
      <c r="A874">
        <v>2034</v>
      </c>
      <c r="B874" t="s">
        <v>440</v>
      </c>
      <c r="C874" t="s">
        <v>441</v>
      </c>
      <c r="D874" t="s">
        <v>155</v>
      </c>
      <c r="E874" s="1"/>
      <c r="F874" s="1">
        <v>45992</v>
      </c>
      <c r="G874" s="1"/>
      <c r="H874" s="1">
        <v>45992</v>
      </c>
      <c r="I874">
        <v>0</v>
      </c>
      <c r="J874">
        <v>0</v>
      </c>
      <c r="K874">
        <v>0</v>
      </c>
      <c r="L874" t="s">
        <v>748</v>
      </c>
    </row>
    <row r="875" spans="1:12" hidden="1" x14ac:dyDescent="0.3">
      <c r="A875">
        <v>2034</v>
      </c>
      <c r="B875" t="s">
        <v>442</v>
      </c>
      <c r="C875" t="s">
        <v>526</v>
      </c>
      <c r="D875" t="s">
        <v>291</v>
      </c>
      <c r="E875" s="1"/>
      <c r="F875" s="1"/>
      <c r="G875" s="1"/>
      <c r="H875" s="1"/>
      <c r="I875">
        <v>0</v>
      </c>
      <c r="J875">
        <v>0</v>
      </c>
      <c r="K875">
        <v>0</v>
      </c>
      <c r="L875" t="s">
        <v>748</v>
      </c>
    </row>
    <row r="876" spans="1:12" hidden="1" x14ac:dyDescent="0.3">
      <c r="A876">
        <v>2034</v>
      </c>
      <c r="B876" t="s">
        <v>250</v>
      </c>
      <c r="C876" t="s">
        <v>251</v>
      </c>
      <c r="D876" t="s">
        <v>110</v>
      </c>
      <c r="E876" s="1"/>
      <c r="F876" s="1">
        <v>45490</v>
      </c>
      <c r="G876" s="1"/>
      <c r="H876" s="1">
        <v>46447</v>
      </c>
      <c r="I876">
        <v>0</v>
      </c>
      <c r="J876">
        <v>0</v>
      </c>
      <c r="K876">
        <v>0</v>
      </c>
      <c r="L876" t="s">
        <v>748</v>
      </c>
    </row>
    <row r="877" spans="1:12" hidden="1" x14ac:dyDescent="0.3">
      <c r="A877">
        <v>2034</v>
      </c>
      <c r="B877" t="s">
        <v>253</v>
      </c>
      <c r="C877" t="s">
        <v>254</v>
      </c>
      <c r="D877" t="s">
        <v>291</v>
      </c>
      <c r="E877" s="1"/>
      <c r="F877" s="1"/>
      <c r="G877" s="1"/>
      <c r="H877" s="1"/>
      <c r="I877">
        <v>0</v>
      </c>
      <c r="J877">
        <v>0</v>
      </c>
      <c r="K877">
        <v>0</v>
      </c>
      <c r="L877" t="s">
        <v>748</v>
      </c>
    </row>
    <row r="878" spans="1:12" hidden="1" x14ac:dyDescent="0.3">
      <c r="A878">
        <v>2034</v>
      </c>
      <c r="B878" t="s">
        <v>444</v>
      </c>
      <c r="C878" t="s">
        <v>666</v>
      </c>
      <c r="D878" t="s">
        <v>291</v>
      </c>
      <c r="E878" s="1"/>
      <c r="F878" s="1"/>
      <c r="G878" s="1"/>
      <c r="H878" s="1"/>
      <c r="I878">
        <v>0</v>
      </c>
      <c r="J878">
        <v>0</v>
      </c>
      <c r="K878">
        <v>0</v>
      </c>
      <c r="L878" t="s">
        <v>748</v>
      </c>
    </row>
    <row r="879" spans="1:12" hidden="1" x14ac:dyDescent="0.3">
      <c r="A879">
        <v>2034</v>
      </c>
      <c r="B879" t="s">
        <v>446</v>
      </c>
      <c r="C879" t="s">
        <v>447</v>
      </c>
      <c r="D879" t="s">
        <v>291</v>
      </c>
      <c r="E879" s="1"/>
      <c r="F879" s="1"/>
      <c r="G879" s="1"/>
      <c r="H879" s="1"/>
      <c r="I879">
        <v>150</v>
      </c>
      <c r="J879">
        <v>0</v>
      </c>
      <c r="K879">
        <v>150</v>
      </c>
      <c r="L879" t="s">
        <v>748</v>
      </c>
    </row>
    <row r="880" spans="1:12" hidden="1" x14ac:dyDescent="0.3">
      <c r="A880">
        <v>2034</v>
      </c>
      <c r="B880" t="s">
        <v>448</v>
      </c>
      <c r="C880" t="s">
        <v>449</v>
      </c>
      <c r="D880" t="s">
        <v>291</v>
      </c>
      <c r="E880" s="1"/>
      <c r="F880" s="1"/>
      <c r="G880" s="1"/>
      <c r="H880" s="1"/>
      <c r="I880">
        <v>0</v>
      </c>
      <c r="J880">
        <v>0</v>
      </c>
      <c r="K880">
        <v>0</v>
      </c>
      <c r="L880" t="s">
        <v>748</v>
      </c>
    </row>
    <row r="881" spans="1:12" hidden="1" x14ac:dyDescent="0.3">
      <c r="A881">
        <v>2034</v>
      </c>
      <c r="B881" t="s">
        <v>255</v>
      </c>
      <c r="C881" t="s">
        <v>529</v>
      </c>
      <c r="D881" t="s">
        <v>291</v>
      </c>
      <c r="E881" s="1"/>
      <c r="F881" s="1"/>
      <c r="G881" s="1"/>
      <c r="H881" s="1">
        <v>46006</v>
      </c>
      <c r="I881">
        <v>0</v>
      </c>
      <c r="J881">
        <v>0</v>
      </c>
      <c r="K881">
        <v>0</v>
      </c>
      <c r="L881" t="s">
        <v>748</v>
      </c>
    </row>
    <row r="882" spans="1:12" hidden="1" x14ac:dyDescent="0.3">
      <c r="A882">
        <v>2034</v>
      </c>
      <c r="B882" t="s">
        <v>259</v>
      </c>
      <c r="C882" t="s">
        <v>260</v>
      </c>
      <c r="D882" t="s">
        <v>291</v>
      </c>
      <c r="E882" s="1"/>
      <c r="F882" s="1"/>
      <c r="G882" s="1"/>
      <c r="H882" s="1"/>
      <c r="I882">
        <v>0</v>
      </c>
      <c r="J882">
        <v>0</v>
      </c>
      <c r="K882">
        <v>0</v>
      </c>
      <c r="L882" t="s">
        <v>749</v>
      </c>
    </row>
    <row r="883" spans="1:12" hidden="1" x14ac:dyDescent="0.3">
      <c r="A883">
        <v>2034</v>
      </c>
      <c r="B883" t="s">
        <v>454</v>
      </c>
      <c r="C883" t="s">
        <v>455</v>
      </c>
      <c r="D883" t="s">
        <v>291</v>
      </c>
      <c r="E883" s="1"/>
      <c r="F883" s="1"/>
      <c r="G883" s="1"/>
      <c r="H883" s="1"/>
      <c r="I883">
        <v>0</v>
      </c>
      <c r="J883">
        <v>0</v>
      </c>
      <c r="K883">
        <v>0</v>
      </c>
      <c r="L883" t="s">
        <v>748</v>
      </c>
    </row>
    <row r="884" spans="1:12" hidden="1" x14ac:dyDescent="0.3">
      <c r="A884">
        <v>2034</v>
      </c>
      <c r="B884" t="s">
        <v>456</v>
      </c>
      <c r="C884" t="s">
        <v>457</v>
      </c>
      <c r="D884" t="s">
        <v>291</v>
      </c>
      <c r="E884" s="1"/>
      <c r="F884" s="1"/>
      <c r="G884" s="1"/>
      <c r="H884" s="1"/>
      <c r="I884">
        <v>500</v>
      </c>
      <c r="J884">
        <v>6800</v>
      </c>
      <c r="K884">
        <v>7300</v>
      </c>
      <c r="L884" t="s">
        <v>748</v>
      </c>
    </row>
    <row r="885" spans="1:12" hidden="1" x14ac:dyDescent="0.3">
      <c r="A885">
        <v>2034</v>
      </c>
      <c r="B885" t="s">
        <v>458</v>
      </c>
      <c r="C885" t="s">
        <v>459</v>
      </c>
      <c r="D885" t="s">
        <v>291</v>
      </c>
      <c r="E885" s="1"/>
      <c r="F885" s="1"/>
      <c r="G885" s="1"/>
      <c r="H885" s="1"/>
      <c r="I885">
        <v>0</v>
      </c>
      <c r="J885">
        <v>0</v>
      </c>
      <c r="K885">
        <v>0</v>
      </c>
      <c r="L885" t="s">
        <v>748</v>
      </c>
    </row>
    <row r="886" spans="1:12" hidden="1" x14ac:dyDescent="0.3">
      <c r="A886">
        <v>2034</v>
      </c>
      <c r="B886" t="s">
        <v>460</v>
      </c>
      <c r="C886" t="s">
        <v>461</v>
      </c>
      <c r="D886" t="s">
        <v>291</v>
      </c>
      <c r="E886" s="1"/>
      <c r="F886" s="1"/>
      <c r="G886" s="1"/>
      <c r="H886" s="1"/>
      <c r="I886">
        <v>500</v>
      </c>
      <c r="J886">
        <v>7400</v>
      </c>
      <c r="K886">
        <v>7900</v>
      </c>
      <c r="L886" t="s">
        <v>748</v>
      </c>
    </row>
    <row r="887" spans="1:12" hidden="1" x14ac:dyDescent="0.3">
      <c r="A887">
        <v>2034</v>
      </c>
      <c r="B887" t="s">
        <v>462</v>
      </c>
      <c r="C887" t="s">
        <v>463</v>
      </c>
      <c r="D887" t="s">
        <v>291</v>
      </c>
      <c r="E887" s="1"/>
      <c r="F887" s="1"/>
      <c r="G887" s="1"/>
      <c r="H887" s="1"/>
      <c r="I887">
        <v>0</v>
      </c>
      <c r="J887">
        <v>0</v>
      </c>
      <c r="K887">
        <v>0</v>
      </c>
      <c r="L887" t="s">
        <v>748</v>
      </c>
    </row>
    <row r="888" spans="1:12" hidden="1" x14ac:dyDescent="0.3">
      <c r="A888">
        <v>2034</v>
      </c>
      <c r="B888" t="s">
        <v>464</v>
      </c>
      <c r="C888" t="s">
        <v>465</v>
      </c>
      <c r="D888" t="s">
        <v>291</v>
      </c>
      <c r="E888" s="1"/>
      <c r="F888" s="1"/>
      <c r="G888" s="1"/>
      <c r="H888" s="1"/>
      <c r="I888">
        <v>500</v>
      </c>
      <c r="J888">
        <v>6800</v>
      </c>
      <c r="K888">
        <v>7300</v>
      </c>
      <c r="L888" t="s">
        <v>748</v>
      </c>
    </row>
    <row r="889" spans="1:12" hidden="1" x14ac:dyDescent="0.3">
      <c r="A889">
        <v>2034</v>
      </c>
      <c r="B889" t="s">
        <v>470</v>
      </c>
      <c r="C889" t="s">
        <v>471</v>
      </c>
      <c r="D889" t="s">
        <v>291</v>
      </c>
      <c r="E889" s="1"/>
      <c r="F889" s="1"/>
      <c r="G889" s="1"/>
      <c r="H889" s="1"/>
      <c r="I889">
        <v>0</v>
      </c>
      <c r="J889">
        <v>0</v>
      </c>
      <c r="K889">
        <v>0</v>
      </c>
      <c r="L889" t="s">
        <v>748</v>
      </c>
    </row>
    <row r="890" spans="1:12" hidden="1" x14ac:dyDescent="0.3">
      <c r="A890">
        <v>2034</v>
      </c>
      <c r="B890" t="s">
        <v>474</v>
      </c>
      <c r="C890" t="s">
        <v>637</v>
      </c>
      <c r="D890" t="s">
        <v>291</v>
      </c>
      <c r="E890" s="1"/>
      <c r="F890" s="1"/>
      <c r="G890" s="1"/>
      <c r="H890" s="1"/>
      <c r="I890">
        <v>875</v>
      </c>
      <c r="J890">
        <v>18236</v>
      </c>
      <c r="K890">
        <v>19111</v>
      </c>
      <c r="L890" t="s">
        <v>748</v>
      </c>
    </row>
    <row r="891" spans="1:12" hidden="1" x14ac:dyDescent="0.3">
      <c r="A891">
        <v>2034</v>
      </c>
      <c r="B891" t="s">
        <v>511</v>
      </c>
      <c r="C891" t="s">
        <v>512</v>
      </c>
      <c r="D891" t="s">
        <v>155</v>
      </c>
      <c r="E891" s="1"/>
      <c r="F891" s="1">
        <v>46006</v>
      </c>
      <c r="G891" s="1">
        <v>46341</v>
      </c>
      <c r="H891" s="1">
        <v>46706</v>
      </c>
      <c r="I891">
        <v>0</v>
      </c>
      <c r="J891">
        <v>0</v>
      </c>
      <c r="K891">
        <v>0</v>
      </c>
      <c r="L891" t="s">
        <v>748</v>
      </c>
    </row>
    <row r="892" spans="1:12" hidden="1" x14ac:dyDescent="0.3">
      <c r="A892">
        <v>2034</v>
      </c>
      <c r="B892" t="s">
        <v>516</v>
      </c>
      <c r="C892" t="s">
        <v>517</v>
      </c>
      <c r="D892" t="s">
        <v>110</v>
      </c>
      <c r="E892" s="1"/>
      <c r="F892" s="1">
        <v>45904</v>
      </c>
      <c r="G892" s="1"/>
      <c r="H892" s="1">
        <v>46096</v>
      </c>
      <c r="I892">
        <v>0</v>
      </c>
      <c r="J892">
        <v>0</v>
      </c>
      <c r="K892">
        <v>0</v>
      </c>
      <c r="L892" t="s">
        <v>748</v>
      </c>
    </row>
    <row r="893" spans="1:12" hidden="1" x14ac:dyDescent="0.3">
      <c r="A893">
        <v>2034</v>
      </c>
      <c r="B893" t="s">
        <v>518</v>
      </c>
      <c r="C893" t="s">
        <v>519</v>
      </c>
      <c r="D893" t="s">
        <v>155</v>
      </c>
      <c r="E893" s="1"/>
      <c r="F893" s="1">
        <v>46127</v>
      </c>
      <c r="G893" s="1"/>
      <c r="H893" s="1"/>
      <c r="I893">
        <v>0</v>
      </c>
      <c r="J893">
        <v>0</v>
      </c>
      <c r="K893">
        <v>0</v>
      </c>
      <c r="L893" t="s">
        <v>748</v>
      </c>
    </row>
    <row r="894" spans="1:12" hidden="1" x14ac:dyDescent="0.3">
      <c r="A894">
        <v>2034</v>
      </c>
      <c r="B894" t="s">
        <v>522</v>
      </c>
      <c r="C894" t="s">
        <v>523</v>
      </c>
      <c r="D894" t="s">
        <v>291</v>
      </c>
      <c r="E894" s="1"/>
      <c r="F894" s="1"/>
      <c r="G894" s="1"/>
      <c r="H894" s="1"/>
      <c r="I894">
        <v>0</v>
      </c>
      <c r="J894">
        <v>0</v>
      </c>
      <c r="K894">
        <v>0</v>
      </c>
      <c r="L894" t="s">
        <v>748</v>
      </c>
    </row>
    <row r="895" spans="1:12" hidden="1" x14ac:dyDescent="0.3">
      <c r="A895">
        <v>2034</v>
      </c>
      <c r="B895" t="s">
        <v>531</v>
      </c>
      <c r="C895" t="s">
        <v>532</v>
      </c>
      <c r="D895" t="s">
        <v>291</v>
      </c>
      <c r="E895" s="1"/>
      <c r="F895" s="1"/>
      <c r="G895" s="1"/>
      <c r="H895" s="1"/>
      <c r="I895">
        <v>500</v>
      </c>
      <c r="J895">
        <v>8000</v>
      </c>
      <c r="K895">
        <v>8500</v>
      </c>
      <c r="L895" t="s">
        <v>748</v>
      </c>
    </row>
    <row r="896" spans="1:12" hidden="1" x14ac:dyDescent="0.3">
      <c r="A896">
        <v>2034</v>
      </c>
      <c r="B896" t="s">
        <v>543</v>
      </c>
      <c r="C896" t="s">
        <v>544</v>
      </c>
      <c r="D896" t="s">
        <v>123</v>
      </c>
      <c r="E896" s="1"/>
      <c r="F896" s="1">
        <v>45762</v>
      </c>
      <c r="G896" s="1">
        <v>46096</v>
      </c>
      <c r="H896" s="1">
        <v>46096</v>
      </c>
      <c r="I896">
        <v>0</v>
      </c>
      <c r="J896">
        <v>0</v>
      </c>
      <c r="K896">
        <v>0</v>
      </c>
      <c r="L896" t="s">
        <v>748</v>
      </c>
    </row>
    <row r="897" spans="1:12" hidden="1" x14ac:dyDescent="0.3">
      <c r="A897">
        <v>2034</v>
      </c>
      <c r="B897" t="s">
        <v>597</v>
      </c>
      <c r="C897" t="s">
        <v>598</v>
      </c>
      <c r="D897" t="s">
        <v>291</v>
      </c>
      <c r="E897" s="1"/>
      <c r="F897" s="1"/>
      <c r="G897" s="1"/>
      <c r="H897" s="1"/>
      <c r="I897">
        <v>0</v>
      </c>
      <c r="J897">
        <v>0</v>
      </c>
      <c r="K897">
        <v>0</v>
      </c>
      <c r="L897" t="s">
        <v>748</v>
      </c>
    </row>
    <row r="898" spans="1:12" hidden="1" x14ac:dyDescent="0.3">
      <c r="A898">
        <v>2034</v>
      </c>
      <c r="B898" t="s">
        <v>601</v>
      </c>
      <c r="C898" t="s">
        <v>602</v>
      </c>
      <c r="D898" t="s">
        <v>291</v>
      </c>
      <c r="E898" s="1"/>
      <c r="F898" s="1"/>
      <c r="G898" s="1"/>
      <c r="H898" s="1"/>
      <c r="I898">
        <v>100</v>
      </c>
      <c r="J898">
        <v>0</v>
      </c>
      <c r="K898">
        <v>100</v>
      </c>
      <c r="L898" t="s">
        <v>748</v>
      </c>
    </row>
    <row r="899" spans="1:12" hidden="1" x14ac:dyDescent="0.3">
      <c r="A899">
        <v>2034</v>
      </c>
      <c r="B899" t="s">
        <v>606</v>
      </c>
      <c r="C899" t="s">
        <v>607</v>
      </c>
      <c r="D899" t="s">
        <v>291</v>
      </c>
      <c r="E899" s="1"/>
      <c r="F899" s="1"/>
      <c r="G899" s="1"/>
      <c r="H899" s="1"/>
      <c r="I899">
        <v>0</v>
      </c>
      <c r="J899">
        <v>0</v>
      </c>
      <c r="K899">
        <v>0</v>
      </c>
      <c r="L899" t="s">
        <v>748</v>
      </c>
    </row>
    <row r="900" spans="1:12" hidden="1" x14ac:dyDescent="0.3">
      <c r="A900">
        <v>2034</v>
      </c>
      <c r="B900" t="s">
        <v>647</v>
      </c>
      <c r="C900" t="s">
        <v>648</v>
      </c>
      <c r="D900" t="s">
        <v>291</v>
      </c>
      <c r="E900" s="1"/>
      <c r="F900" s="1"/>
      <c r="G900" s="1"/>
      <c r="H900" s="1"/>
      <c r="I900">
        <v>0</v>
      </c>
      <c r="J900">
        <v>0</v>
      </c>
      <c r="K900">
        <v>0</v>
      </c>
      <c r="L900" t="s">
        <v>748</v>
      </c>
    </row>
    <row r="901" spans="1:12" hidden="1" x14ac:dyDescent="0.3">
      <c r="A901">
        <v>2034</v>
      </c>
      <c r="B901" t="s">
        <v>649</v>
      </c>
      <c r="C901" t="s">
        <v>650</v>
      </c>
      <c r="D901" t="s">
        <v>291</v>
      </c>
      <c r="E901" s="1"/>
      <c r="F901" s="1"/>
      <c r="G901" s="1"/>
      <c r="H901" s="1"/>
      <c r="I901">
        <v>0</v>
      </c>
      <c r="J901">
        <v>0</v>
      </c>
      <c r="K901">
        <v>0</v>
      </c>
      <c r="L901" t="s">
        <v>748</v>
      </c>
    </row>
    <row r="902" spans="1:12" hidden="1" x14ac:dyDescent="0.3">
      <c r="A902">
        <v>2034</v>
      </c>
      <c r="B902" t="s">
        <v>651</v>
      </c>
      <c r="C902" t="s">
        <v>652</v>
      </c>
      <c r="D902" t="s">
        <v>291</v>
      </c>
      <c r="E902" s="1"/>
      <c r="F902" s="1"/>
      <c r="G902" s="1"/>
      <c r="H902" s="1"/>
      <c r="I902">
        <v>0</v>
      </c>
      <c r="J902">
        <v>0</v>
      </c>
      <c r="K902">
        <v>0</v>
      </c>
      <c r="L902" t="s">
        <v>748</v>
      </c>
    </row>
    <row r="903" spans="1:12" hidden="1" x14ac:dyDescent="0.3">
      <c r="A903">
        <v>2034</v>
      </c>
      <c r="B903" t="s">
        <v>653</v>
      </c>
      <c r="C903" t="s">
        <v>654</v>
      </c>
      <c r="D903" t="s">
        <v>291</v>
      </c>
      <c r="E903" s="1"/>
      <c r="F903" s="1"/>
      <c r="G903" s="1"/>
      <c r="H903" s="1"/>
      <c r="I903">
        <v>0</v>
      </c>
      <c r="J903">
        <v>0</v>
      </c>
      <c r="K903">
        <v>0</v>
      </c>
      <c r="L903" t="s">
        <v>748</v>
      </c>
    </row>
    <row r="904" spans="1:12" hidden="1" x14ac:dyDescent="0.3">
      <c r="A904">
        <v>2034</v>
      </c>
      <c r="B904" t="s">
        <v>712</v>
      </c>
      <c r="C904" t="s">
        <v>686</v>
      </c>
      <c r="E904" s="1"/>
      <c r="F904" s="1"/>
      <c r="G904" s="1"/>
      <c r="H904" s="1"/>
      <c r="I904">
        <v>0</v>
      </c>
      <c r="J904">
        <v>0</v>
      </c>
      <c r="K904">
        <v>0</v>
      </c>
      <c r="L904" t="s">
        <v>748</v>
      </c>
    </row>
    <row r="905" spans="1:12" hidden="1" x14ac:dyDescent="0.3">
      <c r="A905">
        <v>2034</v>
      </c>
      <c r="B905" t="s">
        <v>713</v>
      </c>
      <c r="C905" t="s">
        <v>693</v>
      </c>
      <c r="E905" s="1"/>
      <c r="F905" s="1"/>
      <c r="G905" s="1"/>
      <c r="H905" s="1"/>
      <c r="I905">
        <v>0</v>
      </c>
      <c r="J905">
        <v>0</v>
      </c>
      <c r="K905">
        <v>0</v>
      </c>
      <c r="L905" t="s">
        <v>748</v>
      </c>
    </row>
    <row r="906" spans="1:12" hidden="1" x14ac:dyDescent="0.3">
      <c r="A906">
        <v>2034</v>
      </c>
      <c r="B906" t="s">
        <v>714</v>
      </c>
      <c r="C906" t="s">
        <v>697</v>
      </c>
      <c r="E906" s="1"/>
      <c r="F906" s="1"/>
      <c r="G906" s="1"/>
      <c r="H906" s="1"/>
      <c r="I906">
        <v>0</v>
      </c>
      <c r="J906">
        <v>0</v>
      </c>
      <c r="K906">
        <v>0</v>
      </c>
      <c r="L906" t="s">
        <v>748</v>
      </c>
    </row>
    <row r="907" spans="1:12" hidden="1" x14ac:dyDescent="0.3">
      <c r="A907">
        <v>2034</v>
      </c>
      <c r="B907" t="s">
        <v>715</v>
      </c>
      <c r="C907" t="s">
        <v>694</v>
      </c>
      <c r="E907" s="1"/>
      <c r="F907" s="1"/>
      <c r="G907" s="1"/>
      <c r="H907" s="1"/>
      <c r="I907">
        <v>0</v>
      </c>
      <c r="J907">
        <v>0</v>
      </c>
      <c r="K907">
        <v>0</v>
      </c>
      <c r="L907" t="s">
        <v>748</v>
      </c>
    </row>
    <row r="908" spans="1:12" hidden="1" x14ac:dyDescent="0.3">
      <c r="A908">
        <v>2034</v>
      </c>
      <c r="B908" t="s">
        <v>716</v>
      </c>
      <c r="C908" t="s">
        <v>702</v>
      </c>
      <c r="E908" s="1"/>
      <c r="F908" s="1"/>
      <c r="G908" s="1"/>
      <c r="H908" s="1"/>
      <c r="I908">
        <v>0</v>
      </c>
      <c r="J908">
        <v>0</v>
      </c>
      <c r="K908">
        <v>0</v>
      </c>
      <c r="L908" t="s">
        <v>748</v>
      </c>
    </row>
    <row r="909" spans="1:12" hidden="1" x14ac:dyDescent="0.3">
      <c r="A909">
        <v>2034</v>
      </c>
      <c r="B909" t="s">
        <v>717</v>
      </c>
      <c r="C909" t="s">
        <v>695</v>
      </c>
      <c r="E909" s="1"/>
      <c r="F909" s="1"/>
      <c r="G909" s="1"/>
      <c r="H909" s="1"/>
      <c r="I909">
        <v>0</v>
      </c>
      <c r="J909">
        <v>0</v>
      </c>
      <c r="K909">
        <v>0</v>
      </c>
      <c r="L909" t="s">
        <v>748</v>
      </c>
    </row>
    <row r="910" spans="1:12" hidden="1" x14ac:dyDescent="0.3">
      <c r="A910">
        <v>2034</v>
      </c>
      <c r="B910" t="s">
        <v>718</v>
      </c>
      <c r="C910" t="s">
        <v>696</v>
      </c>
      <c r="E910" s="1"/>
      <c r="F910" s="1"/>
      <c r="G910" s="1"/>
      <c r="H910" s="1"/>
      <c r="I910">
        <v>0</v>
      </c>
      <c r="J910">
        <v>0</v>
      </c>
      <c r="K910">
        <v>0</v>
      </c>
      <c r="L910" t="s">
        <v>748</v>
      </c>
    </row>
    <row r="911" spans="1:12" hidden="1" x14ac:dyDescent="0.3">
      <c r="A911">
        <v>2035</v>
      </c>
      <c r="B911" t="s">
        <v>364</v>
      </c>
      <c r="C911" t="s">
        <v>365</v>
      </c>
      <c r="D911" t="s">
        <v>291</v>
      </c>
      <c r="E911" s="1"/>
      <c r="F911" s="1"/>
      <c r="G911" s="1"/>
      <c r="H911" s="1"/>
      <c r="I911">
        <v>0</v>
      </c>
      <c r="J911">
        <v>0</v>
      </c>
      <c r="K911">
        <v>0</v>
      </c>
      <c r="L911" t="s">
        <v>748</v>
      </c>
    </row>
    <row r="912" spans="1:12" hidden="1" x14ac:dyDescent="0.3">
      <c r="A912">
        <v>2035</v>
      </c>
      <c r="B912" t="s">
        <v>366</v>
      </c>
      <c r="C912" t="s">
        <v>367</v>
      </c>
      <c r="D912" t="s">
        <v>155</v>
      </c>
      <c r="E912" s="1">
        <v>46006</v>
      </c>
      <c r="F912" s="1">
        <v>46157</v>
      </c>
      <c r="G912" s="1">
        <v>46645</v>
      </c>
      <c r="H912" s="1">
        <v>47011</v>
      </c>
      <c r="I912">
        <v>0</v>
      </c>
      <c r="J912">
        <v>0</v>
      </c>
      <c r="K912">
        <v>0</v>
      </c>
      <c r="L912" t="s">
        <v>748</v>
      </c>
    </row>
    <row r="913" spans="1:12" hidden="1" x14ac:dyDescent="0.3">
      <c r="A913">
        <v>2035</v>
      </c>
      <c r="B913" t="s">
        <v>162</v>
      </c>
      <c r="C913" t="s">
        <v>163</v>
      </c>
      <c r="D913" t="s">
        <v>164</v>
      </c>
      <c r="E913" s="1"/>
      <c r="F913" s="1"/>
      <c r="G913" s="1"/>
      <c r="H913" s="1"/>
      <c r="I913">
        <v>0</v>
      </c>
      <c r="J913">
        <v>0</v>
      </c>
      <c r="K913">
        <v>0</v>
      </c>
      <c r="L913" t="s">
        <v>748</v>
      </c>
    </row>
    <row r="914" spans="1:12" hidden="1" x14ac:dyDescent="0.3">
      <c r="A914">
        <v>2035</v>
      </c>
      <c r="B914" t="s">
        <v>166</v>
      </c>
      <c r="C914" t="s">
        <v>167</v>
      </c>
      <c r="D914" t="s">
        <v>155</v>
      </c>
      <c r="E914" s="1">
        <v>42499</v>
      </c>
      <c r="F914" s="1">
        <v>45976</v>
      </c>
      <c r="G914" s="1">
        <v>46402</v>
      </c>
      <c r="H914" s="1">
        <v>46980</v>
      </c>
      <c r="I914">
        <v>0</v>
      </c>
      <c r="J914">
        <v>0</v>
      </c>
      <c r="K914">
        <v>0</v>
      </c>
      <c r="L914" t="s">
        <v>748</v>
      </c>
    </row>
    <row r="915" spans="1:12" hidden="1" x14ac:dyDescent="0.3">
      <c r="A915">
        <v>2035</v>
      </c>
      <c r="B915" t="s">
        <v>170</v>
      </c>
      <c r="C915" t="s">
        <v>171</v>
      </c>
      <c r="D915" t="s">
        <v>110</v>
      </c>
      <c r="E915" s="1"/>
      <c r="F915" s="1">
        <v>44833</v>
      </c>
      <c r="G915" s="1">
        <v>45976</v>
      </c>
      <c r="H915" s="1">
        <v>46310</v>
      </c>
      <c r="I915">
        <v>0</v>
      </c>
      <c r="J915">
        <v>0</v>
      </c>
      <c r="K915">
        <v>0</v>
      </c>
      <c r="L915" t="s">
        <v>748</v>
      </c>
    </row>
    <row r="916" spans="1:12" hidden="1" x14ac:dyDescent="0.3">
      <c r="A916">
        <v>2035</v>
      </c>
      <c r="B916" t="s">
        <v>137</v>
      </c>
      <c r="C916" t="s">
        <v>138</v>
      </c>
      <c r="D916" t="s">
        <v>123</v>
      </c>
      <c r="E916" s="1"/>
      <c r="F916" s="1">
        <v>45062</v>
      </c>
      <c r="G916" s="1">
        <v>45754</v>
      </c>
      <c r="H916" s="1">
        <v>45945</v>
      </c>
      <c r="I916">
        <v>0</v>
      </c>
      <c r="J916">
        <v>0</v>
      </c>
      <c r="K916">
        <v>0</v>
      </c>
      <c r="L916" t="s">
        <v>748</v>
      </c>
    </row>
    <row r="917" spans="1:12" hidden="1" x14ac:dyDescent="0.3">
      <c r="A917">
        <v>2035</v>
      </c>
      <c r="B917" t="s">
        <v>181</v>
      </c>
      <c r="C917" t="s">
        <v>296</v>
      </c>
      <c r="D917" t="s">
        <v>110</v>
      </c>
      <c r="E917" s="1"/>
      <c r="F917" s="1">
        <v>45590</v>
      </c>
      <c r="G917" s="1">
        <v>46157</v>
      </c>
      <c r="H917" s="1">
        <v>46157</v>
      </c>
      <c r="I917">
        <v>0</v>
      </c>
      <c r="J917">
        <v>0</v>
      </c>
      <c r="K917">
        <v>0</v>
      </c>
      <c r="L917" t="s">
        <v>748</v>
      </c>
    </row>
    <row r="918" spans="1:12" hidden="1" x14ac:dyDescent="0.3">
      <c r="A918">
        <v>2035</v>
      </c>
      <c r="B918" t="s">
        <v>185</v>
      </c>
      <c r="C918" t="s">
        <v>186</v>
      </c>
      <c r="D918" t="s">
        <v>110</v>
      </c>
      <c r="E918" s="1"/>
      <c r="F918" s="1">
        <v>44823</v>
      </c>
      <c r="G918" s="1">
        <v>46310</v>
      </c>
      <c r="H918" s="1">
        <v>46521</v>
      </c>
      <c r="I918">
        <v>0</v>
      </c>
      <c r="J918">
        <v>0</v>
      </c>
      <c r="K918">
        <v>0</v>
      </c>
      <c r="L918" t="s">
        <v>748</v>
      </c>
    </row>
    <row r="919" spans="1:12" hidden="1" x14ac:dyDescent="0.3">
      <c r="A919">
        <v>2035</v>
      </c>
      <c r="B919" t="s">
        <v>189</v>
      </c>
      <c r="C919" t="s">
        <v>190</v>
      </c>
      <c r="D919" t="s">
        <v>123</v>
      </c>
      <c r="E919" s="1"/>
      <c r="F919" s="1">
        <v>45684</v>
      </c>
      <c r="G919" s="1"/>
      <c r="H919" s="1">
        <v>46006</v>
      </c>
      <c r="I919">
        <v>0</v>
      </c>
      <c r="J919">
        <v>0</v>
      </c>
      <c r="K919">
        <v>0</v>
      </c>
      <c r="L919" t="s">
        <v>749</v>
      </c>
    </row>
    <row r="920" spans="1:12" hidden="1" x14ac:dyDescent="0.3">
      <c r="A920">
        <v>2035</v>
      </c>
      <c r="B920" t="s">
        <v>132</v>
      </c>
      <c r="C920" t="s">
        <v>288</v>
      </c>
      <c r="D920" t="s">
        <v>123</v>
      </c>
      <c r="E920" s="1"/>
      <c r="F920" s="1">
        <v>45218</v>
      </c>
      <c r="G920" s="1">
        <v>45722</v>
      </c>
      <c r="H920" s="1">
        <v>45976</v>
      </c>
      <c r="I920">
        <v>0</v>
      </c>
      <c r="J920">
        <v>0</v>
      </c>
      <c r="K920">
        <v>0</v>
      </c>
      <c r="L920" t="s">
        <v>749</v>
      </c>
    </row>
    <row r="921" spans="1:12" hidden="1" x14ac:dyDescent="0.3">
      <c r="A921">
        <v>2035</v>
      </c>
      <c r="B921" t="s">
        <v>141</v>
      </c>
      <c r="C921" t="s">
        <v>142</v>
      </c>
      <c r="D921" t="s">
        <v>123</v>
      </c>
      <c r="E921" s="1">
        <v>42499</v>
      </c>
      <c r="F921" s="1">
        <v>42900</v>
      </c>
      <c r="G921" s="1">
        <v>45323</v>
      </c>
      <c r="H921" s="1">
        <v>45889</v>
      </c>
      <c r="I921">
        <v>0</v>
      </c>
      <c r="J921">
        <v>0</v>
      </c>
      <c r="K921">
        <v>0</v>
      </c>
      <c r="L921" t="s">
        <v>748</v>
      </c>
    </row>
    <row r="922" spans="1:12" hidden="1" x14ac:dyDescent="0.3">
      <c r="A922">
        <v>2035</v>
      </c>
      <c r="B922" t="s">
        <v>368</v>
      </c>
      <c r="C922" t="s">
        <v>369</v>
      </c>
      <c r="D922" t="s">
        <v>291</v>
      </c>
      <c r="E922" s="1"/>
      <c r="F922" s="1"/>
      <c r="G922" s="1"/>
      <c r="H922" s="1"/>
      <c r="I922">
        <v>0</v>
      </c>
      <c r="J922">
        <v>0</v>
      </c>
      <c r="K922">
        <v>0</v>
      </c>
      <c r="L922" t="s">
        <v>748</v>
      </c>
    </row>
    <row r="923" spans="1:12" hidden="1" x14ac:dyDescent="0.3">
      <c r="A923">
        <v>2035</v>
      </c>
      <c r="B923" t="s">
        <v>160</v>
      </c>
      <c r="C923" t="s">
        <v>161</v>
      </c>
      <c r="D923" t="s">
        <v>164</v>
      </c>
      <c r="E923" s="1">
        <v>43013</v>
      </c>
      <c r="F923" s="1">
        <v>44956</v>
      </c>
      <c r="G923" s="1">
        <v>45321</v>
      </c>
      <c r="H923" s="1">
        <v>45687</v>
      </c>
      <c r="I923">
        <v>0</v>
      </c>
      <c r="J923">
        <v>0</v>
      </c>
      <c r="K923">
        <v>0</v>
      </c>
      <c r="L923" t="s">
        <v>748</v>
      </c>
    </row>
    <row r="924" spans="1:12" hidden="1" x14ac:dyDescent="0.3">
      <c r="A924">
        <v>2035</v>
      </c>
      <c r="B924" t="s">
        <v>371</v>
      </c>
      <c r="C924" t="s">
        <v>372</v>
      </c>
      <c r="D924" t="s">
        <v>291</v>
      </c>
      <c r="E924" s="1"/>
      <c r="F924" s="1"/>
      <c r="G924" s="1"/>
      <c r="H924" s="1"/>
      <c r="I924">
        <v>0</v>
      </c>
      <c r="J924">
        <v>0</v>
      </c>
      <c r="K924">
        <v>0</v>
      </c>
      <c r="L924" t="s">
        <v>748</v>
      </c>
    </row>
    <row r="925" spans="1:12" hidden="1" x14ac:dyDescent="0.3">
      <c r="A925">
        <v>2035</v>
      </c>
      <c r="B925" t="s">
        <v>195</v>
      </c>
      <c r="C925" t="s">
        <v>196</v>
      </c>
      <c r="D925" t="s">
        <v>110</v>
      </c>
      <c r="E925" s="1"/>
      <c r="F925" s="1">
        <v>44889</v>
      </c>
      <c r="G925" s="1">
        <v>46068</v>
      </c>
      <c r="H925" s="1">
        <v>46583</v>
      </c>
      <c r="I925">
        <v>0</v>
      </c>
      <c r="J925">
        <v>0</v>
      </c>
      <c r="K925">
        <v>0</v>
      </c>
      <c r="L925" t="s">
        <v>748</v>
      </c>
    </row>
    <row r="926" spans="1:12" hidden="1" x14ac:dyDescent="0.3">
      <c r="A926">
        <v>2035</v>
      </c>
      <c r="B926" t="s">
        <v>375</v>
      </c>
      <c r="C926" t="s">
        <v>376</v>
      </c>
      <c r="D926" t="s">
        <v>155</v>
      </c>
      <c r="E926" s="1">
        <v>46006</v>
      </c>
      <c r="F926" s="1">
        <v>46280</v>
      </c>
      <c r="G926" s="1">
        <v>46645</v>
      </c>
      <c r="H926" s="1">
        <v>47011</v>
      </c>
      <c r="I926">
        <v>0</v>
      </c>
      <c r="J926">
        <v>0</v>
      </c>
      <c r="K926">
        <v>0</v>
      </c>
      <c r="L926" t="s">
        <v>748</v>
      </c>
    </row>
    <row r="927" spans="1:12" hidden="1" x14ac:dyDescent="0.3">
      <c r="A927">
        <v>2035</v>
      </c>
      <c r="B927" t="s">
        <v>174</v>
      </c>
      <c r="C927" t="s">
        <v>175</v>
      </c>
      <c r="D927" t="s">
        <v>164</v>
      </c>
      <c r="E927" s="1">
        <v>44014</v>
      </c>
      <c r="F927" s="1">
        <v>44014</v>
      </c>
      <c r="G927" s="1">
        <v>44294</v>
      </c>
      <c r="H927" s="1">
        <v>45239</v>
      </c>
      <c r="I927">
        <v>0</v>
      </c>
      <c r="J927">
        <v>0</v>
      </c>
      <c r="K927">
        <v>0</v>
      </c>
      <c r="L927" t="s">
        <v>748</v>
      </c>
    </row>
    <row r="928" spans="1:12" hidden="1" x14ac:dyDescent="0.3">
      <c r="A928">
        <v>2035</v>
      </c>
      <c r="B928" t="s">
        <v>203</v>
      </c>
      <c r="C928" t="s">
        <v>204</v>
      </c>
      <c r="D928" t="s">
        <v>155</v>
      </c>
      <c r="E928" s="1">
        <v>45730</v>
      </c>
      <c r="F928" s="1">
        <v>45960</v>
      </c>
      <c r="G928" s="1">
        <v>46264</v>
      </c>
      <c r="H928" s="1">
        <v>46629</v>
      </c>
      <c r="I928">
        <v>0</v>
      </c>
      <c r="J928">
        <v>0</v>
      </c>
      <c r="K928">
        <v>0</v>
      </c>
      <c r="L928" t="s">
        <v>748</v>
      </c>
    </row>
    <row r="929" spans="1:12" hidden="1" x14ac:dyDescent="0.3">
      <c r="A929">
        <v>2035</v>
      </c>
      <c r="B929" t="s">
        <v>114</v>
      </c>
      <c r="C929" t="s">
        <v>719</v>
      </c>
      <c r="D929" t="s">
        <v>123</v>
      </c>
      <c r="E929" s="1"/>
      <c r="F929" s="1">
        <v>45105</v>
      </c>
      <c r="G929" s="1">
        <v>45789</v>
      </c>
      <c r="H929" s="1">
        <v>45932</v>
      </c>
      <c r="I929">
        <v>0</v>
      </c>
      <c r="J929">
        <v>0</v>
      </c>
      <c r="K929">
        <v>0</v>
      </c>
      <c r="L929" t="s">
        <v>749</v>
      </c>
    </row>
    <row r="930" spans="1:12" hidden="1" x14ac:dyDescent="0.3">
      <c r="A930">
        <v>2035</v>
      </c>
      <c r="B930" t="s">
        <v>207</v>
      </c>
      <c r="C930" t="s">
        <v>208</v>
      </c>
      <c r="D930" t="s">
        <v>155</v>
      </c>
      <c r="E930" s="1">
        <v>44476</v>
      </c>
      <c r="F930" s="1">
        <v>45976</v>
      </c>
      <c r="G930" s="1">
        <v>46096</v>
      </c>
      <c r="H930" s="1">
        <v>46280</v>
      </c>
      <c r="I930">
        <v>0</v>
      </c>
      <c r="J930">
        <v>0</v>
      </c>
      <c r="K930">
        <v>0</v>
      </c>
      <c r="L930" t="s">
        <v>749</v>
      </c>
    </row>
    <row r="931" spans="1:12" hidden="1" x14ac:dyDescent="0.3">
      <c r="A931">
        <v>2035</v>
      </c>
      <c r="B931" t="s">
        <v>377</v>
      </c>
      <c r="C931" t="s">
        <v>378</v>
      </c>
      <c r="D931" t="s">
        <v>155</v>
      </c>
      <c r="E931" s="1"/>
      <c r="F931" s="1">
        <v>46068</v>
      </c>
      <c r="G931" s="1">
        <v>46461</v>
      </c>
      <c r="H931" s="1">
        <v>46888</v>
      </c>
      <c r="I931">
        <v>0</v>
      </c>
      <c r="J931">
        <v>0</v>
      </c>
      <c r="K931">
        <v>0</v>
      </c>
      <c r="L931" t="s">
        <v>748</v>
      </c>
    </row>
    <row r="932" spans="1:12" hidden="1" x14ac:dyDescent="0.3">
      <c r="A932">
        <v>2035</v>
      </c>
      <c r="B932" t="s">
        <v>210</v>
      </c>
      <c r="C932" t="s">
        <v>211</v>
      </c>
      <c r="D932" t="s">
        <v>155</v>
      </c>
      <c r="E932" s="1"/>
      <c r="F932" s="1">
        <v>45976</v>
      </c>
      <c r="G932" s="1">
        <v>46341</v>
      </c>
      <c r="H932" s="1">
        <v>46706</v>
      </c>
      <c r="I932">
        <v>0</v>
      </c>
      <c r="J932">
        <v>0</v>
      </c>
      <c r="K932">
        <v>0</v>
      </c>
      <c r="L932" t="s">
        <v>748</v>
      </c>
    </row>
    <row r="933" spans="1:12" hidden="1" x14ac:dyDescent="0.3">
      <c r="A933">
        <v>2035</v>
      </c>
      <c r="B933" t="s">
        <v>379</v>
      </c>
      <c r="C933" t="s">
        <v>380</v>
      </c>
      <c r="D933" t="s">
        <v>291</v>
      </c>
      <c r="E933" s="1"/>
      <c r="F933" s="1"/>
      <c r="G933" s="1"/>
      <c r="H933" s="1"/>
      <c r="I933">
        <v>250</v>
      </c>
      <c r="J933">
        <v>5000</v>
      </c>
      <c r="K933">
        <v>5250</v>
      </c>
      <c r="L933" t="s">
        <v>748</v>
      </c>
    </row>
    <row r="934" spans="1:12" hidden="1" x14ac:dyDescent="0.3">
      <c r="A934">
        <v>2035</v>
      </c>
      <c r="B934" t="s">
        <v>383</v>
      </c>
      <c r="C934" t="s">
        <v>384</v>
      </c>
      <c r="D934" t="s">
        <v>291</v>
      </c>
      <c r="E934" s="1"/>
      <c r="F934" s="1"/>
      <c r="G934" s="1"/>
      <c r="H934" s="1"/>
      <c r="I934">
        <v>250</v>
      </c>
      <c r="J934">
        <v>5000</v>
      </c>
      <c r="K934">
        <v>5250</v>
      </c>
      <c r="L934" t="s">
        <v>748</v>
      </c>
    </row>
    <row r="935" spans="1:12" hidden="1" x14ac:dyDescent="0.3">
      <c r="A935">
        <v>2035</v>
      </c>
      <c r="B935" t="s">
        <v>212</v>
      </c>
      <c r="C935" t="s">
        <v>213</v>
      </c>
      <c r="D935" t="s">
        <v>155</v>
      </c>
      <c r="E935" s="1">
        <v>45337</v>
      </c>
      <c r="F935" s="1">
        <v>46127</v>
      </c>
      <c r="G935" s="1">
        <v>46798</v>
      </c>
      <c r="H935" s="1">
        <v>47192</v>
      </c>
      <c r="I935">
        <v>0</v>
      </c>
      <c r="J935">
        <v>0</v>
      </c>
      <c r="K935">
        <v>0</v>
      </c>
      <c r="L935" t="s">
        <v>748</v>
      </c>
    </row>
    <row r="936" spans="1:12" hidden="1" x14ac:dyDescent="0.3">
      <c r="A936">
        <v>2035</v>
      </c>
      <c r="B936" t="s">
        <v>385</v>
      </c>
      <c r="C936" t="s">
        <v>740</v>
      </c>
      <c r="D936" t="s">
        <v>155</v>
      </c>
      <c r="E936" s="1">
        <v>45672</v>
      </c>
      <c r="F936" s="1">
        <v>45960</v>
      </c>
      <c r="G936" s="1">
        <v>46266</v>
      </c>
      <c r="H936" s="1">
        <v>46631</v>
      </c>
      <c r="I936">
        <v>0</v>
      </c>
      <c r="J936">
        <v>0</v>
      </c>
      <c r="K936">
        <v>0</v>
      </c>
      <c r="L936" t="s">
        <v>748</v>
      </c>
    </row>
    <row r="937" spans="1:12" hidden="1" x14ac:dyDescent="0.3">
      <c r="A937">
        <v>2035</v>
      </c>
      <c r="B937" t="s">
        <v>220</v>
      </c>
      <c r="C937" t="s">
        <v>221</v>
      </c>
      <c r="D937" t="s">
        <v>155</v>
      </c>
      <c r="E937" s="1"/>
      <c r="F937" s="1">
        <v>45976</v>
      </c>
      <c r="G937" s="1">
        <v>46264</v>
      </c>
      <c r="H937" s="1">
        <v>46553</v>
      </c>
      <c r="I937">
        <v>0</v>
      </c>
      <c r="J937">
        <v>0</v>
      </c>
      <c r="K937">
        <v>0</v>
      </c>
      <c r="L937" t="s">
        <v>748</v>
      </c>
    </row>
    <row r="938" spans="1:12" hidden="1" x14ac:dyDescent="0.3">
      <c r="A938">
        <v>2035</v>
      </c>
      <c r="B938" t="s">
        <v>224</v>
      </c>
      <c r="C938" t="s">
        <v>520</v>
      </c>
      <c r="D938" t="s">
        <v>123</v>
      </c>
      <c r="E938" s="1">
        <v>44365</v>
      </c>
      <c r="F938" s="1">
        <v>44623</v>
      </c>
      <c r="G938" s="1">
        <v>45698</v>
      </c>
      <c r="H938" s="1">
        <v>46341</v>
      </c>
      <c r="I938">
        <v>0</v>
      </c>
      <c r="J938">
        <v>0</v>
      </c>
      <c r="K938">
        <v>0</v>
      </c>
      <c r="L938" t="s">
        <v>748</v>
      </c>
    </row>
    <row r="939" spans="1:12" hidden="1" x14ac:dyDescent="0.3">
      <c r="A939">
        <v>2035</v>
      </c>
      <c r="B939" t="s">
        <v>373</v>
      </c>
      <c r="C939" t="s">
        <v>374</v>
      </c>
      <c r="D939" t="s">
        <v>155</v>
      </c>
      <c r="E939" s="1">
        <v>45833</v>
      </c>
      <c r="F939" s="1">
        <v>45960</v>
      </c>
      <c r="G939" s="1">
        <v>46280</v>
      </c>
      <c r="H939" s="1">
        <v>46645</v>
      </c>
      <c r="I939">
        <v>0</v>
      </c>
      <c r="J939">
        <v>0</v>
      </c>
      <c r="K939">
        <v>0</v>
      </c>
      <c r="L939" t="s">
        <v>748</v>
      </c>
    </row>
    <row r="940" spans="1:12" hidden="1" x14ac:dyDescent="0.3">
      <c r="A940">
        <v>2035</v>
      </c>
      <c r="B940" t="s">
        <v>226</v>
      </c>
      <c r="C940" t="s">
        <v>227</v>
      </c>
      <c r="D940" t="s">
        <v>110</v>
      </c>
      <c r="E940" s="1"/>
      <c r="F940" s="1">
        <v>45330</v>
      </c>
      <c r="G940" s="1">
        <v>46690</v>
      </c>
      <c r="H940" s="1">
        <v>47376</v>
      </c>
      <c r="I940">
        <v>0</v>
      </c>
      <c r="J940">
        <v>0</v>
      </c>
      <c r="K940">
        <v>0</v>
      </c>
      <c r="L940" t="s">
        <v>748</v>
      </c>
    </row>
    <row r="941" spans="1:12" hidden="1" x14ac:dyDescent="0.3">
      <c r="A941">
        <v>2035</v>
      </c>
      <c r="B941" t="s">
        <v>145</v>
      </c>
      <c r="C941" t="s">
        <v>720</v>
      </c>
      <c r="D941" t="s">
        <v>110</v>
      </c>
      <c r="E941" s="1"/>
      <c r="F941" s="1">
        <v>44609</v>
      </c>
      <c r="G941" s="1">
        <v>45996</v>
      </c>
      <c r="H941" s="1">
        <v>46310</v>
      </c>
      <c r="I941">
        <v>0</v>
      </c>
      <c r="J941">
        <v>0</v>
      </c>
      <c r="K941">
        <v>0</v>
      </c>
      <c r="L941" t="s">
        <v>748</v>
      </c>
    </row>
    <row r="942" spans="1:12" hidden="1" x14ac:dyDescent="0.3">
      <c r="A942">
        <v>2035</v>
      </c>
      <c r="B942" t="s">
        <v>231</v>
      </c>
      <c r="C942" t="s">
        <v>232</v>
      </c>
      <c r="D942" t="s">
        <v>110</v>
      </c>
      <c r="E942" s="1"/>
      <c r="F942" s="1">
        <v>45099</v>
      </c>
      <c r="G942" s="1">
        <v>46037</v>
      </c>
      <c r="H942" s="1">
        <v>46283</v>
      </c>
      <c r="I942">
        <v>0</v>
      </c>
      <c r="J942">
        <v>0</v>
      </c>
      <c r="K942">
        <v>0</v>
      </c>
      <c r="L942" t="s">
        <v>748</v>
      </c>
    </row>
    <row r="943" spans="1:12" hidden="1" x14ac:dyDescent="0.3">
      <c r="A943">
        <v>2035</v>
      </c>
      <c r="B943" t="s">
        <v>233</v>
      </c>
      <c r="C943" t="s">
        <v>542</v>
      </c>
      <c r="D943" t="s">
        <v>155</v>
      </c>
      <c r="E943" s="1"/>
      <c r="F943" s="1">
        <v>46127</v>
      </c>
      <c r="G943" s="1">
        <v>46553</v>
      </c>
      <c r="H943" s="1">
        <v>46980</v>
      </c>
      <c r="I943">
        <v>0</v>
      </c>
      <c r="J943">
        <v>0</v>
      </c>
      <c r="K943">
        <v>0</v>
      </c>
      <c r="L943" t="s">
        <v>748</v>
      </c>
    </row>
    <row r="944" spans="1:12" hidden="1" x14ac:dyDescent="0.3">
      <c r="A944">
        <v>2035</v>
      </c>
      <c r="B944" t="s">
        <v>235</v>
      </c>
      <c r="C944" t="s">
        <v>510</v>
      </c>
      <c r="D944" t="s">
        <v>110</v>
      </c>
      <c r="E944" s="1"/>
      <c r="F944" s="1">
        <v>45706</v>
      </c>
      <c r="G944" s="1">
        <v>46055</v>
      </c>
      <c r="H944" s="1">
        <v>46273</v>
      </c>
      <c r="I944">
        <v>0</v>
      </c>
      <c r="J944">
        <v>0</v>
      </c>
      <c r="K944">
        <v>0</v>
      </c>
      <c r="L944" t="s">
        <v>748</v>
      </c>
    </row>
    <row r="945" spans="1:12" hidden="1" x14ac:dyDescent="0.3">
      <c r="A945">
        <v>2035</v>
      </c>
      <c r="B945" t="s">
        <v>398</v>
      </c>
      <c r="C945" t="s">
        <v>541</v>
      </c>
      <c r="D945" t="s">
        <v>291</v>
      </c>
      <c r="E945" s="1"/>
      <c r="F945" s="1"/>
      <c r="G945" s="1"/>
      <c r="H945" s="1"/>
      <c r="I945">
        <v>0</v>
      </c>
      <c r="J945">
        <v>0</v>
      </c>
      <c r="K945">
        <v>0</v>
      </c>
      <c r="L945" t="s">
        <v>748</v>
      </c>
    </row>
    <row r="946" spans="1:12" hidden="1" x14ac:dyDescent="0.3">
      <c r="A946">
        <v>2035</v>
      </c>
      <c r="B946" t="s">
        <v>237</v>
      </c>
      <c r="C946" t="s">
        <v>665</v>
      </c>
      <c r="D946" t="s">
        <v>110</v>
      </c>
      <c r="E946" s="1"/>
      <c r="F946" s="1">
        <v>45915</v>
      </c>
      <c r="G946" s="1">
        <v>46037</v>
      </c>
      <c r="H946" s="1">
        <v>46310</v>
      </c>
      <c r="I946">
        <v>0</v>
      </c>
      <c r="J946">
        <v>0</v>
      </c>
      <c r="K946">
        <v>0</v>
      </c>
      <c r="L946" t="s">
        <v>748</v>
      </c>
    </row>
    <row r="947" spans="1:12" hidden="1" x14ac:dyDescent="0.3">
      <c r="A947">
        <v>2035</v>
      </c>
      <c r="B947" t="s">
        <v>400</v>
      </c>
      <c r="C947" t="s">
        <v>401</v>
      </c>
      <c r="D947" t="s">
        <v>155</v>
      </c>
      <c r="E947" s="1">
        <v>45946</v>
      </c>
      <c r="F947" s="1">
        <v>46002</v>
      </c>
      <c r="G947" s="1">
        <v>46461</v>
      </c>
      <c r="H947" s="1">
        <v>46794</v>
      </c>
      <c r="I947">
        <v>0</v>
      </c>
      <c r="J947">
        <v>0</v>
      </c>
      <c r="K947">
        <v>0</v>
      </c>
      <c r="L947" t="s">
        <v>748</v>
      </c>
    </row>
    <row r="948" spans="1:12" hidden="1" x14ac:dyDescent="0.3">
      <c r="A948">
        <v>2035</v>
      </c>
      <c r="B948" t="s">
        <v>106</v>
      </c>
      <c r="C948" t="s">
        <v>107</v>
      </c>
      <c r="D948" t="s">
        <v>123</v>
      </c>
      <c r="E948" s="1"/>
      <c r="F948" s="1">
        <v>45014</v>
      </c>
      <c r="G948" s="1">
        <v>45799</v>
      </c>
      <c r="H948" s="1">
        <v>46006</v>
      </c>
      <c r="I948">
        <v>0</v>
      </c>
      <c r="J948">
        <v>0</v>
      </c>
      <c r="K948">
        <v>0</v>
      </c>
      <c r="L948" t="s">
        <v>749</v>
      </c>
    </row>
    <row r="949" spans="1:12" hidden="1" x14ac:dyDescent="0.3">
      <c r="A949">
        <v>2035</v>
      </c>
      <c r="B949" t="s">
        <v>240</v>
      </c>
      <c r="C949" t="s">
        <v>241</v>
      </c>
      <c r="D949" t="s">
        <v>110</v>
      </c>
      <c r="E949" s="1"/>
      <c r="F949" s="1">
        <v>45708</v>
      </c>
      <c r="G949" s="1">
        <v>45923</v>
      </c>
      <c r="H949" s="1">
        <v>46296</v>
      </c>
      <c r="I949">
        <v>0</v>
      </c>
      <c r="J949">
        <v>0</v>
      </c>
      <c r="K949">
        <v>0</v>
      </c>
      <c r="L949" t="s">
        <v>748</v>
      </c>
    </row>
    <row r="950" spans="1:12" hidden="1" x14ac:dyDescent="0.3">
      <c r="A950">
        <v>2035</v>
      </c>
      <c r="B950" t="s">
        <v>153</v>
      </c>
      <c r="C950" t="s">
        <v>154</v>
      </c>
      <c r="D950" t="s">
        <v>123</v>
      </c>
      <c r="E950" s="1"/>
      <c r="F950" s="1">
        <v>45601</v>
      </c>
      <c r="G950" s="1">
        <v>45731</v>
      </c>
      <c r="H950" s="1">
        <v>45976</v>
      </c>
      <c r="I950">
        <v>0</v>
      </c>
      <c r="J950">
        <v>0</v>
      </c>
      <c r="K950">
        <v>0</v>
      </c>
      <c r="L950" t="s">
        <v>749</v>
      </c>
    </row>
    <row r="951" spans="1:12" hidden="1" x14ac:dyDescent="0.3">
      <c r="A951">
        <v>2035</v>
      </c>
      <c r="B951" t="s">
        <v>403</v>
      </c>
      <c r="C951" t="s">
        <v>643</v>
      </c>
      <c r="D951" t="s">
        <v>155</v>
      </c>
      <c r="E951" s="1">
        <v>46006</v>
      </c>
      <c r="F951" s="1">
        <v>46218</v>
      </c>
      <c r="G951" s="1">
        <v>46722</v>
      </c>
      <c r="H951" s="1">
        <v>47011</v>
      </c>
      <c r="I951">
        <v>0</v>
      </c>
      <c r="J951">
        <v>0</v>
      </c>
      <c r="K951">
        <v>0</v>
      </c>
      <c r="L951" t="s">
        <v>748</v>
      </c>
    </row>
    <row r="952" spans="1:12" hidden="1" x14ac:dyDescent="0.3">
      <c r="A952">
        <v>2035</v>
      </c>
      <c r="B952" t="s">
        <v>150</v>
      </c>
      <c r="C952" t="s">
        <v>721</v>
      </c>
      <c r="D952" t="s">
        <v>123</v>
      </c>
      <c r="E952" s="1"/>
      <c r="F952" s="1">
        <v>45079</v>
      </c>
      <c r="G952" s="1">
        <v>45685</v>
      </c>
      <c r="H952" s="1">
        <v>46142</v>
      </c>
      <c r="I952">
        <v>0</v>
      </c>
      <c r="J952">
        <v>0</v>
      </c>
      <c r="K952">
        <v>0</v>
      </c>
      <c r="L952" t="s">
        <v>748</v>
      </c>
    </row>
    <row r="953" spans="1:12" hidden="1" x14ac:dyDescent="0.3">
      <c r="A953">
        <v>2035</v>
      </c>
      <c r="B953" t="s">
        <v>407</v>
      </c>
      <c r="C953" t="s">
        <v>514</v>
      </c>
      <c r="D953" t="s">
        <v>155</v>
      </c>
      <c r="E953" s="1"/>
      <c r="F953" s="1">
        <v>46127</v>
      </c>
      <c r="G953" s="1">
        <v>46492</v>
      </c>
      <c r="H953" s="1">
        <v>46706</v>
      </c>
      <c r="I953">
        <v>0</v>
      </c>
      <c r="J953">
        <v>0</v>
      </c>
      <c r="K953">
        <v>0</v>
      </c>
      <c r="L953" t="s">
        <v>749</v>
      </c>
    </row>
    <row r="954" spans="1:12" hidden="1" x14ac:dyDescent="0.3">
      <c r="A954">
        <v>2035</v>
      </c>
      <c r="B954" t="s">
        <v>405</v>
      </c>
      <c r="C954" t="s">
        <v>406</v>
      </c>
      <c r="D954" t="s">
        <v>155</v>
      </c>
      <c r="E954" s="1">
        <v>45763</v>
      </c>
      <c r="F954" s="1">
        <v>46054</v>
      </c>
      <c r="G954" s="1">
        <v>46427</v>
      </c>
      <c r="H954" s="1">
        <v>46813</v>
      </c>
      <c r="I954">
        <v>0</v>
      </c>
      <c r="J954">
        <v>0</v>
      </c>
      <c r="K954">
        <v>0</v>
      </c>
      <c r="L954" t="s">
        <v>748</v>
      </c>
    </row>
    <row r="955" spans="1:12" hidden="1" x14ac:dyDescent="0.3">
      <c r="A955">
        <v>2035</v>
      </c>
      <c r="B955" t="s">
        <v>243</v>
      </c>
      <c r="C955" t="s">
        <v>739</v>
      </c>
      <c r="D955" t="s">
        <v>155</v>
      </c>
      <c r="E955" s="1">
        <v>45588</v>
      </c>
      <c r="F955" s="1">
        <v>45976</v>
      </c>
      <c r="G955" s="1">
        <v>46280</v>
      </c>
      <c r="H955" s="1">
        <v>46433</v>
      </c>
      <c r="I955">
        <v>0</v>
      </c>
      <c r="J955">
        <v>0</v>
      </c>
      <c r="K955">
        <v>0</v>
      </c>
      <c r="L955" t="s">
        <v>748</v>
      </c>
    </row>
    <row r="956" spans="1:12" hidden="1" x14ac:dyDescent="0.3">
      <c r="A956">
        <v>2035</v>
      </c>
      <c r="B956" t="s">
        <v>246</v>
      </c>
      <c r="C956" t="s">
        <v>515</v>
      </c>
      <c r="D956" t="s">
        <v>110</v>
      </c>
      <c r="E956" s="1"/>
      <c r="F956" s="1">
        <v>45679</v>
      </c>
      <c r="G956" s="1">
        <v>46096</v>
      </c>
      <c r="H956" s="1">
        <v>46371</v>
      </c>
      <c r="I956">
        <v>0</v>
      </c>
      <c r="J956">
        <v>0</v>
      </c>
      <c r="K956">
        <v>0</v>
      </c>
      <c r="L956" t="s">
        <v>748</v>
      </c>
    </row>
    <row r="957" spans="1:12" hidden="1" x14ac:dyDescent="0.3">
      <c r="A957">
        <v>2035</v>
      </c>
      <c r="B957" t="s">
        <v>409</v>
      </c>
      <c r="C957" t="s">
        <v>410</v>
      </c>
      <c r="D957" t="s">
        <v>155</v>
      </c>
      <c r="E957" s="1"/>
      <c r="F957" s="1">
        <v>46143</v>
      </c>
      <c r="G957" s="1">
        <v>46508</v>
      </c>
      <c r="H957" s="1">
        <v>46874</v>
      </c>
      <c r="I957">
        <v>0</v>
      </c>
      <c r="J957">
        <v>0</v>
      </c>
      <c r="K957">
        <v>0</v>
      </c>
      <c r="L957" t="s">
        <v>748</v>
      </c>
    </row>
    <row r="958" spans="1:12" hidden="1" x14ac:dyDescent="0.3">
      <c r="A958">
        <v>2035</v>
      </c>
      <c r="B958" t="s">
        <v>412</v>
      </c>
      <c r="C958" t="s">
        <v>644</v>
      </c>
      <c r="D958" t="s">
        <v>291</v>
      </c>
      <c r="E958" s="1"/>
      <c r="F958" s="1"/>
      <c r="G958" s="1"/>
      <c r="H958" s="1"/>
      <c r="I958">
        <v>0</v>
      </c>
      <c r="J958">
        <v>0</v>
      </c>
      <c r="K958">
        <v>0</v>
      </c>
      <c r="L958" t="s">
        <v>748</v>
      </c>
    </row>
    <row r="959" spans="1:12" hidden="1" x14ac:dyDescent="0.3">
      <c r="A959">
        <v>2035</v>
      </c>
      <c r="B959" t="s">
        <v>415</v>
      </c>
      <c r="C959" t="s">
        <v>416</v>
      </c>
      <c r="D959" t="s">
        <v>155</v>
      </c>
      <c r="E959" s="1"/>
      <c r="F959" s="1">
        <v>46143</v>
      </c>
      <c r="G959" s="1">
        <v>46508</v>
      </c>
      <c r="H959" s="1">
        <v>46874</v>
      </c>
      <c r="I959">
        <v>0</v>
      </c>
      <c r="J959">
        <v>0</v>
      </c>
      <c r="K959">
        <v>0</v>
      </c>
      <c r="L959" t="s">
        <v>748</v>
      </c>
    </row>
    <row r="960" spans="1:12" hidden="1" x14ac:dyDescent="0.3">
      <c r="A960">
        <v>2035</v>
      </c>
      <c r="B960" t="s">
        <v>381</v>
      </c>
      <c r="C960" t="s">
        <v>382</v>
      </c>
      <c r="D960" t="s">
        <v>291</v>
      </c>
      <c r="E960" s="1"/>
      <c r="F960" s="1"/>
      <c r="G960" s="1"/>
      <c r="H960" s="1"/>
      <c r="I960">
        <v>0</v>
      </c>
      <c r="J960">
        <v>0</v>
      </c>
      <c r="K960">
        <v>0</v>
      </c>
      <c r="L960" t="s">
        <v>748</v>
      </c>
    </row>
    <row r="961" spans="1:12" hidden="1" x14ac:dyDescent="0.3">
      <c r="A961">
        <v>2035</v>
      </c>
      <c r="B961" t="s">
        <v>635</v>
      </c>
      <c r="C961" t="s">
        <v>636</v>
      </c>
      <c r="D961" t="s">
        <v>155</v>
      </c>
      <c r="E961" s="1"/>
      <c r="F961" s="1">
        <v>46266</v>
      </c>
      <c r="G961" s="1">
        <v>46631</v>
      </c>
      <c r="H961" s="1">
        <v>46997</v>
      </c>
      <c r="I961">
        <v>0</v>
      </c>
      <c r="J961">
        <v>0</v>
      </c>
      <c r="K961">
        <v>0</v>
      </c>
      <c r="L961" t="s">
        <v>748</v>
      </c>
    </row>
    <row r="962" spans="1:12" hidden="1" x14ac:dyDescent="0.3">
      <c r="A962">
        <v>2035</v>
      </c>
      <c r="B962" t="s">
        <v>393</v>
      </c>
      <c r="C962" t="s">
        <v>394</v>
      </c>
      <c r="D962" t="s">
        <v>291</v>
      </c>
      <c r="E962" s="1"/>
      <c r="F962" s="1"/>
      <c r="G962" s="1"/>
      <c r="H962" s="1"/>
      <c r="I962">
        <v>500</v>
      </c>
      <c r="J962">
        <v>12000</v>
      </c>
      <c r="K962">
        <v>12500</v>
      </c>
      <c r="L962" t="s">
        <v>748</v>
      </c>
    </row>
    <row r="963" spans="1:12" hidden="1" x14ac:dyDescent="0.3">
      <c r="A963">
        <v>2035</v>
      </c>
      <c r="B963" t="s">
        <v>396</v>
      </c>
      <c r="C963" t="s">
        <v>397</v>
      </c>
      <c r="D963" t="s">
        <v>155</v>
      </c>
      <c r="E963" s="1">
        <v>46068</v>
      </c>
      <c r="F963" s="1">
        <v>46371</v>
      </c>
      <c r="G963" s="1">
        <v>46736</v>
      </c>
      <c r="H963" s="1">
        <v>47102</v>
      </c>
      <c r="I963">
        <v>0</v>
      </c>
      <c r="J963">
        <v>0</v>
      </c>
      <c r="K963">
        <v>0</v>
      </c>
      <c r="L963" t="s">
        <v>748</v>
      </c>
    </row>
    <row r="964" spans="1:12" hidden="1" x14ac:dyDescent="0.3">
      <c r="A964">
        <v>2035</v>
      </c>
      <c r="B964" t="s">
        <v>418</v>
      </c>
      <c r="C964" t="s">
        <v>530</v>
      </c>
      <c r="D964" t="s">
        <v>291</v>
      </c>
      <c r="E964" s="1"/>
      <c r="F964" s="1"/>
      <c r="G964" s="1"/>
      <c r="H964" s="1"/>
      <c r="I964">
        <v>0</v>
      </c>
      <c r="J964">
        <v>0</v>
      </c>
      <c r="K964">
        <v>0</v>
      </c>
      <c r="L964" t="s">
        <v>748</v>
      </c>
    </row>
    <row r="965" spans="1:12" hidden="1" x14ac:dyDescent="0.3">
      <c r="A965">
        <v>2035</v>
      </c>
      <c r="B965" t="s">
        <v>422</v>
      </c>
      <c r="C965" t="s">
        <v>423</v>
      </c>
      <c r="D965" t="s">
        <v>291</v>
      </c>
      <c r="E965" s="1"/>
      <c r="F965" s="1"/>
      <c r="G965" s="1"/>
      <c r="H965" s="1"/>
      <c r="I965">
        <v>0</v>
      </c>
      <c r="J965">
        <v>0</v>
      </c>
      <c r="K965">
        <v>0</v>
      </c>
      <c r="L965" t="s">
        <v>748</v>
      </c>
    </row>
    <row r="966" spans="1:12" hidden="1" x14ac:dyDescent="0.3">
      <c r="A966">
        <v>2035</v>
      </c>
      <c r="B966" t="s">
        <v>424</v>
      </c>
      <c r="C966" t="s">
        <v>425</v>
      </c>
      <c r="D966" t="s">
        <v>291</v>
      </c>
      <c r="E966" s="1"/>
      <c r="F966" s="1"/>
      <c r="G966" s="1"/>
      <c r="H966" s="1"/>
      <c r="I966">
        <v>0</v>
      </c>
      <c r="J966">
        <v>0</v>
      </c>
      <c r="K966">
        <v>0</v>
      </c>
      <c r="L966" t="s">
        <v>748</v>
      </c>
    </row>
    <row r="967" spans="1:12" hidden="1" x14ac:dyDescent="0.3">
      <c r="A967">
        <v>2035</v>
      </c>
      <c r="B967" t="s">
        <v>428</v>
      </c>
      <c r="C967" t="s">
        <v>429</v>
      </c>
      <c r="D967" t="s">
        <v>291</v>
      </c>
      <c r="E967" s="1"/>
      <c r="F967" s="1"/>
      <c r="G967" s="1"/>
      <c r="H967" s="1"/>
      <c r="I967">
        <v>0</v>
      </c>
      <c r="J967">
        <v>0</v>
      </c>
      <c r="K967">
        <v>0</v>
      </c>
      <c r="L967" t="s">
        <v>748</v>
      </c>
    </row>
    <row r="968" spans="1:12" hidden="1" x14ac:dyDescent="0.3">
      <c r="A968">
        <v>2035</v>
      </c>
      <c r="B968" t="s">
        <v>432</v>
      </c>
      <c r="C968" t="s">
        <v>433</v>
      </c>
      <c r="D968" t="s">
        <v>291</v>
      </c>
      <c r="E968" s="1"/>
      <c r="F968" s="1"/>
      <c r="G968" s="1"/>
      <c r="H968" s="1"/>
      <c r="I968">
        <v>0</v>
      </c>
      <c r="J968">
        <v>0</v>
      </c>
      <c r="K968">
        <v>0</v>
      </c>
      <c r="L968" t="s">
        <v>748</v>
      </c>
    </row>
    <row r="969" spans="1:12" hidden="1" x14ac:dyDescent="0.3">
      <c r="A969">
        <v>2035</v>
      </c>
      <c r="B969" t="s">
        <v>426</v>
      </c>
      <c r="C969" t="s">
        <v>527</v>
      </c>
      <c r="D969" t="s">
        <v>155</v>
      </c>
      <c r="E969" s="1">
        <v>45827</v>
      </c>
      <c r="F969" s="1">
        <v>46249</v>
      </c>
      <c r="G969" s="1">
        <v>46675</v>
      </c>
      <c r="H969" s="1">
        <v>47041</v>
      </c>
      <c r="I969">
        <v>0</v>
      </c>
      <c r="J969">
        <v>0</v>
      </c>
      <c r="K969">
        <v>0</v>
      </c>
      <c r="L969" t="s">
        <v>748</v>
      </c>
    </row>
    <row r="970" spans="1:12" hidden="1" x14ac:dyDescent="0.3">
      <c r="A970">
        <v>2035</v>
      </c>
      <c r="B970" t="s">
        <v>430</v>
      </c>
      <c r="C970" t="s">
        <v>639</v>
      </c>
      <c r="D970" t="s">
        <v>291</v>
      </c>
      <c r="E970" s="1"/>
      <c r="F970" s="1"/>
      <c r="G970" s="1"/>
      <c r="H970" s="1"/>
      <c r="I970">
        <v>0</v>
      </c>
      <c r="J970">
        <v>0</v>
      </c>
      <c r="K970">
        <v>0</v>
      </c>
      <c r="L970" t="s">
        <v>748</v>
      </c>
    </row>
    <row r="971" spans="1:12" hidden="1" x14ac:dyDescent="0.3">
      <c r="A971">
        <v>2035</v>
      </c>
      <c r="B971" t="s">
        <v>436</v>
      </c>
      <c r="C971" t="s">
        <v>437</v>
      </c>
      <c r="D971" t="s">
        <v>291</v>
      </c>
      <c r="E971" s="1"/>
      <c r="F971" s="1"/>
      <c r="G971" s="1"/>
      <c r="H971" s="1"/>
      <c r="I971">
        <v>0</v>
      </c>
      <c r="J971">
        <v>0</v>
      </c>
      <c r="K971">
        <v>0</v>
      </c>
      <c r="L971" t="s">
        <v>748</v>
      </c>
    </row>
    <row r="972" spans="1:12" hidden="1" x14ac:dyDescent="0.3">
      <c r="A972">
        <v>2035</v>
      </c>
      <c r="B972" t="s">
        <v>248</v>
      </c>
      <c r="C972" t="s">
        <v>722</v>
      </c>
      <c r="D972" t="s">
        <v>110</v>
      </c>
      <c r="E972" s="1"/>
      <c r="F972" s="1">
        <v>45476</v>
      </c>
      <c r="G972" s="1">
        <v>46006</v>
      </c>
      <c r="H972" s="1">
        <v>46006</v>
      </c>
      <c r="I972">
        <v>0</v>
      </c>
      <c r="J972">
        <v>0</v>
      </c>
      <c r="K972">
        <v>0</v>
      </c>
      <c r="L972" t="s">
        <v>748</v>
      </c>
    </row>
    <row r="973" spans="1:12" hidden="1" x14ac:dyDescent="0.3">
      <c r="A973">
        <v>2035</v>
      </c>
      <c r="B973" t="s">
        <v>438</v>
      </c>
      <c r="C973" t="s">
        <v>439</v>
      </c>
      <c r="D973" t="s">
        <v>291</v>
      </c>
      <c r="E973" s="1"/>
      <c r="F973" s="1"/>
      <c r="G973" s="1"/>
      <c r="H973" s="1"/>
      <c r="I973">
        <v>0</v>
      </c>
      <c r="J973">
        <v>0</v>
      </c>
      <c r="K973">
        <v>0</v>
      </c>
      <c r="L973" t="s">
        <v>748</v>
      </c>
    </row>
    <row r="974" spans="1:12" hidden="1" x14ac:dyDescent="0.3">
      <c r="A974">
        <v>2035</v>
      </c>
      <c r="B974" t="s">
        <v>157</v>
      </c>
      <c r="C974" t="s">
        <v>158</v>
      </c>
      <c r="D974" t="s">
        <v>155</v>
      </c>
      <c r="E974" s="1"/>
      <c r="F974" s="1">
        <v>45991</v>
      </c>
      <c r="G974" s="1"/>
      <c r="H974" s="1">
        <v>46249</v>
      </c>
      <c r="I974">
        <v>0</v>
      </c>
      <c r="J974">
        <v>0</v>
      </c>
      <c r="K974">
        <v>0</v>
      </c>
      <c r="L974" t="s">
        <v>748</v>
      </c>
    </row>
    <row r="975" spans="1:12" hidden="1" x14ac:dyDescent="0.3">
      <c r="A975">
        <v>2035</v>
      </c>
      <c r="B975" t="s">
        <v>440</v>
      </c>
      <c r="C975" t="s">
        <v>441</v>
      </c>
      <c r="D975" t="s">
        <v>155</v>
      </c>
      <c r="E975" s="1"/>
      <c r="F975" s="1">
        <v>45992</v>
      </c>
      <c r="G975" s="1"/>
      <c r="H975" s="1">
        <v>45992</v>
      </c>
      <c r="I975">
        <v>0</v>
      </c>
      <c r="J975">
        <v>0</v>
      </c>
      <c r="K975">
        <v>0</v>
      </c>
      <c r="L975" t="s">
        <v>748</v>
      </c>
    </row>
    <row r="976" spans="1:12" hidden="1" x14ac:dyDescent="0.3">
      <c r="A976">
        <v>2035</v>
      </c>
      <c r="B976" t="s">
        <v>442</v>
      </c>
      <c r="C976" t="s">
        <v>526</v>
      </c>
      <c r="D976" t="s">
        <v>291</v>
      </c>
      <c r="E976" s="1"/>
      <c r="F976" s="1"/>
      <c r="G976" s="1"/>
      <c r="H976" s="1"/>
      <c r="I976">
        <v>0</v>
      </c>
      <c r="J976">
        <v>0</v>
      </c>
      <c r="K976">
        <v>0</v>
      </c>
      <c r="L976" t="s">
        <v>748</v>
      </c>
    </row>
    <row r="977" spans="1:12" hidden="1" x14ac:dyDescent="0.3">
      <c r="A977">
        <v>2035</v>
      </c>
      <c r="B977" t="s">
        <v>250</v>
      </c>
      <c r="C977" t="s">
        <v>251</v>
      </c>
      <c r="D977" t="s">
        <v>110</v>
      </c>
      <c r="E977" s="1"/>
      <c r="F977" s="1">
        <v>45490</v>
      </c>
      <c r="G977" s="1"/>
      <c r="H977" s="1">
        <v>46447</v>
      </c>
      <c r="I977">
        <v>0</v>
      </c>
      <c r="J977">
        <v>0</v>
      </c>
      <c r="K977">
        <v>0</v>
      </c>
      <c r="L977" t="s">
        <v>748</v>
      </c>
    </row>
    <row r="978" spans="1:12" hidden="1" x14ac:dyDescent="0.3">
      <c r="A978">
        <v>2035</v>
      </c>
      <c r="B978" t="s">
        <v>253</v>
      </c>
      <c r="C978" t="s">
        <v>254</v>
      </c>
      <c r="D978" t="s">
        <v>291</v>
      </c>
      <c r="E978" s="1"/>
      <c r="F978" s="1"/>
      <c r="G978" s="1"/>
      <c r="H978" s="1"/>
      <c r="I978">
        <v>0</v>
      </c>
      <c r="J978">
        <v>0</v>
      </c>
      <c r="K978">
        <v>0</v>
      </c>
      <c r="L978" t="s">
        <v>748</v>
      </c>
    </row>
    <row r="979" spans="1:12" hidden="1" x14ac:dyDescent="0.3">
      <c r="A979">
        <v>2035</v>
      </c>
      <c r="B979" t="s">
        <v>444</v>
      </c>
      <c r="C979" t="s">
        <v>666</v>
      </c>
      <c r="D979" t="s">
        <v>291</v>
      </c>
      <c r="E979" s="1"/>
      <c r="F979" s="1"/>
      <c r="G979" s="1"/>
      <c r="H979" s="1"/>
      <c r="I979">
        <v>0</v>
      </c>
      <c r="J979">
        <v>0</v>
      </c>
      <c r="K979">
        <v>0</v>
      </c>
      <c r="L979" t="s">
        <v>748</v>
      </c>
    </row>
    <row r="980" spans="1:12" hidden="1" x14ac:dyDescent="0.3">
      <c r="A980">
        <v>2035</v>
      </c>
      <c r="B980" t="s">
        <v>446</v>
      </c>
      <c r="C980" t="s">
        <v>447</v>
      </c>
      <c r="D980" t="s">
        <v>291</v>
      </c>
      <c r="E980" s="1"/>
      <c r="F980" s="1"/>
      <c r="G980" s="1"/>
      <c r="H980" s="1"/>
      <c r="I980">
        <v>600</v>
      </c>
      <c r="J980">
        <v>12000</v>
      </c>
      <c r="K980">
        <v>12600</v>
      </c>
      <c r="L980" t="s">
        <v>748</v>
      </c>
    </row>
    <row r="981" spans="1:12" hidden="1" x14ac:dyDescent="0.3">
      <c r="A981">
        <v>2035</v>
      </c>
      <c r="B981" t="s">
        <v>448</v>
      </c>
      <c r="C981" t="s">
        <v>449</v>
      </c>
      <c r="D981" t="s">
        <v>291</v>
      </c>
      <c r="E981" s="1"/>
      <c r="F981" s="1"/>
      <c r="G981" s="1"/>
      <c r="H981" s="1"/>
      <c r="I981">
        <v>0</v>
      </c>
      <c r="J981">
        <v>0</v>
      </c>
      <c r="K981">
        <v>0</v>
      </c>
      <c r="L981" t="s">
        <v>748</v>
      </c>
    </row>
    <row r="982" spans="1:12" hidden="1" x14ac:dyDescent="0.3">
      <c r="A982">
        <v>2035</v>
      </c>
      <c r="B982" t="s">
        <v>255</v>
      </c>
      <c r="C982" t="s">
        <v>529</v>
      </c>
      <c r="D982" t="s">
        <v>291</v>
      </c>
      <c r="E982" s="1"/>
      <c r="F982" s="1"/>
      <c r="G982" s="1"/>
      <c r="H982" s="1">
        <v>46006</v>
      </c>
      <c r="I982">
        <v>0</v>
      </c>
      <c r="J982">
        <v>0</v>
      </c>
      <c r="K982">
        <v>0</v>
      </c>
      <c r="L982" t="s">
        <v>748</v>
      </c>
    </row>
    <row r="983" spans="1:12" hidden="1" x14ac:dyDescent="0.3">
      <c r="A983">
        <v>2035</v>
      </c>
      <c r="B983" t="s">
        <v>259</v>
      </c>
      <c r="C983" t="s">
        <v>260</v>
      </c>
      <c r="D983" t="s">
        <v>291</v>
      </c>
      <c r="E983" s="1"/>
      <c r="F983" s="1"/>
      <c r="G983" s="1"/>
      <c r="H983" s="1"/>
      <c r="I983">
        <v>0</v>
      </c>
      <c r="J983">
        <v>0</v>
      </c>
      <c r="K983">
        <v>0</v>
      </c>
      <c r="L983" t="s">
        <v>749</v>
      </c>
    </row>
    <row r="984" spans="1:12" hidden="1" x14ac:dyDescent="0.3">
      <c r="A984">
        <v>2035</v>
      </c>
      <c r="B984" t="s">
        <v>454</v>
      </c>
      <c r="C984" t="s">
        <v>455</v>
      </c>
      <c r="D984" t="s">
        <v>291</v>
      </c>
      <c r="E984" s="1"/>
      <c r="F984" s="1"/>
      <c r="G984" s="1"/>
      <c r="H984" s="1"/>
      <c r="I984">
        <v>0</v>
      </c>
      <c r="J984">
        <v>0</v>
      </c>
      <c r="K984">
        <v>0</v>
      </c>
      <c r="L984" t="s">
        <v>748</v>
      </c>
    </row>
    <row r="985" spans="1:12" hidden="1" x14ac:dyDescent="0.3">
      <c r="A985">
        <v>2035</v>
      </c>
      <c r="B985" t="s">
        <v>456</v>
      </c>
      <c r="C985" t="s">
        <v>457</v>
      </c>
      <c r="D985" t="s">
        <v>291</v>
      </c>
      <c r="E985" s="1"/>
      <c r="F985" s="1"/>
      <c r="G985" s="1"/>
      <c r="H985" s="1"/>
      <c r="I985">
        <v>0</v>
      </c>
      <c r="J985">
        <v>0</v>
      </c>
      <c r="K985">
        <v>0</v>
      </c>
      <c r="L985" t="s">
        <v>748</v>
      </c>
    </row>
    <row r="986" spans="1:12" hidden="1" x14ac:dyDescent="0.3">
      <c r="A986">
        <v>2035</v>
      </c>
      <c r="B986" t="s">
        <v>458</v>
      </c>
      <c r="C986" t="s">
        <v>459</v>
      </c>
      <c r="D986" t="s">
        <v>291</v>
      </c>
      <c r="E986" s="1"/>
      <c r="F986" s="1"/>
      <c r="G986" s="1"/>
      <c r="H986" s="1"/>
      <c r="I986">
        <v>0</v>
      </c>
      <c r="J986">
        <v>0</v>
      </c>
      <c r="K986">
        <v>0</v>
      </c>
      <c r="L986" t="s">
        <v>748</v>
      </c>
    </row>
    <row r="987" spans="1:12" hidden="1" x14ac:dyDescent="0.3">
      <c r="A987">
        <v>2035</v>
      </c>
      <c r="B987" t="s">
        <v>460</v>
      </c>
      <c r="C987" t="s">
        <v>461</v>
      </c>
      <c r="D987" t="s">
        <v>291</v>
      </c>
      <c r="E987" s="1"/>
      <c r="F987" s="1"/>
      <c r="G987" s="1"/>
      <c r="H987" s="1"/>
      <c r="I987">
        <v>0</v>
      </c>
      <c r="J987">
        <v>0</v>
      </c>
      <c r="K987">
        <v>0</v>
      </c>
      <c r="L987" t="s">
        <v>748</v>
      </c>
    </row>
    <row r="988" spans="1:12" hidden="1" x14ac:dyDescent="0.3">
      <c r="A988">
        <v>2035</v>
      </c>
      <c r="B988" t="s">
        <v>462</v>
      </c>
      <c r="C988" t="s">
        <v>463</v>
      </c>
      <c r="D988" t="s">
        <v>291</v>
      </c>
      <c r="E988" s="1"/>
      <c r="F988" s="1"/>
      <c r="G988" s="1"/>
      <c r="H988" s="1"/>
      <c r="I988">
        <v>0</v>
      </c>
      <c r="J988">
        <v>0</v>
      </c>
      <c r="K988">
        <v>0</v>
      </c>
      <c r="L988" t="s">
        <v>748</v>
      </c>
    </row>
    <row r="989" spans="1:12" hidden="1" x14ac:dyDescent="0.3">
      <c r="A989">
        <v>2035</v>
      </c>
      <c r="B989" t="s">
        <v>464</v>
      </c>
      <c r="C989" t="s">
        <v>465</v>
      </c>
      <c r="D989" t="s">
        <v>291</v>
      </c>
      <c r="E989" s="1"/>
      <c r="F989" s="1"/>
      <c r="G989" s="1"/>
      <c r="H989" s="1"/>
      <c r="I989">
        <v>0</v>
      </c>
      <c r="J989">
        <v>0</v>
      </c>
      <c r="K989">
        <v>0</v>
      </c>
      <c r="L989" t="s">
        <v>748</v>
      </c>
    </row>
    <row r="990" spans="1:12" hidden="1" x14ac:dyDescent="0.3">
      <c r="A990">
        <v>2035</v>
      </c>
      <c r="B990" t="s">
        <v>470</v>
      </c>
      <c r="C990" t="s">
        <v>471</v>
      </c>
      <c r="D990" t="s">
        <v>291</v>
      </c>
      <c r="E990" s="1"/>
      <c r="F990" s="1"/>
      <c r="G990" s="1"/>
      <c r="H990" s="1"/>
      <c r="I990">
        <v>0</v>
      </c>
      <c r="J990">
        <v>0</v>
      </c>
      <c r="K990">
        <v>0</v>
      </c>
      <c r="L990" t="s">
        <v>748</v>
      </c>
    </row>
    <row r="991" spans="1:12" hidden="1" x14ac:dyDescent="0.3">
      <c r="A991">
        <v>2035</v>
      </c>
      <c r="B991" t="s">
        <v>474</v>
      </c>
      <c r="C991" t="s">
        <v>637</v>
      </c>
      <c r="D991" t="s">
        <v>291</v>
      </c>
      <c r="E991" s="1"/>
      <c r="F991" s="1"/>
      <c r="G991" s="1"/>
      <c r="H991" s="1"/>
      <c r="I991">
        <v>1250</v>
      </c>
      <c r="J991">
        <v>63764</v>
      </c>
      <c r="K991">
        <v>65014</v>
      </c>
      <c r="L991" t="s">
        <v>748</v>
      </c>
    </row>
    <row r="992" spans="1:12" hidden="1" x14ac:dyDescent="0.3">
      <c r="A992">
        <v>2035</v>
      </c>
      <c r="B992" t="s">
        <v>511</v>
      </c>
      <c r="C992" t="s">
        <v>512</v>
      </c>
      <c r="D992" t="s">
        <v>155</v>
      </c>
      <c r="E992" s="1"/>
      <c r="F992" s="1">
        <v>46006</v>
      </c>
      <c r="G992" s="1">
        <v>46341</v>
      </c>
      <c r="H992" s="1">
        <v>46706</v>
      </c>
      <c r="I992">
        <v>0</v>
      </c>
      <c r="J992">
        <v>0</v>
      </c>
      <c r="K992">
        <v>0</v>
      </c>
      <c r="L992" t="s">
        <v>748</v>
      </c>
    </row>
    <row r="993" spans="1:12" hidden="1" x14ac:dyDescent="0.3">
      <c r="A993">
        <v>2035</v>
      </c>
      <c r="B993" t="s">
        <v>516</v>
      </c>
      <c r="C993" t="s">
        <v>517</v>
      </c>
      <c r="D993" t="s">
        <v>110</v>
      </c>
      <c r="E993" s="1"/>
      <c r="F993" s="1">
        <v>45904</v>
      </c>
      <c r="G993" s="1"/>
      <c r="H993" s="1">
        <v>46096</v>
      </c>
      <c r="I993">
        <v>0</v>
      </c>
      <c r="J993">
        <v>0</v>
      </c>
      <c r="K993">
        <v>0</v>
      </c>
      <c r="L993" t="s">
        <v>748</v>
      </c>
    </row>
    <row r="994" spans="1:12" hidden="1" x14ac:dyDescent="0.3">
      <c r="A994">
        <v>2035</v>
      </c>
      <c r="B994" t="s">
        <v>518</v>
      </c>
      <c r="C994" t="s">
        <v>519</v>
      </c>
      <c r="D994" t="s">
        <v>155</v>
      </c>
      <c r="E994" s="1"/>
      <c r="F994" s="1">
        <v>46127</v>
      </c>
      <c r="G994" s="1"/>
      <c r="H994" s="1"/>
      <c r="I994">
        <v>0</v>
      </c>
      <c r="J994">
        <v>0</v>
      </c>
      <c r="K994">
        <v>0</v>
      </c>
      <c r="L994" t="s">
        <v>748</v>
      </c>
    </row>
    <row r="995" spans="1:12" hidden="1" x14ac:dyDescent="0.3">
      <c r="A995">
        <v>2035</v>
      </c>
      <c r="B995" t="s">
        <v>522</v>
      </c>
      <c r="C995" t="s">
        <v>523</v>
      </c>
      <c r="D995" t="s">
        <v>291</v>
      </c>
      <c r="E995" s="1"/>
      <c r="F995" s="1"/>
      <c r="G995" s="1"/>
      <c r="H995" s="1"/>
      <c r="I995">
        <v>0</v>
      </c>
      <c r="J995">
        <v>0</v>
      </c>
      <c r="K995">
        <v>0</v>
      </c>
      <c r="L995" t="s">
        <v>748</v>
      </c>
    </row>
    <row r="996" spans="1:12" hidden="1" x14ac:dyDescent="0.3">
      <c r="A996">
        <v>2035</v>
      </c>
      <c r="B996" t="s">
        <v>531</v>
      </c>
      <c r="C996" t="s">
        <v>532</v>
      </c>
      <c r="D996" t="s">
        <v>291</v>
      </c>
      <c r="E996" s="1"/>
      <c r="F996" s="1"/>
      <c r="G996" s="1"/>
      <c r="H996" s="1"/>
      <c r="I996">
        <v>0</v>
      </c>
      <c r="J996">
        <v>0</v>
      </c>
      <c r="K996">
        <v>0</v>
      </c>
      <c r="L996" t="s">
        <v>748</v>
      </c>
    </row>
    <row r="997" spans="1:12" hidden="1" x14ac:dyDescent="0.3">
      <c r="A997">
        <v>2035</v>
      </c>
      <c r="B997" t="s">
        <v>543</v>
      </c>
      <c r="C997" t="s">
        <v>544</v>
      </c>
      <c r="D997" t="s">
        <v>123</v>
      </c>
      <c r="E997" s="1"/>
      <c r="F997" s="1">
        <v>45762</v>
      </c>
      <c r="G997" s="1">
        <v>46096</v>
      </c>
      <c r="H997" s="1">
        <v>46096</v>
      </c>
      <c r="I997">
        <v>0</v>
      </c>
      <c r="J997">
        <v>0</v>
      </c>
      <c r="K997">
        <v>0</v>
      </c>
      <c r="L997" t="s">
        <v>748</v>
      </c>
    </row>
    <row r="998" spans="1:12" hidden="1" x14ac:dyDescent="0.3">
      <c r="A998">
        <v>2035</v>
      </c>
      <c r="B998" t="s">
        <v>597</v>
      </c>
      <c r="C998" t="s">
        <v>598</v>
      </c>
      <c r="D998" t="s">
        <v>291</v>
      </c>
      <c r="E998" s="1"/>
      <c r="F998" s="1"/>
      <c r="G998" s="1"/>
      <c r="H998" s="1"/>
      <c r="I998">
        <v>0</v>
      </c>
      <c r="J998">
        <v>0</v>
      </c>
      <c r="K998">
        <v>0</v>
      </c>
      <c r="L998" t="s">
        <v>748</v>
      </c>
    </row>
    <row r="999" spans="1:12" hidden="1" x14ac:dyDescent="0.3">
      <c r="A999">
        <v>2035</v>
      </c>
      <c r="B999" t="s">
        <v>601</v>
      </c>
      <c r="C999" t="s">
        <v>602</v>
      </c>
      <c r="D999" t="s">
        <v>291</v>
      </c>
      <c r="E999" s="1"/>
      <c r="F999" s="1"/>
      <c r="G999" s="1"/>
      <c r="H999" s="1"/>
      <c r="I999">
        <v>500</v>
      </c>
      <c r="J999">
        <v>5000</v>
      </c>
      <c r="K999">
        <v>5500</v>
      </c>
      <c r="L999" t="s">
        <v>748</v>
      </c>
    </row>
    <row r="1000" spans="1:12" hidden="1" x14ac:dyDescent="0.3">
      <c r="A1000">
        <v>2035</v>
      </c>
      <c r="B1000" t="s">
        <v>606</v>
      </c>
      <c r="C1000" t="s">
        <v>607</v>
      </c>
      <c r="D1000" t="s">
        <v>291</v>
      </c>
      <c r="E1000" s="1"/>
      <c r="F1000" s="1"/>
      <c r="G1000" s="1"/>
      <c r="H1000" s="1"/>
      <c r="I1000">
        <v>0</v>
      </c>
      <c r="J1000">
        <v>0</v>
      </c>
      <c r="K1000">
        <v>0</v>
      </c>
      <c r="L1000" t="s">
        <v>748</v>
      </c>
    </row>
    <row r="1001" spans="1:12" hidden="1" x14ac:dyDescent="0.3">
      <c r="A1001">
        <v>2035</v>
      </c>
      <c r="B1001" t="s">
        <v>647</v>
      </c>
      <c r="C1001" t="s">
        <v>648</v>
      </c>
      <c r="D1001" t="s">
        <v>291</v>
      </c>
      <c r="E1001" s="1"/>
      <c r="F1001" s="1"/>
      <c r="G1001" s="1"/>
      <c r="H1001" s="1"/>
      <c r="I1001">
        <v>0</v>
      </c>
      <c r="J1001">
        <v>0</v>
      </c>
      <c r="K1001">
        <v>0</v>
      </c>
      <c r="L1001" t="s">
        <v>748</v>
      </c>
    </row>
    <row r="1002" spans="1:12" hidden="1" x14ac:dyDescent="0.3">
      <c r="A1002">
        <v>2035</v>
      </c>
      <c r="B1002" t="s">
        <v>649</v>
      </c>
      <c r="C1002" t="s">
        <v>650</v>
      </c>
      <c r="D1002" t="s">
        <v>291</v>
      </c>
      <c r="E1002" s="1"/>
      <c r="F1002" s="1"/>
      <c r="G1002" s="1"/>
      <c r="H1002" s="1"/>
      <c r="I1002">
        <v>0</v>
      </c>
      <c r="J1002">
        <v>0</v>
      </c>
      <c r="K1002">
        <v>0</v>
      </c>
      <c r="L1002" t="s">
        <v>748</v>
      </c>
    </row>
    <row r="1003" spans="1:12" hidden="1" x14ac:dyDescent="0.3">
      <c r="A1003">
        <v>2035</v>
      </c>
      <c r="B1003" t="s">
        <v>651</v>
      </c>
      <c r="C1003" t="s">
        <v>652</v>
      </c>
      <c r="D1003" t="s">
        <v>291</v>
      </c>
      <c r="E1003" s="1"/>
      <c r="F1003" s="1"/>
      <c r="G1003" s="1"/>
      <c r="H1003" s="1"/>
      <c r="I1003">
        <v>0</v>
      </c>
      <c r="J1003">
        <v>0</v>
      </c>
      <c r="K1003">
        <v>0</v>
      </c>
      <c r="L1003" t="s">
        <v>748</v>
      </c>
    </row>
    <row r="1004" spans="1:12" hidden="1" x14ac:dyDescent="0.3">
      <c r="A1004">
        <v>2035</v>
      </c>
      <c r="B1004" t="s">
        <v>653</v>
      </c>
      <c r="C1004" t="s">
        <v>654</v>
      </c>
      <c r="D1004" t="s">
        <v>291</v>
      </c>
      <c r="E1004" s="1"/>
      <c r="F1004" s="1"/>
      <c r="G1004" s="1"/>
      <c r="H1004" s="1"/>
      <c r="I1004">
        <v>0</v>
      </c>
      <c r="J1004">
        <v>0</v>
      </c>
      <c r="K1004">
        <v>0</v>
      </c>
      <c r="L1004" t="s">
        <v>748</v>
      </c>
    </row>
    <row r="1005" spans="1:12" hidden="1" x14ac:dyDescent="0.3">
      <c r="A1005">
        <v>2035</v>
      </c>
      <c r="B1005" t="s">
        <v>712</v>
      </c>
      <c r="C1005" t="s">
        <v>686</v>
      </c>
      <c r="E1005" s="1"/>
      <c r="F1005" s="1"/>
      <c r="G1005" s="1"/>
      <c r="H1005" s="1"/>
      <c r="I1005">
        <v>0</v>
      </c>
      <c r="J1005">
        <v>0</v>
      </c>
      <c r="K1005">
        <v>0</v>
      </c>
      <c r="L1005" t="s">
        <v>748</v>
      </c>
    </row>
    <row r="1006" spans="1:12" hidden="1" x14ac:dyDescent="0.3">
      <c r="A1006">
        <v>2035</v>
      </c>
      <c r="B1006" t="s">
        <v>713</v>
      </c>
      <c r="C1006" t="s">
        <v>693</v>
      </c>
      <c r="E1006" s="1"/>
      <c r="F1006" s="1"/>
      <c r="G1006" s="1"/>
      <c r="H1006" s="1"/>
      <c r="I1006">
        <v>0</v>
      </c>
      <c r="J1006">
        <v>0</v>
      </c>
      <c r="K1006">
        <v>0</v>
      </c>
      <c r="L1006" t="s">
        <v>748</v>
      </c>
    </row>
    <row r="1007" spans="1:12" hidden="1" x14ac:dyDescent="0.3">
      <c r="A1007">
        <v>2035</v>
      </c>
      <c r="B1007" t="s">
        <v>714</v>
      </c>
      <c r="C1007" t="s">
        <v>697</v>
      </c>
      <c r="E1007" s="1"/>
      <c r="F1007" s="1"/>
      <c r="G1007" s="1"/>
      <c r="H1007" s="1"/>
      <c r="I1007">
        <v>0</v>
      </c>
      <c r="J1007">
        <v>0</v>
      </c>
      <c r="K1007">
        <v>0</v>
      </c>
      <c r="L1007" t="s">
        <v>748</v>
      </c>
    </row>
    <row r="1008" spans="1:12" hidden="1" x14ac:dyDescent="0.3">
      <c r="A1008">
        <v>2035</v>
      </c>
      <c r="B1008" t="s">
        <v>715</v>
      </c>
      <c r="C1008" t="s">
        <v>694</v>
      </c>
      <c r="E1008" s="1"/>
      <c r="F1008" s="1"/>
      <c r="G1008" s="1"/>
      <c r="H1008" s="1"/>
      <c r="I1008">
        <v>0</v>
      </c>
      <c r="J1008">
        <v>0</v>
      </c>
      <c r="K1008">
        <v>0</v>
      </c>
      <c r="L1008" t="s">
        <v>748</v>
      </c>
    </row>
    <row r="1009" spans="1:12" hidden="1" x14ac:dyDescent="0.3">
      <c r="A1009">
        <v>2035</v>
      </c>
      <c r="B1009" t="s">
        <v>716</v>
      </c>
      <c r="C1009" t="s">
        <v>702</v>
      </c>
      <c r="E1009" s="1"/>
      <c r="F1009" s="1"/>
      <c r="G1009" s="1"/>
      <c r="H1009" s="1"/>
      <c r="I1009">
        <v>0</v>
      </c>
      <c r="J1009">
        <v>0</v>
      </c>
      <c r="K1009">
        <v>0</v>
      </c>
      <c r="L1009" t="s">
        <v>748</v>
      </c>
    </row>
    <row r="1010" spans="1:12" hidden="1" x14ac:dyDescent="0.3">
      <c r="A1010">
        <v>2035</v>
      </c>
      <c r="B1010" t="s">
        <v>717</v>
      </c>
      <c r="C1010" t="s">
        <v>695</v>
      </c>
      <c r="E1010" s="1"/>
      <c r="F1010" s="1"/>
      <c r="G1010" s="1"/>
      <c r="H1010" s="1"/>
      <c r="I1010">
        <v>0</v>
      </c>
      <c r="J1010">
        <v>0</v>
      </c>
      <c r="K1010">
        <v>0</v>
      </c>
      <c r="L1010" t="s">
        <v>748</v>
      </c>
    </row>
    <row r="1011" spans="1:12" hidden="1" x14ac:dyDescent="0.3">
      <c r="A1011">
        <v>2035</v>
      </c>
      <c r="B1011" t="s">
        <v>718</v>
      </c>
      <c r="C1011" t="s">
        <v>696</v>
      </c>
      <c r="E1011" s="1"/>
      <c r="F1011" s="1"/>
      <c r="G1011" s="1"/>
      <c r="H1011" s="1"/>
      <c r="I1011">
        <v>0</v>
      </c>
      <c r="J1011">
        <v>0</v>
      </c>
      <c r="K1011">
        <v>0</v>
      </c>
      <c r="L1011" t="s">
        <v>748</v>
      </c>
    </row>
    <row r="1012" spans="1:12" hidden="1" x14ac:dyDescent="0.3">
      <c r="A1012">
        <v>2036</v>
      </c>
      <c r="B1012" t="s">
        <v>364</v>
      </c>
      <c r="C1012" t="s">
        <v>365</v>
      </c>
      <c r="D1012" t="s">
        <v>291</v>
      </c>
      <c r="E1012" s="1"/>
      <c r="F1012" s="1"/>
      <c r="G1012" s="1"/>
      <c r="H1012" s="1"/>
      <c r="I1012">
        <v>0</v>
      </c>
      <c r="J1012">
        <v>0</v>
      </c>
      <c r="K1012">
        <v>0</v>
      </c>
      <c r="L1012" t="s">
        <v>748</v>
      </c>
    </row>
    <row r="1013" spans="1:12" hidden="1" x14ac:dyDescent="0.3">
      <c r="A1013">
        <v>2036</v>
      </c>
      <c r="B1013" t="s">
        <v>366</v>
      </c>
      <c r="C1013" t="s">
        <v>367</v>
      </c>
      <c r="D1013" t="s">
        <v>155</v>
      </c>
      <c r="E1013" s="1">
        <v>46006</v>
      </c>
      <c r="F1013" s="1">
        <v>46157</v>
      </c>
      <c r="G1013" s="1">
        <v>46645</v>
      </c>
      <c r="H1013" s="1">
        <v>47011</v>
      </c>
      <c r="I1013">
        <v>0</v>
      </c>
      <c r="J1013">
        <v>0</v>
      </c>
      <c r="K1013">
        <v>0</v>
      </c>
      <c r="L1013" t="s">
        <v>748</v>
      </c>
    </row>
    <row r="1014" spans="1:12" hidden="1" x14ac:dyDescent="0.3">
      <c r="A1014">
        <v>2036</v>
      </c>
      <c r="B1014" t="s">
        <v>162</v>
      </c>
      <c r="C1014" t="s">
        <v>163</v>
      </c>
      <c r="D1014" t="s">
        <v>164</v>
      </c>
      <c r="E1014" s="1"/>
      <c r="F1014" s="1"/>
      <c r="G1014" s="1"/>
      <c r="H1014" s="1"/>
      <c r="I1014">
        <v>0</v>
      </c>
      <c r="J1014">
        <v>0</v>
      </c>
      <c r="K1014">
        <v>0</v>
      </c>
      <c r="L1014" t="s">
        <v>748</v>
      </c>
    </row>
    <row r="1015" spans="1:12" hidden="1" x14ac:dyDescent="0.3">
      <c r="A1015">
        <v>2036</v>
      </c>
      <c r="B1015" t="s">
        <v>166</v>
      </c>
      <c r="C1015" t="s">
        <v>167</v>
      </c>
      <c r="D1015" t="s">
        <v>155</v>
      </c>
      <c r="E1015" s="1">
        <v>42499</v>
      </c>
      <c r="F1015" s="1">
        <v>45976</v>
      </c>
      <c r="G1015" s="1">
        <v>46402</v>
      </c>
      <c r="H1015" s="1">
        <v>46980</v>
      </c>
      <c r="I1015">
        <v>0</v>
      </c>
      <c r="J1015">
        <v>0</v>
      </c>
      <c r="K1015">
        <v>0</v>
      </c>
      <c r="L1015" t="s">
        <v>748</v>
      </c>
    </row>
    <row r="1016" spans="1:12" hidden="1" x14ac:dyDescent="0.3">
      <c r="A1016">
        <v>2036</v>
      </c>
      <c r="B1016" t="s">
        <v>170</v>
      </c>
      <c r="C1016" t="s">
        <v>171</v>
      </c>
      <c r="D1016" t="s">
        <v>110</v>
      </c>
      <c r="E1016" s="1"/>
      <c r="F1016" s="1">
        <v>44833</v>
      </c>
      <c r="G1016" s="1">
        <v>45976</v>
      </c>
      <c r="H1016" s="1">
        <v>46310</v>
      </c>
      <c r="I1016">
        <v>0</v>
      </c>
      <c r="J1016">
        <v>0</v>
      </c>
      <c r="K1016">
        <v>0</v>
      </c>
      <c r="L1016" t="s">
        <v>748</v>
      </c>
    </row>
    <row r="1017" spans="1:12" hidden="1" x14ac:dyDescent="0.3">
      <c r="A1017">
        <v>2036</v>
      </c>
      <c r="B1017" t="s">
        <v>137</v>
      </c>
      <c r="C1017" t="s">
        <v>138</v>
      </c>
      <c r="D1017" t="s">
        <v>123</v>
      </c>
      <c r="E1017" s="1"/>
      <c r="F1017" s="1">
        <v>45062</v>
      </c>
      <c r="G1017" s="1">
        <v>45754</v>
      </c>
      <c r="H1017" s="1">
        <v>45945</v>
      </c>
      <c r="I1017">
        <v>0</v>
      </c>
      <c r="J1017">
        <v>0</v>
      </c>
      <c r="K1017">
        <v>0</v>
      </c>
      <c r="L1017" t="s">
        <v>748</v>
      </c>
    </row>
    <row r="1018" spans="1:12" hidden="1" x14ac:dyDescent="0.3">
      <c r="A1018">
        <v>2036</v>
      </c>
      <c r="B1018" t="s">
        <v>181</v>
      </c>
      <c r="C1018" t="s">
        <v>296</v>
      </c>
      <c r="D1018" t="s">
        <v>110</v>
      </c>
      <c r="E1018" s="1"/>
      <c r="F1018" s="1">
        <v>45590</v>
      </c>
      <c r="G1018" s="1">
        <v>46157</v>
      </c>
      <c r="H1018" s="1">
        <v>46157</v>
      </c>
      <c r="I1018">
        <v>0</v>
      </c>
      <c r="J1018">
        <v>0</v>
      </c>
      <c r="K1018">
        <v>0</v>
      </c>
      <c r="L1018" t="s">
        <v>748</v>
      </c>
    </row>
    <row r="1019" spans="1:12" hidden="1" x14ac:dyDescent="0.3">
      <c r="A1019">
        <v>2036</v>
      </c>
      <c r="B1019" t="s">
        <v>185</v>
      </c>
      <c r="C1019" t="s">
        <v>186</v>
      </c>
      <c r="D1019" t="s">
        <v>110</v>
      </c>
      <c r="E1019" s="1"/>
      <c r="F1019" s="1">
        <v>44823</v>
      </c>
      <c r="G1019" s="1">
        <v>46310</v>
      </c>
      <c r="H1019" s="1">
        <v>46521</v>
      </c>
      <c r="I1019">
        <v>0</v>
      </c>
      <c r="J1019">
        <v>0</v>
      </c>
      <c r="K1019">
        <v>0</v>
      </c>
      <c r="L1019" t="s">
        <v>748</v>
      </c>
    </row>
    <row r="1020" spans="1:12" hidden="1" x14ac:dyDescent="0.3">
      <c r="A1020">
        <v>2036</v>
      </c>
      <c r="B1020" t="s">
        <v>189</v>
      </c>
      <c r="C1020" t="s">
        <v>190</v>
      </c>
      <c r="D1020" t="s">
        <v>123</v>
      </c>
      <c r="E1020" s="1"/>
      <c r="F1020" s="1">
        <v>45684</v>
      </c>
      <c r="G1020" s="1"/>
      <c r="H1020" s="1">
        <v>46006</v>
      </c>
      <c r="I1020">
        <v>0</v>
      </c>
      <c r="J1020">
        <v>0</v>
      </c>
      <c r="K1020">
        <v>0</v>
      </c>
      <c r="L1020" t="s">
        <v>749</v>
      </c>
    </row>
    <row r="1021" spans="1:12" hidden="1" x14ac:dyDescent="0.3">
      <c r="A1021">
        <v>2036</v>
      </c>
      <c r="B1021" t="s">
        <v>132</v>
      </c>
      <c r="C1021" t="s">
        <v>288</v>
      </c>
      <c r="D1021" t="s">
        <v>123</v>
      </c>
      <c r="E1021" s="1"/>
      <c r="F1021" s="1">
        <v>45218</v>
      </c>
      <c r="G1021" s="1">
        <v>45722</v>
      </c>
      <c r="H1021" s="1">
        <v>45976</v>
      </c>
      <c r="I1021">
        <v>0</v>
      </c>
      <c r="J1021">
        <v>0</v>
      </c>
      <c r="K1021">
        <v>0</v>
      </c>
      <c r="L1021" t="s">
        <v>749</v>
      </c>
    </row>
    <row r="1022" spans="1:12" hidden="1" x14ac:dyDescent="0.3">
      <c r="A1022">
        <v>2036</v>
      </c>
      <c r="B1022" t="s">
        <v>141</v>
      </c>
      <c r="C1022" t="s">
        <v>142</v>
      </c>
      <c r="D1022" t="s">
        <v>123</v>
      </c>
      <c r="E1022" s="1">
        <v>42499</v>
      </c>
      <c r="F1022" s="1">
        <v>42900</v>
      </c>
      <c r="G1022" s="1">
        <v>45323</v>
      </c>
      <c r="H1022" s="1">
        <v>45889</v>
      </c>
      <c r="I1022">
        <v>0</v>
      </c>
      <c r="J1022">
        <v>0</v>
      </c>
      <c r="K1022">
        <v>0</v>
      </c>
      <c r="L1022" t="s">
        <v>748</v>
      </c>
    </row>
    <row r="1023" spans="1:12" hidden="1" x14ac:dyDescent="0.3">
      <c r="A1023">
        <v>2036</v>
      </c>
      <c r="B1023" t="s">
        <v>368</v>
      </c>
      <c r="C1023" t="s">
        <v>369</v>
      </c>
      <c r="D1023" t="s">
        <v>291</v>
      </c>
      <c r="E1023" s="1"/>
      <c r="F1023" s="1"/>
      <c r="G1023" s="1"/>
      <c r="H1023" s="1"/>
      <c r="I1023">
        <v>0</v>
      </c>
      <c r="J1023">
        <v>0</v>
      </c>
      <c r="K1023">
        <v>0</v>
      </c>
      <c r="L1023" t="s">
        <v>748</v>
      </c>
    </row>
    <row r="1024" spans="1:12" hidden="1" x14ac:dyDescent="0.3">
      <c r="A1024">
        <v>2036</v>
      </c>
      <c r="B1024" t="s">
        <v>160</v>
      </c>
      <c r="C1024" t="s">
        <v>161</v>
      </c>
      <c r="D1024" t="s">
        <v>164</v>
      </c>
      <c r="E1024" s="1">
        <v>43013</v>
      </c>
      <c r="F1024" s="1">
        <v>44956</v>
      </c>
      <c r="G1024" s="1">
        <v>45321</v>
      </c>
      <c r="H1024" s="1">
        <v>45687</v>
      </c>
      <c r="I1024">
        <v>0</v>
      </c>
      <c r="J1024">
        <v>0</v>
      </c>
      <c r="K1024">
        <v>0</v>
      </c>
      <c r="L1024" t="s">
        <v>748</v>
      </c>
    </row>
    <row r="1025" spans="1:12" hidden="1" x14ac:dyDescent="0.3">
      <c r="A1025">
        <v>2036</v>
      </c>
      <c r="B1025" t="s">
        <v>371</v>
      </c>
      <c r="C1025" t="s">
        <v>372</v>
      </c>
      <c r="D1025" t="s">
        <v>291</v>
      </c>
      <c r="E1025" s="1"/>
      <c r="F1025" s="1"/>
      <c r="G1025" s="1"/>
      <c r="H1025" s="1"/>
      <c r="I1025">
        <v>0</v>
      </c>
      <c r="J1025">
        <v>0</v>
      </c>
      <c r="K1025">
        <v>0</v>
      </c>
      <c r="L1025" t="s">
        <v>748</v>
      </c>
    </row>
    <row r="1026" spans="1:12" hidden="1" x14ac:dyDescent="0.3">
      <c r="A1026">
        <v>2036</v>
      </c>
      <c r="B1026" t="s">
        <v>195</v>
      </c>
      <c r="C1026" t="s">
        <v>196</v>
      </c>
      <c r="D1026" t="s">
        <v>110</v>
      </c>
      <c r="E1026" s="1"/>
      <c r="F1026" s="1">
        <v>44889</v>
      </c>
      <c r="G1026" s="1">
        <v>46068</v>
      </c>
      <c r="H1026" s="1">
        <v>46583</v>
      </c>
      <c r="I1026">
        <v>0</v>
      </c>
      <c r="J1026">
        <v>0</v>
      </c>
      <c r="K1026">
        <v>0</v>
      </c>
      <c r="L1026" t="s">
        <v>748</v>
      </c>
    </row>
    <row r="1027" spans="1:12" hidden="1" x14ac:dyDescent="0.3">
      <c r="A1027">
        <v>2036</v>
      </c>
      <c r="B1027" t="s">
        <v>375</v>
      </c>
      <c r="C1027" t="s">
        <v>376</v>
      </c>
      <c r="D1027" t="s">
        <v>155</v>
      </c>
      <c r="E1027" s="1">
        <v>46006</v>
      </c>
      <c r="F1027" s="1">
        <v>46280</v>
      </c>
      <c r="G1027" s="1">
        <v>46645</v>
      </c>
      <c r="H1027" s="1">
        <v>47011</v>
      </c>
      <c r="I1027">
        <v>0</v>
      </c>
      <c r="J1027">
        <v>0</v>
      </c>
      <c r="K1027">
        <v>0</v>
      </c>
      <c r="L1027" t="s">
        <v>748</v>
      </c>
    </row>
    <row r="1028" spans="1:12" hidden="1" x14ac:dyDescent="0.3">
      <c r="A1028">
        <v>2036</v>
      </c>
      <c r="B1028" t="s">
        <v>174</v>
      </c>
      <c r="C1028" t="s">
        <v>175</v>
      </c>
      <c r="D1028" t="s">
        <v>164</v>
      </c>
      <c r="E1028" s="1">
        <v>44014</v>
      </c>
      <c r="F1028" s="1">
        <v>44014</v>
      </c>
      <c r="G1028" s="1">
        <v>44294</v>
      </c>
      <c r="H1028" s="1">
        <v>45239</v>
      </c>
      <c r="I1028">
        <v>0</v>
      </c>
      <c r="J1028">
        <v>0</v>
      </c>
      <c r="K1028">
        <v>0</v>
      </c>
      <c r="L1028" t="s">
        <v>748</v>
      </c>
    </row>
    <row r="1029" spans="1:12" hidden="1" x14ac:dyDescent="0.3">
      <c r="A1029">
        <v>2036</v>
      </c>
      <c r="B1029" t="s">
        <v>203</v>
      </c>
      <c r="C1029" t="s">
        <v>204</v>
      </c>
      <c r="D1029" t="s">
        <v>155</v>
      </c>
      <c r="E1029" s="1">
        <v>45730</v>
      </c>
      <c r="F1029" s="1">
        <v>45960</v>
      </c>
      <c r="G1029" s="1">
        <v>46264</v>
      </c>
      <c r="H1029" s="1">
        <v>46629</v>
      </c>
      <c r="I1029">
        <v>0</v>
      </c>
      <c r="J1029">
        <v>0</v>
      </c>
      <c r="K1029">
        <v>0</v>
      </c>
      <c r="L1029" t="s">
        <v>748</v>
      </c>
    </row>
    <row r="1030" spans="1:12" hidden="1" x14ac:dyDescent="0.3">
      <c r="A1030">
        <v>2036</v>
      </c>
      <c r="B1030" t="s">
        <v>114</v>
      </c>
      <c r="C1030" t="s">
        <v>719</v>
      </c>
      <c r="D1030" t="s">
        <v>123</v>
      </c>
      <c r="E1030" s="1"/>
      <c r="F1030" s="1">
        <v>45105</v>
      </c>
      <c r="G1030" s="1">
        <v>45789</v>
      </c>
      <c r="H1030" s="1">
        <v>45932</v>
      </c>
      <c r="I1030">
        <v>0</v>
      </c>
      <c r="J1030">
        <v>0</v>
      </c>
      <c r="K1030">
        <v>0</v>
      </c>
      <c r="L1030" t="s">
        <v>749</v>
      </c>
    </row>
    <row r="1031" spans="1:12" hidden="1" x14ac:dyDescent="0.3">
      <c r="A1031">
        <v>2036</v>
      </c>
      <c r="B1031" t="s">
        <v>207</v>
      </c>
      <c r="C1031" t="s">
        <v>208</v>
      </c>
      <c r="D1031" t="s">
        <v>155</v>
      </c>
      <c r="E1031" s="1">
        <v>44476</v>
      </c>
      <c r="F1031" s="1">
        <v>45976</v>
      </c>
      <c r="G1031" s="1">
        <v>46096</v>
      </c>
      <c r="H1031" s="1">
        <v>46280</v>
      </c>
      <c r="I1031">
        <v>0</v>
      </c>
      <c r="J1031">
        <v>0</v>
      </c>
      <c r="K1031">
        <v>0</v>
      </c>
      <c r="L1031" t="s">
        <v>749</v>
      </c>
    </row>
    <row r="1032" spans="1:12" hidden="1" x14ac:dyDescent="0.3">
      <c r="A1032">
        <v>2036</v>
      </c>
      <c r="B1032" t="s">
        <v>377</v>
      </c>
      <c r="C1032" t="s">
        <v>378</v>
      </c>
      <c r="D1032" t="s">
        <v>155</v>
      </c>
      <c r="E1032" s="1"/>
      <c r="F1032" s="1">
        <v>46068</v>
      </c>
      <c r="G1032" s="1">
        <v>46461</v>
      </c>
      <c r="H1032" s="1">
        <v>46888</v>
      </c>
      <c r="I1032">
        <v>0</v>
      </c>
      <c r="J1032">
        <v>0</v>
      </c>
      <c r="K1032">
        <v>0</v>
      </c>
      <c r="L1032" t="s">
        <v>748</v>
      </c>
    </row>
    <row r="1033" spans="1:12" hidden="1" x14ac:dyDescent="0.3">
      <c r="A1033">
        <v>2036</v>
      </c>
      <c r="B1033" t="s">
        <v>210</v>
      </c>
      <c r="C1033" t="s">
        <v>211</v>
      </c>
      <c r="D1033" t="s">
        <v>155</v>
      </c>
      <c r="E1033" s="1"/>
      <c r="F1033" s="1">
        <v>45976</v>
      </c>
      <c r="G1033" s="1">
        <v>46341</v>
      </c>
      <c r="H1033" s="1">
        <v>46706</v>
      </c>
      <c r="I1033">
        <v>0</v>
      </c>
      <c r="J1033">
        <v>0</v>
      </c>
      <c r="K1033">
        <v>0</v>
      </c>
      <c r="L1033" t="s">
        <v>748</v>
      </c>
    </row>
    <row r="1034" spans="1:12" hidden="1" x14ac:dyDescent="0.3">
      <c r="A1034">
        <v>2036</v>
      </c>
      <c r="B1034" t="s">
        <v>379</v>
      </c>
      <c r="C1034" t="s">
        <v>380</v>
      </c>
      <c r="D1034" t="s">
        <v>291</v>
      </c>
      <c r="E1034" s="1"/>
      <c r="F1034" s="1"/>
      <c r="G1034" s="1"/>
      <c r="H1034" s="1"/>
      <c r="I1034">
        <v>0</v>
      </c>
      <c r="J1034">
        <v>0</v>
      </c>
      <c r="K1034">
        <v>0</v>
      </c>
      <c r="L1034" t="s">
        <v>748</v>
      </c>
    </row>
    <row r="1035" spans="1:12" hidden="1" x14ac:dyDescent="0.3">
      <c r="A1035">
        <v>2036</v>
      </c>
      <c r="B1035" t="s">
        <v>383</v>
      </c>
      <c r="C1035" t="s">
        <v>384</v>
      </c>
      <c r="D1035" t="s">
        <v>291</v>
      </c>
      <c r="E1035" s="1"/>
      <c r="F1035" s="1"/>
      <c r="G1035" s="1"/>
      <c r="H1035" s="1"/>
      <c r="I1035">
        <v>0</v>
      </c>
      <c r="J1035">
        <v>0</v>
      </c>
      <c r="K1035">
        <v>0</v>
      </c>
      <c r="L1035" t="s">
        <v>748</v>
      </c>
    </row>
    <row r="1036" spans="1:12" hidden="1" x14ac:dyDescent="0.3">
      <c r="A1036">
        <v>2036</v>
      </c>
      <c r="B1036" t="s">
        <v>212</v>
      </c>
      <c r="C1036" t="s">
        <v>213</v>
      </c>
      <c r="D1036" t="s">
        <v>155</v>
      </c>
      <c r="E1036" s="1">
        <v>45337</v>
      </c>
      <c r="F1036" s="1">
        <v>46127</v>
      </c>
      <c r="G1036" s="1">
        <v>46798</v>
      </c>
      <c r="H1036" s="1">
        <v>47192</v>
      </c>
      <c r="I1036">
        <v>0</v>
      </c>
      <c r="J1036">
        <v>0</v>
      </c>
      <c r="K1036">
        <v>0</v>
      </c>
      <c r="L1036" t="s">
        <v>748</v>
      </c>
    </row>
    <row r="1037" spans="1:12" hidden="1" x14ac:dyDescent="0.3">
      <c r="A1037">
        <v>2036</v>
      </c>
      <c r="B1037" t="s">
        <v>385</v>
      </c>
      <c r="C1037" t="s">
        <v>740</v>
      </c>
      <c r="D1037" t="s">
        <v>155</v>
      </c>
      <c r="E1037" s="1">
        <v>45672</v>
      </c>
      <c r="F1037" s="1">
        <v>45960</v>
      </c>
      <c r="G1037" s="1">
        <v>46266</v>
      </c>
      <c r="H1037" s="1">
        <v>46631</v>
      </c>
      <c r="I1037">
        <v>0</v>
      </c>
      <c r="J1037">
        <v>0</v>
      </c>
      <c r="K1037">
        <v>0</v>
      </c>
      <c r="L1037" t="s">
        <v>748</v>
      </c>
    </row>
    <row r="1038" spans="1:12" hidden="1" x14ac:dyDescent="0.3">
      <c r="A1038">
        <v>2036</v>
      </c>
      <c r="B1038" t="s">
        <v>220</v>
      </c>
      <c r="C1038" t="s">
        <v>221</v>
      </c>
      <c r="D1038" t="s">
        <v>155</v>
      </c>
      <c r="E1038" s="1"/>
      <c r="F1038" s="1">
        <v>45976</v>
      </c>
      <c r="G1038" s="1">
        <v>46264</v>
      </c>
      <c r="H1038" s="1">
        <v>46553</v>
      </c>
      <c r="I1038">
        <v>0</v>
      </c>
      <c r="J1038">
        <v>0</v>
      </c>
      <c r="K1038">
        <v>0</v>
      </c>
      <c r="L1038" t="s">
        <v>748</v>
      </c>
    </row>
    <row r="1039" spans="1:12" hidden="1" x14ac:dyDescent="0.3">
      <c r="A1039">
        <v>2036</v>
      </c>
      <c r="B1039" t="s">
        <v>224</v>
      </c>
      <c r="C1039" t="s">
        <v>520</v>
      </c>
      <c r="D1039" t="s">
        <v>123</v>
      </c>
      <c r="E1039" s="1">
        <v>44365</v>
      </c>
      <c r="F1039" s="1">
        <v>44623</v>
      </c>
      <c r="G1039" s="1">
        <v>45698</v>
      </c>
      <c r="H1039" s="1">
        <v>46341</v>
      </c>
      <c r="I1039">
        <v>0</v>
      </c>
      <c r="J1039">
        <v>0</v>
      </c>
      <c r="K1039">
        <v>0</v>
      </c>
      <c r="L1039" t="s">
        <v>748</v>
      </c>
    </row>
    <row r="1040" spans="1:12" hidden="1" x14ac:dyDescent="0.3">
      <c r="A1040">
        <v>2036</v>
      </c>
      <c r="B1040" t="s">
        <v>373</v>
      </c>
      <c r="C1040" t="s">
        <v>374</v>
      </c>
      <c r="D1040" t="s">
        <v>155</v>
      </c>
      <c r="E1040" s="1">
        <v>45833</v>
      </c>
      <c r="F1040" s="1">
        <v>45960</v>
      </c>
      <c r="G1040" s="1">
        <v>46280</v>
      </c>
      <c r="H1040" s="1">
        <v>46645</v>
      </c>
      <c r="I1040">
        <v>0</v>
      </c>
      <c r="J1040">
        <v>0</v>
      </c>
      <c r="K1040">
        <v>0</v>
      </c>
      <c r="L1040" t="s">
        <v>748</v>
      </c>
    </row>
    <row r="1041" spans="1:12" hidden="1" x14ac:dyDescent="0.3">
      <c r="A1041">
        <v>2036</v>
      </c>
      <c r="B1041" t="s">
        <v>226</v>
      </c>
      <c r="C1041" t="s">
        <v>227</v>
      </c>
      <c r="D1041" t="s">
        <v>110</v>
      </c>
      <c r="E1041" s="1"/>
      <c r="F1041" s="1">
        <v>45330</v>
      </c>
      <c r="G1041" s="1">
        <v>46690</v>
      </c>
      <c r="H1041" s="1">
        <v>47376</v>
      </c>
      <c r="I1041">
        <v>0</v>
      </c>
      <c r="J1041">
        <v>0</v>
      </c>
      <c r="K1041">
        <v>0</v>
      </c>
      <c r="L1041" t="s">
        <v>748</v>
      </c>
    </row>
    <row r="1042" spans="1:12" hidden="1" x14ac:dyDescent="0.3">
      <c r="A1042">
        <v>2036</v>
      </c>
      <c r="B1042" t="s">
        <v>145</v>
      </c>
      <c r="C1042" t="s">
        <v>720</v>
      </c>
      <c r="D1042" t="s">
        <v>110</v>
      </c>
      <c r="E1042" s="1"/>
      <c r="F1042" s="1">
        <v>44609</v>
      </c>
      <c r="G1042" s="1">
        <v>45996</v>
      </c>
      <c r="H1042" s="1">
        <v>46310</v>
      </c>
      <c r="I1042">
        <v>0</v>
      </c>
      <c r="J1042">
        <v>0</v>
      </c>
      <c r="K1042">
        <v>0</v>
      </c>
      <c r="L1042" t="s">
        <v>748</v>
      </c>
    </row>
    <row r="1043" spans="1:12" hidden="1" x14ac:dyDescent="0.3">
      <c r="A1043">
        <v>2036</v>
      </c>
      <c r="B1043" t="s">
        <v>231</v>
      </c>
      <c r="C1043" t="s">
        <v>232</v>
      </c>
      <c r="D1043" t="s">
        <v>110</v>
      </c>
      <c r="E1043" s="1"/>
      <c r="F1043" s="1">
        <v>45099</v>
      </c>
      <c r="G1043" s="1">
        <v>46037</v>
      </c>
      <c r="H1043" s="1">
        <v>46283</v>
      </c>
      <c r="I1043">
        <v>0</v>
      </c>
      <c r="J1043">
        <v>0</v>
      </c>
      <c r="K1043">
        <v>0</v>
      </c>
      <c r="L1043" t="s">
        <v>748</v>
      </c>
    </row>
    <row r="1044" spans="1:12" hidden="1" x14ac:dyDescent="0.3">
      <c r="A1044">
        <v>2036</v>
      </c>
      <c r="B1044" t="s">
        <v>233</v>
      </c>
      <c r="C1044" t="s">
        <v>542</v>
      </c>
      <c r="D1044" t="s">
        <v>155</v>
      </c>
      <c r="E1044" s="1"/>
      <c r="F1044" s="1">
        <v>46127</v>
      </c>
      <c r="G1044" s="1">
        <v>46553</v>
      </c>
      <c r="H1044" s="1">
        <v>46980</v>
      </c>
      <c r="I1044">
        <v>0</v>
      </c>
      <c r="J1044">
        <v>0</v>
      </c>
      <c r="K1044">
        <v>0</v>
      </c>
      <c r="L1044" t="s">
        <v>748</v>
      </c>
    </row>
    <row r="1045" spans="1:12" hidden="1" x14ac:dyDescent="0.3">
      <c r="A1045">
        <v>2036</v>
      </c>
      <c r="B1045" t="s">
        <v>235</v>
      </c>
      <c r="C1045" t="s">
        <v>510</v>
      </c>
      <c r="D1045" t="s">
        <v>110</v>
      </c>
      <c r="E1045" s="1"/>
      <c r="F1045" s="1">
        <v>45706</v>
      </c>
      <c r="G1045" s="1">
        <v>46055</v>
      </c>
      <c r="H1045" s="1">
        <v>46273</v>
      </c>
      <c r="I1045">
        <v>0</v>
      </c>
      <c r="J1045">
        <v>0</v>
      </c>
      <c r="K1045">
        <v>0</v>
      </c>
      <c r="L1045" t="s">
        <v>748</v>
      </c>
    </row>
    <row r="1046" spans="1:12" hidden="1" x14ac:dyDescent="0.3">
      <c r="A1046">
        <v>2036</v>
      </c>
      <c r="B1046" t="s">
        <v>398</v>
      </c>
      <c r="C1046" t="s">
        <v>541</v>
      </c>
      <c r="D1046" t="s">
        <v>291</v>
      </c>
      <c r="E1046" s="1"/>
      <c r="F1046" s="1"/>
      <c r="G1046" s="1"/>
      <c r="H1046" s="1"/>
      <c r="I1046">
        <v>0</v>
      </c>
      <c r="J1046">
        <v>0</v>
      </c>
      <c r="K1046">
        <v>0</v>
      </c>
      <c r="L1046" t="s">
        <v>748</v>
      </c>
    </row>
    <row r="1047" spans="1:12" hidden="1" x14ac:dyDescent="0.3">
      <c r="A1047">
        <v>2036</v>
      </c>
      <c r="B1047" t="s">
        <v>237</v>
      </c>
      <c r="C1047" t="s">
        <v>665</v>
      </c>
      <c r="D1047" t="s">
        <v>110</v>
      </c>
      <c r="E1047" s="1"/>
      <c r="F1047" s="1">
        <v>45915</v>
      </c>
      <c r="G1047" s="1">
        <v>46037</v>
      </c>
      <c r="H1047" s="1">
        <v>46310</v>
      </c>
      <c r="I1047">
        <v>0</v>
      </c>
      <c r="J1047">
        <v>0</v>
      </c>
      <c r="K1047">
        <v>0</v>
      </c>
      <c r="L1047" t="s">
        <v>748</v>
      </c>
    </row>
    <row r="1048" spans="1:12" hidden="1" x14ac:dyDescent="0.3">
      <c r="A1048">
        <v>2036</v>
      </c>
      <c r="B1048" t="s">
        <v>400</v>
      </c>
      <c r="C1048" t="s">
        <v>401</v>
      </c>
      <c r="D1048" t="s">
        <v>155</v>
      </c>
      <c r="E1048" s="1">
        <v>45946</v>
      </c>
      <c r="F1048" s="1">
        <v>46002</v>
      </c>
      <c r="G1048" s="1">
        <v>46461</v>
      </c>
      <c r="H1048" s="1">
        <v>46794</v>
      </c>
      <c r="I1048">
        <v>0</v>
      </c>
      <c r="J1048">
        <v>0</v>
      </c>
      <c r="K1048">
        <v>0</v>
      </c>
      <c r="L1048" t="s">
        <v>748</v>
      </c>
    </row>
    <row r="1049" spans="1:12" hidden="1" x14ac:dyDescent="0.3">
      <c r="A1049">
        <v>2036</v>
      </c>
      <c r="B1049" t="s">
        <v>106</v>
      </c>
      <c r="C1049" t="s">
        <v>107</v>
      </c>
      <c r="D1049" t="s">
        <v>123</v>
      </c>
      <c r="E1049" s="1"/>
      <c r="F1049" s="1">
        <v>45014</v>
      </c>
      <c r="G1049" s="1">
        <v>45799</v>
      </c>
      <c r="H1049" s="1">
        <v>46006</v>
      </c>
      <c r="I1049">
        <v>0</v>
      </c>
      <c r="J1049">
        <v>0</v>
      </c>
      <c r="K1049">
        <v>0</v>
      </c>
      <c r="L1049" t="s">
        <v>749</v>
      </c>
    </row>
    <row r="1050" spans="1:12" hidden="1" x14ac:dyDescent="0.3">
      <c r="A1050">
        <v>2036</v>
      </c>
      <c r="B1050" t="s">
        <v>240</v>
      </c>
      <c r="C1050" t="s">
        <v>241</v>
      </c>
      <c r="D1050" t="s">
        <v>110</v>
      </c>
      <c r="E1050" s="1"/>
      <c r="F1050" s="1">
        <v>45708</v>
      </c>
      <c r="G1050" s="1">
        <v>45923</v>
      </c>
      <c r="H1050" s="1">
        <v>46296</v>
      </c>
      <c r="I1050">
        <v>0</v>
      </c>
      <c r="J1050">
        <v>0</v>
      </c>
      <c r="K1050">
        <v>0</v>
      </c>
      <c r="L1050" t="s">
        <v>748</v>
      </c>
    </row>
    <row r="1051" spans="1:12" hidden="1" x14ac:dyDescent="0.3">
      <c r="A1051">
        <v>2036</v>
      </c>
      <c r="B1051" t="s">
        <v>153</v>
      </c>
      <c r="C1051" t="s">
        <v>154</v>
      </c>
      <c r="D1051" t="s">
        <v>123</v>
      </c>
      <c r="E1051" s="1"/>
      <c r="F1051" s="1">
        <v>45601</v>
      </c>
      <c r="G1051" s="1">
        <v>45731</v>
      </c>
      <c r="H1051" s="1">
        <v>45976</v>
      </c>
      <c r="I1051">
        <v>0</v>
      </c>
      <c r="J1051">
        <v>0</v>
      </c>
      <c r="K1051">
        <v>0</v>
      </c>
      <c r="L1051" t="s">
        <v>749</v>
      </c>
    </row>
    <row r="1052" spans="1:12" hidden="1" x14ac:dyDescent="0.3">
      <c r="A1052">
        <v>2036</v>
      </c>
      <c r="B1052" t="s">
        <v>403</v>
      </c>
      <c r="C1052" t="s">
        <v>643</v>
      </c>
      <c r="D1052" t="s">
        <v>155</v>
      </c>
      <c r="E1052" s="1">
        <v>46006</v>
      </c>
      <c r="F1052" s="1">
        <v>46218</v>
      </c>
      <c r="G1052" s="1">
        <v>46722</v>
      </c>
      <c r="H1052" s="1">
        <v>47011</v>
      </c>
      <c r="I1052">
        <v>0</v>
      </c>
      <c r="J1052">
        <v>0</v>
      </c>
      <c r="K1052">
        <v>0</v>
      </c>
      <c r="L1052" t="s">
        <v>748</v>
      </c>
    </row>
    <row r="1053" spans="1:12" hidden="1" x14ac:dyDescent="0.3">
      <c r="A1053">
        <v>2036</v>
      </c>
      <c r="B1053" t="s">
        <v>150</v>
      </c>
      <c r="C1053" t="s">
        <v>721</v>
      </c>
      <c r="D1053" t="s">
        <v>123</v>
      </c>
      <c r="E1053" s="1"/>
      <c r="F1053" s="1">
        <v>45079</v>
      </c>
      <c r="G1053" s="1">
        <v>45685</v>
      </c>
      <c r="H1053" s="1">
        <v>46142</v>
      </c>
      <c r="I1053">
        <v>0</v>
      </c>
      <c r="J1053">
        <v>0</v>
      </c>
      <c r="K1053">
        <v>0</v>
      </c>
      <c r="L1053" t="s">
        <v>748</v>
      </c>
    </row>
    <row r="1054" spans="1:12" hidden="1" x14ac:dyDescent="0.3">
      <c r="A1054">
        <v>2036</v>
      </c>
      <c r="B1054" t="s">
        <v>407</v>
      </c>
      <c r="C1054" t="s">
        <v>514</v>
      </c>
      <c r="D1054" t="s">
        <v>155</v>
      </c>
      <c r="E1054" s="1"/>
      <c r="F1054" s="1">
        <v>46127</v>
      </c>
      <c r="G1054" s="1">
        <v>46492</v>
      </c>
      <c r="H1054" s="1">
        <v>46706</v>
      </c>
      <c r="I1054">
        <v>0</v>
      </c>
      <c r="J1054">
        <v>0</v>
      </c>
      <c r="K1054">
        <v>0</v>
      </c>
      <c r="L1054" t="s">
        <v>749</v>
      </c>
    </row>
    <row r="1055" spans="1:12" hidden="1" x14ac:dyDescent="0.3">
      <c r="A1055">
        <v>2036</v>
      </c>
      <c r="B1055" t="s">
        <v>405</v>
      </c>
      <c r="C1055" t="s">
        <v>406</v>
      </c>
      <c r="D1055" t="s">
        <v>155</v>
      </c>
      <c r="E1055" s="1">
        <v>45763</v>
      </c>
      <c r="F1055" s="1">
        <v>46054</v>
      </c>
      <c r="G1055" s="1">
        <v>46427</v>
      </c>
      <c r="H1055" s="1">
        <v>46813</v>
      </c>
      <c r="I1055">
        <v>0</v>
      </c>
      <c r="J1055">
        <v>0</v>
      </c>
      <c r="K1055">
        <v>0</v>
      </c>
      <c r="L1055" t="s">
        <v>748</v>
      </c>
    </row>
    <row r="1056" spans="1:12" hidden="1" x14ac:dyDescent="0.3">
      <c r="A1056">
        <v>2036</v>
      </c>
      <c r="B1056" t="s">
        <v>243</v>
      </c>
      <c r="C1056" t="s">
        <v>739</v>
      </c>
      <c r="D1056" t="s">
        <v>155</v>
      </c>
      <c r="E1056" s="1">
        <v>45588</v>
      </c>
      <c r="F1056" s="1">
        <v>45976</v>
      </c>
      <c r="G1056" s="1">
        <v>46280</v>
      </c>
      <c r="H1056" s="1">
        <v>46433</v>
      </c>
      <c r="I1056">
        <v>0</v>
      </c>
      <c r="J1056">
        <v>0</v>
      </c>
      <c r="K1056">
        <v>0</v>
      </c>
      <c r="L1056" t="s">
        <v>748</v>
      </c>
    </row>
    <row r="1057" spans="1:12" hidden="1" x14ac:dyDescent="0.3">
      <c r="A1057">
        <v>2036</v>
      </c>
      <c r="B1057" t="s">
        <v>246</v>
      </c>
      <c r="C1057" t="s">
        <v>515</v>
      </c>
      <c r="D1057" t="s">
        <v>110</v>
      </c>
      <c r="E1057" s="1"/>
      <c r="F1057" s="1">
        <v>45679</v>
      </c>
      <c r="G1057" s="1">
        <v>46096</v>
      </c>
      <c r="H1057" s="1">
        <v>46371</v>
      </c>
      <c r="I1057">
        <v>0</v>
      </c>
      <c r="J1057">
        <v>0</v>
      </c>
      <c r="K1057">
        <v>0</v>
      </c>
      <c r="L1057" t="s">
        <v>748</v>
      </c>
    </row>
    <row r="1058" spans="1:12" hidden="1" x14ac:dyDescent="0.3">
      <c r="A1058">
        <v>2036</v>
      </c>
      <c r="B1058" t="s">
        <v>409</v>
      </c>
      <c r="C1058" t="s">
        <v>410</v>
      </c>
      <c r="D1058" t="s">
        <v>155</v>
      </c>
      <c r="E1058" s="1"/>
      <c r="F1058" s="1">
        <v>46143</v>
      </c>
      <c r="G1058" s="1">
        <v>46508</v>
      </c>
      <c r="H1058" s="1">
        <v>46874</v>
      </c>
      <c r="I1058">
        <v>0</v>
      </c>
      <c r="J1058">
        <v>0</v>
      </c>
      <c r="K1058">
        <v>0</v>
      </c>
      <c r="L1058" t="s">
        <v>748</v>
      </c>
    </row>
    <row r="1059" spans="1:12" hidden="1" x14ac:dyDescent="0.3">
      <c r="A1059">
        <v>2036</v>
      </c>
      <c r="B1059" t="s">
        <v>412</v>
      </c>
      <c r="C1059" t="s">
        <v>644</v>
      </c>
      <c r="D1059" t="s">
        <v>291</v>
      </c>
      <c r="E1059" s="1"/>
      <c r="F1059" s="1"/>
      <c r="G1059" s="1"/>
      <c r="H1059" s="1"/>
      <c r="I1059">
        <v>0</v>
      </c>
      <c r="J1059">
        <v>0</v>
      </c>
      <c r="K1059">
        <v>0</v>
      </c>
      <c r="L1059" t="s">
        <v>748</v>
      </c>
    </row>
    <row r="1060" spans="1:12" hidden="1" x14ac:dyDescent="0.3">
      <c r="A1060">
        <v>2036</v>
      </c>
      <c r="B1060" t="s">
        <v>415</v>
      </c>
      <c r="C1060" t="s">
        <v>416</v>
      </c>
      <c r="D1060" t="s">
        <v>155</v>
      </c>
      <c r="E1060" s="1"/>
      <c r="F1060" s="1">
        <v>46143</v>
      </c>
      <c r="G1060" s="1">
        <v>46508</v>
      </c>
      <c r="H1060" s="1">
        <v>46874</v>
      </c>
      <c r="I1060">
        <v>0</v>
      </c>
      <c r="J1060">
        <v>0</v>
      </c>
      <c r="K1060">
        <v>0</v>
      </c>
      <c r="L1060" t="s">
        <v>748</v>
      </c>
    </row>
    <row r="1061" spans="1:12" hidden="1" x14ac:dyDescent="0.3">
      <c r="A1061">
        <v>2036</v>
      </c>
      <c r="B1061" t="s">
        <v>381</v>
      </c>
      <c r="C1061" t="s">
        <v>382</v>
      </c>
      <c r="D1061" t="s">
        <v>291</v>
      </c>
      <c r="E1061" s="1"/>
      <c r="F1061" s="1"/>
      <c r="G1061" s="1"/>
      <c r="H1061" s="1"/>
      <c r="I1061">
        <v>0</v>
      </c>
      <c r="J1061">
        <v>0</v>
      </c>
      <c r="K1061">
        <v>0</v>
      </c>
      <c r="L1061" t="s">
        <v>748</v>
      </c>
    </row>
    <row r="1062" spans="1:12" hidden="1" x14ac:dyDescent="0.3">
      <c r="A1062">
        <v>2036</v>
      </c>
      <c r="B1062" t="s">
        <v>635</v>
      </c>
      <c r="C1062" t="s">
        <v>636</v>
      </c>
      <c r="D1062" t="s">
        <v>155</v>
      </c>
      <c r="E1062" s="1"/>
      <c r="F1062" s="1">
        <v>46266</v>
      </c>
      <c r="G1062" s="1">
        <v>46631</v>
      </c>
      <c r="H1062" s="1">
        <v>46997</v>
      </c>
      <c r="I1062">
        <v>0</v>
      </c>
      <c r="J1062">
        <v>0</v>
      </c>
      <c r="K1062">
        <v>0</v>
      </c>
      <c r="L1062" t="s">
        <v>748</v>
      </c>
    </row>
    <row r="1063" spans="1:12" hidden="1" x14ac:dyDescent="0.3">
      <c r="A1063">
        <v>2036</v>
      </c>
      <c r="B1063" t="s">
        <v>393</v>
      </c>
      <c r="C1063" t="s">
        <v>394</v>
      </c>
      <c r="D1063" t="s">
        <v>291</v>
      </c>
      <c r="E1063" s="1"/>
      <c r="F1063" s="1"/>
      <c r="G1063" s="1"/>
      <c r="H1063" s="1"/>
      <c r="I1063">
        <v>0</v>
      </c>
      <c r="J1063">
        <v>0</v>
      </c>
      <c r="K1063">
        <v>0</v>
      </c>
      <c r="L1063" t="s">
        <v>748</v>
      </c>
    </row>
    <row r="1064" spans="1:12" hidden="1" x14ac:dyDescent="0.3">
      <c r="A1064">
        <v>2036</v>
      </c>
      <c r="B1064" t="s">
        <v>396</v>
      </c>
      <c r="C1064" t="s">
        <v>397</v>
      </c>
      <c r="D1064" t="s">
        <v>155</v>
      </c>
      <c r="E1064" s="1">
        <v>46068</v>
      </c>
      <c r="F1064" s="1">
        <v>46371</v>
      </c>
      <c r="G1064" s="1">
        <v>46736</v>
      </c>
      <c r="H1064" s="1">
        <v>47102</v>
      </c>
      <c r="I1064">
        <v>0</v>
      </c>
      <c r="J1064">
        <v>0</v>
      </c>
      <c r="K1064">
        <v>0</v>
      </c>
      <c r="L1064" t="s">
        <v>748</v>
      </c>
    </row>
    <row r="1065" spans="1:12" hidden="1" x14ac:dyDescent="0.3">
      <c r="A1065">
        <v>2036</v>
      </c>
      <c r="B1065" t="s">
        <v>418</v>
      </c>
      <c r="C1065" t="s">
        <v>530</v>
      </c>
      <c r="D1065" t="s">
        <v>291</v>
      </c>
      <c r="E1065" s="1"/>
      <c r="F1065" s="1"/>
      <c r="G1065" s="1"/>
      <c r="H1065" s="1"/>
      <c r="I1065">
        <v>0</v>
      </c>
      <c r="J1065">
        <v>0</v>
      </c>
      <c r="K1065">
        <v>0</v>
      </c>
      <c r="L1065" t="s">
        <v>748</v>
      </c>
    </row>
    <row r="1066" spans="1:12" hidden="1" x14ac:dyDescent="0.3">
      <c r="A1066">
        <v>2036</v>
      </c>
      <c r="B1066" t="s">
        <v>422</v>
      </c>
      <c r="C1066" t="s">
        <v>423</v>
      </c>
      <c r="D1066" t="s">
        <v>291</v>
      </c>
      <c r="E1066" s="1"/>
      <c r="F1066" s="1"/>
      <c r="G1066" s="1"/>
      <c r="H1066" s="1"/>
      <c r="I1066">
        <v>0</v>
      </c>
      <c r="J1066">
        <v>0</v>
      </c>
      <c r="K1066">
        <v>0</v>
      </c>
      <c r="L1066" t="s">
        <v>748</v>
      </c>
    </row>
    <row r="1067" spans="1:12" hidden="1" x14ac:dyDescent="0.3">
      <c r="A1067">
        <v>2036</v>
      </c>
      <c r="B1067" t="s">
        <v>424</v>
      </c>
      <c r="C1067" t="s">
        <v>425</v>
      </c>
      <c r="D1067" t="s">
        <v>291</v>
      </c>
      <c r="E1067" s="1"/>
      <c r="F1067" s="1"/>
      <c r="G1067" s="1"/>
      <c r="H1067" s="1"/>
      <c r="I1067">
        <v>0</v>
      </c>
      <c r="J1067">
        <v>0</v>
      </c>
      <c r="K1067">
        <v>0</v>
      </c>
      <c r="L1067" t="s">
        <v>748</v>
      </c>
    </row>
    <row r="1068" spans="1:12" hidden="1" x14ac:dyDescent="0.3">
      <c r="A1068">
        <v>2036</v>
      </c>
      <c r="B1068" t="s">
        <v>428</v>
      </c>
      <c r="C1068" t="s">
        <v>429</v>
      </c>
      <c r="D1068" t="s">
        <v>291</v>
      </c>
      <c r="E1068" s="1"/>
      <c r="F1068" s="1"/>
      <c r="G1068" s="1"/>
      <c r="H1068" s="1"/>
      <c r="I1068">
        <v>0</v>
      </c>
      <c r="J1068">
        <v>0</v>
      </c>
      <c r="K1068">
        <v>0</v>
      </c>
      <c r="L1068" t="s">
        <v>748</v>
      </c>
    </row>
    <row r="1069" spans="1:12" hidden="1" x14ac:dyDescent="0.3">
      <c r="A1069">
        <v>2036</v>
      </c>
      <c r="B1069" t="s">
        <v>432</v>
      </c>
      <c r="C1069" t="s">
        <v>433</v>
      </c>
      <c r="D1069" t="s">
        <v>291</v>
      </c>
      <c r="E1069" s="1"/>
      <c r="F1069" s="1"/>
      <c r="G1069" s="1"/>
      <c r="H1069" s="1"/>
      <c r="I1069">
        <v>0</v>
      </c>
      <c r="J1069">
        <v>0</v>
      </c>
      <c r="K1069">
        <v>0</v>
      </c>
      <c r="L1069" t="s">
        <v>748</v>
      </c>
    </row>
    <row r="1070" spans="1:12" hidden="1" x14ac:dyDescent="0.3">
      <c r="A1070">
        <v>2036</v>
      </c>
      <c r="B1070" t="s">
        <v>426</v>
      </c>
      <c r="C1070" t="s">
        <v>527</v>
      </c>
      <c r="D1070" t="s">
        <v>155</v>
      </c>
      <c r="E1070" s="1">
        <v>45827</v>
      </c>
      <c r="F1070" s="1">
        <v>46249</v>
      </c>
      <c r="G1070" s="1">
        <v>46675</v>
      </c>
      <c r="H1070" s="1">
        <v>47041</v>
      </c>
      <c r="I1070">
        <v>0</v>
      </c>
      <c r="J1070">
        <v>0</v>
      </c>
      <c r="K1070">
        <v>0</v>
      </c>
      <c r="L1070" t="s">
        <v>748</v>
      </c>
    </row>
    <row r="1071" spans="1:12" hidden="1" x14ac:dyDescent="0.3">
      <c r="A1071">
        <v>2036</v>
      </c>
      <c r="B1071" t="s">
        <v>430</v>
      </c>
      <c r="C1071" t="s">
        <v>639</v>
      </c>
      <c r="D1071" t="s">
        <v>291</v>
      </c>
      <c r="E1071" s="1"/>
      <c r="F1071" s="1"/>
      <c r="G1071" s="1"/>
      <c r="H1071" s="1"/>
      <c r="I1071">
        <v>0</v>
      </c>
      <c r="J1071">
        <v>0</v>
      </c>
      <c r="K1071">
        <v>0</v>
      </c>
      <c r="L1071" t="s">
        <v>748</v>
      </c>
    </row>
    <row r="1072" spans="1:12" hidden="1" x14ac:dyDescent="0.3">
      <c r="A1072">
        <v>2036</v>
      </c>
      <c r="B1072" t="s">
        <v>436</v>
      </c>
      <c r="C1072" t="s">
        <v>437</v>
      </c>
      <c r="D1072" t="s">
        <v>291</v>
      </c>
      <c r="E1072" s="1"/>
      <c r="F1072" s="1"/>
      <c r="G1072" s="1"/>
      <c r="H1072" s="1"/>
      <c r="I1072">
        <v>0</v>
      </c>
      <c r="J1072">
        <v>0</v>
      </c>
      <c r="K1072">
        <v>0</v>
      </c>
      <c r="L1072" t="s">
        <v>748</v>
      </c>
    </row>
    <row r="1073" spans="1:12" hidden="1" x14ac:dyDescent="0.3">
      <c r="A1073">
        <v>2036</v>
      </c>
      <c r="B1073" t="s">
        <v>248</v>
      </c>
      <c r="C1073" t="s">
        <v>722</v>
      </c>
      <c r="D1073" t="s">
        <v>110</v>
      </c>
      <c r="E1073" s="1"/>
      <c r="F1073" s="1">
        <v>45476</v>
      </c>
      <c r="G1073" s="1">
        <v>46006</v>
      </c>
      <c r="H1073" s="1">
        <v>46006</v>
      </c>
      <c r="I1073">
        <v>0</v>
      </c>
      <c r="J1073">
        <v>0</v>
      </c>
      <c r="K1073">
        <v>0</v>
      </c>
      <c r="L1073" t="s">
        <v>748</v>
      </c>
    </row>
    <row r="1074" spans="1:12" hidden="1" x14ac:dyDescent="0.3">
      <c r="A1074">
        <v>2036</v>
      </c>
      <c r="B1074" t="s">
        <v>438</v>
      </c>
      <c r="C1074" t="s">
        <v>439</v>
      </c>
      <c r="D1074" t="s">
        <v>291</v>
      </c>
      <c r="E1074" s="1"/>
      <c r="F1074" s="1"/>
      <c r="G1074" s="1"/>
      <c r="H1074" s="1"/>
      <c r="I1074">
        <v>0</v>
      </c>
      <c r="J1074">
        <v>0</v>
      </c>
      <c r="K1074">
        <v>0</v>
      </c>
      <c r="L1074" t="s">
        <v>748</v>
      </c>
    </row>
    <row r="1075" spans="1:12" hidden="1" x14ac:dyDescent="0.3">
      <c r="A1075">
        <v>2036</v>
      </c>
      <c r="B1075" t="s">
        <v>157</v>
      </c>
      <c r="C1075" t="s">
        <v>158</v>
      </c>
      <c r="D1075" t="s">
        <v>155</v>
      </c>
      <c r="E1075" s="1"/>
      <c r="F1075" s="1">
        <v>45991</v>
      </c>
      <c r="G1075" s="1"/>
      <c r="H1075" s="1">
        <v>46249</v>
      </c>
      <c r="I1075">
        <v>0</v>
      </c>
      <c r="J1075">
        <v>0</v>
      </c>
      <c r="K1075">
        <v>0</v>
      </c>
      <c r="L1075" t="s">
        <v>748</v>
      </c>
    </row>
    <row r="1076" spans="1:12" hidden="1" x14ac:dyDescent="0.3">
      <c r="A1076">
        <v>2036</v>
      </c>
      <c r="B1076" t="s">
        <v>440</v>
      </c>
      <c r="C1076" t="s">
        <v>441</v>
      </c>
      <c r="D1076" t="s">
        <v>155</v>
      </c>
      <c r="E1076" s="1"/>
      <c r="F1076" s="1">
        <v>45992</v>
      </c>
      <c r="G1076" s="1"/>
      <c r="H1076" s="1">
        <v>45992</v>
      </c>
      <c r="I1076">
        <v>0</v>
      </c>
      <c r="J1076">
        <v>0</v>
      </c>
      <c r="K1076">
        <v>0</v>
      </c>
      <c r="L1076" t="s">
        <v>748</v>
      </c>
    </row>
    <row r="1077" spans="1:12" hidden="1" x14ac:dyDescent="0.3">
      <c r="A1077">
        <v>2036</v>
      </c>
      <c r="B1077" t="s">
        <v>442</v>
      </c>
      <c r="C1077" t="s">
        <v>526</v>
      </c>
      <c r="D1077" t="s">
        <v>291</v>
      </c>
      <c r="E1077" s="1"/>
      <c r="F1077" s="1"/>
      <c r="G1077" s="1"/>
      <c r="H1077" s="1"/>
      <c r="I1077">
        <v>0</v>
      </c>
      <c r="J1077">
        <v>0</v>
      </c>
      <c r="K1077">
        <v>0</v>
      </c>
      <c r="L1077" t="s">
        <v>748</v>
      </c>
    </row>
    <row r="1078" spans="1:12" hidden="1" x14ac:dyDescent="0.3">
      <c r="A1078">
        <v>2036</v>
      </c>
      <c r="B1078" t="s">
        <v>250</v>
      </c>
      <c r="C1078" t="s">
        <v>251</v>
      </c>
      <c r="D1078" t="s">
        <v>110</v>
      </c>
      <c r="E1078" s="1"/>
      <c r="F1078" s="1">
        <v>45490</v>
      </c>
      <c r="G1078" s="1"/>
      <c r="H1078" s="1">
        <v>46447</v>
      </c>
      <c r="I1078">
        <v>0</v>
      </c>
      <c r="J1078">
        <v>0</v>
      </c>
      <c r="K1078">
        <v>0</v>
      </c>
      <c r="L1078" t="s">
        <v>748</v>
      </c>
    </row>
    <row r="1079" spans="1:12" hidden="1" x14ac:dyDescent="0.3">
      <c r="A1079">
        <v>2036</v>
      </c>
      <c r="B1079" t="s">
        <v>253</v>
      </c>
      <c r="C1079" t="s">
        <v>254</v>
      </c>
      <c r="D1079" t="s">
        <v>291</v>
      </c>
      <c r="E1079" s="1"/>
      <c r="F1079" s="1"/>
      <c r="G1079" s="1"/>
      <c r="H1079" s="1"/>
      <c r="I1079">
        <v>0</v>
      </c>
      <c r="J1079">
        <v>0</v>
      </c>
      <c r="K1079">
        <v>0</v>
      </c>
      <c r="L1079" t="s">
        <v>748</v>
      </c>
    </row>
    <row r="1080" spans="1:12" hidden="1" x14ac:dyDescent="0.3">
      <c r="A1080">
        <v>2036</v>
      </c>
      <c r="B1080" t="s">
        <v>444</v>
      </c>
      <c r="C1080" t="s">
        <v>666</v>
      </c>
      <c r="D1080" t="s">
        <v>291</v>
      </c>
      <c r="E1080" s="1"/>
      <c r="F1080" s="1"/>
      <c r="G1080" s="1"/>
      <c r="H1080" s="1"/>
      <c r="I1080">
        <v>0</v>
      </c>
      <c r="J1080">
        <v>0</v>
      </c>
      <c r="K1080">
        <v>0</v>
      </c>
      <c r="L1080" t="s">
        <v>748</v>
      </c>
    </row>
    <row r="1081" spans="1:12" hidden="1" x14ac:dyDescent="0.3">
      <c r="A1081">
        <v>2036</v>
      </c>
      <c r="B1081" t="s">
        <v>446</v>
      </c>
      <c r="C1081" t="s">
        <v>447</v>
      </c>
      <c r="D1081" t="s">
        <v>291</v>
      </c>
      <c r="E1081" s="1"/>
      <c r="F1081" s="1"/>
      <c r="G1081" s="1"/>
      <c r="H1081" s="1"/>
      <c r="I1081">
        <v>0</v>
      </c>
      <c r="J1081">
        <v>0</v>
      </c>
      <c r="K1081">
        <v>0</v>
      </c>
      <c r="L1081" t="s">
        <v>748</v>
      </c>
    </row>
    <row r="1082" spans="1:12" hidden="1" x14ac:dyDescent="0.3">
      <c r="A1082">
        <v>2036</v>
      </c>
      <c r="B1082" t="s">
        <v>448</v>
      </c>
      <c r="C1082" t="s">
        <v>449</v>
      </c>
      <c r="D1082" t="s">
        <v>291</v>
      </c>
      <c r="E1082" s="1"/>
      <c r="F1082" s="1"/>
      <c r="G1082" s="1"/>
      <c r="H1082" s="1"/>
      <c r="I1082">
        <v>0</v>
      </c>
      <c r="J1082">
        <v>0</v>
      </c>
      <c r="K1082">
        <v>0</v>
      </c>
      <c r="L1082" t="s">
        <v>748</v>
      </c>
    </row>
    <row r="1083" spans="1:12" hidden="1" x14ac:dyDescent="0.3">
      <c r="A1083">
        <v>2036</v>
      </c>
      <c r="B1083" t="s">
        <v>255</v>
      </c>
      <c r="C1083" t="s">
        <v>529</v>
      </c>
      <c r="D1083" t="s">
        <v>291</v>
      </c>
      <c r="E1083" s="1"/>
      <c r="F1083" s="1"/>
      <c r="G1083" s="1"/>
      <c r="H1083" s="1">
        <v>46006</v>
      </c>
      <c r="I1083">
        <v>0</v>
      </c>
      <c r="J1083">
        <v>0</v>
      </c>
      <c r="K1083">
        <v>0</v>
      </c>
      <c r="L1083" t="s">
        <v>748</v>
      </c>
    </row>
    <row r="1084" spans="1:12" hidden="1" x14ac:dyDescent="0.3">
      <c r="A1084">
        <v>2036</v>
      </c>
      <c r="B1084" t="s">
        <v>259</v>
      </c>
      <c r="C1084" t="s">
        <v>260</v>
      </c>
      <c r="D1084" t="s">
        <v>291</v>
      </c>
      <c r="E1084" s="1"/>
      <c r="F1084" s="1"/>
      <c r="G1084" s="1"/>
      <c r="H1084" s="1"/>
      <c r="I1084">
        <v>0</v>
      </c>
      <c r="J1084">
        <v>0</v>
      </c>
      <c r="K1084">
        <v>0</v>
      </c>
      <c r="L1084" t="s">
        <v>749</v>
      </c>
    </row>
    <row r="1085" spans="1:12" hidden="1" x14ac:dyDescent="0.3">
      <c r="A1085">
        <v>2036</v>
      </c>
      <c r="B1085" t="s">
        <v>454</v>
      </c>
      <c r="C1085" t="s">
        <v>455</v>
      </c>
      <c r="D1085" t="s">
        <v>291</v>
      </c>
      <c r="E1085" s="1"/>
      <c r="F1085" s="1"/>
      <c r="G1085" s="1"/>
      <c r="H1085" s="1"/>
      <c r="I1085">
        <v>0</v>
      </c>
      <c r="J1085">
        <v>0</v>
      </c>
      <c r="K1085">
        <v>0</v>
      </c>
      <c r="L1085" t="s">
        <v>748</v>
      </c>
    </row>
    <row r="1086" spans="1:12" hidden="1" x14ac:dyDescent="0.3">
      <c r="A1086">
        <v>2036</v>
      </c>
      <c r="B1086" t="s">
        <v>456</v>
      </c>
      <c r="C1086" t="s">
        <v>457</v>
      </c>
      <c r="D1086" t="s">
        <v>291</v>
      </c>
      <c r="E1086" s="1"/>
      <c r="F1086" s="1"/>
      <c r="G1086" s="1"/>
      <c r="H1086" s="1"/>
      <c r="I1086">
        <v>0</v>
      </c>
      <c r="J1086">
        <v>0</v>
      </c>
      <c r="K1086">
        <v>0</v>
      </c>
      <c r="L1086" t="s">
        <v>748</v>
      </c>
    </row>
    <row r="1087" spans="1:12" hidden="1" x14ac:dyDescent="0.3">
      <c r="A1087">
        <v>2036</v>
      </c>
      <c r="B1087" t="s">
        <v>458</v>
      </c>
      <c r="C1087" t="s">
        <v>459</v>
      </c>
      <c r="D1087" t="s">
        <v>291</v>
      </c>
      <c r="E1087" s="1"/>
      <c r="F1087" s="1"/>
      <c r="G1087" s="1"/>
      <c r="H1087" s="1"/>
      <c r="I1087">
        <v>0</v>
      </c>
      <c r="J1087">
        <v>0</v>
      </c>
      <c r="K1087">
        <v>0</v>
      </c>
      <c r="L1087" t="s">
        <v>748</v>
      </c>
    </row>
    <row r="1088" spans="1:12" hidden="1" x14ac:dyDescent="0.3">
      <c r="A1088">
        <v>2036</v>
      </c>
      <c r="B1088" t="s">
        <v>460</v>
      </c>
      <c r="C1088" t="s">
        <v>461</v>
      </c>
      <c r="D1088" t="s">
        <v>291</v>
      </c>
      <c r="E1088" s="1"/>
      <c r="F1088" s="1"/>
      <c r="G1088" s="1"/>
      <c r="H1088" s="1"/>
      <c r="I1088">
        <v>0</v>
      </c>
      <c r="J1088">
        <v>0</v>
      </c>
      <c r="K1088">
        <v>0</v>
      </c>
      <c r="L1088" t="s">
        <v>748</v>
      </c>
    </row>
    <row r="1089" spans="1:12" hidden="1" x14ac:dyDescent="0.3">
      <c r="A1089">
        <v>2036</v>
      </c>
      <c r="B1089" t="s">
        <v>462</v>
      </c>
      <c r="C1089" t="s">
        <v>463</v>
      </c>
      <c r="D1089" t="s">
        <v>291</v>
      </c>
      <c r="E1089" s="1"/>
      <c r="F1089" s="1"/>
      <c r="G1089" s="1"/>
      <c r="H1089" s="1"/>
      <c r="I1089">
        <v>0</v>
      </c>
      <c r="J1089">
        <v>0</v>
      </c>
      <c r="K1089">
        <v>0</v>
      </c>
      <c r="L1089" t="s">
        <v>748</v>
      </c>
    </row>
    <row r="1090" spans="1:12" hidden="1" x14ac:dyDescent="0.3">
      <c r="A1090">
        <v>2036</v>
      </c>
      <c r="B1090" t="s">
        <v>464</v>
      </c>
      <c r="C1090" t="s">
        <v>465</v>
      </c>
      <c r="D1090" t="s">
        <v>291</v>
      </c>
      <c r="E1090" s="1"/>
      <c r="F1090" s="1"/>
      <c r="G1090" s="1"/>
      <c r="H1090" s="1"/>
      <c r="I1090">
        <v>0</v>
      </c>
      <c r="J1090">
        <v>0</v>
      </c>
      <c r="K1090">
        <v>0</v>
      </c>
      <c r="L1090" t="s">
        <v>748</v>
      </c>
    </row>
    <row r="1091" spans="1:12" hidden="1" x14ac:dyDescent="0.3">
      <c r="A1091">
        <v>2036</v>
      </c>
      <c r="B1091" t="s">
        <v>470</v>
      </c>
      <c r="C1091" t="s">
        <v>471</v>
      </c>
      <c r="D1091" t="s">
        <v>291</v>
      </c>
      <c r="E1091" s="1"/>
      <c r="F1091" s="1"/>
      <c r="G1091" s="1"/>
      <c r="H1091" s="1"/>
      <c r="I1091">
        <v>0</v>
      </c>
      <c r="J1091">
        <v>0</v>
      </c>
      <c r="K1091">
        <v>0</v>
      </c>
      <c r="L1091" t="s">
        <v>748</v>
      </c>
    </row>
    <row r="1092" spans="1:12" hidden="1" x14ac:dyDescent="0.3">
      <c r="A1092">
        <v>2036</v>
      </c>
      <c r="B1092" t="s">
        <v>474</v>
      </c>
      <c r="C1092" t="s">
        <v>637</v>
      </c>
      <c r="D1092" t="s">
        <v>291</v>
      </c>
      <c r="E1092" s="1"/>
      <c r="F1092" s="1"/>
      <c r="G1092" s="1"/>
      <c r="H1092" s="1"/>
      <c r="I1092">
        <v>0</v>
      </c>
      <c r="J1092">
        <v>0</v>
      </c>
      <c r="K1092">
        <v>0</v>
      </c>
      <c r="L1092" t="s">
        <v>748</v>
      </c>
    </row>
    <row r="1093" spans="1:12" hidden="1" x14ac:dyDescent="0.3">
      <c r="A1093">
        <v>2036</v>
      </c>
      <c r="B1093" t="s">
        <v>511</v>
      </c>
      <c r="C1093" t="s">
        <v>512</v>
      </c>
      <c r="D1093" t="s">
        <v>155</v>
      </c>
      <c r="E1093" s="1"/>
      <c r="F1093" s="1">
        <v>46006</v>
      </c>
      <c r="G1093" s="1">
        <v>46341</v>
      </c>
      <c r="H1093" s="1">
        <v>46706</v>
      </c>
      <c r="I1093">
        <v>0</v>
      </c>
      <c r="J1093">
        <v>0</v>
      </c>
      <c r="K1093">
        <v>0</v>
      </c>
      <c r="L1093" t="s">
        <v>748</v>
      </c>
    </row>
    <row r="1094" spans="1:12" hidden="1" x14ac:dyDescent="0.3">
      <c r="A1094">
        <v>2036</v>
      </c>
      <c r="B1094" t="s">
        <v>516</v>
      </c>
      <c r="C1094" t="s">
        <v>517</v>
      </c>
      <c r="D1094" t="s">
        <v>110</v>
      </c>
      <c r="E1094" s="1"/>
      <c r="F1094" s="1">
        <v>45904</v>
      </c>
      <c r="G1094" s="1"/>
      <c r="H1094" s="1">
        <v>46096</v>
      </c>
      <c r="I1094">
        <v>0</v>
      </c>
      <c r="J1094">
        <v>0</v>
      </c>
      <c r="K1094">
        <v>0</v>
      </c>
      <c r="L1094" t="s">
        <v>748</v>
      </c>
    </row>
    <row r="1095" spans="1:12" hidden="1" x14ac:dyDescent="0.3">
      <c r="A1095">
        <v>2036</v>
      </c>
      <c r="B1095" t="s">
        <v>518</v>
      </c>
      <c r="C1095" t="s">
        <v>519</v>
      </c>
      <c r="D1095" t="s">
        <v>155</v>
      </c>
      <c r="E1095" s="1"/>
      <c r="F1095" s="1">
        <v>46127</v>
      </c>
      <c r="G1095" s="1"/>
      <c r="H1095" s="1"/>
      <c r="I1095">
        <v>0</v>
      </c>
      <c r="J1095">
        <v>0</v>
      </c>
      <c r="K1095">
        <v>0</v>
      </c>
      <c r="L1095" t="s">
        <v>748</v>
      </c>
    </row>
    <row r="1096" spans="1:12" hidden="1" x14ac:dyDescent="0.3">
      <c r="A1096">
        <v>2036</v>
      </c>
      <c r="B1096" t="s">
        <v>522</v>
      </c>
      <c r="C1096" t="s">
        <v>523</v>
      </c>
      <c r="D1096" t="s">
        <v>291</v>
      </c>
      <c r="E1096" s="1"/>
      <c r="F1096" s="1"/>
      <c r="G1096" s="1"/>
      <c r="H1096" s="1"/>
      <c r="I1096">
        <v>0</v>
      </c>
      <c r="J1096">
        <v>0</v>
      </c>
      <c r="K1096">
        <v>0</v>
      </c>
      <c r="L1096" t="s">
        <v>748</v>
      </c>
    </row>
    <row r="1097" spans="1:12" hidden="1" x14ac:dyDescent="0.3">
      <c r="A1097">
        <v>2036</v>
      </c>
      <c r="B1097" t="s">
        <v>531</v>
      </c>
      <c r="C1097" t="s">
        <v>532</v>
      </c>
      <c r="D1097" t="s">
        <v>291</v>
      </c>
      <c r="E1097" s="1"/>
      <c r="F1097" s="1"/>
      <c r="G1097" s="1"/>
      <c r="H1097" s="1"/>
      <c r="I1097">
        <v>0</v>
      </c>
      <c r="J1097">
        <v>0</v>
      </c>
      <c r="K1097">
        <v>0</v>
      </c>
      <c r="L1097" t="s">
        <v>748</v>
      </c>
    </row>
    <row r="1098" spans="1:12" hidden="1" x14ac:dyDescent="0.3">
      <c r="A1098">
        <v>2036</v>
      </c>
      <c r="B1098" t="s">
        <v>543</v>
      </c>
      <c r="C1098" t="s">
        <v>544</v>
      </c>
      <c r="D1098" t="s">
        <v>123</v>
      </c>
      <c r="E1098" s="1"/>
      <c r="F1098" s="1">
        <v>45762</v>
      </c>
      <c r="G1098" s="1">
        <v>46096</v>
      </c>
      <c r="H1098" s="1">
        <v>46096</v>
      </c>
      <c r="I1098">
        <v>0</v>
      </c>
      <c r="J1098">
        <v>0</v>
      </c>
      <c r="K1098">
        <v>0</v>
      </c>
      <c r="L1098" t="s">
        <v>748</v>
      </c>
    </row>
    <row r="1099" spans="1:12" hidden="1" x14ac:dyDescent="0.3">
      <c r="A1099">
        <v>2036</v>
      </c>
      <c r="B1099" t="s">
        <v>597</v>
      </c>
      <c r="C1099" t="s">
        <v>598</v>
      </c>
      <c r="D1099" t="s">
        <v>291</v>
      </c>
      <c r="E1099" s="1"/>
      <c r="F1099" s="1"/>
      <c r="G1099" s="1"/>
      <c r="H1099" s="1"/>
      <c r="I1099">
        <v>0</v>
      </c>
      <c r="J1099">
        <v>0</v>
      </c>
      <c r="K1099">
        <v>0</v>
      </c>
      <c r="L1099" t="s">
        <v>748</v>
      </c>
    </row>
    <row r="1100" spans="1:12" hidden="1" x14ac:dyDescent="0.3">
      <c r="A1100">
        <v>2036</v>
      </c>
      <c r="B1100" t="s">
        <v>601</v>
      </c>
      <c r="C1100" t="s">
        <v>602</v>
      </c>
      <c r="D1100" t="s">
        <v>291</v>
      </c>
      <c r="E1100" s="1"/>
      <c r="F1100" s="1"/>
      <c r="G1100" s="1"/>
      <c r="H1100" s="1"/>
      <c r="I1100">
        <v>0</v>
      </c>
      <c r="J1100">
        <v>0</v>
      </c>
      <c r="K1100">
        <v>0</v>
      </c>
      <c r="L1100" t="s">
        <v>748</v>
      </c>
    </row>
    <row r="1101" spans="1:12" hidden="1" x14ac:dyDescent="0.3">
      <c r="A1101">
        <v>2036</v>
      </c>
      <c r="B1101" t="s">
        <v>606</v>
      </c>
      <c r="C1101" t="s">
        <v>607</v>
      </c>
      <c r="D1101" t="s">
        <v>291</v>
      </c>
      <c r="E1101" s="1"/>
      <c r="F1101" s="1"/>
      <c r="G1101" s="1"/>
      <c r="H1101" s="1"/>
      <c r="I1101">
        <v>0</v>
      </c>
      <c r="J1101">
        <v>0</v>
      </c>
      <c r="K1101">
        <v>0</v>
      </c>
      <c r="L1101" t="s">
        <v>748</v>
      </c>
    </row>
    <row r="1102" spans="1:12" hidden="1" x14ac:dyDescent="0.3">
      <c r="A1102">
        <v>2036</v>
      </c>
      <c r="B1102" t="s">
        <v>647</v>
      </c>
      <c r="C1102" t="s">
        <v>648</v>
      </c>
      <c r="D1102" t="s">
        <v>291</v>
      </c>
      <c r="E1102" s="1"/>
      <c r="F1102" s="1"/>
      <c r="G1102" s="1"/>
      <c r="H1102" s="1"/>
      <c r="I1102">
        <v>0</v>
      </c>
      <c r="J1102">
        <v>0</v>
      </c>
      <c r="K1102">
        <v>0</v>
      </c>
      <c r="L1102" t="s">
        <v>748</v>
      </c>
    </row>
    <row r="1103" spans="1:12" hidden="1" x14ac:dyDescent="0.3">
      <c r="A1103">
        <v>2036</v>
      </c>
      <c r="B1103" t="s">
        <v>649</v>
      </c>
      <c r="C1103" t="s">
        <v>650</v>
      </c>
      <c r="D1103" t="s">
        <v>291</v>
      </c>
      <c r="E1103" s="1"/>
      <c r="F1103" s="1"/>
      <c r="G1103" s="1"/>
      <c r="H1103" s="1"/>
      <c r="I1103">
        <v>0</v>
      </c>
      <c r="J1103">
        <v>0</v>
      </c>
      <c r="K1103">
        <v>0</v>
      </c>
      <c r="L1103" t="s">
        <v>748</v>
      </c>
    </row>
    <row r="1104" spans="1:12" hidden="1" x14ac:dyDescent="0.3">
      <c r="A1104">
        <v>2036</v>
      </c>
      <c r="B1104" t="s">
        <v>651</v>
      </c>
      <c r="C1104" t="s">
        <v>652</v>
      </c>
      <c r="D1104" t="s">
        <v>291</v>
      </c>
      <c r="E1104" s="1"/>
      <c r="F1104" s="1"/>
      <c r="G1104" s="1"/>
      <c r="H1104" s="1"/>
      <c r="I1104">
        <v>0</v>
      </c>
      <c r="J1104">
        <v>0</v>
      </c>
      <c r="K1104">
        <v>0</v>
      </c>
      <c r="L1104" t="s">
        <v>748</v>
      </c>
    </row>
    <row r="1105" spans="1:12" hidden="1" x14ac:dyDescent="0.3">
      <c r="A1105">
        <v>2036</v>
      </c>
      <c r="B1105" t="s">
        <v>653</v>
      </c>
      <c r="C1105" t="s">
        <v>654</v>
      </c>
      <c r="D1105" t="s">
        <v>291</v>
      </c>
      <c r="E1105" s="1"/>
      <c r="F1105" s="1"/>
      <c r="G1105" s="1"/>
      <c r="H1105" s="1"/>
      <c r="I1105">
        <v>0</v>
      </c>
      <c r="J1105">
        <v>0</v>
      </c>
      <c r="K1105">
        <v>0</v>
      </c>
      <c r="L1105" t="s">
        <v>748</v>
      </c>
    </row>
    <row r="1106" spans="1:12" hidden="1" x14ac:dyDescent="0.3">
      <c r="A1106">
        <v>2036</v>
      </c>
      <c r="B1106" t="s">
        <v>712</v>
      </c>
      <c r="C1106" t="s">
        <v>686</v>
      </c>
      <c r="E1106" s="1"/>
      <c r="F1106" s="1"/>
      <c r="G1106" s="1"/>
      <c r="H1106" s="1"/>
      <c r="I1106">
        <v>0</v>
      </c>
      <c r="J1106">
        <v>0</v>
      </c>
      <c r="K1106">
        <v>0</v>
      </c>
      <c r="L1106" t="s">
        <v>748</v>
      </c>
    </row>
    <row r="1107" spans="1:12" hidden="1" x14ac:dyDescent="0.3">
      <c r="A1107">
        <v>2036</v>
      </c>
      <c r="B1107" t="s">
        <v>713</v>
      </c>
      <c r="C1107" t="s">
        <v>693</v>
      </c>
      <c r="E1107" s="1"/>
      <c r="F1107" s="1"/>
      <c r="G1107" s="1"/>
      <c r="H1107" s="1"/>
      <c r="I1107">
        <v>0</v>
      </c>
      <c r="J1107">
        <v>0</v>
      </c>
      <c r="K1107">
        <v>0</v>
      </c>
      <c r="L1107" t="s">
        <v>748</v>
      </c>
    </row>
    <row r="1108" spans="1:12" hidden="1" x14ac:dyDescent="0.3">
      <c r="A1108">
        <v>2036</v>
      </c>
      <c r="B1108" t="s">
        <v>714</v>
      </c>
      <c r="C1108" t="s">
        <v>697</v>
      </c>
      <c r="E1108" s="1"/>
      <c r="F1108" s="1"/>
      <c r="G1108" s="1"/>
      <c r="H1108" s="1"/>
      <c r="I1108">
        <v>0</v>
      </c>
      <c r="J1108">
        <v>0</v>
      </c>
      <c r="K1108">
        <v>0</v>
      </c>
      <c r="L1108" t="s">
        <v>748</v>
      </c>
    </row>
    <row r="1109" spans="1:12" hidden="1" x14ac:dyDescent="0.3">
      <c r="A1109">
        <v>2036</v>
      </c>
      <c r="B1109" t="s">
        <v>715</v>
      </c>
      <c r="C1109" t="s">
        <v>694</v>
      </c>
      <c r="E1109" s="1"/>
      <c r="F1109" s="1"/>
      <c r="G1109" s="1"/>
      <c r="H1109" s="1"/>
      <c r="I1109">
        <v>0</v>
      </c>
      <c r="J1109">
        <v>0</v>
      </c>
      <c r="K1109">
        <v>0</v>
      </c>
      <c r="L1109" t="s">
        <v>748</v>
      </c>
    </row>
    <row r="1110" spans="1:12" hidden="1" x14ac:dyDescent="0.3">
      <c r="A1110">
        <v>2036</v>
      </c>
      <c r="B1110" t="s">
        <v>716</v>
      </c>
      <c r="C1110" t="s">
        <v>702</v>
      </c>
      <c r="E1110" s="1"/>
      <c r="F1110" s="1"/>
      <c r="G1110" s="1"/>
      <c r="H1110" s="1"/>
      <c r="I1110">
        <v>0</v>
      </c>
      <c r="J1110">
        <v>0</v>
      </c>
      <c r="K1110">
        <v>0</v>
      </c>
      <c r="L1110" t="s">
        <v>748</v>
      </c>
    </row>
    <row r="1111" spans="1:12" hidden="1" x14ac:dyDescent="0.3">
      <c r="A1111">
        <v>2036</v>
      </c>
      <c r="B1111" t="s">
        <v>717</v>
      </c>
      <c r="C1111" t="s">
        <v>695</v>
      </c>
      <c r="E1111" s="1"/>
      <c r="F1111" s="1"/>
      <c r="G1111" s="1"/>
      <c r="H1111" s="1"/>
      <c r="I1111">
        <v>0</v>
      </c>
      <c r="J1111">
        <v>0</v>
      </c>
      <c r="K1111">
        <v>0</v>
      </c>
      <c r="L1111" t="s">
        <v>748</v>
      </c>
    </row>
    <row r="1112" spans="1:12" hidden="1" x14ac:dyDescent="0.3">
      <c r="A1112">
        <v>2036</v>
      </c>
      <c r="B1112" t="s">
        <v>718</v>
      </c>
      <c r="C1112" t="s">
        <v>696</v>
      </c>
      <c r="E1112" s="1"/>
      <c r="F1112" s="1"/>
      <c r="G1112" s="1"/>
      <c r="H1112" s="1"/>
      <c r="I1112">
        <v>0</v>
      </c>
      <c r="J1112">
        <v>0</v>
      </c>
      <c r="K1112">
        <v>0</v>
      </c>
      <c r="L1112" t="s">
        <v>748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0565-94AF-4093-BB2E-755B3AC7AEEF}">
  <dimension ref="A1:Q130"/>
  <sheetViews>
    <sheetView topLeftCell="B3" zoomScaleNormal="100" workbookViewId="0">
      <selection activeCell="I87" sqref="I87"/>
    </sheetView>
  </sheetViews>
  <sheetFormatPr baseColWidth="10" defaultColWidth="11.44140625" defaultRowHeight="14.4" outlineLevelCol="1" x14ac:dyDescent="0.3"/>
  <cols>
    <col min="1" max="1" width="14.33203125" customWidth="1" outlineLevel="1"/>
    <col min="2" max="2" width="17.6640625" customWidth="1" outlineLevel="1"/>
    <col min="3" max="3" width="12.88671875" customWidth="1" outlineLevel="1"/>
    <col min="4" max="4" width="9.6640625" customWidth="1" outlineLevel="1"/>
    <col min="5" max="5" width="15.88671875" customWidth="1" outlineLevel="1"/>
    <col min="6" max="6" width="16" customWidth="1" outlineLevel="1"/>
    <col min="7" max="7" width="16.109375" customWidth="1" outlineLevel="1"/>
    <col min="8" max="8" width="12.44140625" customWidth="1" outlineLevel="1"/>
    <col min="9" max="9" width="17" customWidth="1" outlineLevel="1"/>
    <col min="10" max="10" width="14.33203125" customWidth="1"/>
    <col min="11" max="11" width="19.33203125" bestFit="1" customWidth="1"/>
    <col min="12" max="12" width="80.6640625" customWidth="1" collapsed="1"/>
    <col min="13" max="13" width="29.88671875" bestFit="1" customWidth="1"/>
    <col min="14" max="14" width="10" customWidth="1"/>
    <col min="15" max="15" width="23" customWidth="1"/>
    <col min="16" max="16" width="13.88671875" customWidth="1"/>
    <col min="17" max="17" width="14.88671875" customWidth="1"/>
    <col min="18" max="18" width="13.5546875" customWidth="1"/>
    <col min="19" max="19" width="18" customWidth="1"/>
    <col min="20" max="20" width="17" customWidth="1"/>
    <col min="21" max="21" width="16.6640625" bestFit="1" customWidth="1"/>
    <col min="22" max="31" width="11.33203125" customWidth="1"/>
    <col min="32" max="32" width="12.5546875" customWidth="1"/>
    <col min="33" max="33" width="13.44140625" customWidth="1"/>
    <col min="34" max="34" width="13.109375" customWidth="1"/>
    <col min="35" max="35" width="14" customWidth="1"/>
    <col min="36" max="41" width="17.33203125" customWidth="1"/>
    <col min="42" max="42" width="18.109375" customWidth="1"/>
    <col min="43" max="43" width="17.5546875" customWidth="1"/>
  </cols>
  <sheetData>
    <row r="1" spans="1:17" ht="52.2" hidden="1" x14ac:dyDescent="0.3">
      <c r="C1" s="222" t="s">
        <v>667</v>
      </c>
    </row>
    <row r="2" spans="1:17" ht="87" hidden="1" x14ac:dyDescent="0.3">
      <c r="C2" s="223" t="s">
        <v>668</v>
      </c>
    </row>
    <row r="3" spans="1:17" ht="18" x14ac:dyDescent="0.3">
      <c r="C3" s="224"/>
      <c r="E3" t="s">
        <v>669</v>
      </c>
    </row>
    <row r="4" spans="1:17" ht="18" x14ac:dyDescent="0.3">
      <c r="C4" s="224"/>
      <c r="F4" t="s">
        <v>674</v>
      </c>
    </row>
    <row r="5" spans="1:17" x14ac:dyDescent="0.3">
      <c r="F5" t="s">
        <v>675</v>
      </c>
    </row>
    <row r="6" spans="1:17" x14ac:dyDescent="0.3">
      <c r="F6" t="s">
        <v>673</v>
      </c>
    </row>
    <row r="9" spans="1:17" x14ac:dyDescent="0.3">
      <c r="E9" t="s">
        <v>670</v>
      </c>
    </row>
    <row r="10" spans="1:17" x14ac:dyDescent="0.3">
      <c r="F10" t="s">
        <v>679</v>
      </c>
    </row>
    <row r="11" spans="1:17" x14ac:dyDescent="0.3">
      <c r="F11" t="s">
        <v>672</v>
      </c>
    </row>
    <row r="12" spans="1:17" x14ac:dyDescent="0.3">
      <c r="F12" t="s">
        <v>671</v>
      </c>
    </row>
    <row r="15" spans="1:17" s="11" customFormat="1" ht="75.599999999999994" customHeight="1" x14ac:dyDescent="0.3">
      <c r="A15" s="11" t="s">
        <v>273</v>
      </c>
      <c r="B15" s="11" t="s">
        <v>661</v>
      </c>
      <c r="C15" s="11" t="s">
        <v>274</v>
      </c>
      <c r="D15" s="11" t="s">
        <v>37</v>
      </c>
      <c r="E15" s="11" t="s">
        <v>38</v>
      </c>
      <c r="F15" s="11" t="s">
        <v>39</v>
      </c>
      <c r="G15" s="11" t="s">
        <v>40</v>
      </c>
      <c r="H15" s="11" t="s">
        <v>41</v>
      </c>
      <c r="I15" s="11" t="s">
        <v>42</v>
      </c>
      <c r="J15" s="11" t="s">
        <v>44</v>
      </c>
      <c r="K15" s="11" t="s">
        <v>45</v>
      </c>
      <c r="L15" s="11" t="s">
        <v>46</v>
      </c>
      <c r="M15" s="11" t="s">
        <v>47</v>
      </c>
      <c r="N15" s="11" t="s">
        <v>48</v>
      </c>
      <c r="O15" s="11" t="s">
        <v>49</v>
      </c>
      <c r="P15" s="11" t="s">
        <v>73</v>
      </c>
      <c r="Q15" s="11" t="s">
        <v>680</v>
      </c>
    </row>
    <row r="16" spans="1:17" hidden="1" x14ac:dyDescent="0.3">
      <c r="A16" t="s">
        <v>286</v>
      </c>
      <c r="B16" t="s">
        <v>664</v>
      </c>
      <c r="D16" t="s">
        <v>101</v>
      </c>
      <c r="E16" t="s">
        <v>102</v>
      </c>
      <c r="F16" t="s">
        <v>103</v>
      </c>
      <c r="G16" t="s">
        <v>104</v>
      </c>
      <c r="H16" t="s">
        <v>16</v>
      </c>
      <c r="I16" t="s">
        <v>16</v>
      </c>
      <c r="J16" t="s">
        <v>105</v>
      </c>
      <c r="K16">
        <v>154101261</v>
      </c>
      <c r="L16" t="s">
        <v>216</v>
      </c>
      <c r="M16" t="s">
        <v>217</v>
      </c>
      <c r="N16" s="2" t="s">
        <v>148</v>
      </c>
      <c r="O16" t="s">
        <v>164</v>
      </c>
      <c r="P16" s="2">
        <f>_xlfn.XLOOKUP(Portefeuille_MNT_PPS_Access27[[#This Row],[Numéro projet]],Tableau5[Numéro projet],Tableau5[Critère Etat Infrastructure])</f>
        <v>4</v>
      </c>
    </row>
    <row r="17" spans="1:16" hidden="1" x14ac:dyDescent="0.3">
      <c r="A17" t="s">
        <v>286</v>
      </c>
      <c r="B17" t="s">
        <v>662</v>
      </c>
      <c r="D17" t="s">
        <v>118</v>
      </c>
      <c r="E17" t="s">
        <v>102</v>
      </c>
      <c r="F17" t="s">
        <v>136</v>
      </c>
      <c r="G17" t="s">
        <v>129</v>
      </c>
      <c r="H17" t="s">
        <v>16</v>
      </c>
      <c r="I17" t="s">
        <v>16</v>
      </c>
      <c r="J17" t="s">
        <v>131</v>
      </c>
      <c r="K17">
        <v>154101520</v>
      </c>
      <c r="L17" t="s">
        <v>219</v>
      </c>
      <c r="M17" t="s">
        <v>152</v>
      </c>
      <c r="N17" t="s">
        <v>148</v>
      </c>
      <c r="O17" t="s">
        <v>164</v>
      </c>
      <c r="P17" s="2">
        <f>_xlfn.XLOOKUP(Portefeuille_MNT_PPS_Access27[[#This Row],[Numéro projet]],Tableau5[Numéro projet],Tableau5[Critère Etat Infrastructure])</f>
        <v>5</v>
      </c>
    </row>
    <row r="18" spans="1:16" hidden="1" x14ac:dyDescent="0.3">
      <c r="A18" t="s">
        <v>286</v>
      </c>
      <c r="B18" t="s">
        <v>664</v>
      </c>
      <c r="D18" t="s">
        <v>101</v>
      </c>
      <c r="E18" t="s">
        <v>102</v>
      </c>
      <c r="F18" t="s">
        <v>128</v>
      </c>
      <c r="G18" t="s">
        <v>113</v>
      </c>
      <c r="H18" t="s">
        <v>16</v>
      </c>
      <c r="I18" t="s">
        <v>16</v>
      </c>
      <c r="J18" t="s">
        <v>105</v>
      </c>
      <c r="K18">
        <v>154171105</v>
      </c>
      <c r="L18" t="s">
        <v>161</v>
      </c>
      <c r="M18" t="s">
        <v>122</v>
      </c>
      <c r="N18" t="s">
        <v>148</v>
      </c>
      <c r="O18" t="s">
        <v>164</v>
      </c>
      <c r="P18" s="2">
        <f>_xlfn.XLOOKUP(Portefeuille_MNT_PPS_Access27[[#This Row],[Numéro projet]],Tableau5[Numéro projet],Tableau5[Critère Etat Infrastructure])</f>
        <v>0</v>
      </c>
    </row>
    <row r="19" spans="1:16" hidden="1" x14ac:dyDescent="0.3">
      <c r="A19" t="s">
        <v>286</v>
      </c>
      <c r="B19" t="s">
        <v>664</v>
      </c>
      <c r="D19" t="s">
        <v>101</v>
      </c>
      <c r="E19" t="s">
        <v>102</v>
      </c>
      <c r="F19" t="s">
        <v>103</v>
      </c>
      <c r="G19" t="s">
        <v>140</v>
      </c>
      <c r="H19" t="s">
        <v>16</v>
      </c>
      <c r="I19" t="s">
        <v>16</v>
      </c>
      <c r="J19" t="s">
        <v>105</v>
      </c>
      <c r="K19">
        <v>154171517</v>
      </c>
      <c r="L19" t="s">
        <v>175</v>
      </c>
      <c r="M19" t="s">
        <v>143</v>
      </c>
      <c r="N19" t="s">
        <v>148</v>
      </c>
      <c r="O19" t="s">
        <v>164</v>
      </c>
      <c r="P19" s="2">
        <f>_xlfn.XLOOKUP(Portefeuille_MNT_PPS_Access27[[#This Row],[Numéro projet]],Tableau5[Numéro projet],Tableau5[Critère Etat Infrastructure])</f>
        <v>4</v>
      </c>
    </row>
    <row r="20" spans="1:16" hidden="1" x14ac:dyDescent="0.3">
      <c r="A20" t="s">
        <v>286</v>
      </c>
      <c r="B20" t="s">
        <v>663</v>
      </c>
      <c r="D20" t="s">
        <v>101</v>
      </c>
      <c r="E20" t="s">
        <v>102</v>
      </c>
      <c r="F20" t="s">
        <v>177</v>
      </c>
      <c r="G20" t="s">
        <v>129</v>
      </c>
      <c r="H20" t="s">
        <v>16</v>
      </c>
      <c r="I20" t="s">
        <v>16</v>
      </c>
      <c r="J20" t="s">
        <v>131</v>
      </c>
      <c r="K20">
        <v>154180922</v>
      </c>
      <c r="L20" t="s">
        <v>179</v>
      </c>
      <c r="M20" t="s">
        <v>180</v>
      </c>
      <c r="N20" t="s">
        <v>148</v>
      </c>
      <c r="O20" t="s">
        <v>164</v>
      </c>
      <c r="P20" s="2">
        <f>_xlfn.XLOOKUP(Portefeuille_MNT_PPS_Access27[[#This Row],[Numéro projet]],Tableau5[Numéro projet],Tableau5[Critère Etat Infrastructure])</f>
        <v>0</v>
      </c>
    </row>
    <row r="21" spans="1:16" hidden="1" x14ac:dyDescent="0.3">
      <c r="A21" t="s">
        <v>286</v>
      </c>
      <c r="B21" t="s">
        <v>662</v>
      </c>
      <c r="D21" t="s">
        <v>118</v>
      </c>
      <c r="E21" t="s">
        <v>102</v>
      </c>
      <c r="F21" t="s">
        <v>103</v>
      </c>
      <c r="G21" t="s">
        <v>149</v>
      </c>
      <c r="H21" t="s">
        <v>16</v>
      </c>
      <c r="I21" t="s">
        <v>16</v>
      </c>
      <c r="J21" t="s">
        <v>131</v>
      </c>
      <c r="K21">
        <v>154190478</v>
      </c>
      <c r="L21" t="s">
        <v>193</v>
      </c>
      <c r="M21" t="s">
        <v>194</v>
      </c>
      <c r="N21" t="s">
        <v>148</v>
      </c>
      <c r="O21" t="s">
        <v>164</v>
      </c>
      <c r="P21" s="2">
        <f>_xlfn.XLOOKUP(Portefeuille_MNT_PPS_Access27[[#This Row],[Numéro projet]],Tableau5[Numéro projet],Tableau5[Critère Etat Infrastructure])</f>
        <v>5</v>
      </c>
    </row>
    <row r="22" spans="1:16" hidden="1" x14ac:dyDescent="0.3">
      <c r="A22" t="s">
        <v>286</v>
      </c>
      <c r="B22" t="s">
        <v>664</v>
      </c>
      <c r="D22" t="s">
        <v>101</v>
      </c>
      <c r="E22" t="s">
        <v>102</v>
      </c>
      <c r="F22" t="s">
        <v>103</v>
      </c>
      <c r="G22" t="s">
        <v>149</v>
      </c>
      <c r="H22" t="s">
        <v>16</v>
      </c>
      <c r="I22" t="s">
        <v>16</v>
      </c>
      <c r="J22" t="s">
        <v>105</v>
      </c>
      <c r="K22">
        <v>154190480</v>
      </c>
      <c r="L22" t="s">
        <v>229</v>
      </c>
      <c r="M22" t="s">
        <v>230</v>
      </c>
      <c r="N22" t="s">
        <v>148</v>
      </c>
      <c r="O22" t="s">
        <v>164</v>
      </c>
      <c r="P22" s="2">
        <f>_xlfn.XLOOKUP(Portefeuille_MNT_PPS_Access27[[#This Row],[Numéro projet]],Tableau5[Numéro projet],Tableau5[Critère Etat Infrastructure])</f>
        <v>4</v>
      </c>
    </row>
    <row r="23" spans="1:16" hidden="1" x14ac:dyDescent="0.3">
      <c r="A23" t="s">
        <v>286</v>
      </c>
      <c r="B23" t="s">
        <v>662</v>
      </c>
      <c r="D23" t="s">
        <v>118</v>
      </c>
      <c r="E23" t="s">
        <v>102</v>
      </c>
      <c r="F23" t="s">
        <v>119</v>
      </c>
      <c r="G23" t="s">
        <v>113</v>
      </c>
      <c r="H23" t="s">
        <v>16</v>
      </c>
      <c r="I23" t="s">
        <v>16</v>
      </c>
      <c r="J23" t="s">
        <v>105</v>
      </c>
      <c r="K23">
        <v>154230987</v>
      </c>
      <c r="L23" t="s">
        <v>289</v>
      </c>
      <c r="M23" t="s">
        <v>122</v>
      </c>
      <c r="N23" t="s">
        <v>148</v>
      </c>
      <c r="O23" t="s">
        <v>164</v>
      </c>
      <c r="P23" s="2">
        <f>_xlfn.XLOOKUP(Portefeuille_MNT_PPS_Access27[[#This Row],[Numéro projet]],Tableau5[Numéro projet],Tableau5[Critère Etat Infrastructure])</f>
        <v>5</v>
      </c>
    </row>
    <row r="24" spans="1:16" hidden="1" x14ac:dyDescent="0.3">
      <c r="A24" t="s">
        <v>286</v>
      </c>
      <c r="B24" t="s">
        <v>295</v>
      </c>
      <c r="D24" t="s">
        <v>126</v>
      </c>
      <c r="E24" t="s">
        <v>127</v>
      </c>
      <c r="F24" t="s">
        <v>128</v>
      </c>
      <c r="G24" t="s">
        <v>252</v>
      </c>
      <c r="H24" t="s">
        <v>16</v>
      </c>
      <c r="I24" t="s">
        <v>16</v>
      </c>
      <c r="J24" t="s">
        <v>131</v>
      </c>
      <c r="K24">
        <v>154240500</v>
      </c>
      <c r="L24" t="s">
        <v>260</v>
      </c>
      <c r="M24" t="s">
        <v>159</v>
      </c>
      <c r="N24" t="s">
        <v>148</v>
      </c>
      <c r="O24" t="s">
        <v>291</v>
      </c>
      <c r="P24" s="2">
        <v>4</v>
      </c>
    </row>
    <row r="25" spans="1:16" hidden="1" x14ac:dyDescent="0.3">
      <c r="A25" t="s">
        <v>286</v>
      </c>
      <c r="B25" t="s">
        <v>295</v>
      </c>
      <c r="D25" t="s">
        <v>126</v>
      </c>
      <c r="E25" t="s">
        <v>127</v>
      </c>
      <c r="F25" t="s">
        <v>136</v>
      </c>
      <c r="G25" t="s">
        <v>104</v>
      </c>
      <c r="H25" t="s">
        <v>16</v>
      </c>
      <c r="I25" t="s">
        <v>16</v>
      </c>
      <c r="J25" t="s">
        <v>105</v>
      </c>
      <c r="K25">
        <v>154061996</v>
      </c>
      <c r="L25" t="s">
        <v>163</v>
      </c>
      <c r="M25" t="s">
        <v>122</v>
      </c>
      <c r="N25" t="s">
        <v>148</v>
      </c>
      <c r="O25" t="s">
        <v>164</v>
      </c>
      <c r="P25" s="2">
        <f>_xlfn.XLOOKUP(Portefeuille_MNT_PPS_Access27[[#This Row],[Numéro projet]],Tableau5[Numéro projet],Tableau5[Critère Etat Infrastructure])</f>
        <v>0</v>
      </c>
    </row>
    <row r="26" spans="1:16" hidden="1" x14ac:dyDescent="0.3">
      <c r="A26" t="s">
        <v>286</v>
      </c>
      <c r="B26" t="s">
        <v>664</v>
      </c>
      <c r="D26" t="s">
        <v>101</v>
      </c>
      <c r="E26" t="s">
        <v>102</v>
      </c>
      <c r="F26" t="s">
        <v>103</v>
      </c>
      <c r="H26" t="s">
        <v>16</v>
      </c>
      <c r="I26" t="s">
        <v>16</v>
      </c>
      <c r="J26" t="s">
        <v>105</v>
      </c>
      <c r="K26">
        <v>154150340</v>
      </c>
      <c r="L26" t="s">
        <v>310</v>
      </c>
      <c r="M26" t="s">
        <v>108</v>
      </c>
      <c r="N26" s="2" t="s">
        <v>148</v>
      </c>
      <c r="O26" t="s">
        <v>291</v>
      </c>
      <c r="P26" s="2">
        <f>_xlfn.XLOOKUP(Portefeuille_MNT_PPS_Access27[[#This Row],[Numéro projet]],Tableau5[Numéro projet],Tableau5[Critère Etat Infrastructure])</f>
        <v>0</v>
      </c>
    </row>
    <row r="27" spans="1:16" hidden="1" x14ac:dyDescent="0.3">
      <c r="A27" t="s">
        <v>286</v>
      </c>
      <c r="B27" t="s">
        <v>664</v>
      </c>
      <c r="D27" t="s">
        <v>101</v>
      </c>
      <c r="E27" t="s">
        <v>102</v>
      </c>
      <c r="F27" t="s">
        <v>103</v>
      </c>
      <c r="G27" t="s">
        <v>113</v>
      </c>
      <c r="H27" t="s">
        <v>16</v>
      </c>
      <c r="I27" t="s">
        <v>16</v>
      </c>
      <c r="J27" t="s">
        <v>105</v>
      </c>
      <c r="K27">
        <v>154160152</v>
      </c>
      <c r="L27" t="s">
        <v>313</v>
      </c>
      <c r="M27" t="s">
        <v>168</v>
      </c>
      <c r="N27" t="s">
        <v>148</v>
      </c>
      <c r="O27" t="s">
        <v>164</v>
      </c>
      <c r="P27" s="2">
        <f>_xlfn.XLOOKUP(Portefeuille_MNT_PPS_Access27[[#This Row],[Numéro projet]],Tableau5[Numéro projet],Tableau5[Critère Etat Infrastructure])</f>
        <v>2</v>
      </c>
    </row>
    <row r="28" spans="1:16" hidden="1" x14ac:dyDescent="0.3">
      <c r="A28" t="s">
        <v>286</v>
      </c>
      <c r="B28" t="s">
        <v>664</v>
      </c>
      <c r="D28" t="s">
        <v>101</v>
      </c>
      <c r="E28" t="s">
        <v>102</v>
      </c>
      <c r="F28" t="s">
        <v>103</v>
      </c>
      <c r="G28" t="s">
        <v>206</v>
      </c>
      <c r="H28" t="s">
        <v>16</v>
      </c>
      <c r="I28" t="s">
        <v>16</v>
      </c>
      <c r="J28" t="s">
        <v>105</v>
      </c>
      <c r="K28">
        <v>154160743</v>
      </c>
      <c r="L28" t="s">
        <v>315</v>
      </c>
      <c r="M28" t="s">
        <v>316</v>
      </c>
      <c r="N28" t="s">
        <v>148</v>
      </c>
      <c r="O28" t="s">
        <v>164</v>
      </c>
      <c r="P28" s="2">
        <f>_xlfn.XLOOKUP(Portefeuille_MNT_PPS_Access27[[#This Row],[Numéro projet]],Tableau5[Numéro projet],Tableau5[Critère Etat Infrastructure])</f>
        <v>4</v>
      </c>
    </row>
    <row r="29" spans="1:16" hidden="1" x14ac:dyDescent="0.3">
      <c r="A29" t="s">
        <v>286</v>
      </c>
      <c r="B29" t="s">
        <v>664</v>
      </c>
      <c r="D29" t="s">
        <v>101</v>
      </c>
      <c r="E29" t="s">
        <v>102</v>
      </c>
      <c r="F29" t="s">
        <v>200</v>
      </c>
      <c r="G29" t="s">
        <v>104</v>
      </c>
      <c r="H29" t="s">
        <v>16</v>
      </c>
      <c r="I29" t="s">
        <v>16</v>
      </c>
      <c r="J29" t="s">
        <v>105</v>
      </c>
      <c r="K29">
        <v>154180001</v>
      </c>
      <c r="L29" t="s">
        <v>331</v>
      </c>
      <c r="M29" t="s">
        <v>180</v>
      </c>
      <c r="N29" t="s">
        <v>148</v>
      </c>
      <c r="O29" t="s">
        <v>164</v>
      </c>
      <c r="P29" s="2">
        <f>_xlfn.XLOOKUP(Portefeuille_MNT_PPS_Access27[[#This Row],[Numéro projet]],Tableau5[Numéro projet],Tableau5[Critère Etat Infrastructure])</f>
        <v>0</v>
      </c>
    </row>
    <row r="30" spans="1:16" hidden="1" x14ac:dyDescent="0.3">
      <c r="A30" t="s">
        <v>286</v>
      </c>
      <c r="B30" t="s">
        <v>663</v>
      </c>
      <c r="D30" t="s">
        <v>101</v>
      </c>
      <c r="E30" t="s">
        <v>102</v>
      </c>
      <c r="F30" t="s">
        <v>119</v>
      </c>
      <c r="G30" t="s">
        <v>113</v>
      </c>
      <c r="H30" t="s">
        <v>16</v>
      </c>
      <c r="I30" t="s">
        <v>16</v>
      </c>
      <c r="J30" t="s">
        <v>105</v>
      </c>
      <c r="K30">
        <v>154180091</v>
      </c>
      <c r="L30" t="s">
        <v>333</v>
      </c>
      <c r="M30" t="s">
        <v>122</v>
      </c>
      <c r="N30" t="s">
        <v>148</v>
      </c>
      <c r="O30" t="s">
        <v>164</v>
      </c>
      <c r="P30" s="2">
        <f>_xlfn.XLOOKUP(Portefeuille_MNT_PPS_Access27[[#This Row],[Numéro projet]],Tableau5[Numéro projet],Tableau5[Critère Etat Infrastructure])</f>
        <v>5</v>
      </c>
    </row>
    <row r="31" spans="1:16" hidden="1" x14ac:dyDescent="0.3">
      <c r="A31" t="s">
        <v>286</v>
      </c>
      <c r="B31" t="s">
        <v>664</v>
      </c>
      <c r="D31" t="s">
        <v>101</v>
      </c>
      <c r="E31" t="s">
        <v>102</v>
      </c>
      <c r="F31" t="s">
        <v>200</v>
      </c>
      <c r="G31" t="s">
        <v>149</v>
      </c>
      <c r="H31" t="s">
        <v>16</v>
      </c>
      <c r="I31" t="s">
        <v>16</v>
      </c>
      <c r="J31" t="s">
        <v>105</v>
      </c>
      <c r="K31">
        <v>154180629</v>
      </c>
      <c r="L31" t="s">
        <v>335</v>
      </c>
      <c r="M31" t="s">
        <v>205</v>
      </c>
      <c r="N31" t="s">
        <v>148</v>
      </c>
      <c r="O31" t="s">
        <v>164</v>
      </c>
      <c r="P31" s="2">
        <f>_xlfn.XLOOKUP(Portefeuille_MNT_PPS_Access27[[#This Row],[Numéro projet]],Tableau5[Numéro projet],Tableau5[Critère Etat Infrastructure])</f>
        <v>0</v>
      </c>
    </row>
    <row r="32" spans="1:16" hidden="1" x14ac:dyDescent="0.3">
      <c r="A32" t="s">
        <v>286</v>
      </c>
      <c r="B32" t="s">
        <v>664</v>
      </c>
      <c r="D32" t="s">
        <v>101</v>
      </c>
      <c r="E32" t="s">
        <v>102</v>
      </c>
      <c r="F32" t="s">
        <v>200</v>
      </c>
      <c r="G32" t="s">
        <v>113</v>
      </c>
      <c r="H32" t="s">
        <v>16</v>
      </c>
      <c r="I32" t="s">
        <v>16</v>
      </c>
      <c r="J32" t="s">
        <v>131</v>
      </c>
      <c r="K32">
        <v>154190163</v>
      </c>
      <c r="L32" t="s">
        <v>337</v>
      </c>
      <c r="M32" t="s">
        <v>180</v>
      </c>
      <c r="N32" t="s">
        <v>148</v>
      </c>
      <c r="O32" t="s">
        <v>164</v>
      </c>
      <c r="P32" s="2">
        <f>_xlfn.XLOOKUP(Portefeuille_MNT_PPS_Access27[[#This Row],[Numéro projet]],Tableau5[Numéro projet],Tableau5[Critère Etat Infrastructure])</f>
        <v>5</v>
      </c>
    </row>
    <row r="33" spans="1:16" x14ac:dyDescent="0.3">
      <c r="A33" t="s">
        <v>286</v>
      </c>
      <c r="B33" t="s">
        <v>295</v>
      </c>
      <c r="D33" t="s">
        <v>126</v>
      </c>
      <c r="E33" t="s">
        <v>127</v>
      </c>
      <c r="F33" t="s">
        <v>128</v>
      </c>
      <c r="G33" t="s">
        <v>252</v>
      </c>
      <c r="H33" t="s">
        <v>16</v>
      </c>
      <c r="I33" t="s">
        <v>16</v>
      </c>
      <c r="J33" t="s">
        <v>131</v>
      </c>
      <c r="K33">
        <v>154240039</v>
      </c>
      <c r="L33" t="s">
        <v>254</v>
      </c>
      <c r="M33" t="s">
        <v>147</v>
      </c>
      <c r="N33" t="s">
        <v>148</v>
      </c>
      <c r="O33" t="s">
        <v>291</v>
      </c>
      <c r="P33" s="2">
        <v>4</v>
      </c>
    </row>
    <row r="34" spans="1:16" hidden="1" x14ac:dyDescent="0.3">
      <c r="A34" t="s">
        <v>11</v>
      </c>
      <c r="D34" t="s">
        <v>118</v>
      </c>
      <c r="E34" t="s">
        <v>102</v>
      </c>
      <c r="F34" t="s">
        <v>103</v>
      </c>
      <c r="G34" t="s">
        <v>252</v>
      </c>
      <c r="H34" t="s">
        <v>20</v>
      </c>
      <c r="I34" t="s">
        <v>16</v>
      </c>
      <c r="J34" t="s">
        <v>131</v>
      </c>
      <c r="K34">
        <v>154240498</v>
      </c>
      <c r="L34" t="s">
        <v>258</v>
      </c>
      <c r="M34" t="s">
        <v>180</v>
      </c>
      <c r="N34" t="s">
        <v>148</v>
      </c>
      <c r="O34" t="s">
        <v>291</v>
      </c>
      <c r="P34" s="2">
        <v>3</v>
      </c>
    </row>
    <row r="35" spans="1:16" hidden="1" x14ac:dyDescent="0.3">
      <c r="A35" t="s">
        <v>286</v>
      </c>
      <c r="B35" t="s">
        <v>662</v>
      </c>
      <c r="D35" t="s">
        <v>118</v>
      </c>
      <c r="E35" t="s">
        <v>102</v>
      </c>
      <c r="F35" t="s">
        <v>177</v>
      </c>
      <c r="G35" t="s">
        <v>129</v>
      </c>
      <c r="H35" t="s">
        <v>16</v>
      </c>
      <c r="I35" t="s">
        <v>16</v>
      </c>
      <c r="J35" t="s">
        <v>131</v>
      </c>
      <c r="K35">
        <v>154240647</v>
      </c>
      <c r="L35" t="s">
        <v>294</v>
      </c>
      <c r="M35" t="s">
        <v>134</v>
      </c>
      <c r="N35" t="s">
        <v>148</v>
      </c>
      <c r="O35" t="s">
        <v>164</v>
      </c>
      <c r="P35" s="2" t="e">
        <f>_xlfn.XLOOKUP(Portefeuille_MNT_PPS_Access27[[#This Row],[Numéro projet]],Tableau5[Numéro projet],Tableau5[Critère Etat Infrastructure])</f>
        <v>#N/A</v>
      </c>
    </row>
    <row r="36" spans="1:16" hidden="1" x14ac:dyDescent="0.3">
      <c r="A36" t="s">
        <v>286</v>
      </c>
      <c r="D36" t="s">
        <v>118</v>
      </c>
      <c r="E36" t="s">
        <v>102</v>
      </c>
      <c r="F36" t="s">
        <v>136</v>
      </c>
      <c r="G36" t="s">
        <v>252</v>
      </c>
      <c r="H36" t="s">
        <v>20</v>
      </c>
      <c r="I36" t="s">
        <v>16</v>
      </c>
      <c r="J36" t="s">
        <v>131</v>
      </c>
      <c r="K36">
        <v>154250180</v>
      </c>
      <c r="L36" t="s">
        <v>638</v>
      </c>
      <c r="M36" t="s">
        <v>139</v>
      </c>
      <c r="N36" t="s">
        <v>148</v>
      </c>
      <c r="O36" t="s">
        <v>291</v>
      </c>
      <c r="P36" s="2">
        <v>5</v>
      </c>
    </row>
    <row r="37" spans="1:16" hidden="1" x14ac:dyDescent="0.3">
      <c r="A37" t="s">
        <v>286</v>
      </c>
      <c r="D37" t="s">
        <v>126</v>
      </c>
      <c r="E37" t="s">
        <v>127</v>
      </c>
      <c r="F37" t="s">
        <v>136</v>
      </c>
      <c r="G37" t="s">
        <v>252</v>
      </c>
      <c r="H37" t="s">
        <v>20</v>
      </c>
      <c r="I37" t="s">
        <v>16</v>
      </c>
      <c r="J37" t="s">
        <v>131</v>
      </c>
      <c r="K37">
        <v>154250374</v>
      </c>
      <c r="L37" t="s">
        <v>646</v>
      </c>
      <c r="M37" t="s">
        <v>139</v>
      </c>
      <c r="N37" t="s">
        <v>148</v>
      </c>
      <c r="O37" t="s">
        <v>291</v>
      </c>
      <c r="P37" s="2">
        <v>4</v>
      </c>
    </row>
    <row r="38" spans="1:16" hidden="1" x14ac:dyDescent="0.3">
      <c r="A38" t="s">
        <v>286</v>
      </c>
      <c r="B38" t="s">
        <v>664</v>
      </c>
      <c r="D38" t="s">
        <v>101</v>
      </c>
      <c r="E38" t="s">
        <v>102</v>
      </c>
      <c r="F38" t="s">
        <v>103</v>
      </c>
      <c r="G38" t="s">
        <v>113</v>
      </c>
      <c r="H38" t="s">
        <v>16</v>
      </c>
      <c r="I38" t="s">
        <v>16</v>
      </c>
      <c r="J38" t="s">
        <v>105</v>
      </c>
      <c r="K38">
        <v>154180736</v>
      </c>
      <c r="L38" t="s">
        <v>115</v>
      </c>
      <c r="M38" t="s">
        <v>116</v>
      </c>
      <c r="N38" t="s">
        <v>109</v>
      </c>
      <c r="O38" t="s">
        <v>123</v>
      </c>
      <c r="P38" s="2">
        <v>4</v>
      </c>
    </row>
    <row r="39" spans="1:16" hidden="1" x14ac:dyDescent="0.3">
      <c r="A39" t="s">
        <v>286</v>
      </c>
      <c r="B39" t="s">
        <v>664</v>
      </c>
      <c r="D39" t="s">
        <v>101</v>
      </c>
      <c r="E39" t="s">
        <v>102</v>
      </c>
      <c r="F39" t="s">
        <v>103</v>
      </c>
      <c r="G39" t="s">
        <v>104</v>
      </c>
      <c r="H39" t="s">
        <v>16</v>
      </c>
      <c r="I39" t="s">
        <v>16</v>
      </c>
      <c r="J39" t="s">
        <v>105</v>
      </c>
      <c r="K39">
        <v>154190692</v>
      </c>
      <c r="L39" t="s">
        <v>107</v>
      </c>
      <c r="M39" t="s">
        <v>108</v>
      </c>
      <c r="N39" t="s">
        <v>109</v>
      </c>
      <c r="O39" t="s">
        <v>123</v>
      </c>
      <c r="P39" s="2">
        <v>4</v>
      </c>
    </row>
    <row r="40" spans="1:16" hidden="1" x14ac:dyDescent="0.3">
      <c r="A40" t="s">
        <v>286</v>
      </c>
      <c r="B40" t="s">
        <v>663</v>
      </c>
      <c r="D40" t="s">
        <v>101</v>
      </c>
      <c r="E40" t="s">
        <v>102</v>
      </c>
      <c r="F40" t="s">
        <v>136</v>
      </c>
      <c r="G40" t="s">
        <v>113</v>
      </c>
      <c r="H40" t="s">
        <v>16</v>
      </c>
      <c r="I40" t="s">
        <v>16</v>
      </c>
      <c r="J40" t="s">
        <v>131</v>
      </c>
      <c r="K40">
        <v>154081840</v>
      </c>
      <c r="L40" t="s">
        <v>138</v>
      </c>
      <c r="M40" t="s">
        <v>139</v>
      </c>
      <c r="N40" t="s">
        <v>109</v>
      </c>
      <c r="O40" t="s">
        <v>123</v>
      </c>
      <c r="P40" s="2">
        <v>4</v>
      </c>
    </row>
    <row r="41" spans="1:16" hidden="1" x14ac:dyDescent="0.3">
      <c r="A41" t="s">
        <v>286</v>
      </c>
      <c r="B41" t="s">
        <v>664</v>
      </c>
      <c r="D41" t="s">
        <v>101</v>
      </c>
      <c r="E41" t="s">
        <v>102</v>
      </c>
      <c r="F41" t="s">
        <v>128</v>
      </c>
      <c r="G41" t="s">
        <v>140</v>
      </c>
      <c r="H41" t="s">
        <v>16</v>
      </c>
      <c r="I41" t="s">
        <v>16</v>
      </c>
      <c r="J41" t="s">
        <v>105</v>
      </c>
      <c r="K41">
        <v>154160008</v>
      </c>
      <c r="L41" t="s">
        <v>142</v>
      </c>
      <c r="M41" t="s">
        <v>143</v>
      </c>
      <c r="N41" t="s">
        <v>109</v>
      </c>
      <c r="O41" t="s">
        <v>123</v>
      </c>
      <c r="P41" s="2">
        <v>5</v>
      </c>
    </row>
    <row r="42" spans="1:16" hidden="1" x14ac:dyDescent="0.3">
      <c r="A42" t="s">
        <v>286</v>
      </c>
      <c r="B42" t="s">
        <v>664</v>
      </c>
      <c r="D42" t="s">
        <v>101</v>
      </c>
      <c r="E42" t="s">
        <v>102</v>
      </c>
      <c r="F42" t="s">
        <v>103</v>
      </c>
      <c r="G42" t="s">
        <v>129</v>
      </c>
      <c r="H42" t="s">
        <v>16</v>
      </c>
      <c r="I42" t="s">
        <v>16</v>
      </c>
      <c r="J42" t="s">
        <v>131</v>
      </c>
      <c r="K42">
        <v>154151060</v>
      </c>
      <c r="L42" t="s">
        <v>288</v>
      </c>
      <c r="M42" t="s">
        <v>134</v>
      </c>
      <c r="N42" t="s">
        <v>109</v>
      </c>
      <c r="O42" t="s">
        <v>123</v>
      </c>
      <c r="P42" s="2">
        <v>5</v>
      </c>
    </row>
    <row r="43" spans="1:16" hidden="1" x14ac:dyDescent="0.3">
      <c r="A43" t="s">
        <v>286</v>
      </c>
      <c r="B43" t="s">
        <v>663</v>
      </c>
      <c r="D43" t="s">
        <v>101</v>
      </c>
      <c r="E43" t="s">
        <v>102</v>
      </c>
      <c r="F43" t="s">
        <v>119</v>
      </c>
      <c r="G43" t="s">
        <v>129</v>
      </c>
      <c r="H43" t="s">
        <v>16</v>
      </c>
      <c r="I43" t="s">
        <v>16</v>
      </c>
      <c r="J43" t="s">
        <v>131</v>
      </c>
      <c r="K43">
        <v>154200653</v>
      </c>
      <c r="L43" t="s">
        <v>154</v>
      </c>
      <c r="M43" t="s">
        <v>134</v>
      </c>
      <c r="N43" t="s">
        <v>109</v>
      </c>
      <c r="O43" t="s">
        <v>123</v>
      </c>
      <c r="P43" s="2">
        <v>3</v>
      </c>
    </row>
    <row r="44" spans="1:16" hidden="1" x14ac:dyDescent="0.3">
      <c r="A44" t="s">
        <v>286</v>
      </c>
      <c r="B44" t="s">
        <v>662</v>
      </c>
      <c r="D44" t="s">
        <v>118</v>
      </c>
      <c r="E44" t="s">
        <v>102</v>
      </c>
      <c r="F44" t="s">
        <v>188</v>
      </c>
      <c r="G44" t="s">
        <v>113</v>
      </c>
      <c r="H44" t="s">
        <v>16</v>
      </c>
      <c r="I44" t="s">
        <v>130</v>
      </c>
      <c r="J44" t="s">
        <v>131</v>
      </c>
      <c r="K44">
        <v>154151031</v>
      </c>
      <c r="L44" t="s">
        <v>190</v>
      </c>
      <c r="M44" t="s">
        <v>191</v>
      </c>
      <c r="N44" t="s">
        <v>109</v>
      </c>
      <c r="O44" t="s">
        <v>123</v>
      </c>
      <c r="P44" s="2">
        <v>5</v>
      </c>
    </row>
    <row r="45" spans="1:16" hidden="1" x14ac:dyDescent="0.3">
      <c r="A45" t="s">
        <v>286</v>
      </c>
      <c r="B45" t="s">
        <v>663</v>
      </c>
      <c r="D45" t="s">
        <v>101</v>
      </c>
      <c r="E45" t="s">
        <v>102</v>
      </c>
      <c r="F45" t="s">
        <v>119</v>
      </c>
      <c r="G45" t="s">
        <v>129</v>
      </c>
      <c r="H45" t="s">
        <v>20</v>
      </c>
      <c r="I45" t="s">
        <v>20</v>
      </c>
      <c r="J45" t="s">
        <v>131</v>
      </c>
      <c r="K45">
        <v>154230793</v>
      </c>
      <c r="L45" t="s">
        <v>441</v>
      </c>
      <c r="M45" t="s">
        <v>152</v>
      </c>
      <c r="N45" t="s">
        <v>109</v>
      </c>
      <c r="O45" t="s">
        <v>155</v>
      </c>
      <c r="P45" s="2">
        <v>3</v>
      </c>
    </row>
    <row r="46" spans="1:16" hidden="1" x14ac:dyDescent="0.3">
      <c r="A46" t="s">
        <v>286</v>
      </c>
      <c r="B46" t="s">
        <v>662</v>
      </c>
      <c r="D46" t="s">
        <v>118</v>
      </c>
      <c r="E46" t="s">
        <v>102</v>
      </c>
      <c r="F46" t="s">
        <v>136</v>
      </c>
      <c r="G46" t="s">
        <v>252</v>
      </c>
      <c r="H46" t="s">
        <v>16</v>
      </c>
      <c r="I46" t="s">
        <v>16</v>
      </c>
      <c r="J46" t="s">
        <v>131</v>
      </c>
      <c r="K46">
        <v>154240497</v>
      </c>
      <c r="L46" t="s">
        <v>529</v>
      </c>
      <c r="M46" t="s">
        <v>209</v>
      </c>
      <c r="N46" t="s">
        <v>109</v>
      </c>
      <c r="O46" t="s">
        <v>291</v>
      </c>
      <c r="P46" s="2">
        <v>4</v>
      </c>
    </row>
    <row r="47" spans="1:16" hidden="1" x14ac:dyDescent="0.3">
      <c r="A47" t="s">
        <v>286</v>
      </c>
      <c r="B47" t="s">
        <v>662</v>
      </c>
      <c r="D47" t="s">
        <v>118</v>
      </c>
      <c r="E47" t="s">
        <v>102</v>
      </c>
      <c r="F47" t="s">
        <v>136</v>
      </c>
      <c r="G47" t="s">
        <v>113</v>
      </c>
      <c r="H47" t="s">
        <v>20</v>
      </c>
      <c r="I47" t="s">
        <v>20</v>
      </c>
      <c r="J47" t="s">
        <v>131</v>
      </c>
      <c r="K47">
        <v>154250021</v>
      </c>
      <c r="L47" t="s">
        <v>544</v>
      </c>
      <c r="M47" t="s">
        <v>187</v>
      </c>
      <c r="N47" t="s">
        <v>109</v>
      </c>
      <c r="O47" t="s">
        <v>123</v>
      </c>
      <c r="P47" s="2">
        <v>3</v>
      </c>
    </row>
    <row r="48" spans="1:16" hidden="1" x14ac:dyDescent="0.3">
      <c r="A48" t="s">
        <v>286</v>
      </c>
      <c r="B48" t="s">
        <v>662</v>
      </c>
      <c r="D48" t="s">
        <v>118</v>
      </c>
      <c r="E48" t="s">
        <v>102</v>
      </c>
      <c r="F48" t="s">
        <v>136</v>
      </c>
      <c r="G48" t="s">
        <v>104</v>
      </c>
      <c r="H48" t="s">
        <v>16</v>
      </c>
      <c r="I48" t="s">
        <v>20</v>
      </c>
      <c r="J48" t="s">
        <v>105</v>
      </c>
      <c r="K48">
        <v>154240756</v>
      </c>
      <c r="L48" t="s">
        <v>517</v>
      </c>
      <c r="M48" t="s">
        <v>302</v>
      </c>
      <c r="N48" t="s">
        <v>109</v>
      </c>
      <c r="O48" t="s">
        <v>155</v>
      </c>
      <c r="P48" s="2">
        <v>5</v>
      </c>
    </row>
    <row r="49" spans="1:16" hidden="1" x14ac:dyDescent="0.3">
      <c r="A49" t="s">
        <v>11</v>
      </c>
      <c r="D49" t="s">
        <v>118</v>
      </c>
      <c r="E49" t="s">
        <v>102</v>
      </c>
      <c r="F49" t="s">
        <v>103</v>
      </c>
      <c r="G49" t="s">
        <v>252</v>
      </c>
      <c r="H49" t="s">
        <v>20</v>
      </c>
      <c r="I49" t="s">
        <v>20</v>
      </c>
      <c r="J49" t="s">
        <v>131</v>
      </c>
      <c r="K49">
        <v>154250176</v>
      </c>
      <c r="L49" t="s">
        <v>598</v>
      </c>
      <c r="M49" t="s">
        <v>214</v>
      </c>
      <c r="N49" t="s">
        <v>109</v>
      </c>
      <c r="O49" t="s">
        <v>291</v>
      </c>
      <c r="P49" s="2">
        <v>3</v>
      </c>
    </row>
    <row r="50" spans="1:16" hidden="1" x14ac:dyDescent="0.3">
      <c r="A50" t="s">
        <v>286</v>
      </c>
      <c r="D50" t="s">
        <v>126</v>
      </c>
      <c r="E50" t="s">
        <v>127</v>
      </c>
      <c r="F50" t="s">
        <v>200</v>
      </c>
      <c r="G50" t="s">
        <v>252</v>
      </c>
      <c r="H50" t="s">
        <v>20</v>
      </c>
      <c r="I50" t="s">
        <v>20</v>
      </c>
      <c r="J50" t="s">
        <v>131</v>
      </c>
      <c r="K50">
        <v>154250379</v>
      </c>
      <c r="L50" t="s">
        <v>652</v>
      </c>
      <c r="M50" t="s">
        <v>139</v>
      </c>
      <c r="N50" t="s">
        <v>109</v>
      </c>
      <c r="O50" t="s">
        <v>291</v>
      </c>
      <c r="P50" s="2">
        <v>2</v>
      </c>
    </row>
    <row r="51" spans="1:16" x14ac:dyDescent="0.3">
      <c r="A51" t="s">
        <v>286</v>
      </c>
      <c r="B51" t="s">
        <v>295</v>
      </c>
      <c r="D51" t="s">
        <v>126</v>
      </c>
      <c r="E51" t="s">
        <v>102</v>
      </c>
      <c r="F51" t="s">
        <v>103</v>
      </c>
      <c r="G51" t="s">
        <v>144</v>
      </c>
      <c r="H51" t="s">
        <v>16</v>
      </c>
      <c r="I51" t="s">
        <v>16</v>
      </c>
      <c r="J51" t="s">
        <v>131</v>
      </c>
      <c r="K51">
        <v>154190674</v>
      </c>
      <c r="L51" t="s">
        <v>146</v>
      </c>
      <c r="M51" t="s">
        <v>147</v>
      </c>
      <c r="N51" t="s">
        <v>109</v>
      </c>
      <c r="O51" t="s">
        <v>110</v>
      </c>
      <c r="P51" s="2">
        <v>3</v>
      </c>
    </row>
    <row r="52" spans="1:16" hidden="1" x14ac:dyDescent="0.3">
      <c r="A52" t="s">
        <v>286</v>
      </c>
      <c r="B52" t="s">
        <v>664</v>
      </c>
      <c r="D52" t="s">
        <v>101</v>
      </c>
      <c r="E52" t="s">
        <v>102</v>
      </c>
      <c r="F52" t="s">
        <v>128</v>
      </c>
      <c r="G52" t="s">
        <v>149</v>
      </c>
      <c r="H52" t="s">
        <v>16</v>
      </c>
      <c r="I52" t="s">
        <v>16</v>
      </c>
      <c r="J52" t="s">
        <v>131</v>
      </c>
      <c r="K52">
        <v>154200665</v>
      </c>
      <c r="L52" t="s">
        <v>151</v>
      </c>
      <c r="M52" t="s">
        <v>152</v>
      </c>
      <c r="N52" t="s">
        <v>109</v>
      </c>
      <c r="O52" t="s">
        <v>123</v>
      </c>
      <c r="P52" s="2">
        <v>4</v>
      </c>
    </row>
    <row r="53" spans="1:16" hidden="1" x14ac:dyDescent="0.3">
      <c r="A53" t="s">
        <v>286</v>
      </c>
      <c r="B53" t="s">
        <v>295</v>
      </c>
      <c r="D53" t="s">
        <v>126</v>
      </c>
      <c r="E53" t="s">
        <v>127</v>
      </c>
      <c r="F53" t="s">
        <v>177</v>
      </c>
      <c r="G53" t="s">
        <v>206</v>
      </c>
      <c r="H53" t="s">
        <v>16</v>
      </c>
      <c r="I53" t="s">
        <v>16</v>
      </c>
      <c r="J53" t="s">
        <v>223</v>
      </c>
      <c r="K53">
        <v>154190529</v>
      </c>
      <c r="L53" t="s">
        <v>520</v>
      </c>
      <c r="M53" t="s">
        <v>180</v>
      </c>
      <c r="N53" t="s">
        <v>109</v>
      </c>
      <c r="O53" t="s">
        <v>123</v>
      </c>
      <c r="P53" s="2">
        <v>5</v>
      </c>
    </row>
    <row r="54" spans="1:16" hidden="1" x14ac:dyDescent="0.3">
      <c r="A54" t="s">
        <v>286</v>
      </c>
      <c r="B54" t="s">
        <v>663</v>
      </c>
      <c r="D54" t="s">
        <v>101</v>
      </c>
      <c r="E54" t="s">
        <v>102</v>
      </c>
      <c r="F54" t="s">
        <v>136</v>
      </c>
      <c r="G54" t="s">
        <v>104</v>
      </c>
      <c r="H54" t="s">
        <v>16</v>
      </c>
      <c r="I54" t="s">
        <v>130</v>
      </c>
      <c r="J54" t="s">
        <v>105</v>
      </c>
      <c r="K54">
        <v>154062002</v>
      </c>
      <c r="L54" t="s">
        <v>171</v>
      </c>
      <c r="M54" t="s">
        <v>172</v>
      </c>
      <c r="N54" t="s">
        <v>173</v>
      </c>
      <c r="O54" t="s">
        <v>110</v>
      </c>
      <c r="P54" s="2">
        <v>4</v>
      </c>
    </row>
    <row r="55" spans="1:16" hidden="1" x14ac:dyDescent="0.3">
      <c r="A55" t="s">
        <v>286</v>
      </c>
      <c r="B55" t="s">
        <v>662</v>
      </c>
      <c r="D55" t="s">
        <v>118</v>
      </c>
      <c r="E55" t="s">
        <v>102</v>
      </c>
      <c r="F55" t="s">
        <v>177</v>
      </c>
      <c r="G55" t="s">
        <v>113</v>
      </c>
      <c r="H55" t="s">
        <v>16</v>
      </c>
      <c r="I55" t="s">
        <v>20</v>
      </c>
      <c r="J55" t="s">
        <v>131</v>
      </c>
      <c r="K55">
        <v>154200650</v>
      </c>
      <c r="L55" t="s">
        <v>241</v>
      </c>
      <c r="M55" t="s">
        <v>187</v>
      </c>
      <c r="N55" t="s">
        <v>173</v>
      </c>
      <c r="O55" t="s">
        <v>110</v>
      </c>
      <c r="P55" s="2">
        <v>5</v>
      </c>
    </row>
    <row r="56" spans="1:16" hidden="1" x14ac:dyDescent="0.3">
      <c r="A56" t="s">
        <v>286</v>
      </c>
      <c r="B56" t="s">
        <v>662</v>
      </c>
      <c r="D56" t="s">
        <v>118</v>
      </c>
      <c r="E56" t="s">
        <v>102</v>
      </c>
      <c r="F56" t="s">
        <v>136</v>
      </c>
      <c r="G56" t="s">
        <v>113</v>
      </c>
      <c r="H56" t="s">
        <v>16</v>
      </c>
      <c r="I56" t="s">
        <v>20</v>
      </c>
      <c r="J56" t="s">
        <v>105</v>
      </c>
      <c r="K56">
        <v>154230630</v>
      </c>
      <c r="L56" t="s">
        <v>249</v>
      </c>
      <c r="M56" t="s">
        <v>180</v>
      </c>
      <c r="N56" t="s">
        <v>173</v>
      </c>
      <c r="O56" t="s">
        <v>110</v>
      </c>
      <c r="P56" s="2">
        <v>5</v>
      </c>
    </row>
    <row r="57" spans="1:16" hidden="1" x14ac:dyDescent="0.3">
      <c r="A57" t="s">
        <v>286</v>
      </c>
      <c r="B57" t="s">
        <v>662</v>
      </c>
      <c r="D57" t="s">
        <v>118</v>
      </c>
      <c r="E57" t="s">
        <v>102</v>
      </c>
      <c r="F57" t="s">
        <v>119</v>
      </c>
      <c r="G57" t="s">
        <v>206</v>
      </c>
      <c r="H57" t="s">
        <v>16</v>
      </c>
      <c r="I57" t="s">
        <v>130</v>
      </c>
      <c r="J57" t="s">
        <v>131</v>
      </c>
      <c r="K57">
        <v>154180745</v>
      </c>
      <c r="L57" t="s">
        <v>208</v>
      </c>
      <c r="M57" t="s">
        <v>209</v>
      </c>
      <c r="N57" t="s">
        <v>173</v>
      </c>
      <c r="O57" t="s">
        <v>155</v>
      </c>
      <c r="P57" s="2">
        <v>3</v>
      </c>
    </row>
    <row r="58" spans="1:16" hidden="1" x14ac:dyDescent="0.3">
      <c r="A58" t="s">
        <v>286</v>
      </c>
      <c r="B58" t="s">
        <v>664</v>
      </c>
      <c r="D58" t="s">
        <v>101</v>
      </c>
      <c r="E58" t="s">
        <v>102</v>
      </c>
      <c r="F58" t="s">
        <v>103</v>
      </c>
      <c r="G58" t="s">
        <v>149</v>
      </c>
      <c r="H58" t="s">
        <v>16</v>
      </c>
      <c r="I58" t="s">
        <v>20</v>
      </c>
      <c r="J58" t="s">
        <v>105</v>
      </c>
      <c r="K58">
        <v>154190684</v>
      </c>
      <c r="L58" t="s">
        <v>510</v>
      </c>
      <c r="M58" t="s">
        <v>205</v>
      </c>
      <c r="N58" t="s">
        <v>173</v>
      </c>
      <c r="O58" t="s">
        <v>110</v>
      </c>
      <c r="P58" s="2">
        <v>4</v>
      </c>
    </row>
    <row r="59" spans="1:16" hidden="1" x14ac:dyDescent="0.3">
      <c r="A59" t="s">
        <v>286</v>
      </c>
      <c r="B59" t="s">
        <v>664</v>
      </c>
      <c r="D59" t="s">
        <v>101</v>
      </c>
      <c r="E59" t="s">
        <v>102</v>
      </c>
      <c r="F59" t="s">
        <v>103</v>
      </c>
      <c r="G59" t="s">
        <v>149</v>
      </c>
      <c r="H59" t="s">
        <v>16</v>
      </c>
      <c r="I59" t="s">
        <v>20</v>
      </c>
      <c r="J59" t="s">
        <v>105</v>
      </c>
      <c r="K59">
        <v>154190686</v>
      </c>
      <c r="L59" t="s">
        <v>665</v>
      </c>
      <c r="M59" t="s">
        <v>239</v>
      </c>
      <c r="N59" t="s">
        <v>173</v>
      </c>
      <c r="O59" t="s">
        <v>155</v>
      </c>
      <c r="P59" s="2">
        <v>4</v>
      </c>
    </row>
    <row r="60" spans="1:16" hidden="1" x14ac:dyDescent="0.3">
      <c r="A60" t="s">
        <v>286</v>
      </c>
      <c r="B60" t="s">
        <v>663</v>
      </c>
      <c r="D60" t="s">
        <v>101</v>
      </c>
      <c r="E60" t="s">
        <v>102</v>
      </c>
      <c r="F60" t="s">
        <v>103</v>
      </c>
      <c r="G60" t="s">
        <v>140</v>
      </c>
      <c r="H60" t="s">
        <v>16</v>
      </c>
      <c r="I60" t="s">
        <v>20</v>
      </c>
      <c r="J60" t="s">
        <v>131</v>
      </c>
      <c r="K60">
        <v>154210528</v>
      </c>
      <c r="L60" t="s">
        <v>515</v>
      </c>
      <c r="M60" t="s">
        <v>180</v>
      </c>
      <c r="N60" t="s">
        <v>173</v>
      </c>
      <c r="O60" t="s">
        <v>110</v>
      </c>
      <c r="P60" s="2">
        <v>5</v>
      </c>
    </row>
    <row r="61" spans="1:16" hidden="1" x14ac:dyDescent="0.3">
      <c r="A61" t="s">
        <v>286</v>
      </c>
      <c r="B61" t="s">
        <v>663</v>
      </c>
      <c r="D61" t="s">
        <v>101</v>
      </c>
      <c r="E61" t="s">
        <v>102</v>
      </c>
      <c r="F61" t="s">
        <v>136</v>
      </c>
      <c r="G61" t="s">
        <v>149</v>
      </c>
      <c r="H61" t="s">
        <v>20</v>
      </c>
      <c r="I61" t="s">
        <v>20</v>
      </c>
      <c r="J61" t="s">
        <v>131</v>
      </c>
      <c r="K61">
        <v>154220313</v>
      </c>
      <c r="L61" t="s">
        <v>382</v>
      </c>
      <c r="M61" t="s">
        <v>194</v>
      </c>
      <c r="N61" t="s">
        <v>173</v>
      </c>
      <c r="O61" t="s">
        <v>291</v>
      </c>
      <c r="P61" s="2">
        <v>5</v>
      </c>
    </row>
    <row r="62" spans="1:16" hidden="1" x14ac:dyDescent="0.3">
      <c r="A62" t="s">
        <v>286</v>
      </c>
      <c r="B62" t="s">
        <v>662</v>
      </c>
      <c r="D62" t="s">
        <v>118</v>
      </c>
      <c r="E62" t="s">
        <v>102</v>
      </c>
      <c r="F62" t="s">
        <v>136</v>
      </c>
      <c r="G62" t="s">
        <v>104</v>
      </c>
      <c r="H62" t="s">
        <v>16</v>
      </c>
      <c r="I62" t="s">
        <v>20</v>
      </c>
      <c r="J62" t="s">
        <v>131</v>
      </c>
      <c r="K62">
        <v>154230792</v>
      </c>
      <c r="L62" t="s">
        <v>158</v>
      </c>
      <c r="M62" t="s">
        <v>159</v>
      </c>
      <c r="N62" t="s">
        <v>173</v>
      </c>
      <c r="O62" t="s">
        <v>155</v>
      </c>
      <c r="P62" s="2">
        <v>3</v>
      </c>
    </row>
    <row r="63" spans="1:16" hidden="1" x14ac:dyDescent="0.3">
      <c r="A63" t="s">
        <v>11</v>
      </c>
      <c r="D63" t="s">
        <v>118</v>
      </c>
      <c r="E63" t="s">
        <v>102</v>
      </c>
      <c r="F63" t="s">
        <v>177</v>
      </c>
      <c r="G63" t="s">
        <v>252</v>
      </c>
      <c r="H63" t="s">
        <v>20</v>
      </c>
      <c r="I63" t="s">
        <v>20</v>
      </c>
      <c r="J63" t="s">
        <v>131</v>
      </c>
      <c r="K63">
        <v>154240494</v>
      </c>
      <c r="L63" t="s">
        <v>449</v>
      </c>
      <c r="M63" t="s">
        <v>159</v>
      </c>
      <c r="N63" t="s">
        <v>173</v>
      </c>
      <c r="O63" t="s">
        <v>291</v>
      </c>
      <c r="P63" s="2">
        <v>4</v>
      </c>
    </row>
    <row r="64" spans="1:16" hidden="1" x14ac:dyDescent="0.3">
      <c r="A64" t="s">
        <v>286</v>
      </c>
      <c r="B64" t="s">
        <v>662</v>
      </c>
      <c r="D64" t="s">
        <v>118</v>
      </c>
      <c r="E64" t="s">
        <v>102</v>
      </c>
      <c r="F64" t="s">
        <v>136</v>
      </c>
      <c r="G64" t="s">
        <v>104</v>
      </c>
      <c r="H64" t="s">
        <v>16</v>
      </c>
      <c r="I64" t="s">
        <v>20</v>
      </c>
      <c r="J64" t="s">
        <v>105</v>
      </c>
      <c r="K64">
        <v>154240757</v>
      </c>
      <c r="L64" t="s">
        <v>519</v>
      </c>
      <c r="M64" t="s">
        <v>143</v>
      </c>
      <c r="N64" t="s">
        <v>173</v>
      </c>
      <c r="O64" t="s">
        <v>155</v>
      </c>
      <c r="P64" s="2">
        <v>5</v>
      </c>
    </row>
    <row r="65" spans="1:16" hidden="1" x14ac:dyDescent="0.3">
      <c r="A65" t="s">
        <v>11</v>
      </c>
      <c r="D65" t="s">
        <v>118</v>
      </c>
      <c r="E65" t="s">
        <v>102</v>
      </c>
      <c r="F65" t="s">
        <v>103</v>
      </c>
      <c r="G65" t="s">
        <v>252</v>
      </c>
      <c r="H65" t="s">
        <v>20</v>
      </c>
      <c r="I65" t="s">
        <v>20</v>
      </c>
      <c r="J65" t="s">
        <v>131</v>
      </c>
      <c r="K65">
        <v>154250200</v>
      </c>
      <c r="L65" t="s">
        <v>607</v>
      </c>
      <c r="M65" t="s">
        <v>180</v>
      </c>
      <c r="N65" t="s">
        <v>173</v>
      </c>
      <c r="O65" t="s">
        <v>291</v>
      </c>
      <c r="P65" s="2">
        <v>3</v>
      </c>
    </row>
    <row r="66" spans="1:16" x14ac:dyDescent="0.3">
      <c r="A66" t="s">
        <v>11</v>
      </c>
      <c r="D66" t="s">
        <v>118</v>
      </c>
      <c r="E66" t="s">
        <v>102</v>
      </c>
      <c r="F66" t="s">
        <v>103</v>
      </c>
      <c r="G66" t="s">
        <v>252</v>
      </c>
      <c r="H66" t="s">
        <v>20</v>
      </c>
      <c r="I66" t="s">
        <v>20</v>
      </c>
      <c r="J66" t="s">
        <v>131</v>
      </c>
      <c r="K66">
        <v>154250377</v>
      </c>
      <c r="L66" t="s">
        <v>648</v>
      </c>
      <c r="M66" t="s">
        <v>147</v>
      </c>
      <c r="N66" t="s">
        <v>173</v>
      </c>
      <c r="O66" t="s">
        <v>291</v>
      </c>
      <c r="P66" s="2">
        <v>4</v>
      </c>
    </row>
    <row r="67" spans="1:16" hidden="1" x14ac:dyDescent="0.3">
      <c r="A67" t="s">
        <v>11</v>
      </c>
      <c r="D67" t="s">
        <v>118</v>
      </c>
      <c r="E67" t="s">
        <v>102</v>
      </c>
      <c r="F67" t="s">
        <v>242</v>
      </c>
      <c r="G67" t="s">
        <v>252</v>
      </c>
      <c r="H67" t="s">
        <v>20</v>
      </c>
      <c r="I67" t="s">
        <v>20</v>
      </c>
      <c r="J67" t="s">
        <v>131</v>
      </c>
      <c r="K67">
        <v>154250378</v>
      </c>
      <c r="L67" t="s">
        <v>650</v>
      </c>
      <c r="M67" t="s">
        <v>414</v>
      </c>
      <c r="N67" t="s">
        <v>173</v>
      </c>
      <c r="O67" t="s">
        <v>291</v>
      </c>
      <c r="P67" s="2">
        <v>3</v>
      </c>
    </row>
    <row r="68" spans="1:16" hidden="1" x14ac:dyDescent="0.3">
      <c r="A68" t="s">
        <v>286</v>
      </c>
      <c r="B68" t="s">
        <v>663</v>
      </c>
      <c r="D68" t="s">
        <v>101</v>
      </c>
      <c r="E68" t="s">
        <v>102</v>
      </c>
      <c r="F68" t="s">
        <v>136</v>
      </c>
      <c r="G68" t="s">
        <v>140</v>
      </c>
      <c r="H68" t="s">
        <v>16</v>
      </c>
      <c r="I68" t="s">
        <v>20</v>
      </c>
      <c r="J68" t="s">
        <v>131</v>
      </c>
      <c r="K68">
        <v>154101522</v>
      </c>
      <c r="L68" t="s">
        <v>296</v>
      </c>
      <c r="M68" t="s">
        <v>183</v>
      </c>
      <c r="N68" t="s">
        <v>173</v>
      </c>
      <c r="O68" t="s">
        <v>110</v>
      </c>
      <c r="P68" s="2">
        <v>3</v>
      </c>
    </row>
    <row r="69" spans="1:16" x14ac:dyDescent="0.3">
      <c r="A69" t="s">
        <v>286</v>
      </c>
      <c r="B69" t="s">
        <v>295</v>
      </c>
      <c r="D69" t="s">
        <v>126</v>
      </c>
      <c r="E69" t="s">
        <v>127</v>
      </c>
      <c r="F69" t="s">
        <v>136</v>
      </c>
      <c r="G69" t="s">
        <v>144</v>
      </c>
      <c r="H69" t="s">
        <v>16</v>
      </c>
      <c r="I69" t="s">
        <v>20</v>
      </c>
      <c r="J69" t="s">
        <v>131</v>
      </c>
      <c r="K69">
        <v>154190675</v>
      </c>
      <c r="L69" t="s">
        <v>232</v>
      </c>
      <c r="M69" t="s">
        <v>147</v>
      </c>
      <c r="N69" t="s">
        <v>173</v>
      </c>
      <c r="O69" t="s">
        <v>110</v>
      </c>
      <c r="P69" s="2">
        <v>3</v>
      </c>
    </row>
    <row r="70" spans="1:16" hidden="1" x14ac:dyDescent="0.3">
      <c r="A70" t="s">
        <v>286</v>
      </c>
      <c r="B70" t="s">
        <v>295</v>
      </c>
      <c r="D70" t="s">
        <v>126</v>
      </c>
      <c r="E70" t="s">
        <v>127</v>
      </c>
      <c r="F70" t="s">
        <v>103</v>
      </c>
      <c r="G70" t="s">
        <v>104</v>
      </c>
      <c r="H70" t="s">
        <v>16</v>
      </c>
      <c r="I70" t="s">
        <v>130</v>
      </c>
      <c r="J70" t="s">
        <v>131</v>
      </c>
      <c r="K70">
        <v>154190517</v>
      </c>
      <c r="L70" t="s">
        <v>221</v>
      </c>
      <c r="M70" t="s">
        <v>159</v>
      </c>
      <c r="N70" t="s">
        <v>197</v>
      </c>
      <c r="O70" t="s">
        <v>155</v>
      </c>
      <c r="P70" s="2">
        <v>3</v>
      </c>
    </row>
    <row r="71" spans="1:16" hidden="1" x14ac:dyDescent="0.3">
      <c r="A71" t="s">
        <v>286</v>
      </c>
      <c r="B71" t="s">
        <v>663</v>
      </c>
      <c r="D71" t="s">
        <v>101</v>
      </c>
      <c r="E71" t="s">
        <v>102</v>
      </c>
      <c r="F71" t="s">
        <v>136</v>
      </c>
      <c r="G71" t="s">
        <v>113</v>
      </c>
      <c r="H71" t="s">
        <v>16</v>
      </c>
      <c r="I71" t="s">
        <v>20</v>
      </c>
      <c r="J71" t="s">
        <v>131</v>
      </c>
      <c r="K71">
        <v>154140339</v>
      </c>
      <c r="L71" t="s">
        <v>186</v>
      </c>
      <c r="M71" t="s">
        <v>187</v>
      </c>
      <c r="N71" t="s">
        <v>197</v>
      </c>
      <c r="O71" t="s">
        <v>110</v>
      </c>
      <c r="P71" s="2">
        <v>3</v>
      </c>
    </row>
    <row r="72" spans="1:16" hidden="1" x14ac:dyDescent="0.3">
      <c r="A72" t="s">
        <v>286</v>
      </c>
      <c r="B72" t="s">
        <v>663</v>
      </c>
      <c r="D72" t="s">
        <v>101</v>
      </c>
      <c r="E72" t="s">
        <v>102</v>
      </c>
      <c r="F72" t="s">
        <v>136</v>
      </c>
      <c r="G72" t="s">
        <v>144</v>
      </c>
      <c r="H72" t="s">
        <v>16</v>
      </c>
      <c r="I72" t="s">
        <v>20</v>
      </c>
      <c r="J72" t="s">
        <v>131</v>
      </c>
      <c r="K72">
        <v>154171403</v>
      </c>
      <c r="L72" t="s">
        <v>196</v>
      </c>
      <c r="M72" t="s">
        <v>180</v>
      </c>
      <c r="N72" s="2" t="s">
        <v>197</v>
      </c>
      <c r="O72" t="s">
        <v>110</v>
      </c>
      <c r="P72" s="2">
        <v>4</v>
      </c>
    </row>
    <row r="73" spans="1:16" hidden="1" x14ac:dyDescent="0.3">
      <c r="A73" t="s">
        <v>286</v>
      </c>
      <c r="B73" t="s">
        <v>663</v>
      </c>
      <c r="D73" t="s">
        <v>101</v>
      </c>
      <c r="E73" t="s">
        <v>102</v>
      </c>
      <c r="F73" t="s">
        <v>136</v>
      </c>
      <c r="G73" t="s">
        <v>149</v>
      </c>
      <c r="H73" t="s">
        <v>16</v>
      </c>
      <c r="I73" t="s">
        <v>20</v>
      </c>
      <c r="J73" t="s">
        <v>105</v>
      </c>
      <c r="K73">
        <v>154180731</v>
      </c>
      <c r="L73" t="s">
        <v>204</v>
      </c>
      <c r="M73" t="s">
        <v>205</v>
      </c>
      <c r="N73" t="s">
        <v>197</v>
      </c>
      <c r="O73" t="s">
        <v>155</v>
      </c>
      <c r="P73" s="2">
        <v>5</v>
      </c>
    </row>
    <row r="74" spans="1:16" hidden="1" x14ac:dyDescent="0.3">
      <c r="A74" t="s">
        <v>286</v>
      </c>
      <c r="B74" t="s">
        <v>662</v>
      </c>
      <c r="D74" t="s">
        <v>118</v>
      </c>
      <c r="E74" t="s">
        <v>102</v>
      </c>
      <c r="F74" t="s">
        <v>103</v>
      </c>
      <c r="G74" t="s">
        <v>206</v>
      </c>
      <c r="H74" t="s">
        <v>16</v>
      </c>
      <c r="I74" t="s">
        <v>20</v>
      </c>
      <c r="J74" t="s">
        <v>131</v>
      </c>
      <c r="K74">
        <v>154180768</v>
      </c>
      <c r="L74" t="s">
        <v>211</v>
      </c>
      <c r="M74" t="s">
        <v>209</v>
      </c>
      <c r="N74" t="s">
        <v>197</v>
      </c>
      <c r="O74" t="s">
        <v>155</v>
      </c>
      <c r="P74" s="2">
        <v>4</v>
      </c>
    </row>
    <row r="75" spans="1:16" hidden="1" x14ac:dyDescent="0.3">
      <c r="A75" t="s">
        <v>286</v>
      </c>
      <c r="B75" t="s">
        <v>662</v>
      </c>
      <c r="D75" t="s">
        <v>118</v>
      </c>
      <c r="E75" t="s">
        <v>102</v>
      </c>
      <c r="F75" t="s">
        <v>242</v>
      </c>
      <c r="G75" t="s">
        <v>129</v>
      </c>
      <c r="H75" t="s">
        <v>16</v>
      </c>
      <c r="I75" t="s">
        <v>20</v>
      </c>
      <c r="J75" t="s">
        <v>131</v>
      </c>
      <c r="K75">
        <v>154180774</v>
      </c>
      <c r="L75" t="s">
        <v>386</v>
      </c>
      <c r="M75" t="s">
        <v>134</v>
      </c>
      <c r="N75" t="s">
        <v>197</v>
      </c>
      <c r="O75" t="s">
        <v>155</v>
      </c>
      <c r="P75" s="2">
        <v>4</v>
      </c>
    </row>
    <row r="76" spans="1:16" hidden="1" x14ac:dyDescent="0.3">
      <c r="A76" t="s">
        <v>286</v>
      </c>
      <c r="B76" t="s">
        <v>295</v>
      </c>
      <c r="D76" t="s">
        <v>126</v>
      </c>
      <c r="E76" t="s">
        <v>127</v>
      </c>
      <c r="F76" t="s">
        <v>103</v>
      </c>
      <c r="G76" t="s">
        <v>149</v>
      </c>
      <c r="H76" t="s">
        <v>16</v>
      </c>
      <c r="I76" t="s">
        <v>20</v>
      </c>
      <c r="J76" t="s">
        <v>131</v>
      </c>
      <c r="K76">
        <v>154190681</v>
      </c>
      <c r="L76" t="s">
        <v>542</v>
      </c>
      <c r="M76" t="s">
        <v>152</v>
      </c>
      <c r="N76" t="s">
        <v>197</v>
      </c>
      <c r="O76" t="s">
        <v>155</v>
      </c>
      <c r="P76" s="2">
        <v>3</v>
      </c>
    </row>
    <row r="77" spans="1:16" hidden="1" x14ac:dyDescent="0.3">
      <c r="A77" t="s">
        <v>286</v>
      </c>
      <c r="B77" t="s">
        <v>664</v>
      </c>
      <c r="D77" t="s">
        <v>101</v>
      </c>
      <c r="E77" t="s">
        <v>102</v>
      </c>
      <c r="F77" t="s">
        <v>103</v>
      </c>
      <c r="G77" t="s">
        <v>129</v>
      </c>
      <c r="H77" t="s">
        <v>20</v>
      </c>
      <c r="I77" t="s">
        <v>20</v>
      </c>
      <c r="J77" t="s">
        <v>105</v>
      </c>
      <c r="K77">
        <v>154190687</v>
      </c>
      <c r="L77" t="s">
        <v>401</v>
      </c>
      <c r="M77" t="s">
        <v>402</v>
      </c>
      <c r="N77" t="s">
        <v>197</v>
      </c>
      <c r="O77" t="s">
        <v>155</v>
      </c>
      <c r="P77" s="2">
        <v>4</v>
      </c>
    </row>
    <row r="78" spans="1:16" hidden="1" x14ac:dyDescent="0.3">
      <c r="A78" t="s">
        <v>286</v>
      </c>
      <c r="B78" t="s">
        <v>662</v>
      </c>
      <c r="D78" t="s">
        <v>118</v>
      </c>
      <c r="E78" t="s">
        <v>102</v>
      </c>
      <c r="F78" t="s">
        <v>242</v>
      </c>
      <c r="G78" t="s">
        <v>113</v>
      </c>
      <c r="H78" t="s">
        <v>16</v>
      </c>
      <c r="I78" t="s">
        <v>20</v>
      </c>
      <c r="J78" t="s">
        <v>131</v>
      </c>
      <c r="K78">
        <v>154210524</v>
      </c>
      <c r="L78" t="s">
        <v>244</v>
      </c>
      <c r="M78" t="s">
        <v>245</v>
      </c>
      <c r="N78" t="s">
        <v>197</v>
      </c>
      <c r="O78" t="s">
        <v>155</v>
      </c>
      <c r="P78" s="2">
        <v>4</v>
      </c>
    </row>
    <row r="79" spans="1:16" hidden="1" x14ac:dyDescent="0.3">
      <c r="A79" t="s">
        <v>286</v>
      </c>
      <c r="B79" t="s">
        <v>664</v>
      </c>
      <c r="D79" t="s">
        <v>101</v>
      </c>
      <c r="E79" t="s">
        <v>102</v>
      </c>
      <c r="F79" t="s">
        <v>128</v>
      </c>
      <c r="G79" t="s">
        <v>129</v>
      </c>
      <c r="H79" t="s">
        <v>16</v>
      </c>
      <c r="I79" t="s">
        <v>20</v>
      </c>
      <c r="J79" t="s">
        <v>131</v>
      </c>
      <c r="K79">
        <v>154240034</v>
      </c>
      <c r="L79" t="s">
        <v>251</v>
      </c>
      <c r="M79" t="s">
        <v>214</v>
      </c>
      <c r="N79" t="s">
        <v>197</v>
      </c>
      <c r="O79" t="s">
        <v>110</v>
      </c>
      <c r="P79" s="2">
        <v>4</v>
      </c>
    </row>
    <row r="80" spans="1:16" hidden="1" x14ac:dyDescent="0.3">
      <c r="A80" t="s">
        <v>286</v>
      </c>
      <c r="B80" t="s">
        <v>663</v>
      </c>
      <c r="D80" t="s">
        <v>101</v>
      </c>
      <c r="E80" t="s">
        <v>102</v>
      </c>
      <c r="F80" t="s">
        <v>136</v>
      </c>
      <c r="G80" t="s">
        <v>113</v>
      </c>
      <c r="H80" t="s">
        <v>16</v>
      </c>
      <c r="I80" t="s">
        <v>20</v>
      </c>
      <c r="J80" t="s">
        <v>105</v>
      </c>
      <c r="K80">
        <v>154061997</v>
      </c>
      <c r="L80" t="s">
        <v>167</v>
      </c>
      <c r="M80" t="s">
        <v>168</v>
      </c>
      <c r="N80" t="s">
        <v>169</v>
      </c>
      <c r="O80" t="s">
        <v>155</v>
      </c>
      <c r="P80" s="2">
        <v>4</v>
      </c>
    </row>
    <row r="81" spans="1:16" hidden="1" x14ac:dyDescent="0.3">
      <c r="A81" t="s">
        <v>286</v>
      </c>
      <c r="B81" t="s">
        <v>663</v>
      </c>
      <c r="D81" t="s">
        <v>101</v>
      </c>
      <c r="E81" t="s">
        <v>102</v>
      </c>
      <c r="F81" t="s">
        <v>136</v>
      </c>
      <c r="G81" t="s">
        <v>206</v>
      </c>
      <c r="H81" t="s">
        <v>130</v>
      </c>
      <c r="I81" t="s">
        <v>20</v>
      </c>
      <c r="J81" t="s">
        <v>131</v>
      </c>
      <c r="K81">
        <v>154171404</v>
      </c>
      <c r="L81" t="s">
        <v>376</v>
      </c>
      <c r="M81" t="s">
        <v>209</v>
      </c>
      <c r="N81" t="s">
        <v>169</v>
      </c>
      <c r="O81" t="s">
        <v>155</v>
      </c>
      <c r="P81" s="2">
        <v>4</v>
      </c>
    </row>
    <row r="82" spans="1:16" hidden="1" x14ac:dyDescent="0.3">
      <c r="A82" t="s">
        <v>286</v>
      </c>
      <c r="B82" t="s">
        <v>662</v>
      </c>
      <c r="D82" t="s">
        <v>118</v>
      </c>
      <c r="E82" t="s">
        <v>102</v>
      </c>
      <c r="F82" t="s">
        <v>103</v>
      </c>
      <c r="G82" t="s">
        <v>113</v>
      </c>
      <c r="H82" t="s">
        <v>20</v>
      </c>
      <c r="I82" t="s">
        <v>20</v>
      </c>
      <c r="J82" t="s">
        <v>131</v>
      </c>
      <c r="K82">
        <v>154180766</v>
      </c>
      <c r="L82" t="s">
        <v>378</v>
      </c>
      <c r="M82" t="s">
        <v>191</v>
      </c>
      <c r="N82" t="s">
        <v>169</v>
      </c>
      <c r="O82" t="s">
        <v>155</v>
      </c>
      <c r="P82" s="2">
        <v>4</v>
      </c>
    </row>
    <row r="83" spans="1:16" hidden="1" x14ac:dyDescent="0.3">
      <c r="A83" t="s">
        <v>286</v>
      </c>
      <c r="B83" t="s">
        <v>664</v>
      </c>
      <c r="D83" t="s">
        <v>101</v>
      </c>
      <c r="E83" t="s">
        <v>102</v>
      </c>
      <c r="F83" t="s">
        <v>103</v>
      </c>
      <c r="G83" t="s">
        <v>104</v>
      </c>
      <c r="H83" t="s">
        <v>20</v>
      </c>
      <c r="I83" t="s">
        <v>20</v>
      </c>
      <c r="J83" t="s">
        <v>105</v>
      </c>
      <c r="K83">
        <v>154190685</v>
      </c>
      <c r="L83" t="s">
        <v>541</v>
      </c>
      <c r="M83" t="s">
        <v>172</v>
      </c>
      <c r="N83" t="s">
        <v>169</v>
      </c>
      <c r="O83" t="s">
        <v>291</v>
      </c>
      <c r="P83" s="2">
        <v>4</v>
      </c>
    </row>
    <row r="84" spans="1:16" hidden="1" x14ac:dyDescent="0.3">
      <c r="A84" t="s">
        <v>286</v>
      </c>
      <c r="B84" t="s">
        <v>663</v>
      </c>
      <c r="D84" t="s">
        <v>101</v>
      </c>
      <c r="E84" t="s">
        <v>102</v>
      </c>
      <c r="F84" t="s">
        <v>136</v>
      </c>
      <c r="G84" t="s">
        <v>104</v>
      </c>
      <c r="H84" t="s">
        <v>130</v>
      </c>
      <c r="I84" t="s">
        <v>130</v>
      </c>
      <c r="J84" t="s">
        <v>105</v>
      </c>
      <c r="K84">
        <v>154200684</v>
      </c>
      <c r="L84" t="s">
        <v>514</v>
      </c>
      <c r="M84" t="s">
        <v>108</v>
      </c>
      <c r="N84" t="s">
        <v>169</v>
      </c>
      <c r="O84" t="s">
        <v>155</v>
      </c>
      <c r="P84" s="2">
        <v>5</v>
      </c>
    </row>
    <row r="85" spans="1:16" hidden="1" x14ac:dyDescent="0.3">
      <c r="A85" t="s">
        <v>286</v>
      </c>
      <c r="B85" t="s">
        <v>662</v>
      </c>
      <c r="D85" t="s">
        <v>118</v>
      </c>
      <c r="E85" t="s">
        <v>102</v>
      </c>
      <c r="F85" t="s">
        <v>242</v>
      </c>
      <c r="G85" t="s">
        <v>129</v>
      </c>
      <c r="H85" t="s">
        <v>20</v>
      </c>
      <c r="I85" t="s">
        <v>20</v>
      </c>
      <c r="J85" t="s">
        <v>131</v>
      </c>
      <c r="K85">
        <v>154210545</v>
      </c>
      <c r="L85" t="s">
        <v>410</v>
      </c>
      <c r="M85" t="s">
        <v>411</v>
      </c>
      <c r="N85" t="s">
        <v>169</v>
      </c>
      <c r="O85" t="s">
        <v>155</v>
      </c>
      <c r="P85" s="2">
        <v>4</v>
      </c>
    </row>
    <row r="86" spans="1:16" hidden="1" x14ac:dyDescent="0.3">
      <c r="A86" t="s">
        <v>286</v>
      </c>
      <c r="B86" t="s">
        <v>662</v>
      </c>
      <c r="D86" t="s">
        <v>118</v>
      </c>
      <c r="E86" t="s">
        <v>102</v>
      </c>
      <c r="F86" t="s">
        <v>103</v>
      </c>
      <c r="G86" t="s">
        <v>149</v>
      </c>
      <c r="H86" t="s">
        <v>20</v>
      </c>
      <c r="I86" t="s">
        <v>20</v>
      </c>
      <c r="J86" t="s">
        <v>131</v>
      </c>
      <c r="K86" s="2">
        <v>154220351</v>
      </c>
      <c r="L86" t="s">
        <v>397</v>
      </c>
      <c r="M86" t="s">
        <v>194</v>
      </c>
      <c r="N86" t="s">
        <v>169</v>
      </c>
      <c r="O86" t="s">
        <v>155</v>
      </c>
      <c r="P86" s="2">
        <v>4</v>
      </c>
    </row>
    <row r="87" spans="1:16" x14ac:dyDescent="0.3">
      <c r="A87" t="s">
        <v>286</v>
      </c>
      <c r="B87" t="s">
        <v>662</v>
      </c>
      <c r="D87" t="s">
        <v>118</v>
      </c>
      <c r="E87" t="s">
        <v>102</v>
      </c>
      <c r="F87" t="s">
        <v>177</v>
      </c>
      <c r="H87" t="s">
        <v>20</v>
      </c>
      <c r="I87" t="s">
        <v>20</v>
      </c>
      <c r="J87" t="s">
        <v>131</v>
      </c>
      <c r="K87">
        <v>154230555</v>
      </c>
      <c r="L87" t="s">
        <v>639</v>
      </c>
      <c r="M87" t="s">
        <v>147</v>
      </c>
      <c r="N87" t="s">
        <v>169</v>
      </c>
      <c r="O87" t="s">
        <v>291</v>
      </c>
      <c r="P87" s="2">
        <v>3</v>
      </c>
    </row>
    <row r="88" spans="1:16" hidden="1" x14ac:dyDescent="0.3">
      <c r="A88" t="s">
        <v>286</v>
      </c>
      <c r="B88" t="s">
        <v>664</v>
      </c>
      <c r="D88" t="s">
        <v>101</v>
      </c>
      <c r="E88" t="s">
        <v>102</v>
      </c>
      <c r="F88" t="s">
        <v>200</v>
      </c>
      <c r="G88" t="s">
        <v>113</v>
      </c>
      <c r="H88" t="s">
        <v>20</v>
      </c>
      <c r="I88" t="s">
        <v>20</v>
      </c>
      <c r="J88" t="s">
        <v>131</v>
      </c>
      <c r="K88">
        <v>154230556</v>
      </c>
      <c r="L88" t="s">
        <v>437</v>
      </c>
      <c r="M88" t="s">
        <v>139</v>
      </c>
      <c r="N88" t="s">
        <v>169</v>
      </c>
      <c r="O88" t="s">
        <v>291</v>
      </c>
      <c r="P88" s="2">
        <v>5</v>
      </c>
    </row>
    <row r="89" spans="1:16" hidden="1" x14ac:dyDescent="0.3">
      <c r="A89" t="s">
        <v>286</v>
      </c>
      <c r="B89" t="s">
        <v>664</v>
      </c>
      <c r="D89" t="s">
        <v>101</v>
      </c>
      <c r="E89" t="s">
        <v>102</v>
      </c>
      <c r="F89" t="s">
        <v>103</v>
      </c>
      <c r="H89" t="s">
        <v>20</v>
      </c>
      <c r="I89" t="s">
        <v>20</v>
      </c>
      <c r="J89" t="s">
        <v>105</v>
      </c>
      <c r="K89">
        <v>154240284</v>
      </c>
      <c r="L89" t="s">
        <v>666</v>
      </c>
      <c r="M89" t="s">
        <v>302</v>
      </c>
      <c r="N89" t="s">
        <v>169</v>
      </c>
      <c r="O89" t="s">
        <v>291</v>
      </c>
      <c r="P89" s="2">
        <v>5</v>
      </c>
    </row>
    <row r="90" spans="1:16" hidden="1" x14ac:dyDescent="0.3">
      <c r="A90" t="s">
        <v>286</v>
      </c>
      <c r="B90" t="s">
        <v>662</v>
      </c>
      <c r="D90" t="s">
        <v>118</v>
      </c>
      <c r="E90" t="s">
        <v>102</v>
      </c>
      <c r="F90" t="s">
        <v>177</v>
      </c>
      <c r="G90" t="s">
        <v>113</v>
      </c>
      <c r="H90" t="s">
        <v>20</v>
      </c>
      <c r="I90" t="s">
        <v>20</v>
      </c>
      <c r="J90" t="s">
        <v>131</v>
      </c>
      <c r="K90">
        <v>154240709</v>
      </c>
      <c r="L90" t="s">
        <v>512</v>
      </c>
      <c r="M90" t="s">
        <v>187</v>
      </c>
      <c r="N90" t="s">
        <v>169</v>
      </c>
      <c r="O90" t="s">
        <v>155</v>
      </c>
      <c r="P90" s="2">
        <v>5</v>
      </c>
    </row>
    <row r="91" spans="1:16" hidden="1" x14ac:dyDescent="0.3">
      <c r="A91" t="s">
        <v>286</v>
      </c>
      <c r="B91" t="s">
        <v>664</v>
      </c>
      <c r="D91" t="s">
        <v>101</v>
      </c>
      <c r="E91" t="s">
        <v>102</v>
      </c>
      <c r="F91" t="s">
        <v>103</v>
      </c>
      <c r="G91" t="s">
        <v>129</v>
      </c>
      <c r="H91" t="s">
        <v>20</v>
      </c>
      <c r="I91" t="s">
        <v>20</v>
      </c>
      <c r="J91" t="s">
        <v>131</v>
      </c>
      <c r="K91">
        <v>154250401</v>
      </c>
      <c r="L91" t="s">
        <v>654</v>
      </c>
      <c r="M91" t="s">
        <v>134</v>
      </c>
      <c r="N91" t="s">
        <v>169</v>
      </c>
      <c r="O91" t="s">
        <v>291</v>
      </c>
      <c r="P91" s="2">
        <v>5</v>
      </c>
    </row>
    <row r="92" spans="1:16" hidden="1" x14ac:dyDescent="0.3">
      <c r="A92" t="s">
        <v>286</v>
      </c>
      <c r="B92" t="s">
        <v>663</v>
      </c>
      <c r="D92" t="s">
        <v>101</v>
      </c>
      <c r="E92" t="s">
        <v>102</v>
      </c>
      <c r="F92" t="s">
        <v>136</v>
      </c>
      <c r="G92" t="s">
        <v>149</v>
      </c>
      <c r="H92" t="s">
        <v>130</v>
      </c>
      <c r="I92" t="s">
        <v>20</v>
      </c>
      <c r="J92" t="s">
        <v>105</v>
      </c>
      <c r="K92">
        <v>154061995</v>
      </c>
      <c r="L92" t="s">
        <v>367</v>
      </c>
      <c r="M92" t="s">
        <v>316</v>
      </c>
      <c r="N92" t="s">
        <v>184</v>
      </c>
      <c r="O92" t="s">
        <v>155</v>
      </c>
      <c r="P92" s="2">
        <v>4</v>
      </c>
    </row>
    <row r="93" spans="1:16" hidden="1" x14ac:dyDescent="0.3">
      <c r="A93" t="s">
        <v>286</v>
      </c>
      <c r="B93" t="s">
        <v>664</v>
      </c>
      <c r="D93" t="s">
        <v>101</v>
      </c>
      <c r="E93" t="s">
        <v>102</v>
      </c>
      <c r="F93" t="s">
        <v>136</v>
      </c>
      <c r="G93" t="s">
        <v>149</v>
      </c>
      <c r="H93" t="s">
        <v>16</v>
      </c>
      <c r="I93" t="s">
        <v>20</v>
      </c>
      <c r="J93" t="s">
        <v>131</v>
      </c>
      <c r="K93">
        <v>154180773</v>
      </c>
      <c r="L93" t="s">
        <v>213</v>
      </c>
      <c r="M93" t="s">
        <v>214</v>
      </c>
      <c r="N93" t="s">
        <v>184</v>
      </c>
      <c r="O93" t="s">
        <v>155</v>
      </c>
      <c r="P93" s="2">
        <v>4</v>
      </c>
    </row>
    <row r="94" spans="1:16" hidden="1" x14ac:dyDescent="0.3">
      <c r="A94" t="s">
        <v>286</v>
      </c>
      <c r="B94" t="s">
        <v>664</v>
      </c>
      <c r="D94" t="s">
        <v>101</v>
      </c>
      <c r="E94" t="s">
        <v>102</v>
      </c>
      <c r="F94" t="s">
        <v>136</v>
      </c>
      <c r="G94" t="s">
        <v>104</v>
      </c>
      <c r="H94" t="s">
        <v>130</v>
      </c>
      <c r="I94" t="s">
        <v>20</v>
      </c>
      <c r="J94" t="s">
        <v>131</v>
      </c>
      <c r="K94">
        <v>154190597</v>
      </c>
      <c r="L94" t="s">
        <v>374</v>
      </c>
      <c r="M94" t="s">
        <v>159</v>
      </c>
      <c r="N94" t="s">
        <v>184</v>
      </c>
      <c r="O94" t="s">
        <v>155</v>
      </c>
      <c r="P94" s="2">
        <v>4</v>
      </c>
    </row>
    <row r="95" spans="1:16" hidden="1" x14ac:dyDescent="0.3">
      <c r="A95" t="s">
        <v>286</v>
      </c>
      <c r="B95" t="s">
        <v>295</v>
      </c>
      <c r="D95" t="s">
        <v>126</v>
      </c>
      <c r="E95" t="s">
        <v>127</v>
      </c>
      <c r="F95" t="s">
        <v>136</v>
      </c>
      <c r="G95" t="s">
        <v>113</v>
      </c>
      <c r="H95" t="s">
        <v>16</v>
      </c>
      <c r="I95" t="s">
        <v>20</v>
      </c>
      <c r="J95" t="s">
        <v>131</v>
      </c>
      <c r="K95">
        <v>154190601</v>
      </c>
      <c r="L95" t="s">
        <v>227</v>
      </c>
      <c r="M95" t="s">
        <v>139</v>
      </c>
      <c r="N95" s="2" t="s">
        <v>184</v>
      </c>
      <c r="O95" t="s">
        <v>110</v>
      </c>
      <c r="P95" s="2">
        <v>3</v>
      </c>
    </row>
    <row r="96" spans="1:16" hidden="1" x14ac:dyDescent="0.3">
      <c r="A96" t="s">
        <v>286</v>
      </c>
      <c r="B96" t="s">
        <v>662</v>
      </c>
      <c r="D96" t="s">
        <v>118</v>
      </c>
      <c r="E96" t="s">
        <v>102</v>
      </c>
      <c r="F96" t="s">
        <v>103</v>
      </c>
      <c r="G96" t="s">
        <v>129</v>
      </c>
      <c r="H96" t="s">
        <v>20</v>
      </c>
      <c r="I96" t="s">
        <v>20</v>
      </c>
      <c r="J96" t="s">
        <v>131</v>
      </c>
      <c r="K96">
        <v>154200654</v>
      </c>
      <c r="L96" t="s">
        <v>643</v>
      </c>
      <c r="M96" t="s">
        <v>214</v>
      </c>
      <c r="N96" t="s">
        <v>184</v>
      </c>
      <c r="O96" t="s">
        <v>155</v>
      </c>
      <c r="P96" s="2">
        <v>4</v>
      </c>
    </row>
    <row r="97" spans="1:16" hidden="1" x14ac:dyDescent="0.3">
      <c r="A97" t="s">
        <v>286</v>
      </c>
      <c r="B97" t="s">
        <v>664</v>
      </c>
      <c r="D97" t="s">
        <v>101</v>
      </c>
      <c r="E97" t="s">
        <v>102</v>
      </c>
      <c r="F97" t="s">
        <v>136</v>
      </c>
      <c r="G97" t="s">
        <v>129</v>
      </c>
      <c r="H97" t="s">
        <v>130</v>
      </c>
      <c r="I97" t="s">
        <v>20</v>
      </c>
      <c r="J97" t="s">
        <v>131</v>
      </c>
      <c r="K97">
        <v>154210517</v>
      </c>
      <c r="L97" t="s">
        <v>406</v>
      </c>
      <c r="M97" t="s">
        <v>152</v>
      </c>
      <c r="N97" t="s">
        <v>184</v>
      </c>
      <c r="O97" t="s">
        <v>155</v>
      </c>
      <c r="P97" s="2">
        <v>4</v>
      </c>
    </row>
    <row r="98" spans="1:16" hidden="1" x14ac:dyDescent="0.3">
      <c r="A98" t="s">
        <v>286</v>
      </c>
      <c r="B98" t="s">
        <v>662</v>
      </c>
      <c r="D98" t="s">
        <v>118</v>
      </c>
      <c r="E98" t="s">
        <v>102</v>
      </c>
      <c r="F98" t="s">
        <v>242</v>
      </c>
      <c r="G98" t="s">
        <v>129</v>
      </c>
      <c r="H98" t="s">
        <v>20</v>
      </c>
      <c r="I98" t="s">
        <v>20</v>
      </c>
      <c r="J98" t="s">
        <v>131</v>
      </c>
      <c r="K98">
        <v>154210546</v>
      </c>
      <c r="L98" t="s">
        <v>644</v>
      </c>
      <c r="M98" t="s">
        <v>414</v>
      </c>
      <c r="N98" t="s">
        <v>184</v>
      </c>
      <c r="O98" t="s">
        <v>291</v>
      </c>
      <c r="P98" s="2">
        <v>4</v>
      </c>
    </row>
    <row r="99" spans="1:16" hidden="1" x14ac:dyDescent="0.3">
      <c r="A99" t="s">
        <v>286</v>
      </c>
      <c r="B99" t="s">
        <v>662</v>
      </c>
      <c r="D99" t="s">
        <v>118</v>
      </c>
      <c r="E99" t="s">
        <v>102</v>
      </c>
      <c r="F99" t="s">
        <v>242</v>
      </c>
      <c r="G99" t="s">
        <v>129</v>
      </c>
      <c r="H99" t="s">
        <v>20</v>
      </c>
      <c r="I99" t="s">
        <v>20</v>
      </c>
      <c r="J99" t="s">
        <v>131</v>
      </c>
      <c r="K99">
        <v>154210548</v>
      </c>
      <c r="L99" t="s">
        <v>416</v>
      </c>
      <c r="M99" t="s">
        <v>417</v>
      </c>
      <c r="N99" t="s">
        <v>184</v>
      </c>
      <c r="O99" t="s">
        <v>155</v>
      </c>
      <c r="P99" s="2">
        <v>4</v>
      </c>
    </row>
    <row r="100" spans="1:16" hidden="1" x14ac:dyDescent="0.3">
      <c r="A100" t="s">
        <v>286</v>
      </c>
      <c r="B100" t="s">
        <v>295</v>
      </c>
      <c r="D100" t="s">
        <v>126</v>
      </c>
      <c r="E100" t="s">
        <v>127</v>
      </c>
      <c r="F100" t="s">
        <v>103</v>
      </c>
      <c r="G100" t="s">
        <v>140</v>
      </c>
      <c r="H100" t="s">
        <v>20</v>
      </c>
      <c r="I100" t="s">
        <v>20</v>
      </c>
      <c r="J100" t="s">
        <v>105</v>
      </c>
      <c r="K100">
        <v>154220338</v>
      </c>
      <c r="L100" t="s">
        <v>636</v>
      </c>
      <c r="M100" t="s">
        <v>143</v>
      </c>
      <c r="N100" t="s">
        <v>184</v>
      </c>
      <c r="O100" t="s">
        <v>155</v>
      </c>
      <c r="P100" s="2">
        <v>3</v>
      </c>
    </row>
    <row r="101" spans="1:16" hidden="1" x14ac:dyDescent="0.3">
      <c r="A101" t="s">
        <v>286</v>
      </c>
      <c r="B101" t="s">
        <v>662</v>
      </c>
      <c r="D101" t="s">
        <v>118</v>
      </c>
      <c r="E101" t="s">
        <v>102</v>
      </c>
      <c r="F101" t="s">
        <v>103</v>
      </c>
      <c r="G101" t="s">
        <v>113</v>
      </c>
      <c r="H101" t="s">
        <v>20</v>
      </c>
      <c r="I101" t="s">
        <v>20</v>
      </c>
      <c r="J101" t="s">
        <v>105</v>
      </c>
      <c r="K101">
        <v>154220487</v>
      </c>
      <c r="L101" t="s">
        <v>527</v>
      </c>
      <c r="M101" t="s">
        <v>122</v>
      </c>
      <c r="N101" t="s">
        <v>184</v>
      </c>
      <c r="O101" t="s">
        <v>155</v>
      </c>
      <c r="P101" s="2">
        <v>3</v>
      </c>
    </row>
    <row r="102" spans="1:16" hidden="1" x14ac:dyDescent="0.3">
      <c r="A102" t="s">
        <v>286</v>
      </c>
      <c r="B102" t="s">
        <v>663</v>
      </c>
      <c r="D102" t="s">
        <v>101</v>
      </c>
      <c r="E102" t="s">
        <v>102</v>
      </c>
      <c r="F102" t="s">
        <v>177</v>
      </c>
      <c r="G102" t="s">
        <v>129</v>
      </c>
      <c r="H102" t="s">
        <v>20</v>
      </c>
      <c r="I102" t="s">
        <v>20</v>
      </c>
      <c r="J102" t="s">
        <v>131</v>
      </c>
      <c r="K102">
        <v>154230631</v>
      </c>
      <c r="L102" t="s">
        <v>439</v>
      </c>
      <c r="M102" t="s">
        <v>180</v>
      </c>
      <c r="N102" t="s">
        <v>184</v>
      </c>
      <c r="O102" t="s">
        <v>291</v>
      </c>
      <c r="P102" s="2">
        <v>4</v>
      </c>
    </row>
    <row r="103" spans="1:16" hidden="1" x14ac:dyDescent="0.3">
      <c r="A103" t="s">
        <v>286</v>
      </c>
      <c r="B103" t="s">
        <v>662</v>
      </c>
      <c r="D103" t="s">
        <v>118</v>
      </c>
      <c r="E103" t="s">
        <v>102</v>
      </c>
      <c r="F103" t="s">
        <v>136</v>
      </c>
      <c r="G103" t="s">
        <v>104</v>
      </c>
      <c r="H103" t="s">
        <v>130</v>
      </c>
      <c r="I103" t="s">
        <v>20</v>
      </c>
      <c r="J103" t="s">
        <v>105</v>
      </c>
      <c r="K103">
        <v>154061990</v>
      </c>
      <c r="L103" t="s">
        <v>365</v>
      </c>
      <c r="M103" t="s">
        <v>205</v>
      </c>
      <c r="N103" t="s">
        <v>370</v>
      </c>
      <c r="O103" t="s">
        <v>291</v>
      </c>
      <c r="P103" s="2">
        <v>4</v>
      </c>
    </row>
    <row r="104" spans="1:16" hidden="1" x14ac:dyDescent="0.3">
      <c r="A104" t="s">
        <v>286</v>
      </c>
      <c r="B104" t="s">
        <v>663</v>
      </c>
      <c r="D104" t="s">
        <v>101</v>
      </c>
      <c r="E104" t="s">
        <v>102</v>
      </c>
      <c r="F104" t="s">
        <v>136</v>
      </c>
      <c r="G104" t="s">
        <v>104</v>
      </c>
      <c r="H104" t="s">
        <v>20</v>
      </c>
      <c r="I104" t="s">
        <v>20</v>
      </c>
      <c r="J104" t="s">
        <v>105</v>
      </c>
      <c r="K104">
        <v>154160749</v>
      </c>
      <c r="L104" t="s">
        <v>369</v>
      </c>
      <c r="M104" t="s">
        <v>217</v>
      </c>
      <c r="N104" t="s">
        <v>370</v>
      </c>
      <c r="O104" t="s">
        <v>291</v>
      </c>
      <c r="P104" s="2">
        <v>4</v>
      </c>
    </row>
    <row r="105" spans="1:16" hidden="1" x14ac:dyDescent="0.3">
      <c r="A105" t="s">
        <v>286</v>
      </c>
      <c r="B105" t="s">
        <v>662</v>
      </c>
      <c r="D105" t="s">
        <v>118</v>
      </c>
      <c r="E105" t="s">
        <v>102</v>
      </c>
      <c r="F105" t="s">
        <v>103</v>
      </c>
      <c r="H105" t="s">
        <v>20</v>
      </c>
      <c r="I105" t="s">
        <v>20</v>
      </c>
      <c r="J105" t="s">
        <v>131</v>
      </c>
      <c r="K105">
        <v>154171401</v>
      </c>
      <c r="L105" t="s">
        <v>372</v>
      </c>
      <c r="M105" t="s">
        <v>152</v>
      </c>
      <c r="N105" t="s">
        <v>370</v>
      </c>
      <c r="O105" t="s">
        <v>291</v>
      </c>
      <c r="P105" s="2">
        <v>4</v>
      </c>
    </row>
    <row r="106" spans="1:16" hidden="1" x14ac:dyDescent="0.3">
      <c r="A106" t="s">
        <v>286</v>
      </c>
      <c r="B106" t="s">
        <v>664</v>
      </c>
      <c r="D106" t="s">
        <v>101</v>
      </c>
      <c r="E106" t="s">
        <v>102</v>
      </c>
      <c r="F106" t="s">
        <v>389</v>
      </c>
      <c r="H106" t="s">
        <v>20</v>
      </c>
      <c r="I106" t="s">
        <v>20</v>
      </c>
      <c r="J106" t="s">
        <v>105</v>
      </c>
      <c r="K106">
        <v>154220360</v>
      </c>
      <c r="L106" t="s">
        <v>433</v>
      </c>
      <c r="M106" t="s">
        <v>143</v>
      </c>
      <c r="N106" t="s">
        <v>370</v>
      </c>
      <c r="O106" t="s">
        <v>291</v>
      </c>
      <c r="P106" s="2">
        <v>4</v>
      </c>
    </row>
    <row r="107" spans="1:16" hidden="1" x14ac:dyDescent="0.3">
      <c r="A107" t="s">
        <v>286</v>
      </c>
      <c r="B107" t="s">
        <v>662</v>
      </c>
      <c r="D107" t="s">
        <v>118</v>
      </c>
      <c r="E107" t="s">
        <v>102</v>
      </c>
      <c r="F107" t="s">
        <v>177</v>
      </c>
      <c r="H107" t="s">
        <v>20</v>
      </c>
      <c r="I107" t="s">
        <v>20</v>
      </c>
      <c r="J107" t="s">
        <v>131</v>
      </c>
      <c r="K107">
        <v>154240787</v>
      </c>
      <c r="L107" t="s">
        <v>523</v>
      </c>
      <c r="M107" t="s">
        <v>187</v>
      </c>
      <c r="N107" t="s">
        <v>370</v>
      </c>
      <c r="O107" t="s">
        <v>291</v>
      </c>
      <c r="P107" s="2">
        <v>5</v>
      </c>
    </row>
    <row r="108" spans="1:16" hidden="1" x14ac:dyDescent="0.3">
      <c r="A108" t="s">
        <v>286</v>
      </c>
      <c r="B108" t="s">
        <v>662</v>
      </c>
      <c r="D108" t="s">
        <v>118</v>
      </c>
      <c r="E108" t="s">
        <v>102</v>
      </c>
      <c r="F108" t="s">
        <v>103</v>
      </c>
      <c r="H108" t="s">
        <v>20</v>
      </c>
      <c r="I108" t="s">
        <v>20</v>
      </c>
      <c r="J108" t="s">
        <v>131</v>
      </c>
      <c r="K108" s="2">
        <v>154220352</v>
      </c>
      <c r="L108" t="s">
        <v>530</v>
      </c>
      <c r="M108" t="s">
        <v>420</v>
      </c>
      <c r="N108" t="s">
        <v>421</v>
      </c>
      <c r="O108" t="s">
        <v>291</v>
      </c>
      <c r="P108" s="2">
        <v>4</v>
      </c>
    </row>
    <row r="109" spans="1:16" hidden="1" x14ac:dyDescent="0.3">
      <c r="A109" t="s">
        <v>286</v>
      </c>
      <c r="B109" t="s">
        <v>295</v>
      </c>
      <c r="D109" t="s">
        <v>126</v>
      </c>
      <c r="E109" t="s">
        <v>127</v>
      </c>
      <c r="F109" t="s">
        <v>103</v>
      </c>
      <c r="G109" t="s">
        <v>113</v>
      </c>
      <c r="H109" t="s">
        <v>20</v>
      </c>
      <c r="I109" t="s">
        <v>20</v>
      </c>
      <c r="J109" t="s">
        <v>105</v>
      </c>
      <c r="K109">
        <v>154230840</v>
      </c>
      <c r="L109" t="s">
        <v>526</v>
      </c>
      <c r="M109" t="s">
        <v>168</v>
      </c>
      <c r="N109" t="s">
        <v>421</v>
      </c>
      <c r="O109" t="s">
        <v>291</v>
      </c>
      <c r="P109" s="2">
        <v>3</v>
      </c>
    </row>
    <row r="110" spans="1:16" hidden="1" x14ac:dyDescent="0.3">
      <c r="A110" t="s">
        <v>286</v>
      </c>
      <c r="B110" t="s">
        <v>663</v>
      </c>
      <c r="D110" t="s">
        <v>101</v>
      </c>
      <c r="E110" t="s">
        <v>102</v>
      </c>
      <c r="F110" t="s">
        <v>136</v>
      </c>
      <c r="H110" t="s">
        <v>20</v>
      </c>
      <c r="I110" t="s">
        <v>20</v>
      </c>
      <c r="J110" t="s">
        <v>105</v>
      </c>
      <c r="K110">
        <v>154240501</v>
      </c>
      <c r="L110" t="s">
        <v>455</v>
      </c>
      <c r="M110" t="s">
        <v>143</v>
      </c>
      <c r="N110" t="s">
        <v>421</v>
      </c>
      <c r="O110" t="s">
        <v>291</v>
      </c>
      <c r="P110" s="2">
        <v>3</v>
      </c>
    </row>
    <row r="111" spans="1:16" hidden="1" x14ac:dyDescent="0.3">
      <c r="A111" t="s">
        <v>286</v>
      </c>
      <c r="B111" t="s">
        <v>662</v>
      </c>
      <c r="D111" t="s">
        <v>118</v>
      </c>
      <c r="E111" t="s">
        <v>102</v>
      </c>
      <c r="F111" t="s">
        <v>136</v>
      </c>
      <c r="H111" t="s">
        <v>20</v>
      </c>
      <c r="I111" t="s">
        <v>20</v>
      </c>
      <c r="J111" t="s">
        <v>131</v>
      </c>
      <c r="K111">
        <v>154240509</v>
      </c>
      <c r="L111" t="s">
        <v>471</v>
      </c>
      <c r="M111" t="s">
        <v>191</v>
      </c>
      <c r="N111" t="s">
        <v>421</v>
      </c>
      <c r="O111" t="s">
        <v>291</v>
      </c>
      <c r="P111" s="2">
        <v>4</v>
      </c>
    </row>
    <row r="112" spans="1:16" hidden="1" x14ac:dyDescent="0.3">
      <c r="A112" t="s">
        <v>286</v>
      </c>
      <c r="B112" t="s">
        <v>662</v>
      </c>
      <c r="D112" t="s">
        <v>118</v>
      </c>
      <c r="E112" t="s">
        <v>102</v>
      </c>
      <c r="F112" t="s">
        <v>103</v>
      </c>
      <c r="G112" t="s">
        <v>113</v>
      </c>
      <c r="H112" t="s">
        <v>20</v>
      </c>
      <c r="I112" t="s">
        <v>20</v>
      </c>
      <c r="J112" t="s">
        <v>131</v>
      </c>
      <c r="K112">
        <v>154220353</v>
      </c>
      <c r="L112" t="s">
        <v>423</v>
      </c>
      <c r="M112" t="s">
        <v>139</v>
      </c>
      <c r="N112" t="s">
        <v>392</v>
      </c>
      <c r="O112" t="s">
        <v>291</v>
      </c>
      <c r="P112" s="2">
        <v>4</v>
      </c>
    </row>
    <row r="113" spans="1:16" hidden="1" x14ac:dyDescent="0.3">
      <c r="A113" t="s">
        <v>286</v>
      </c>
      <c r="B113" t="s">
        <v>662</v>
      </c>
      <c r="D113" t="s">
        <v>118</v>
      </c>
      <c r="E113" t="s">
        <v>102</v>
      </c>
      <c r="F113" t="s">
        <v>389</v>
      </c>
      <c r="H113" t="s">
        <v>20</v>
      </c>
      <c r="I113" t="s">
        <v>20</v>
      </c>
      <c r="J113" t="s">
        <v>105</v>
      </c>
      <c r="K113">
        <v>154220358</v>
      </c>
      <c r="L113" t="s">
        <v>425</v>
      </c>
      <c r="M113" t="s">
        <v>205</v>
      </c>
      <c r="N113" t="s">
        <v>392</v>
      </c>
      <c r="O113" t="s">
        <v>291</v>
      </c>
      <c r="P113" s="2">
        <v>4</v>
      </c>
    </row>
    <row r="114" spans="1:16" hidden="1" x14ac:dyDescent="0.3">
      <c r="A114" t="s">
        <v>286</v>
      </c>
      <c r="B114" t="s">
        <v>664</v>
      </c>
      <c r="D114" t="s">
        <v>101</v>
      </c>
      <c r="E114" t="s">
        <v>102</v>
      </c>
      <c r="F114" t="s">
        <v>389</v>
      </c>
      <c r="H114" t="s">
        <v>20</v>
      </c>
      <c r="I114" t="s">
        <v>20</v>
      </c>
      <c r="J114" t="s">
        <v>105</v>
      </c>
      <c r="K114">
        <v>154220359</v>
      </c>
      <c r="L114" t="s">
        <v>429</v>
      </c>
      <c r="M114" t="s">
        <v>302</v>
      </c>
      <c r="N114" t="s">
        <v>392</v>
      </c>
      <c r="O114" t="s">
        <v>291</v>
      </c>
      <c r="P114" s="2">
        <v>4</v>
      </c>
    </row>
    <row r="115" spans="1:16" hidden="1" x14ac:dyDescent="0.3">
      <c r="A115" t="s">
        <v>286</v>
      </c>
      <c r="B115" t="s">
        <v>663</v>
      </c>
      <c r="D115" t="s">
        <v>101</v>
      </c>
      <c r="E115" t="s">
        <v>102</v>
      </c>
      <c r="F115" t="s">
        <v>136</v>
      </c>
      <c r="H115" t="s">
        <v>20</v>
      </c>
      <c r="I115" t="s">
        <v>20</v>
      </c>
      <c r="J115" t="s">
        <v>105</v>
      </c>
      <c r="K115">
        <v>154240503</v>
      </c>
      <c r="L115" t="s">
        <v>459</v>
      </c>
      <c r="M115" t="s">
        <v>239</v>
      </c>
      <c r="N115" t="s">
        <v>392</v>
      </c>
      <c r="O115" t="s">
        <v>291</v>
      </c>
      <c r="P115" s="2">
        <v>3</v>
      </c>
    </row>
    <row r="116" spans="1:16" hidden="1" x14ac:dyDescent="0.3">
      <c r="A116" t="s">
        <v>286</v>
      </c>
      <c r="B116" t="s">
        <v>663</v>
      </c>
      <c r="D116" t="s">
        <v>101</v>
      </c>
      <c r="E116" t="s">
        <v>102</v>
      </c>
      <c r="F116" t="s">
        <v>136</v>
      </c>
      <c r="H116" t="s">
        <v>20</v>
      </c>
      <c r="I116" t="s">
        <v>20</v>
      </c>
      <c r="J116" t="s">
        <v>105</v>
      </c>
      <c r="K116">
        <v>154240505</v>
      </c>
      <c r="L116" t="s">
        <v>463</v>
      </c>
      <c r="M116" t="s">
        <v>230</v>
      </c>
      <c r="N116" t="s">
        <v>392</v>
      </c>
      <c r="O116" t="s">
        <v>291</v>
      </c>
      <c r="P116" s="2">
        <v>3</v>
      </c>
    </row>
    <row r="117" spans="1:16" hidden="1" x14ac:dyDescent="0.3">
      <c r="A117" t="s">
        <v>286</v>
      </c>
      <c r="B117" t="s">
        <v>663</v>
      </c>
      <c r="D117" t="s">
        <v>101</v>
      </c>
      <c r="E117" t="s">
        <v>102</v>
      </c>
      <c r="F117" t="s">
        <v>136</v>
      </c>
      <c r="H117" t="s">
        <v>20</v>
      </c>
      <c r="I117" t="s">
        <v>20</v>
      </c>
      <c r="J117" t="s">
        <v>105</v>
      </c>
      <c r="K117">
        <v>154240502</v>
      </c>
      <c r="L117" t="s">
        <v>457</v>
      </c>
      <c r="M117" t="s">
        <v>402</v>
      </c>
      <c r="N117" t="s">
        <v>395</v>
      </c>
      <c r="O117" t="s">
        <v>291</v>
      </c>
      <c r="P117" s="2">
        <v>3</v>
      </c>
    </row>
    <row r="118" spans="1:16" hidden="1" x14ac:dyDescent="0.3">
      <c r="A118" t="s">
        <v>286</v>
      </c>
      <c r="B118" t="s">
        <v>663</v>
      </c>
      <c r="D118" t="s">
        <v>101</v>
      </c>
      <c r="E118" t="s">
        <v>102</v>
      </c>
      <c r="F118" t="s">
        <v>136</v>
      </c>
      <c r="H118" t="s">
        <v>20</v>
      </c>
      <c r="I118" t="s">
        <v>20</v>
      </c>
      <c r="J118" t="s">
        <v>105</v>
      </c>
      <c r="K118">
        <v>154240504</v>
      </c>
      <c r="L118" t="s">
        <v>461</v>
      </c>
      <c r="M118" t="s">
        <v>108</v>
      </c>
      <c r="N118" t="s">
        <v>395</v>
      </c>
      <c r="O118" t="s">
        <v>291</v>
      </c>
      <c r="P118" s="2">
        <v>3</v>
      </c>
    </row>
    <row r="119" spans="1:16" hidden="1" x14ac:dyDescent="0.3">
      <c r="A119" t="s">
        <v>286</v>
      </c>
      <c r="B119" t="s">
        <v>663</v>
      </c>
      <c r="D119" t="s">
        <v>101</v>
      </c>
      <c r="E119" t="s">
        <v>102</v>
      </c>
      <c r="F119" t="s">
        <v>136</v>
      </c>
      <c r="H119" t="s">
        <v>20</v>
      </c>
      <c r="I119" t="s">
        <v>20</v>
      </c>
      <c r="J119" t="s">
        <v>105</v>
      </c>
      <c r="K119">
        <v>154240506</v>
      </c>
      <c r="L119" t="s">
        <v>465</v>
      </c>
      <c r="M119" t="s">
        <v>116</v>
      </c>
      <c r="N119" t="s">
        <v>395</v>
      </c>
      <c r="O119" t="s">
        <v>291</v>
      </c>
      <c r="P119" s="2">
        <v>3</v>
      </c>
    </row>
    <row r="120" spans="1:16" hidden="1" x14ac:dyDescent="0.3">
      <c r="A120" t="s">
        <v>286</v>
      </c>
      <c r="B120" t="s">
        <v>295</v>
      </c>
      <c r="D120" t="s">
        <v>126</v>
      </c>
      <c r="E120" t="s">
        <v>127</v>
      </c>
      <c r="F120" t="s">
        <v>103</v>
      </c>
      <c r="H120" t="s">
        <v>20</v>
      </c>
      <c r="I120" t="s">
        <v>20</v>
      </c>
      <c r="J120" t="s">
        <v>105</v>
      </c>
      <c r="K120">
        <v>154240511</v>
      </c>
      <c r="L120" t="s">
        <v>637</v>
      </c>
      <c r="M120" t="s">
        <v>108</v>
      </c>
      <c r="N120" t="s">
        <v>395</v>
      </c>
      <c r="O120" t="s">
        <v>291</v>
      </c>
      <c r="P120" s="2">
        <v>3</v>
      </c>
    </row>
    <row r="121" spans="1:16" hidden="1" x14ac:dyDescent="0.3">
      <c r="A121" t="s">
        <v>286</v>
      </c>
      <c r="B121" t="s">
        <v>662</v>
      </c>
      <c r="D121" t="s">
        <v>118</v>
      </c>
      <c r="E121" t="s">
        <v>102</v>
      </c>
      <c r="F121" t="s">
        <v>103</v>
      </c>
      <c r="H121" t="s">
        <v>20</v>
      </c>
      <c r="I121" t="s">
        <v>20</v>
      </c>
      <c r="J121" t="s">
        <v>131</v>
      </c>
      <c r="K121">
        <v>154240816</v>
      </c>
      <c r="L121" t="s">
        <v>532</v>
      </c>
      <c r="M121" t="s">
        <v>187</v>
      </c>
      <c r="N121" t="s">
        <v>395</v>
      </c>
      <c r="O121" t="s">
        <v>291</v>
      </c>
      <c r="P121" s="2">
        <v>4</v>
      </c>
    </row>
    <row r="122" spans="1:16" hidden="1" x14ac:dyDescent="0.3">
      <c r="A122" t="s">
        <v>286</v>
      </c>
      <c r="B122" t="s">
        <v>664</v>
      </c>
      <c r="D122" t="s">
        <v>101</v>
      </c>
      <c r="E122" t="s">
        <v>102</v>
      </c>
      <c r="F122" t="s">
        <v>103</v>
      </c>
      <c r="H122" t="s">
        <v>20</v>
      </c>
      <c r="I122" t="s">
        <v>20</v>
      </c>
      <c r="J122" t="s">
        <v>131</v>
      </c>
      <c r="K122">
        <v>154180769</v>
      </c>
      <c r="L122" t="s">
        <v>380</v>
      </c>
      <c r="M122" t="s">
        <v>134</v>
      </c>
      <c r="N122" t="s">
        <v>533</v>
      </c>
      <c r="O122" t="s">
        <v>291</v>
      </c>
      <c r="P122" s="2">
        <v>4</v>
      </c>
    </row>
    <row r="123" spans="1:16" hidden="1" x14ac:dyDescent="0.3">
      <c r="A123" t="s">
        <v>286</v>
      </c>
      <c r="B123" t="s">
        <v>664</v>
      </c>
      <c r="D123" t="s">
        <v>101</v>
      </c>
      <c r="E123" t="s">
        <v>102</v>
      </c>
      <c r="F123" t="s">
        <v>103</v>
      </c>
      <c r="H123" t="s">
        <v>20</v>
      </c>
      <c r="I123" t="s">
        <v>20</v>
      </c>
      <c r="J123" t="s">
        <v>131</v>
      </c>
      <c r="K123">
        <v>154180771</v>
      </c>
      <c r="L123" t="s">
        <v>384</v>
      </c>
      <c r="M123" t="s">
        <v>183</v>
      </c>
      <c r="N123" t="s">
        <v>533</v>
      </c>
      <c r="O123" t="s">
        <v>291</v>
      </c>
      <c r="P123" s="2">
        <v>4</v>
      </c>
    </row>
    <row r="124" spans="1:16" hidden="1" x14ac:dyDescent="0.3">
      <c r="A124" t="s">
        <v>286</v>
      </c>
      <c r="B124" t="s">
        <v>664</v>
      </c>
      <c r="D124" t="s">
        <v>101</v>
      </c>
      <c r="E124" t="s">
        <v>102</v>
      </c>
      <c r="F124" t="s">
        <v>103</v>
      </c>
      <c r="H124" t="s">
        <v>20</v>
      </c>
      <c r="I124" t="s">
        <v>20</v>
      </c>
      <c r="J124" t="s">
        <v>105</v>
      </c>
      <c r="K124">
        <v>154220344</v>
      </c>
      <c r="L124" t="s">
        <v>394</v>
      </c>
      <c r="M124" t="s">
        <v>122</v>
      </c>
      <c r="N124" t="s">
        <v>533</v>
      </c>
      <c r="O124" t="s">
        <v>291</v>
      </c>
      <c r="P124" s="2">
        <v>4</v>
      </c>
    </row>
    <row r="125" spans="1:16" hidden="1" x14ac:dyDescent="0.3">
      <c r="A125" t="s">
        <v>286</v>
      </c>
      <c r="B125" t="s">
        <v>664</v>
      </c>
      <c r="D125" t="s">
        <v>101</v>
      </c>
      <c r="E125" t="s">
        <v>102</v>
      </c>
      <c r="F125" t="s">
        <v>103</v>
      </c>
      <c r="H125" t="s">
        <v>20</v>
      </c>
      <c r="I125" t="s">
        <v>20</v>
      </c>
      <c r="J125" t="s">
        <v>105</v>
      </c>
      <c r="K125">
        <v>154240285</v>
      </c>
      <c r="L125" t="s">
        <v>447</v>
      </c>
      <c r="M125" t="s">
        <v>168</v>
      </c>
      <c r="N125" t="s">
        <v>533</v>
      </c>
      <c r="O125" t="s">
        <v>291</v>
      </c>
      <c r="P125" s="2">
        <v>4</v>
      </c>
    </row>
    <row r="126" spans="1:16" hidden="1" x14ac:dyDescent="0.3">
      <c r="A126" t="s">
        <v>286</v>
      </c>
      <c r="B126" t="s">
        <v>664</v>
      </c>
      <c r="D126" t="s">
        <v>101</v>
      </c>
      <c r="E126" t="s">
        <v>102</v>
      </c>
      <c r="F126" t="s">
        <v>389</v>
      </c>
      <c r="H126" t="s">
        <v>20</v>
      </c>
      <c r="I126" t="s">
        <v>20</v>
      </c>
      <c r="J126" t="s">
        <v>105</v>
      </c>
      <c r="K126">
        <v>154250181</v>
      </c>
      <c r="L126" t="s">
        <v>602</v>
      </c>
      <c r="M126" t="s">
        <v>239</v>
      </c>
      <c r="N126" t="s">
        <v>533</v>
      </c>
      <c r="O126" t="s">
        <v>291</v>
      </c>
      <c r="P126" s="2">
        <v>4</v>
      </c>
    </row>
    <row r="127" spans="1:16" hidden="1" x14ac:dyDescent="0.3">
      <c r="A127" t="s">
        <v>286</v>
      </c>
      <c r="B127" t="s">
        <v>662</v>
      </c>
      <c r="D127" t="s">
        <v>118</v>
      </c>
      <c r="E127" t="s">
        <v>102</v>
      </c>
      <c r="F127" t="s">
        <v>242</v>
      </c>
      <c r="H127" t="s">
        <v>20</v>
      </c>
      <c r="I127" t="s">
        <v>20</v>
      </c>
      <c r="J127" t="s">
        <v>131</v>
      </c>
      <c r="K127" s="2">
        <v>154250476</v>
      </c>
      <c r="L127" t="s">
        <v>686</v>
      </c>
      <c r="M127" t="s">
        <v>687</v>
      </c>
      <c r="N127">
        <v>2030</v>
      </c>
      <c r="O127" t="s">
        <v>291</v>
      </c>
      <c r="P127" s="2">
        <v>3</v>
      </c>
    </row>
    <row r="128" spans="1:16" hidden="1" x14ac:dyDescent="0.3">
      <c r="A128" t="s">
        <v>286</v>
      </c>
      <c r="B128" t="s">
        <v>662</v>
      </c>
      <c r="D128" t="s">
        <v>118</v>
      </c>
      <c r="E128" t="s">
        <v>102</v>
      </c>
      <c r="F128" t="s">
        <v>136</v>
      </c>
      <c r="H128" t="s">
        <v>20</v>
      </c>
      <c r="I128" t="s">
        <v>20</v>
      </c>
      <c r="J128" t="s">
        <v>105</v>
      </c>
      <c r="K128">
        <v>154250517</v>
      </c>
      <c r="L128" t="s">
        <v>696</v>
      </c>
      <c r="M128" t="s">
        <v>180</v>
      </c>
      <c r="N128" t="s">
        <v>197</v>
      </c>
      <c r="O128" t="s">
        <v>291</v>
      </c>
      <c r="P128" s="2">
        <v>5</v>
      </c>
    </row>
    <row r="129" spans="1:16" hidden="1" x14ac:dyDescent="0.3">
      <c r="A129" t="s">
        <v>286</v>
      </c>
      <c r="B129" t="s">
        <v>662</v>
      </c>
      <c r="D129" t="s">
        <v>118</v>
      </c>
      <c r="E129" t="s">
        <v>102</v>
      </c>
      <c r="F129" t="s">
        <v>136</v>
      </c>
      <c r="H129" t="s">
        <v>20</v>
      </c>
      <c r="I129" t="s">
        <v>20</v>
      </c>
      <c r="J129" t="s">
        <v>105</v>
      </c>
      <c r="K129">
        <v>154250512</v>
      </c>
      <c r="L129" t="s">
        <v>693</v>
      </c>
      <c r="M129" t="s">
        <v>239</v>
      </c>
      <c r="N129" t="s">
        <v>197</v>
      </c>
      <c r="O129" t="s">
        <v>291</v>
      </c>
      <c r="P129" s="2">
        <v>5</v>
      </c>
    </row>
    <row r="130" spans="1:16" hidden="1" x14ac:dyDescent="0.3">
      <c r="A130" t="s">
        <v>286</v>
      </c>
      <c r="B130" t="s">
        <v>662</v>
      </c>
      <c r="D130" t="s">
        <v>118</v>
      </c>
      <c r="E130" t="s">
        <v>102</v>
      </c>
      <c r="F130" t="s">
        <v>136</v>
      </c>
      <c r="H130" t="s">
        <v>20</v>
      </c>
      <c r="I130" t="s">
        <v>20</v>
      </c>
      <c r="J130" t="s">
        <v>105</v>
      </c>
      <c r="K130">
        <v>154250514</v>
      </c>
      <c r="L130" t="s">
        <v>694</v>
      </c>
      <c r="M130" t="s">
        <v>402</v>
      </c>
      <c r="N130" t="s">
        <v>197</v>
      </c>
      <c r="O130" t="s">
        <v>291</v>
      </c>
      <c r="P130" s="2">
        <v>5</v>
      </c>
    </row>
  </sheetData>
  <conditionalFormatting sqref="C1:C4">
    <cfRule type="cellIs" dxfId="69" priority="1" operator="equal">
      <formula>"Intolérable - P2"</formula>
    </cfRule>
    <cfRule type="cellIs" dxfId="68" priority="2" operator="equal">
      <formula>"Tolérable - P3"</formula>
    </cfRule>
    <cfRule type="cellIs" dxfId="67" priority="3" operator="equal">
      <formula>"Inacceptable - P1"</formula>
    </cfRule>
    <cfRule type="cellIs" priority="4" operator="equal">
      <formula>"Inacceptable - P1"</formula>
    </cfRule>
    <cfRule type="cellIs" dxfId="66" priority="5" operator="equal">
      <formula>"Acceptable - P4"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9" id="{43D8432E-2F8E-4A1D-A994-44B10FB859D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P16:P130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BBCB-911A-4B1B-BE7D-0BFDC4863455}">
  <dimension ref="A3:A5"/>
  <sheetViews>
    <sheetView workbookViewId="0">
      <selection activeCell="A5" sqref="A5"/>
    </sheetView>
  </sheetViews>
  <sheetFormatPr baseColWidth="10" defaultRowHeight="14.4" x14ac:dyDescent="0.3"/>
  <sheetData>
    <row r="3" spans="1:1" x14ac:dyDescent="0.3">
      <c r="A3" t="s">
        <v>676</v>
      </c>
    </row>
    <row r="4" spans="1:1" x14ac:dyDescent="0.3">
      <c r="A4" t="s">
        <v>677</v>
      </c>
    </row>
    <row r="5" spans="1:1" x14ac:dyDescent="0.3">
      <c r="A5" t="s">
        <v>678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ABAB-1A3B-4ACC-8362-41749786F9F6}">
  <dimension ref="A1:P129"/>
  <sheetViews>
    <sheetView topLeftCell="A59" workbookViewId="0">
      <selection activeCell="A4" sqref="A4:A129"/>
    </sheetView>
  </sheetViews>
  <sheetFormatPr baseColWidth="10" defaultRowHeight="14.4" x14ac:dyDescent="0.3"/>
  <cols>
    <col min="1" max="1" width="23.5546875" customWidth="1"/>
    <col min="2" max="15" width="13.5546875" customWidth="1"/>
    <col min="16" max="16" width="11.6640625" customWidth="1"/>
  </cols>
  <sheetData>
    <row r="1" spans="1:16" x14ac:dyDescent="0.3">
      <c r="A1" s="86" t="s">
        <v>509</v>
      </c>
      <c r="B1" s="87">
        <v>45581</v>
      </c>
    </row>
    <row r="2" spans="1:16" ht="15" thickBot="1" x14ac:dyDescent="0.35"/>
    <row r="3" spans="1:16" ht="40.200000000000003" thickBot="1" x14ac:dyDescent="0.35">
      <c r="A3" s="152" t="s">
        <v>45</v>
      </c>
      <c r="B3" s="147" t="s">
        <v>57</v>
      </c>
      <c r="C3" s="147" t="s">
        <v>58</v>
      </c>
      <c r="D3" s="147" t="s">
        <v>59</v>
      </c>
      <c r="E3" s="147" t="s">
        <v>60</v>
      </c>
      <c r="F3" s="147" t="s">
        <v>61</v>
      </c>
      <c r="G3" s="147" t="s">
        <v>62</v>
      </c>
      <c r="H3" s="147" t="s">
        <v>63</v>
      </c>
      <c r="I3" s="147" t="s">
        <v>64</v>
      </c>
      <c r="J3" s="147" t="s">
        <v>65</v>
      </c>
      <c r="K3" s="147" t="s">
        <v>66</v>
      </c>
      <c r="L3" s="147" t="s">
        <v>67</v>
      </c>
      <c r="M3" s="147" t="s">
        <v>68</v>
      </c>
      <c r="N3" s="147" t="s">
        <v>69</v>
      </c>
      <c r="O3" s="147" t="s">
        <v>70</v>
      </c>
      <c r="P3" s="153" t="s">
        <v>73</v>
      </c>
    </row>
    <row r="4" spans="1:16" ht="15" thickTop="1" x14ac:dyDescent="0.3">
      <c r="A4" s="225">
        <v>154190517</v>
      </c>
      <c r="B4" s="149"/>
      <c r="C4" s="149"/>
      <c r="D4" s="149" t="s">
        <v>124</v>
      </c>
      <c r="E4" s="149" t="s">
        <v>117</v>
      </c>
      <c r="F4" s="149"/>
      <c r="G4" s="149" t="s">
        <v>124</v>
      </c>
      <c r="H4" s="149"/>
      <c r="I4" s="149"/>
      <c r="J4" s="149">
        <v>5</v>
      </c>
      <c r="K4" s="149">
        <v>4</v>
      </c>
      <c r="L4" s="149"/>
      <c r="M4" s="149">
        <v>5</v>
      </c>
      <c r="N4" s="149" t="s">
        <v>156</v>
      </c>
      <c r="O4" s="149">
        <v>4.333333333333333</v>
      </c>
      <c r="P4" s="155">
        <v>5</v>
      </c>
    </row>
    <row r="5" spans="1:16" x14ac:dyDescent="0.3">
      <c r="A5" s="151">
        <v>154130267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 t="s">
        <v>165</v>
      </c>
      <c r="O5" s="148">
        <v>4.333333333333333</v>
      </c>
      <c r="P5" s="154">
        <v>0</v>
      </c>
    </row>
    <row r="6" spans="1:16" x14ac:dyDescent="0.3">
      <c r="A6" s="225">
        <v>154160008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 t="s">
        <v>125</v>
      </c>
      <c r="O6" s="149">
        <v>4.333333333333333</v>
      </c>
      <c r="P6" s="155">
        <v>0</v>
      </c>
    </row>
    <row r="7" spans="1:16" x14ac:dyDescent="0.3">
      <c r="A7" s="151">
        <v>154171269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 t="s">
        <v>165</v>
      </c>
      <c r="O7" s="148">
        <v>4.333333333333333</v>
      </c>
      <c r="P7" s="154">
        <v>0</v>
      </c>
    </row>
    <row r="8" spans="1:16" x14ac:dyDescent="0.3">
      <c r="A8" s="225">
        <v>154171517</v>
      </c>
      <c r="B8" s="149"/>
      <c r="C8" s="149" t="s">
        <v>117</v>
      </c>
      <c r="D8" s="149"/>
      <c r="E8" s="149"/>
      <c r="F8" s="149"/>
      <c r="G8" s="149"/>
      <c r="H8" s="149"/>
      <c r="I8" s="149">
        <v>4</v>
      </c>
      <c r="J8" s="149"/>
      <c r="K8" s="149"/>
      <c r="L8" s="149"/>
      <c r="M8" s="149"/>
      <c r="N8" s="149" t="s">
        <v>165</v>
      </c>
      <c r="O8" s="149">
        <v>4.333333333333333</v>
      </c>
      <c r="P8" s="155">
        <v>4</v>
      </c>
    </row>
    <row r="9" spans="1:16" x14ac:dyDescent="0.3">
      <c r="A9" s="151">
        <v>154190597</v>
      </c>
      <c r="B9" s="148" t="s">
        <v>124</v>
      </c>
      <c r="C9" s="148"/>
      <c r="D9" s="148"/>
      <c r="E9" s="148"/>
      <c r="F9" s="148"/>
      <c r="G9" s="148"/>
      <c r="H9" s="148">
        <v>5</v>
      </c>
      <c r="I9" s="148"/>
      <c r="J9" s="148"/>
      <c r="K9" s="148"/>
      <c r="L9" s="148"/>
      <c r="M9" s="148"/>
      <c r="N9" s="148" t="s">
        <v>156</v>
      </c>
      <c r="O9" s="148">
        <v>4.333333333333333</v>
      </c>
      <c r="P9" s="154">
        <v>5</v>
      </c>
    </row>
    <row r="10" spans="1:16" x14ac:dyDescent="0.3">
      <c r="A10" s="225">
        <v>154220360</v>
      </c>
      <c r="B10" s="149"/>
      <c r="C10" s="149"/>
      <c r="D10" s="149"/>
      <c r="E10" s="149" t="s">
        <v>117</v>
      </c>
      <c r="F10" s="149" t="s">
        <v>117</v>
      </c>
      <c r="G10" s="149"/>
      <c r="H10" s="149"/>
      <c r="I10" s="149"/>
      <c r="J10" s="149"/>
      <c r="K10" s="149">
        <v>4</v>
      </c>
      <c r="L10" s="149">
        <v>4</v>
      </c>
      <c r="M10" s="149"/>
      <c r="N10" s="149" t="s">
        <v>311</v>
      </c>
      <c r="O10" s="149">
        <v>4.333333333333333</v>
      </c>
      <c r="P10" s="155">
        <v>4</v>
      </c>
    </row>
    <row r="11" spans="1:16" x14ac:dyDescent="0.3">
      <c r="A11" s="151">
        <v>154230638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 t="s">
        <v>165</v>
      </c>
      <c r="O11" s="148">
        <v>4.333333333333333</v>
      </c>
      <c r="P11" s="154">
        <v>0</v>
      </c>
    </row>
    <row r="12" spans="1:16" x14ac:dyDescent="0.3">
      <c r="A12" s="225">
        <v>154230792</v>
      </c>
      <c r="B12" s="149" t="s">
        <v>124</v>
      </c>
      <c r="C12" s="149"/>
      <c r="D12" s="149"/>
      <c r="E12" s="149"/>
      <c r="F12" s="149"/>
      <c r="G12" s="149"/>
      <c r="H12" s="149">
        <v>5</v>
      </c>
      <c r="I12" s="149"/>
      <c r="J12" s="149"/>
      <c r="K12" s="149"/>
      <c r="L12" s="149"/>
      <c r="M12" s="149"/>
      <c r="N12" s="149" t="s">
        <v>156</v>
      </c>
      <c r="O12" s="149">
        <v>4.333333333333333</v>
      </c>
      <c r="P12" s="155">
        <v>5</v>
      </c>
    </row>
    <row r="13" spans="1:16" x14ac:dyDescent="0.3">
      <c r="A13" s="225">
        <v>154240494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>
        <v>4.333333333333333</v>
      </c>
      <c r="P13" s="155">
        <v>0</v>
      </c>
    </row>
    <row r="14" spans="1:16" x14ac:dyDescent="0.3">
      <c r="A14" s="225">
        <v>154240499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>
        <v>4.333333333333333</v>
      </c>
      <c r="P14" s="155">
        <v>0</v>
      </c>
    </row>
    <row r="15" spans="1:16" x14ac:dyDescent="0.3">
      <c r="A15" s="151">
        <v>154240500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>
        <v>4.333333333333333</v>
      </c>
      <c r="P15" s="154">
        <v>0</v>
      </c>
    </row>
    <row r="16" spans="1:16" x14ac:dyDescent="0.3">
      <c r="A16" s="151">
        <v>154240501</v>
      </c>
      <c r="B16" s="148" t="s">
        <v>111</v>
      </c>
      <c r="C16" s="148"/>
      <c r="D16" s="148"/>
      <c r="E16" s="148"/>
      <c r="F16" s="148"/>
      <c r="G16" s="148"/>
      <c r="H16" s="148">
        <v>2</v>
      </c>
      <c r="I16" s="148"/>
      <c r="J16" s="148"/>
      <c r="K16" s="148"/>
      <c r="L16" s="148"/>
      <c r="M16" s="148"/>
      <c r="N16" s="148"/>
      <c r="O16" s="148">
        <v>4.333333333333333</v>
      </c>
      <c r="P16" s="154">
        <v>2</v>
      </c>
    </row>
    <row r="17" spans="1:16" x14ac:dyDescent="0.3">
      <c r="A17" s="151">
        <v>154240508</v>
      </c>
      <c r="B17" s="148"/>
      <c r="C17" s="148" t="s">
        <v>508</v>
      </c>
      <c r="D17" s="148"/>
      <c r="E17" s="148"/>
      <c r="F17" s="148"/>
      <c r="G17" s="148"/>
      <c r="H17" s="148"/>
      <c r="I17" s="148">
        <v>1</v>
      </c>
      <c r="J17" s="148"/>
      <c r="K17" s="148"/>
      <c r="L17" s="148"/>
      <c r="M17" s="148"/>
      <c r="N17" s="148"/>
      <c r="O17" s="148">
        <v>4.333333333333333</v>
      </c>
      <c r="P17" s="154">
        <v>1</v>
      </c>
    </row>
    <row r="18" spans="1:16" x14ac:dyDescent="0.3">
      <c r="A18" s="151">
        <v>154240510</v>
      </c>
      <c r="B18" s="148"/>
      <c r="C18" s="148" t="s">
        <v>508</v>
      </c>
      <c r="D18" s="148"/>
      <c r="E18" s="148"/>
      <c r="F18" s="148"/>
      <c r="G18" s="148"/>
      <c r="H18" s="148"/>
      <c r="I18" s="148">
        <v>1</v>
      </c>
      <c r="J18" s="148"/>
      <c r="K18" s="148"/>
      <c r="L18" s="148"/>
      <c r="M18" s="148"/>
      <c r="N18" s="148"/>
      <c r="O18" s="148">
        <v>4.333333333333333</v>
      </c>
      <c r="P18" s="154">
        <v>1</v>
      </c>
    </row>
    <row r="19" spans="1:16" x14ac:dyDescent="0.3">
      <c r="A19" s="151">
        <v>154061991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 t="s">
        <v>165</v>
      </c>
      <c r="O19" s="148">
        <v>4</v>
      </c>
      <c r="P19" s="154">
        <v>0</v>
      </c>
    </row>
    <row r="20" spans="1:16" x14ac:dyDescent="0.3">
      <c r="A20" s="151">
        <v>154061996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 t="s">
        <v>165</v>
      </c>
      <c r="O20" s="148">
        <v>4</v>
      </c>
      <c r="P20" s="154">
        <v>0</v>
      </c>
    </row>
    <row r="21" spans="1:16" x14ac:dyDescent="0.3">
      <c r="A21" s="151">
        <v>154101262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 t="s">
        <v>165</v>
      </c>
      <c r="O21" s="148">
        <v>4</v>
      </c>
      <c r="P21" s="154">
        <v>0</v>
      </c>
    </row>
    <row r="22" spans="1:16" x14ac:dyDescent="0.3">
      <c r="A22" s="225">
        <v>154150340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>
        <v>4</v>
      </c>
      <c r="P22" s="155">
        <v>0</v>
      </c>
    </row>
    <row r="23" spans="1:16" x14ac:dyDescent="0.3">
      <c r="A23" s="151">
        <v>154171105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 t="s">
        <v>125</v>
      </c>
      <c r="O23" s="148">
        <v>4</v>
      </c>
      <c r="P23" s="154">
        <v>0</v>
      </c>
    </row>
    <row r="24" spans="1:16" x14ac:dyDescent="0.3">
      <c r="A24" s="225">
        <v>154180023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 t="s">
        <v>156</v>
      </c>
      <c r="O24" s="149">
        <v>4</v>
      </c>
      <c r="P24" s="155">
        <v>0</v>
      </c>
    </row>
    <row r="25" spans="1:16" x14ac:dyDescent="0.3">
      <c r="A25" s="151">
        <v>154180091</v>
      </c>
      <c r="B25" s="148"/>
      <c r="C25" s="148"/>
      <c r="D25" s="148"/>
      <c r="E25" s="148" t="s">
        <v>124</v>
      </c>
      <c r="F25" s="148"/>
      <c r="G25" s="148"/>
      <c r="H25" s="148"/>
      <c r="I25" s="148"/>
      <c r="J25" s="148"/>
      <c r="K25" s="148">
        <v>5</v>
      </c>
      <c r="L25" s="148"/>
      <c r="M25" s="148"/>
      <c r="N25" s="148" t="s">
        <v>165</v>
      </c>
      <c r="O25" s="148">
        <v>4</v>
      </c>
      <c r="P25" s="154">
        <v>5</v>
      </c>
    </row>
    <row r="26" spans="1:16" x14ac:dyDescent="0.3">
      <c r="A26" s="151">
        <v>154180843</v>
      </c>
      <c r="B26" s="148"/>
      <c r="C26" s="148" t="s">
        <v>117</v>
      </c>
      <c r="D26" s="148"/>
      <c r="E26" s="148" t="s">
        <v>111</v>
      </c>
      <c r="F26" s="148"/>
      <c r="G26" s="148"/>
      <c r="H26" s="148"/>
      <c r="I26" s="148">
        <v>4</v>
      </c>
      <c r="J26" s="148"/>
      <c r="K26" s="148">
        <v>2</v>
      </c>
      <c r="L26" s="148"/>
      <c r="M26" s="148"/>
      <c r="N26" s="148" t="s">
        <v>165</v>
      </c>
      <c r="O26" s="148">
        <v>4</v>
      </c>
      <c r="P26" s="154">
        <v>4</v>
      </c>
    </row>
    <row r="27" spans="1:16" x14ac:dyDescent="0.3">
      <c r="A27" s="151">
        <v>154190692</v>
      </c>
      <c r="B27" s="148"/>
      <c r="C27" s="148" t="s">
        <v>111</v>
      </c>
      <c r="D27" s="148"/>
      <c r="E27" s="148"/>
      <c r="F27" s="148"/>
      <c r="G27" s="148"/>
      <c r="H27" s="148"/>
      <c r="I27" s="148">
        <v>2</v>
      </c>
      <c r="J27" s="148"/>
      <c r="K27" s="148"/>
      <c r="L27" s="148"/>
      <c r="M27" s="148"/>
      <c r="N27" s="148" t="s">
        <v>112</v>
      </c>
      <c r="O27" s="148">
        <v>4</v>
      </c>
      <c r="P27" s="154">
        <v>2</v>
      </c>
    </row>
    <row r="28" spans="1:16" x14ac:dyDescent="0.3">
      <c r="A28" s="151">
        <v>154200684</v>
      </c>
      <c r="B28" s="148" t="s">
        <v>124</v>
      </c>
      <c r="C28" s="148"/>
      <c r="D28" s="148"/>
      <c r="E28" s="148"/>
      <c r="F28" s="148"/>
      <c r="G28" s="148"/>
      <c r="H28" s="148">
        <v>5</v>
      </c>
      <c r="I28" s="148"/>
      <c r="J28" s="148"/>
      <c r="K28" s="148"/>
      <c r="L28" s="148"/>
      <c r="M28" s="148"/>
      <c r="N28" s="148"/>
      <c r="O28" s="148">
        <v>4</v>
      </c>
      <c r="P28" s="154">
        <v>5</v>
      </c>
    </row>
    <row r="29" spans="1:16" x14ac:dyDescent="0.3">
      <c r="A29" s="225">
        <v>154210133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 t="s">
        <v>165</v>
      </c>
      <c r="O29" s="149">
        <v>4</v>
      </c>
      <c r="P29" s="155">
        <v>0</v>
      </c>
    </row>
    <row r="30" spans="1:16" x14ac:dyDescent="0.3">
      <c r="A30" s="225">
        <v>154220344</v>
      </c>
      <c r="B30" s="149"/>
      <c r="C30" s="149" t="s">
        <v>508</v>
      </c>
      <c r="D30" s="149"/>
      <c r="E30" s="149"/>
      <c r="F30" s="149"/>
      <c r="G30" s="149"/>
      <c r="H30" s="149"/>
      <c r="I30" s="149">
        <v>1</v>
      </c>
      <c r="J30" s="149"/>
      <c r="K30" s="149"/>
      <c r="L30" s="149"/>
      <c r="M30" s="149"/>
      <c r="N30" s="149" t="s">
        <v>311</v>
      </c>
      <c r="O30" s="149">
        <v>4</v>
      </c>
      <c r="P30" s="155">
        <v>1</v>
      </c>
    </row>
    <row r="31" spans="1:16" x14ac:dyDescent="0.3">
      <c r="A31" s="151">
        <v>154220359</v>
      </c>
      <c r="B31" s="148"/>
      <c r="C31" s="148"/>
      <c r="D31" s="148"/>
      <c r="E31" s="148" t="s">
        <v>135</v>
      </c>
      <c r="F31" s="148" t="s">
        <v>117</v>
      </c>
      <c r="G31" s="148"/>
      <c r="H31" s="148"/>
      <c r="I31" s="148"/>
      <c r="J31" s="148"/>
      <c r="K31" s="148">
        <v>3</v>
      </c>
      <c r="L31" s="148">
        <v>4</v>
      </c>
      <c r="M31" s="148"/>
      <c r="N31" s="148" t="s">
        <v>311</v>
      </c>
      <c r="O31" s="148">
        <v>4</v>
      </c>
      <c r="P31" s="154">
        <v>4</v>
      </c>
    </row>
    <row r="32" spans="1:16" x14ac:dyDescent="0.3">
      <c r="A32" s="225">
        <v>154220487</v>
      </c>
      <c r="B32" s="149"/>
      <c r="C32" s="149" t="s">
        <v>117</v>
      </c>
      <c r="D32" s="149"/>
      <c r="E32" s="149" t="s">
        <v>117</v>
      </c>
      <c r="F32" s="149"/>
      <c r="G32" s="149"/>
      <c r="H32" s="149"/>
      <c r="I32" s="149">
        <v>4</v>
      </c>
      <c r="J32" s="149"/>
      <c r="K32" s="149">
        <v>4</v>
      </c>
      <c r="L32" s="149"/>
      <c r="M32" s="149"/>
      <c r="N32" s="149" t="s">
        <v>156</v>
      </c>
      <c r="O32" s="149">
        <v>4</v>
      </c>
      <c r="P32" s="155">
        <v>4</v>
      </c>
    </row>
    <row r="33" spans="1:16" x14ac:dyDescent="0.3">
      <c r="A33" s="151">
        <v>154230987</v>
      </c>
      <c r="B33" s="148"/>
      <c r="C33" s="148"/>
      <c r="D33" s="148"/>
      <c r="E33" s="148" t="s">
        <v>124</v>
      </c>
      <c r="F33" s="148"/>
      <c r="G33" s="148"/>
      <c r="H33" s="148"/>
      <c r="I33" s="148"/>
      <c r="J33" s="148"/>
      <c r="K33" s="148">
        <v>5</v>
      </c>
      <c r="L33" s="148"/>
      <c r="M33" s="148"/>
      <c r="N33" s="148" t="s">
        <v>125</v>
      </c>
      <c r="O33" s="148">
        <v>4</v>
      </c>
      <c r="P33" s="154">
        <v>5</v>
      </c>
    </row>
    <row r="34" spans="1:16" x14ac:dyDescent="0.3">
      <c r="A34" s="151">
        <v>154240284</v>
      </c>
      <c r="B34" s="148"/>
      <c r="C34" s="148" t="s">
        <v>135</v>
      </c>
      <c r="D34" s="148"/>
      <c r="E34" s="148"/>
      <c r="F34" s="148"/>
      <c r="G34" s="148"/>
      <c r="H34" s="148"/>
      <c r="I34" s="148">
        <v>3</v>
      </c>
      <c r="J34" s="148"/>
      <c r="K34" s="148"/>
      <c r="L34" s="148"/>
      <c r="M34" s="148"/>
      <c r="N34" s="148" t="s">
        <v>311</v>
      </c>
      <c r="O34" s="148">
        <v>4</v>
      </c>
      <c r="P34" s="154">
        <v>3</v>
      </c>
    </row>
    <row r="35" spans="1:16" x14ac:dyDescent="0.3">
      <c r="A35" s="151">
        <v>154240504</v>
      </c>
      <c r="B35" s="148" t="s">
        <v>111</v>
      </c>
      <c r="C35" s="148"/>
      <c r="D35" s="148"/>
      <c r="E35" s="148"/>
      <c r="F35" s="148"/>
      <c r="G35" s="148"/>
      <c r="H35" s="148">
        <v>2</v>
      </c>
      <c r="I35" s="148"/>
      <c r="J35" s="148"/>
      <c r="K35" s="148"/>
      <c r="L35" s="148"/>
      <c r="M35" s="148"/>
      <c r="N35" s="148"/>
      <c r="O35" s="148">
        <v>4</v>
      </c>
      <c r="P35" s="154">
        <v>2</v>
      </c>
    </row>
    <row r="36" spans="1:16" x14ac:dyDescent="0.3">
      <c r="A36" s="225">
        <v>154240507</v>
      </c>
      <c r="B36" s="149"/>
      <c r="C36" s="149" t="s">
        <v>111</v>
      </c>
      <c r="D36" s="149"/>
      <c r="E36" s="149"/>
      <c r="F36" s="149"/>
      <c r="G36" s="149"/>
      <c r="H36" s="149"/>
      <c r="I36" s="149">
        <v>2</v>
      </c>
      <c r="J36" s="149"/>
      <c r="K36" s="149"/>
      <c r="L36" s="149"/>
      <c r="M36" s="149"/>
      <c r="N36" s="149"/>
      <c r="O36" s="149">
        <v>4</v>
      </c>
      <c r="P36" s="155">
        <v>2</v>
      </c>
    </row>
    <row r="37" spans="1:16" x14ac:dyDescent="0.3">
      <c r="A37" s="225">
        <v>154240511</v>
      </c>
      <c r="B37" s="149"/>
      <c r="C37" s="149" t="s">
        <v>111</v>
      </c>
      <c r="D37" s="149"/>
      <c r="E37" s="149"/>
      <c r="F37" s="149"/>
      <c r="G37" s="149"/>
      <c r="H37" s="149"/>
      <c r="I37" s="149">
        <v>2</v>
      </c>
      <c r="J37" s="149"/>
      <c r="K37" s="149"/>
      <c r="L37" s="149"/>
      <c r="M37" s="149"/>
      <c r="N37" s="149"/>
      <c r="O37" s="149">
        <v>4</v>
      </c>
      <c r="P37" s="155">
        <v>2</v>
      </c>
    </row>
    <row r="38" spans="1:16" x14ac:dyDescent="0.3">
      <c r="A38" s="151">
        <v>154951715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 t="s">
        <v>165</v>
      </c>
      <c r="O38" s="148">
        <v>4</v>
      </c>
      <c r="P38" s="154">
        <v>0</v>
      </c>
    </row>
    <row r="39" spans="1:16" x14ac:dyDescent="0.3">
      <c r="A39" s="225">
        <v>154951716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 t="s">
        <v>165</v>
      </c>
      <c r="O39" s="149">
        <v>4</v>
      </c>
      <c r="P39" s="155">
        <v>0</v>
      </c>
    </row>
    <row r="40" spans="1:16" x14ac:dyDescent="0.3">
      <c r="A40" s="151">
        <v>154062002</v>
      </c>
      <c r="B40" s="148" t="s">
        <v>117</v>
      </c>
      <c r="C40" s="148"/>
      <c r="D40" s="148"/>
      <c r="E40" s="148"/>
      <c r="F40" s="148"/>
      <c r="G40" s="148"/>
      <c r="H40" s="148">
        <v>4</v>
      </c>
      <c r="I40" s="148"/>
      <c r="J40" s="148"/>
      <c r="K40" s="148"/>
      <c r="L40" s="148"/>
      <c r="M40" s="148"/>
      <c r="N40" s="148" t="s">
        <v>112</v>
      </c>
      <c r="O40" s="148">
        <v>3.6666666666666665</v>
      </c>
      <c r="P40" s="154">
        <v>4</v>
      </c>
    </row>
    <row r="41" spans="1:16" x14ac:dyDescent="0.3">
      <c r="A41" s="225">
        <v>154101520</v>
      </c>
      <c r="B41" s="149" t="s">
        <v>124</v>
      </c>
      <c r="C41" s="149"/>
      <c r="D41" s="149"/>
      <c r="E41" s="149"/>
      <c r="F41" s="149"/>
      <c r="G41" s="149"/>
      <c r="H41" s="149">
        <v>5</v>
      </c>
      <c r="I41" s="149"/>
      <c r="J41" s="149"/>
      <c r="K41" s="149"/>
      <c r="L41" s="149"/>
      <c r="M41" s="149"/>
      <c r="N41" s="149" t="s">
        <v>112</v>
      </c>
      <c r="O41" s="149">
        <v>3.6666666666666665</v>
      </c>
      <c r="P41" s="155">
        <v>5</v>
      </c>
    </row>
    <row r="42" spans="1:16" x14ac:dyDescent="0.3">
      <c r="A42" s="225">
        <v>154171401</v>
      </c>
      <c r="B42" s="149"/>
      <c r="C42" s="149"/>
      <c r="D42" s="149" t="s">
        <v>117</v>
      </c>
      <c r="E42" s="149"/>
      <c r="F42" s="149"/>
      <c r="G42" s="149"/>
      <c r="H42" s="149"/>
      <c r="I42" s="149"/>
      <c r="J42" s="149">
        <v>4</v>
      </c>
      <c r="K42" s="149"/>
      <c r="L42" s="149"/>
      <c r="M42" s="149"/>
      <c r="N42" s="149" t="s">
        <v>311</v>
      </c>
      <c r="O42" s="149">
        <v>3.6666666666666665</v>
      </c>
      <c r="P42" s="155">
        <v>4</v>
      </c>
    </row>
    <row r="43" spans="1:16" x14ac:dyDescent="0.3">
      <c r="A43" s="225">
        <v>154171405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>
        <v>3.6666666666666665</v>
      </c>
      <c r="P43" s="155">
        <v>0</v>
      </c>
    </row>
    <row r="44" spans="1:16" x14ac:dyDescent="0.3">
      <c r="A44" s="225">
        <v>154190681</v>
      </c>
      <c r="B44" s="149"/>
      <c r="C44" s="149"/>
      <c r="D44" s="149" t="s">
        <v>117</v>
      </c>
      <c r="E44" s="149"/>
      <c r="F44" s="149"/>
      <c r="G44" s="149"/>
      <c r="H44" s="149"/>
      <c r="I44" s="149"/>
      <c r="J44" s="149">
        <v>4</v>
      </c>
      <c r="K44" s="149"/>
      <c r="L44" s="149"/>
      <c r="M44" s="149"/>
      <c r="N44" s="149" t="s">
        <v>156</v>
      </c>
      <c r="O44" s="149">
        <v>3.6666666666666665</v>
      </c>
      <c r="P44" s="155">
        <v>4</v>
      </c>
    </row>
    <row r="45" spans="1:16" x14ac:dyDescent="0.3">
      <c r="A45" s="225">
        <v>154190685</v>
      </c>
      <c r="B45" s="149"/>
      <c r="C45" s="149" t="s">
        <v>135</v>
      </c>
      <c r="D45" s="149"/>
      <c r="E45" s="149"/>
      <c r="F45" s="149"/>
      <c r="G45" s="149"/>
      <c r="H45" s="149"/>
      <c r="I45" s="149">
        <v>3</v>
      </c>
      <c r="J45" s="149"/>
      <c r="K45" s="149"/>
      <c r="L45" s="149"/>
      <c r="M45" s="149"/>
      <c r="N45" s="149" t="s">
        <v>311</v>
      </c>
      <c r="O45" s="149">
        <v>3.6666666666666665</v>
      </c>
      <c r="P45" s="155">
        <v>3</v>
      </c>
    </row>
    <row r="46" spans="1:16" x14ac:dyDescent="0.3">
      <c r="A46" s="225">
        <v>154200665</v>
      </c>
      <c r="B46" s="149"/>
      <c r="C46" s="149"/>
      <c r="D46" s="149"/>
      <c r="E46" s="149" t="s">
        <v>117</v>
      </c>
      <c r="F46" s="149"/>
      <c r="G46" s="149"/>
      <c r="H46" s="149"/>
      <c r="I46" s="149"/>
      <c r="J46" s="149"/>
      <c r="K46" s="149">
        <v>4</v>
      </c>
      <c r="L46" s="149"/>
      <c r="M46" s="149"/>
      <c r="N46" s="149" t="s">
        <v>112</v>
      </c>
      <c r="O46" s="149">
        <v>3.6666666666666665</v>
      </c>
      <c r="P46" s="155">
        <v>4</v>
      </c>
    </row>
    <row r="47" spans="1:16" x14ac:dyDescent="0.3">
      <c r="A47" s="225">
        <v>154200670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>
        <v>3.6666666666666665</v>
      </c>
      <c r="P47" s="155">
        <v>0</v>
      </c>
    </row>
    <row r="48" spans="1:16" x14ac:dyDescent="0.3">
      <c r="A48" s="151">
        <v>154210517</v>
      </c>
      <c r="B48" s="148" t="s">
        <v>124</v>
      </c>
      <c r="C48" s="148"/>
      <c r="D48" s="148"/>
      <c r="E48" s="148"/>
      <c r="F48" s="148"/>
      <c r="G48" s="148"/>
      <c r="H48" s="148">
        <v>5</v>
      </c>
      <c r="I48" s="148"/>
      <c r="J48" s="148"/>
      <c r="K48" s="148"/>
      <c r="L48" s="148"/>
      <c r="M48" s="148"/>
      <c r="N48" s="148" t="s">
        <v>156</v>
      </c>
      <c r="O48" s="148">
        <v>3.6666666666666665</v>
      </c>
      <c r="P48" s="154">
        <v>5</v>
      </c>
    </row>
    <row r="49" spans="1:16" x14ac:dyDescent="0.3">
      <c r="A49" s="151">
        <v>154220339</v>
      </c>
      <c r="B49" s="148"/>
      <c r="C49" s="148"/>
      <c r="D49" s="148"/>
      <c r="E49" s="148" t="s">
        <v>135</v>
      </c>
      <c r="F49" s="148" t="s">
        <v>135</v>
      </c>
      <c r="G49" s="148"/>
      <c r="H49" s="148"/>
      <c r="I49" s="148"/>
      <c r="J49" s="148"/>
      <c r="K49" s="148">
        <v>3</v>
      </c>
      <c r="L49" s="148">
        <v>3</v>
      </c>
      <c r="M49" s="148"/>
      <c r="N49" s="148" t="s">
        <v>311</v>
      </c>
      <c r="O49" s="148">
        <v>3.6666666666666665</v>
      </c>
      <c r="P49" s="154">
        <v>3</v>
      </c>
    </row>
    <row r="50" spans="1:16" x14ac:dyDescent="0.3">
      <c r="A50" s="225">
        <v>154220352</v>
      </c>
      <c r="B50" s="149"/>
      <c r="C50" s="149"/>
      <c r="D50" s="149" t="s">
        <v>117</v>
      </c>
      <c r="E50" s="149"/>
      <c r="F50" s="149"/>
      <c r="G50" s="149"/>
      <c r="H50" s="149"/>
      <c r="I50" s="149"/>
      <c r="J50" s="149">
        <v>4</v>
      </c>
      <c r="K50" s="149"/>
      <c r="L50" s="149"/>
      <c r="M50" s="149"/>
      <c r="N50" s="149" t="s">
        <v>311</v>
      </c>
      <c r="O50" s="149">
        <v>3.6666666666666665</v>
      </c>
      <c r="P50" s="155">
        <v>4</v>
      </c>
    </row>
    <row r="51" spans="1:16" x14ac:dyDescent="0.3">
      <c r="A51" s="151">
        <v>154230793</v>
      </c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 t="s">
        <v>156</v>
      </c>
      <c r="O51" s="148">
        <v>3.6666666666666665</v>
      </c>
      <c r="P51" s="154">
        <v>0</v>
      </c>
    </row>
    <row r="52" spans="1:16" x14ac:dyDescent="0.3">
      <c r="A52" s="151">
        <v>154220313</v>
      </c>
      <c r="B52" s="148"/>
      <c r="C52" s="148"/>
      <c r="D52" s="148"/>
      <c r="E52" s="148"/>
      <c r="F52" s="148"/>
      <c r="G52" s="149" t="s">
        <v>124</v>
      </c>
      <c r="H52" s="148"/>
      <c r="I52" s="148"/>
      <c r="J52" s="148"/>
      <c r="K52" s="148"/>
      <c r="L52" s="148"/>
      <c r="M52" s="149">
        <v>5</v>
      </c>
      <c r="N52" s="148" t="s">
        <v>311</v>
      </c>
      <c r="O52" s="148">
        <v>3.3333333333333335</v>
      </c>
      <c r="P52" s="155">
        <v>5</v>
      </c>
    </row>
    <row r="53" spans="1:16" x14ac:dyDescent="0.3">
      <c r="A53" s="225">
        <v>154190478</v>
      </c>
      <c r="B53" s="149"/>
      <c r="C53" s="149"/>
      <c r="D53" s="149" t="s">
        <v>124</v>
      </c>
      <c r="E53" s="149" t="s">
        <v>117</v>
      </c>
      <c r="F53" s="149"/>
      <c r="G53" s="149" t="s">
        <v>135</v>
      </c>
      <c r="H53" s="149"/>
      <c r="I53" s="149"/>
      <c r="J53" s="149">
        <v>5</v>
      </c>
      <c r="K53" s="149">
        <v>4</v>
      </c>
      <c r="L53" s="149"/>
      <c r="M53" s="149">
        <v>3</v>
      </c>
      <c r="N53" s="149" t="s">
        <v>165</v>
      </c>
      <c r="O53" s="149">
        <v>3.3333333333333335</v>
      </c>
      <c r="P53" s="155">
        <v>5</v>
      </c>
    </row>
    <row r="54" spans="1:16" x14ac:dyDescent="0.3">
      <c r="A54" s="225">
        <v>154061990</v>
      </c>
      <c r="B54" s="149" t="s">
        <v>124</v>
      </c>
      <c r="C54" s="149"/>
      <c r="D54" s="149"/>
      <c r="E54" s="149"/>
      <c r="F54" s="149"/>
      <c r="G54" s="149"/>
      <c r="H54" s="149">
        <v>5</v>
      </c>
      <c r="I54" s="149"/>
      <c r="J54" s="149"/>
      <c r="K54" s="149"/>
      <c r="L54" s="149"/>
      <c r="M54" s="149"/>
      <c r="N54" s="149" t="s">
        <v>311</v>
      </c>
      <c r="O54" s="149">
        <v>3.3333333333333335</v>
      </c>
      <c r="P54" s="155">
        <v>5</v>
      </c>
    </row>
    <row r="55" spans="1:16" x14ac:dyDescent="0.3">
      <c r="A55" s="225">
        <v>154061997</v>
      </c>
      <c r="B55" s="149" t="s">
        <v>124</v>
      </c>
      <c r="C55" s="149"/>
      <c r="D55" s="149"/>
      <c r="E55" s="149"/>
      <c r="F55" s="149"/>
      <c r="G55" s="149"/>
      <c r="H55" s="149">
        <v>5</v>
      </c>
      <c r="I55" s="149"/>
      <c r="J55" s="149"/>
      <c r="K55" s="149"/>
      <c r="L55" s="149"/>
      <c r="M55" s="149"/>
      <c r="N55" s="149" t="s">
        <v>156</v>
      </c>
      <c r="O55" s="149">
        <v>3.3333333333333335</v>
      </c>
      <c r="P55" s="155">
        <v>5</v>
      </c>
    </row>
    <row r="56" spans="1:16" x14ac:dyDescent="0.3">
      <c r="A56" s="151">
        <v>154091454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 t="s">
        <v>165</v>
      </c>
      <c r="O56" s="148">
        <v>3.3333333333333335</v>
      </c>
      <c r="P56" s="154">
        <v>0</v>
      </c>
    </row>
    <row r="57" spans="1:16" x14ac:dyDescent="0.3">
      <c r="A57" s="151">
        <v>154160152</v>
      </c>
      <c r="B57" s="148"/>
      <c r="C57" s="148"/>
      <c r="D57" s="148"/>
      <c r="E57" s="148" t="s">
        <v>111</v>
      </c>
      <c r="F57" s="148"/>
      <c r="G57" s="148"/>
      <c r="H57" s="148"/>
      <c r="I57" s="148"/>
      <c r="J57" s="148"/>
      <c r="K57" s="148">
        <v>2</v>
      </c>
      <c r="L57" s="148"/>
      <c r="M57" s="148"/>
      <c r="N57" s="148" t="s">
        <v>165</v>
      </c>
      <c r="O57" s="148">
        <v>3.3333333333333335</v>
      </c>
      <c r="P57" s="154">
        <v>2</v>
      </c>
    </row>
    <row r="58" spans="1:16" x14ac:dyDescent="0.3">
      <c r="A58" s="225">
        <v>154180629</v>
      </c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 t="s">
        <v>165</v>
      </c>
      <c r="O58" s="149">
        <v>3.3333333333333335</v>
      </c>
      <c r="P58" s="155">
        <v>0</v>
      </c>
    </row>
    <row r="59" spans="1:16" x14ac:dyDescent="0.3">
      <c r="A59" s="151">
        <v>154180731</v>
      </c>
      <c r="B59" s="148" t="s">
        <v>124</v>
      </c>
      <c r="C59" s="148"/>
      <c r="D59" s="148"/>
      <c r="E59" s="148"/>
      <c r="F59" s="148"/>
      <c r="G59" s="148"/>
      <c r="H59" s="148">
        <v>5</v>
      </c>
      <c r="I59" s="148"/>
      <c r="J59" s="148"/>
      <c r="K59" s="148"/>
      <c r="L59" s="148"/>
      <c r="M59" s="148"/>
      <c r="N59" s="148" t="s">
        <v>156</v>
      </c>
      <c r="O59" s="148">
        <v>3.3333333333333335</v>
      </c>
      <c r="P59" s="154">
        <v>5</v>
      </c>
    </row>
    <row r="60" spans="1:16" x14ac:dyDescent="0.3">
      <c r="A60" s="151">
        <v>154190684</v>
      </c>
      <c r="B60" s="148"/>
      <c r="C60" s="148" t="s">
        <v>124</v>
      </c>
      <c r="D60" s="148"/>
      <c r="E60" s="148"/>
      <c r="F60" s="148"/>
      <c r="G60" s="148"/>
      <c r="H60" s="148"/>
      <c r="I60" s="148">
        <v>5</v>
      </c>
      <c r="J60" s="148"/>
      <c r="K60" s="148"/>
      <c r="L60" s="148"/>
      <c r="M60" s="148"/>
      <c r="N60" s="148" t="s">
        <v>156</v>
      </c>
      <c r="O60" s="148">
        <v>3.3333333333333335</v>
      </c>
      <c r="P60" s="154">
        <v>5</v>
      </c>
    </row>
    <row r="61" spans="1:16" x14ac:dyDescent="0.3">
      <c r="A61" s="151">
        <v>154190686</v>
      </c>
      <c r="B61" s="148"/>
      <c r="C61" s="148" t="s">
        <v>117</v>
      </c>
      <c r="D61" s="148"/>
      <c r="E61" s="148"/>
      <c r="F61" s="148"/>
      <c r="G61" s="148"/>
      <c r="H61" s="148"/>
      <c r="I61" s="148">
        <v>4</v>
      </c>
      <c r="J61" s="148"/>
      <c r="K61" s="148"/>
      <c r="L61" s="148"/>
      <c r="M61" s="148"/>
      <c r="N61" s="148" t="s">
        <v>156</v>
      </c>
      <c r="O61" s="148">
        <v>3.3333333333333335</v>
      </c>
      <c r="P61" s="154">
        <v>4</v>
      </c>
    </row>
    <row r="62" spans="1:16" x14ac:dyDescent="0.3">
      <c r="A62" s="151">
        <v>154220351</v>
      </c>
      <c r="B62" s="148"/>
      <c r="C62" s="148"/>
      <c r="D62" s="148" t="s">
        <v>117</v>
      </c>
      <c r="E62" s="148"/>
      <c r="F62" s="148"/>
      <c r="G62" s="148"/>
      <c r="H62" s="148"/>
      <c r="I62" s="148"/>
      <c r="J62" s="148">
        <v>4</v>
      </c>
      <c r="K62" s="148"/>
      <c r="L62" s="148"/>
      <c r="M62" s="148"/>
      <c r="N62" s="148" t="s">
        <v>311</v>
      </c>
      <c r="O62" s="148">
        <v>3.3333333333333335</v>
      </c>
      <c r="P62" s="154">
        <v>4</v>
      </c>
    </row>
    <row r="63" spans="1:16" x14ac:dyDescent="0.3">
      <c r="A63" s="225">
        <v>154220358</v>
      </c>
      <c r="B63" s="149"/>
      <c r="C63" s="149"/>
      <c r="D63" s="149"/>
      <c r="E63" s="149" t="s">
        <v>135</v>
      </c>
      <c r="F63" s="149" t="s">
        <v>135</v>
      </c>
      <c r="G63" s="149"/>
      <c r="H63" s="149"/>
      <c r="I63" s="149"/>
      <c r="J63" s="149"/>
      <c r="K63" s="149">
        <v>3</v>
      </c>
      <c r="L63" s="149">
        <v>3</v>
      </c>
      <c r="M63" s="149"/>
      <c r="N63" s="149" t="s">
        <v>311</v>
      </c>
      <c r="O63" s="149">
        <v>3.3333333333333335</v>
      </c>
      <c r="P63" s="155">
        <v>3</v>
      </c>
    </row>
    <row r="64" spans="1:16" x14ac:dyDescent="0.3">
      <c r="A64" s="225">
        <v>154230840</v>
      </c>
      <c r="B64" s="149"/>
      <c r="C64" s="149" t="s">
        <v>508</v>
      </c>
      <c r="D64" s="149"/>
      <c r="E64" s="149"/>
      <c r="F64" s="149"/>
      <c r="G64" s="149"/>
      <c r="H64" s="149"/>
      <c r="I64" s="149">
        <v>1</v>
      </c>
      <c r="J64" s="149"/>
      <c r="K64" s="149"/>
      <c r="L64" s="149"/>
      <c r="M64" s="149"/>
      <c r="N64" s="149" t="s">
        <v>311</v>
      </c>
      <c r="O64" s="149">
        <v>3.3333333333333335</v>
      </c>
      <c r="P64" s="155">
        <v>1</v>
      </c>
    </row>
    <row r="65" spans="1:16" x14ac:dyDescent="0.3">
      <c r="A65" s="225">
        <v>154240285</v>
      </c>
      <c r="B65" s="149"/>
      <c r="C65" s="149" t="s">
        <v>508</v>
      </c>
      <c r="D65" s="149"/>
      <c r="E65" s="149"/>
      <c r="F65" s="149"/>
      <c r="G65" s="149"/>
      <c r="H65" s="149"/>
      <c r="I65" s="149">
        <v>1</v>
      </c>
      <c r="J65" s="149"/>
      <c r="K65" s="149"/>
      <c r="L65" s="149"/>
      <c r="M65" s="149"/>
      <c r="N65" s="149" t="s">
        <v>311</v>
      </c>
      <c r="O65" s="149">
        <v>3.3333333333333335</v>
      </c>
      <c r="P65" s="155">
        <v>1</v>
      </c>
    </row>
    <row r="66" spans="1:16" x14ac:dyDescent="0.3">
      <c r="A66" s="225">
        <v>154240503</v>
      </c>
      <c r="B66" s="149" t="s">
        <v>111</v>
      </c>
      <c r="C66" s="149"/>
      <c r="D66" s="149"/>
      <c r="E66" s="149"/>
      <c r="F66" s="149"/>
      <c r="G66" s="149"/>
      <c r="H66" s="149">
        <v>2</v>
      </c>
      <c r="I66" s="149"/>
      <c r="J66" s="149"/>
      <c r="K66" s="149"/>
      <c r="L66" s="149"/>
      <c r="M66" s="149"/>
      <c r="N66" s="149"/>
      <c r="O66" s="149">
        <v>3.3333333333333335</v>
      </c>
      <c r="P66" s="155">
        <v>2</v>
      </c>
    </row>
    <row r="67" spans="1:16" x14ac:dyDescent="0.3">
      <c r="A67" s="225">
        <v>154190529</v>
      </c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 t="s">
        <v>112</v>
      </c>
      <c r="O67" s="149">
        <v>3.25</v>
      </c>
      <c r="P67" s="155">
        <v>0</v>
      </c>
    </row>
    <row r="68" spans="1:16" x14ac:dyDescent="0.3">
      <c r="A68" s="151">
        <v>154230630</v>
      </c>
      <c r="B68" s="148" t="s">
        <v>124</v>
      </c>
      <c r="C68" s="148"/>
      <c r="D68" s="148"/>
      <c r="E68" s="148"/>
      <c r="F68" s="148"/>
      <c r="G68" s="148"/>
      <c r="H68" s="148">
        <v>5</v>
      </c>
      <c r="I68" s="148"/>
      <c r="J68" s="148"/>
      <c r="K68" s="148"/>
      <c r="L68" s="148"/>
      <c r="M68" s="148"/>
      <c r="N68" s="148" t="s">
        <v>156</v>
      </c>
      <c r="O68" s="148">
        <v>3.166666666666667</v>
      </c>
      <c r="P68" s="154">
        <v>5</v>
      </c>
    </row>
    <row r="69" spans="1:16" x14ac:dyDescent="0.3">
      <c r="A69" s="225">
        <v>154230631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 t="s">
        <v>311</v>
      </c>
      <c r="O69" s="149">
        <v>3.0476190476190474</v>
      </c>
      <c r="P69" s="155">
        <v>0</v>
      </c>
    </row>
    <row r="70" spans="1:16" x14ac:dyDescent="0.3">
      <c r="A70" s="225">
        <v>154140339</v>
      </c>
      <c r="B70" s="149" t="s">
        <v>117</v>
      </c>
      <c r="C70" s="149"/>
      <c r="D70" s="149" t="s">
        <v>124</v>
      </c>
      <c r="E70" s="149"/>
      <c r="F70" s="149"/>
      <c r="G70" s="149" t="s">
        <v>135</v>
      </c>
      <c r="H70" s="149">
        <v>4</v>
      </c>
      <c r="I70" s="149"/>
      <c r="J70" s="149">
        <v>5</v>
      </c>
      <c r="K70" s="149"/>
      <c r="L70" s="149"/>
      <c r="M70" s="149">
        <v>3</v>
      </c>
      <c r="N70" s="149" t="s">
        <v>112</v>
      </c>
      <c r="O70" s="149">
        <v>3</v>
      </c>
      <c r="P70" s="155">
        <v>5</v>
      </c>
    </row>
    <row r="71" spans="1:16" x14ac:dyDescent="0.3">
      <c r="A71" s="151">
        <v>154200654</v>
      </c>
      <c r="B71" s="148"/>
      <c r="C71" s="148"/>
      <c r="D71" s="148" t="s">
        <v>117</v>
      </c>
      <c r="E71" s="148"/>
      <c r="F71" s="148"/>
      <c r="G71" s="148" t="s">
        <v>508</v>
      </c>
      <c r="H71" s="148"/>
      <c r="I71" s="148"/>
      <c r="J71" s="148">
        <v>4</v>
      </c>
      <c r="K71" s="148"/>
      <c r="L71" s="148"/>
      <c r="M71" s="148">
        <v>1</v>
      </c>
      <c r="N71" s="148" t="s">
        <v>311</v>
      </c>
      <c r="O71" s="148">
        <v>3</v>
      </c>
      <c r="P71" s="154">
        <v>4</v>
      </c>
    </row>
    <row r="72" spans="1:16" x14ac:dyDescent="0.3">
      <c r="A72" s="225">
        <v>154061995</v>
      </c>
      <c r="B72" s="149" t="s">
        <v>117</v>
      </c>
      <c r="C72" s="149"/>
      <c r="D72" s="149"/>
      <c r="E72" s="149"/>
      <c r="F72" s="149"/>
      <c r="G72" s="149"/>
      <c r="H72" s="150">
        <v>4</v>
      </c>
      <c r="I72" s="149"/>
      <c r="J72" s="149"/>
      <c r="K72" s="149"/>
      <c r="L72" s="149"/>
      <c r="M72" s="149"/>
      <c r="N72" s="149" t="s">
        <v>156</v>
      </c>
      <c r="O72" s="149">
        <v>3</v>
      </c>
      <c r="P72" s="155">
        <v>4</v>
      </c>
    </row>
    <row r="73" spans="1:16" x14ac:dyDescent="0.3">
      <c r="A73" s="225">
        <v>154160743</v>
      </c>
      <c r="B73" s="149"/>
      <c r="C73" s="149" t="s">
        <v>117</v>
      </c>
      <c r="D73" s="149"/>
      <c r="E73" s="149"/>
      <c r="F73" s="149" t="s">
        <v>117</v>
      </c>
      <c r="G73" s="149"/>
      <c r="H73" s="149"/>
      <c r="I73" s="149">
        <v>4</v>
      </c>
      <c r="J73" s="149"/>
      <c r="K73" s="149"/>
      <c r="L73" s="149">
        <v>4</v>
      </c>
      <c r="M73" s="149"/>
      <c r="N73" s="149" t="s">
        <v>165</v>
      </c>
      <c r="O73" s="149">
        <v>3</v>
      </c>
      <c r="P73" s="155">
        <v>4</v>
      </c>
    </row>
    <row r="74" spans="1:16" x14ac:dyDescent="0.3">
      <c r="A74" s="225">
        <v>154160752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>
        <v>3</v>
      </c>
      <c r="P74" s="155">
        <v>0</v>
      </c>
    </row>
    <row r="75" spans="1:16" x14ac:dyDescent="0.3">
      <c r="A75" s="225">
        <v>154171270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>
        <v>3</v>
      </c>
      <c r="P75" s="155">
        <v>0</v>
      </c>
    </row>
    <row r="76" spans="1:16" x14ac:dyDescent="0.3">
      <c r="A76" s="151">
        <v>154171295</v>
      </c>
      <c r="B76" s="148"/>
      <c r="C76" s="148"/>
      <c r="D76" s="148"/>
      <c r="E76" s="148" t="s">
        <v>135</v>
      </c>
      <c r="F76" s="148"/>
      <c r="G76" s="148"/>
      <c r="H76" s="148"/>
      <c r="I76" s="148"/>
      <c r="J76" s="148"/>
      <c r="K76" s="148">
        <v>3</v>
      </c>
      <c r="L76" s="148"/>
      <c r="M76" s="148"/>
      <c r="N76" s="148" t="s">
        <v>165</v>
      </c>
      <c r="O76" s="148">
        <v>3</v>
      </c>
      <c r="P76" s="154">
        <v>3</v>
      </c>
    </row>
    <row r="77" spans="1:16" x14ac:dyDescent="0.3">
      <c r="A77" s="225">
        <v>154171404</v>
      </c>
      <c r="B77" s="149" t="s">
        <v>117</v>
      </c>
      <c r="C77" s="149"/>
      <c r="D77" s="149"/>
      <c r="E77" s="149"/>
      <c r="F77" s="149"/>
      <c r="G77" s="149"/>
      <c r="H77" s="149">
        <v>4</v>
      </c>
      <c r="I77" s="149"/>
      <c r="J77" s="149"/>
      <c r="K77" s="149"/>
      <c r="L77" s="149"/>
      <c r="M77" s="149"/>
      <c r="N77" s="149" t="s">
        <v>156</v>
      </c>
      <c r="O77" s="149">
        <v>3</v>
      </c>
      <c r="P77" s="155">
        <v>4</v>
      </c>
    </row>
    <row r="78" spans="1:16" x14ac:dyDescent="0.3">
      <c r="A78" s="151">
        <v>154180005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 t="s">
        <v>165</v>
      </c>
      <c r="O78" s="148">
        <v>3</v>
      </c>
      <c r="P78" s="154">
        <v>0</v>
      </c>
    </row>
    <row r="79" spans="1:16" x14ac:dyDescent="0.3">
      <c r="A79" s="225">
        <v>154180736</v>
      </c>
      <c r="B79" s="149"/>
      <c r="C79" s="149" t="s">
        <v>117</v>
      </c>
      <c r="D79" s="149"/>
      <c r="E79" s="149" t="s">
        <v>117</v>
      </c>
      <c r="F79" s="149"/>
      <c r="G79" s="149"/>
      <c r="H79" s="149"/>
      <c r="I79" s="149">
        <v>4</v>
      </c>
      <c r="J79" s="149"/>
      <c r="K79" s="149">
        <v>4</v>
      </c>
      <c r="L79" s="149"/>
      <c r="M79" s="149"/>
      <c r="N79" s="149" t="s">
        <v>112</v>
      </c>
      <c r="O79" s="149">
        <v>3</v>
      </c>
      <c r="P79" s="155">
        <v>4</v>
      </c>
    </row>
    <row r="80" spans="1:16" x14ac:dyDescent="0.3">
      <c r="A80" s="225">
        <v>154180745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 t="s">
        <v>156</v>
      </c>
      <c r="O80" s="149">
        <v>3</v>
      </c>
      <c r="P80" s="155">
        <v>0</v>
      </c>
    </row>
    <row r="81" spans="1:16" x14ac:dyDescent="0.3">
      <c r="A81" s="151">
        <v>154180768</v>
      </c>
      <c r="B81" s="148"/>
      <c r="C81" s="148"/>
      <c r="D81" s="148" t="s">
        <v>124</v>
      </c>
      <c r="E81" s="148" t="s">
        <v>124</v>
      </c>
      <c r="F81" s="148"/>
      <c r="G81" s="148"/>
      <c r="H81" s="148"/>
      <c r="I81" s="148"/>
      <c r="J81" s="148">
        <v>5</v>
      </c>
      <c r="K81" s="148">
        <v>5</v>
      </c>
      <c r="L81" s="148"/>
      <c r="M81" s="148"/>
      <c r="N81" s="148" t="s">
        <v>156</v>
      </c>
      <c r="O81" s="148">
        <v>3</v>
      </c>
      <c r="P81" s="154">
        <v>5</v>
      </c>
    </row>
    <row r="82" spans="1:16" x14ac:dyDescent="0.3">
      <c r="A82" s="225">
        <v>154180773</v>
      </c>
      <c r="B82" s="149" t="s">
        <v>124</v>
      </c>
      <c r="C82" s="149"/>
      <c r="D82" s="149"/>
      <c r="E82" s="149"/>
      <c r="F82" s="149"/>
      <c r="G82" s="149"/>
      <c r="H82" s="149">
        <v>5</v>
      </c>
      <c r="I82" s="149"/>
      <c r="J82" s="149"/>
      <c r="K82" s="149"/>
      <c r="L82" s="149"/>
      <c r="M82" s="149"/>
      <c r="N82" s="149" t="s">
        <v>156</v>
      </c>
      <c r="O82" s="149">
        <v>3</v>
      </c>
      <c r="P82" s="155">
        <v>5</v>
      </c>
    </row>
    <row r="83" spans="1:16" x14ac:dyDescent="0.3">
      <c r="A83" s="151">
        <v>154190477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 t="s">
        <v>165</v>
      </c>
      <c r="O83" s="148">
        <v>3</v>
      </c>
      <c r="P83" s="154">
        <v>0</v>
      </c>
    </row>
    <row r="84" spans="1:16" x14ac:dyDescent="0.3">
      <c r="A84" s="151">
        <v>154190480</v>
      </c>
      <c r="B84" s="148"/>
      <c r="C84" s="148" t="s">
        <v>117</v>
      </c>
      <c r="D84" s="148"/>
      <c r="E84" s="148" t="s">
        <v>117</v>
      </c>
      <c r="F84" s="148"/>
      <c r="G84" s="148"/>
      <c r="H84" s="148"/>
      <c r="I84" s="148">
        <v>4</v>
      </c>
      <c r="J84" s="148"/>
      <c r="K84" s="148">
        <v>4</v>
      </c>
      <c r="L84" s="148"/>
      <c r="M84" s="148"/>
      <c r="N84" s="148" t="s">
        <v>125</v>
      </c>
      <c r="O84" s="148">
        <v>3</v>
      </c>
      <c r="P84" s="154">
        <v>4</v>
      </c>
    </row>
    <row r="85" spans="1:16" x14ac:dyDescent="0.3">
      <c r="A85" s="151">
        <v>154190674</v>
      </c>
      <c r="B85" s="148"/>
      <c r="C85" s="148"/>
      <c r="D85" s="148" t="s">
        <v>124</v>
      </c>
      <c r="E85" s="148" t="s">
        <v>124</v>
      </c>
      <c r="F85" s="148"/>
      <c r="G85" s="148"/>
      <c r="H85" s="148"/>
      <c r="I85" s="148"/>
      <c r="J85" s="148">
        <v>5</v>
      </c>
      <c r="K85" s="148">
        <v>5</v>
      </c>
      <c r="L85" s="148"/>
      <c r="M85" s="148"/>
      <c r="N85" s="148" t="s">
        <v>112</v>
      </c>
      <c r="O85" s="148">
        <v>3</v>
      </c>
      <c r="P85" s="154">
        <v>5</v>
      </c>
    </row>
    <row r="86" spans="1:16" x14ac:dyDescent="0.3">
      <c r="A86" s="151">
        <v>154190675</v>
      </c>
      <c r="B86" s="148" t="s">
        <v>124</v>
      </c>
      <c r="C86" s="148"/>
      <c r="D86" s="148"/>
      <c r="E86" s="148"/>
      <c r="F86" s="148"/>
      <c r="G86" s="148"/>
      <c r="H86" s="148">
        <v>5</v>
      </c>
      <c r="I86" s="148"/>
      <c r="J86" s="148"/>
      <c r="K86" s="148"/>
      <c r="L86" s="148"/>
      <c r="M86" s="148"/>
      <c r="N86" s="148" t="s">
        <v>112</v>
      </c>
      <c r="O86" s="148">
        <v>3</v>
      </c>
      <c r="P86" s="154">
        <v>5</v>
      </c>
    </row>
    <row r="87" spans="1:16" x14ac:dyDescent="0.3">
      <c r="A87" s="225">
        <v>154200567</v>
      </c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>
        <v>3</v>
      </c>
      <c r="P87" s="155">
        <v>0</v>
      </c>
    </row>
    <row r="88" spans="1:16" x14ac:dyDescent="0.3">
      <c r="A88" s="151">
        <v>154200568</v>
      </c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>
        <v>3</v>
      </c>
      <c r="P88" s="154">
        <v>0</v>
      </c>
    </row>
    <row r="89" spans="1:16" x14ac:dyDescent="0.3">
      <c r="A89" s="225">
        <v>154200650</v>
      </c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>
        <v>1</v>
      </c>
      <c r="O89" s="149">
        <v>3</v>
      </c>
      <c r="P89" s="155">
        <v>5</v>
      </c>
    </row>
    <row r="90" spans="1:16" x14ac:dyDescent="0.3">
      <c r="A90" s="151">
        <v>154220431</v>
      </c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 t="s">
        <v>125</v>
      </c>
      <c r="O90" s="148">
        <v>3</v>
      </c>
      <c r="P90" s="154">
        <v>0</v>
      </c>
    </row>
    <row r="91" spans="1:16" x14ac:dyDescent="0.3">
      <c r="A91" s="151">
        <v>154230555</v>
      </c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 t="s">
        <v>311</v>
      </c>
      <c r="O91" s="148">
        <v>3</v>
      </c>
      <c r="P91" s="154">
        <v>0</v>
      </c>
    </row>
    <row r="92" spans="1:16" x14ac:dyDescent="0.3">
      <c r="A92" s="151">
        <v>154240034</v>
      </c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 t="s">
        <v>112</v>
      </c>
      <c r="O92" s="148">
        <v>3</v>
      </c>
      <c r="P92" s="154">
        <v>0</v>
      </c>
    </row>
    <row r="93" spans="1:16" x14ac:dyDescent="0.3">
      <c r="A93" s="225">
        <v>154240039</v>
      </c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 t="s">
        <v>112</v>
      </c>
      <c r="O93" s="149">
        <v>3</v>
      </c>
      <c r="P93" s="155">
        <v>0</v>
      </c>
    </row>
    <row r="94" spans="1:16" x14ac:dyDescent="0.3">
      <c r="A94" s="151">
        <v>154240496</v>
      </c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>
        <v>3</v>
      </c>
      <c r="P94" s="154">
        <v>0</v>
      </c>
    </row>
    <row r="95" spans="1:16" x14ac:dyDescent="0.3">
      <c r="A95" s="225">
        <v>154240497</v>
      </c>
      <c r="B95" s="149" t="s">
        <v>124</v>
      </c>
      <c r="C95" s="149"/>
      <c r="D95" s="149"/>
      <c r="E95" s="149"/>
      <c r="F95" s="149"/>
      <c r="G95" s="149"/>
      <c r="H95" s="149">
        <v>5</v>
      </c>
      <c r="I95" s="149"/>
      <c r="J95" s="149"/>
      <c r="K95" s="149"/>
      <c r="L95" s="149"/>
      <c r="M95" s="149"/>
      <c r="N95" s="149"/>
      <c r="O95" s="149">
        <v>3</v>
      </c>
      <c r="P95" s="155">
        <v>5</v>
      </c>
    </row>
    <row r="96" spans="1:16" x14ac:dyDescent="0.3">
      <c r="A96" s="225">
        <v>154240505</v>
      </c>
      <c r="B96" s="149" t="s">
        <v>111</v>
      </c>
      <c r="C96" s="149"/>
      <c r="D96" s="149"/>
      <c r="E96" s="149"/>
      <c r="F96" s="149"/>
      <c r="G96" s="149"/>
      <c r="H96" s="149">
        <v>2</v>
      </c>
      <c r="I96" s="149"/>
      <c r="J96" s="149"/>
      <c r="K96" s="149"/>
      <c r="L96" s="149"/>
      <c r="M96" s="149"/>
      <c r="N96" s="149"/>
      <c r="O96" s="149">
        <v>3</v>
      </c>
      <c r="P96" s="155">
        <v>2</v>
      </c>
    </row>
    <row r="97" spans="1:16" x14ac:dyDescent="0.3">
      <c r="A97" s="151">
        <v>154240506</v>
      </c>
      <c r="B97" s="148" t="s">
        <v>111</v>
      </c>
      <c r="C97" s="148"/>
      <c r="D97" s="148"/>
      <c r="E97" s="148"/>
      <c r="F97" s="148"/>
      <c r="G97" s="148"/>
      <c r="H97" s="148">
        <v>2</v>
      </c>
      <c r="I97" s="148"/>
      <c r="J97" s="148"/>
      <c r="K97" s="148"/>
      <c r="L97" s="148"/>
      <c r="M97" s="148"/>
      <c r="N97" s="148"/>
      <c r="O97" s="148">
        <v>3</v>
      </c>
      <c r="P97" s="154">
        <v>2</v>
      </c>
    </row>
    <row r="98" spans="1:16" x14ac:dyDescent="0.3">
      <c r="A98" s="225">
        <v>154240498</v>
      </c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>
        <v>2.9393939393939394</v>
      </c>
      <c r="P98" s="155">
        <v>0</v>
      </c>
    </row>
    <row r="99" spans="1:16" x14ac:dyDescent="0.3">
      <c r="A99" s="225">
        <v>154180001</v>
      </c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 t="s">
        <v>165</v>
      </c>
      <c r="O99" s="149">
        <v>2.8333333333333335</v>
      </c>
      <c r="P99" s="155">
        <v>0</v>
      </c>
    </row>
    <row r="100" spans="1:16" x14ac:dyDescent="0.3">
      <c r="A100" s="225">
        <v>154190251</v>
      </c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 t="s">
        <v>165</v>
      </c>
      <c r="O100" s="149">
        <v>2.833333333333333</v>
      </c>
      <c r="P100" s="155">
        <v>0</v>
      </c>
    </row>
    <row r="101" spans="1:16" x14ac:dyDescent="0.3">
      <c r="A101" s="151">
        <v>154220312</v>
      </c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>
        <v>2.8</v>
      </c>
      <c r="P101" s="154">
        <v>0</v>
      </c>
    </row>
    <row r="102" spans="1:16" x14ac:dyDescent="0.3">
      <c r="A102" s="225">
        <v>154180922</v>
      </c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 t="s">
        <v>165</v>
      </c>
      <c r="O102" s="149">
        <v>2.666666666666667</v>
      </c>
      <c r="P102" s="155">
        <v>0</v>
      </c>
    </row>
    <row r="103" spans="1:16" x14ac:dyDescent="0.3">
      <c r="A103" s="151">
        <v>154190163</v>
      </c>
      <c r="B103" s="148"/>
      <c r="C103" s="148"/>
      <c r="D103" s="148"/>
      <c r="E103" s="148"/>
      <c r="F103" s="148"/>
      <c r="G103" s="149" t="s">
        <v>124</v>
      </c>
      <c r="H103" s="148"/>
      <c r="I103" s="148"/>
      <c r="J103" s="148"/>
      <c r="K103" s="148"/>
      <c r="L103" s="148"/>
      <c r="M103" s="149">
        <v>5</v>
      </c>
      <c r="N103" s="148" t="s">
        <v>165</v>
      </c>
      <c r="O103" s="148">
        <v>2.6666666666666665</v>
      </c>
      <c r="P103" s="155">
        <v>5</v>
      </c>
    </row>
    <row r="104" spans="1:16" x14ac:dyDescent="0.3">
      <c r="A104" s="151">
        <v>154171403</v>
      </c>
      <c r="B104" s="148" t="s">
        <v>124</v>
      </c>
      <c r="C104" s="148"/>
      <c r="D104" s="148" t="s">
        <v>117</v>
      </c>
      <c r="E104" s="148"/>
      <c r="F104" s="148"/>
      <c r="G104" s="148"/>
      <c r="H104" s="148">
        <v>5</v>
      </c>
      <c r="I104" s="148"/>
      <c r="J104" s="148">
        <v>4</v>
      </c>
      <c r="K104" s="148"/>
      <c r="L104" s="148"/>
      <c r="M104" s="148"/>
      <c r="N104" s="148" t="s">
        <v>112</v>
      </c>
      <c r="O104" s="148">
        <v>2.6666666666666665</v>
      </c>
      <c r="P104" s="154">
        <v>5</v>
      </c>
    </row>
    <row r="105" spans="1:16" x14ac:dyDescent="0.3">
      <c r="A105" s="225">
        <v>154190687</v>
      </c>
      <c r="B105" s="149"/>
      <c r="C105" s="149" t="s">
        <v>124</v>
      </c>
      <c r="D105" s="149"/>
      <c r="E105" s="149"/>
      <c r="F105" s="149"/>
      <c r="G105" s="149"/>
      <c r="H105" s="149"/>
      <c r="I105" s="149">
        <v>5</v>
      </c>
      <c r="J105" s="149"/>
      <c r="K105" s="149"/>
      <c r="L105" s="149"/>
      <c r="M105" s="149"/>
      <c r="N105" s="149" t="s">
        <v>311</v>
      </c>
      <c r="O105" s="149">
        <v>2.6666666666666665</v>
      </c>
      <c r="P105" s="155">
        <v>5</v>
      </c>
    </row>
    <row r="106" spans="1:16" x14ac:dyDescent="0.3">
      <c r="A106" s="151">
        <v>154240502</v>
      </c>
      <c r="B106" s="148" t="s">
        <v>111</v>
      </c>
      <c r="C106" s="148"/>
      <c r="D106" s="148"/>
      <c r="E106" s="148"/>
      <c r="F106" s="148"/>
      <c r="G106" s="148"/>
      <c r="H106" s="148">
        <v>2</v>
      </c>
      <c r="I106" s="148"/>
      <c r="J106" s="148"/>
      <c r="K106" s="148"/>
      <c r="L106" s="148"/>
      <c r="M106" s="148"/>
      <c r="N106" s="148"/>
      <c r="O106" s="148">
        <v>2.6666666666666665</v>
      </c>
      <c r="P106" s="154">
        <v>2</v>
      </c>
    </row>
    <row r="107" spans="1:16" x14ac:dyDescent="0.3">
      <c r="A107" s="225">
        <v>154230556</v>
      </c>
      <c r="B107" s="149"/>
      <c r="C107" s="149"/>
      <c r="D107" s="149"/>
      <c r="E107" s="149"/>
      <c r="F107" s="149"/>
      <c r="G107" s="149" t="s">
        <v>124</v>
      </c>
      <c r="H107" s="149"/>
      <c r="I107" s="149"/>
      <c r="J107" s="149"/>
      <c r="K107" s="149"/>
      <c r="L107" s="149"/>
      <c r="M107" s="149">
        <v>5</v>
      </c>
      <c r="N107" s="149" t="s">
        <v>311</v>
      </c>
      <c r="O107" s="149">
        <v>2.3333333333333335</v>
      </c>
      <c r="P107" s="155">
        <v>5</v>
      </c>
    </row>
    <row r="108" spans="1:16" x14ac:dyDescent="0.3">
      <c r="A108" s="151">
        <v>154081840</v>
      </c>
      <c r="B108" s="148" t="s">
        <v>124</v>
      </c>
      <c r="C108" s="148"/>
      <c r="D108" s="148"/>
      <c r="E108" s="148"/>
      <c r="F108" s="148"/>
      <c r="G108" s="148" t="s">
        <v>135</v>
      </c>
      <c r="H108" s="148">
        <v>5</v>
      </c>
      <c r="I108" s="148"/>
      <c r="J108" s="148"/>
      <c r="K108" s="148"/>
      <c r="L108" s="148"/>
      <c r="M108" s="148">
        <v>3</v>
      </c>
      <c r="N108" s="148" t="s">
        <v>112</v>
      </c>
      <c r="O108" s="148">
        <v>2.3333333333333335</v>
      </c>
      <c r="P108" s="154">
        <v>5</v>
      </c>
    </row>
    <row r="109" spans="1:16" x14ac:dyDescent="0.3">
      <c r="A109" s="225">
        <v>154101261</v>
      </c>
      <c r="B109" s="149"/>
      <c r="C109" s="149" t="s">
        <v>117</v>
      </c>
      <c r="D109" s="149"/>
      <c r="E109" s="149"/>
      <c r="F109" s="149"/>
      <c r="G109" s="149"/>
      <c r="H109" s="149"/>
      <c r="I109" s="149">
        <v>4</v>
      </c>
      <c r="J109" s="149"/>
      <c r="K109" s="149"/>
      <c r="L109" s="149"/>
      <c r="M109" s="149"/>
      <c r="N109" s="149" t="s">
        <v>125</v>
      </c>
      <c r="O109" s="149">
        <v>2.3333333333333335</v>
      </c>
      <c r="P109" s="155">
        <v>4</v>
      </c>
    </row>
    <row r="110" spans="1:16" x14ac:dyDescent="0.3">
      <c r="A110" s="225">
        <v>154101522</v>
      </c>
      <c r="B110" s="149" t="s">
        <v>135</v>
      </c>
      <c r="C110" s="149"/>
      <c r="D110" s="149"/>
      <c r="E110" s="149"/>
      <c r="F110" s="149"/>
      <c r="G110" s="149"/>
      <c r="H110" s="149">
        <v>3</v>
      </c>
      <c r="I110" s="149"/>
      <c r="J110" s="149"/>
      <c r="K110" s="149"/>
      <c r="L110" s="149"/>
      <c r="M110" s="149"/>
      <c r="N110" s="149" t="s">
        <v>156</v>
      </c>
      <c r="O110" s="149">
        <v>2.3333333333333335</v>
      </c>
      <c r="P110" s="155">
        <v>3</v>
      </c>
    </row>
    <row r="111" spans="1:16" x14ac:dyDescent="0.3">
      <c r="A111" s="151">
        <v>154160749</v>
      </c>
      <c r="B111" s="148" t="s">
        <v>124</v>
      </c>
      <c r="C111" s="148"/>
      <c r="D111" s="148"/>
      <c r="E111" s="148"/>
      <c r="F111" s="148"/>
      <c r="G111" s="148"/>
      <c r="H111" s="148">
        <v>5</v>
      </c>
      <c r="I111" s="148"/>
      <c r="J111" s="148"/>
      <c r="K111" s="148"/>
      <c r="L111" s="148"/>
      <c r="M111" s="148"/>
      <c r="N111" s="148" t="s">
        <v>311</v>
      </c>
      <c r="O111" s="148">
        <v>2.3333333333333335</v>
      </c>
      <c r="P111" s="154">
        <v>5</v>
      </c>
    </row>
    <row r="112" spans="1:16" x14ac:dyDescent="0.3">
      <c r="A112" s="151">
        <v>154171402</v>
      </c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>
        <v>2.3333333333333335</v>
      </c>
      <c r="P112" s="154">
        <v>0</v>
      </c>
    </row>
    <row r="113" spans="1:16" x14ac:dyDescent="0.3">
      <c r="A113" s="151">
        <v>154180771</v>
      </c>
      <c r="B113" s="148"/>
      <c r="C113" s="148" t="s">
        <v>135</v>
      </c>
      <c r="D113" s="148"/>
      <c r="E113" s="148"/>
      <c r="F113" s="148"/>
      <c r="G113" s="148"/>
      <c r="H113" s="148"/>
      <c r="I113" s="148">
        <v>3</v>
      </c>
      <c r="J113" s="148"/>
      <c r="K113" s="148"/>
      <c r="L113" s="148"/>
      <c r="M113" s="148"/>
      <c r="N113" s="148" t="s">
        <v>311</v>
      </c>
      <c r="O113" s="148">
        <v>2.3333333333333335</v>
      </c>
      <c r="P113" s="154">
        <v>3</v>
      </c>
    </row>
    <row r="114" spans="1:16" x14ac:dyDescent="0.3">
      <c r="A114" s="151">
        <v>154190601</v>
      </c>
      <c r="B114" s="148" t="s">
        <v>117</v>
      </c>
      <c r="C114" s="148"/>
      <c r="D114" s="148"/>
      <c r="E114" s="148"/>
      <c r="F114" s="148"/>
      <c r="G114" s="148"/>
      <c r="H114" s="148">
        <v>4</v>
      </c>
      <c r="I114" s="148"/>
      <c r="J114" s="148"/>
      <c r="K114" s="148"/>
      <c r="L114" s="148"/>
      <c r="M114" s="148"/>
      <c r="N114" s="148" t="s">
        <v>112</v>
      </c>
      <c r="O114" s="148">
        <v>2.3333333333333335</v>
      </c>
      <c r="P114" s="154">
        <v>4</v>
      </c>
    </row>
    <row r="115" spans="1:16" x14ac:dyDescent="0.3">
      <c r="A115" s="151">
        <v>154200233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 t="s">
        <v>165</v>
      </c>
      <c r="O115" s="148">
        <v>2.3333333333333335</v>
      </c>
      <c r="P115" s="154">
        <v>0</v>
      </c>
    </row>
    <row r="116" spans="1:16" x14ac:dyDescent="0.3">
      <c r="A116" s="151">
        <v>154220353</v>
      </c>
      <c r="B116" s="148"/>
      <c r="C116" s="148"/>
      <c r="D116" s="148" t="s">
        <v>117</v>
      </c>
      <c r="E116" s="148"/>
      <c r="F116" s="148"/>
      <c r="G116" s="148"/>
      <c r="H116" s="148"/>
      <c r="I116" s="148"/>
      <c r="J116" s="148">
        <v>4</v>
      </c>
      <c r="K116" s="148"/>
      <c r="L116" s="148"/>
      <c r="M116" s="148"/>
      <c r="N116" s="148" t="s">
        <v>311</v>
      </c>
      <c r="O116" s="148">
        <v>2.3333333333333335</v>
      </c>
      <c r="P116" s="154">
        <v>4</v>
      </c>
    </row>
    <row r="117" spans="1:16" x14ac:dyDescent="0.3">
      <c r="A117" s="225">
        <v>154180774</v>
      </c>
      <c r="B117" s="149"/>
      <c r="C117" s="149"/>
      <c r="D117" s="149"/>
      <c r="E117" s="149"/>
      <c r="F117" s="149"/>
      <c r="G117" s="149" t="s">
        <v>124</v>
      </c>
      <c r="H117" s="149"/>
      <c r="I117" s="149"/>
      <c r="J117" s="149"/>
      <c r="K117" s="149"/>
      <c r="L117" s="149"/>
      <c r="M117" s="149">
        <v>5</v>
      </c>
      <c r="N117" s="149" t="s">
        <v>156</v>
      </c>
      <c r="O117" s="149">
        <v>2</v>
      </c>
      <c r="P117" s="155">
        <v>5</v>
      </c>
    </row>
    <row r="118" spans="1:16" x14ac:dyDescent="0.3">
      <c r="A118" s="151">
        <v>154210528</v>
      </c>
      <c r="B118" s="148"/>
      <c r="C118" s="148"/>
      <c r="D118" s="148"/>
      <c r="E118" s="148"/>
      <c r="F118" s="148"/>
      <c r="G118" s="149" t="s">
        <v>124</v>
      </c>
      <c r="H118" s="148"/>
      <c r="I118" s="148"/>
      <c r="J118" s="148"/>
      <c r="K118" s="148"/>
      <c r="L118" s="148"/>
      <c r="M118" s="149">
        <v>5</v>
      </c>
      <c r="N118" s="148" t="s">
        <v>156</v>
      </c>
      <c r="O118" s="148">
        <v>1.8333333333333335</v>
      </c>
      <c r="P118" s="155">
        <v>5</v>
      </c>
    </row>
    <row r="119" spans="1:16" x14ac:dyDescent="0.3">
      <c r="A119" s="225">
        <v>154180766</v>
      </c>
      <c r="B119" s="149"/>
      <c r="C119" s="149"/>
      <c r="D119" s="149" t="s">
        <v>124</v>
      </c>
      <c r="E119" s="149"/>
      <c r="F119" s="149"/>
      <c r="G119" s="149" t="s">
        <v>124</v>
      </c>
      <c r="H119" s="149"/>
      <c r="I119" s="149"/>
      <c r="J119" s="149">
        <v>5</v>
      </c>
      <c r="K119" s="149"/>
      <c r="L119" s="149"/>
      <c r="M119" s="149">
        <v>5</v>
      </c>
      <c r="N119" s="149" t="s">
        <v>311</v>
      </c>
      <c r="O119" s="149">
        <v>1.6666666666666667</v>
      </c>
      <c r="P119" s="155">
        <v>5</v>
      </c>
    </row>
    <row r="120" spans="1:16" x14ac:dyDescent="0.3">
      <c r="A120" s="225">
        <v>154210524</v>
      </c>
      <c r="B120" s="149"/>
      <c r="C120" s="149"/>
      <c r="D120" s="149"/>
      <c r="E120" s="149"/>
      <c r="F120" s="149"/>
      <c r="G120" s="149" t="s">
        <v>124</v>
      </c>
      <c r="H120" s="149"/>
      <c r="I120" s="149"/>
      <c r="J120" s="149"/>
      <c r="K120" s="149"/>
      <c r="L120" s="149"/>
      <c r="M120" s="149">
        <v>5</v>
      </c>
      <c r="N120" s="149" t="s">
        <v>156</v>
      </c>
      <c r="O120" s="149">
        <v>1.6666666666666667</v>
      </c>
      <c r="P120" s="155">
        <v>5</v>
      </c>
    </row>
    <row r="121" spans="1:16" x14ac:dyDescent="0.3">
      <c r="A121" s="151">
        <v>154151031</v>
      </c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 t="s">
        <v>156</v>
      </c>
      <c r="O121" s="148">
        <v>1.6666666666666667</v>
      </c>
      <c r="P121" s="154">
        <v>0</v>
      </c>
    </row>
    <row r="122" spans="1:16" x14ac:dyDescent="0.3">
      <c r="A122" s="225">
        <v>154240509</v>
      </c>
      <c r="B122" s="149" t="s">
        <v>124</v>
      </c>
      <c r="C122" s="149"/>
      <c r="D122" s="149"/>
      <c r="E122" s="149"/>
      <c r="F122" s="149"/>
      <c r="G122" s="149"/>
      <c r="H122" s="149">
        <v>5</v>
      </c>
      <c r="I122" s="149"/>
      <c r="J122" s="149"/>
      <c r="K122" s="149"/>
      <c r="L122" s="149"/>
      <c r="M122" s="149"/>
      <c r="N122" s="149"/>
      <c r="O122" s="149">
        <v>1.6666666666666667</v>
      </c>
      <c r="P122" s="155">
        <v>5</v>
      </c>
    </row>
    <row r="123" spans="1:16" x14ac:dyDescent="0.3">
      <c r="A123" s="225">
        <v>154151060</v>
      </c>
      <c r="B123" s="149"/>
      <c r="C123" s="149"/>
      <c r="D123" s="149"/>
      <c r="E123" s="149" t="s">
        <v>135</v>
      </c>
      <c r="F123" s="149"/>
      <c r="G123" s="149" t="s">
        <v>124</v>
      </c>
      <c r="H123" s="149"/>
      <c r="I123" s="149"/>
      <c r="J123" s="149"/>
      <c r="K123" s="149">
        <v>3</v>
      </c>
      <c r="L123" s="149"/>
      <c r="M123" s="149">
        <v>5</v>
      </c>
      <c r="N123" s="149" t="s">
        <v>112</v>
      </c>
      <c r="O123" s="149">
        <v>1.3333333333333333</v>
      </c>
      <c r="P123" s="155">
        <v>5</v>
      </c>
    </row>
    <row r="124" spans="1:16" x14ac:dyDescent="0.3">
      <c r="A124" s="151">
        <v>154180746</v>
      </c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 t="s">
        <v>165</v>
      </c>
      <c r="O124" s="148">
        <v>1.3333333333333333</v>
      </c>
      <c r="P124" s="154">
        <v>0</v>
      </c>
    </row>
    <row r="125" spans="1:16" x14ac:dyDescent="0.3">
      <c r="A125" s="225">
        <v>154180769</v>
      </c>
      <c r="B125" s="149"/>
      <c r="C125" s="149" t="s">
        <v>111</v>
      </c>
      <c r="D125" s="149"/>
      <c r="E125" s="149"/>
      <c r="F125" s="149"/>
      <c r="G125" s="149"/>
      <c r="H125" s="149"/>
      <c r="I125" s="149">
        <v>2</v>
      </c>
      <c r="J125" s="149"/>
      <c r="K125" s="149"/>
      <c r="L125" s="149"/>
      <c r="M125" s="149"/>
      <c r="N125" s="149" t="s">
        <v>311</v>
      </c>
      <c r="O125" s="149">
        <v>1.3333333333333333</v>
      </c>
      <c r="P125" s="155">
        <v>2</v>
      </c>
    </row>
    <row r="126" spans="1:16" x14ac:dyDescent="0.3">
      <c r="A126" s="151">
        <v>154200653</v>
      </c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 t="s">
        <v>156</v>
      </c>
      <c r="O126" s="148">
        <v>1.3333333333333333</v>
      </c>
      <c r="P126" s="154">
        <v>0</v>
      </c>
    </row>
    <row r="127" spans="1:16" x14ac:dyDescent="0.3">
      <c r="A127" s="225">
        <v>154210545</v>
      </c>
      <c r="B127" s="149" t="s">
        <v>117</v>
      </c>
      <c r="C127" s="149"/>
      <c r="D127" s="149"/>
      <c r="E127" s="149"/>
      <c r="F127" s="149"/>
      <c r="G127" s="149"/>
      <c r="H127" s="149">
        <v>4</v>
      </c>
      <c r="I127" s="149"/>
      <c r="J127" s="149"/>
      <c r="K127" s="149"/>
      <c r="L127" s="149"/>
      <c r="M127" s="149"/>
      <c r="N127" s="149" t="s">
        <v>311</v>
      </c>
      <c r="O127" s="149">
        <v>1.3333333333333333</v>
      </c>
      <c r="P127" s="155">
        <v>4</v>
      </c>
    </row>
    <row r="128" spans="1:16" x14ac:dyDescent="0.3">
      <c r="A128" s="225">
        <v>154210548</v>
      </c>
      <c r="B128" s="149" t="s">
        <v>111</v>
      </c>
      <c r="C128" s="149"/>
      <c r="D128" s="149"/>
      <c r="E128" s="149"/>
      <c r="F128" s="149"/>
      <c r="G128" s="149"/>
      <c r="H128" s="149">
        <v>2</v>
      </c>
      <c r="I128" s="149"/>
      <c r="J128" s="149"/>
      <c r="K128" s="149"/>
      <c r="L128" s="149"/>
      <c r="M128" s="149"/>
      <c r="N128" s="149" t="s">
        <v>311</v>
      </c>
      <c r="O128" s="149">
        <v>1.3333333333333333</v>
      </c>
      <c r="P128" s="155">
        <v>2</v>
      </c>
    </row>
    <row r="129" spans="1:16" x14ac:dyDescent="0.3">
      <c r="A129" s="226">
        <v>154210546</v>
      </c>
      <c r="B129" s="220"/>
      <c r="C129" s="220"/>
      <c r="D129" s="220"/>
      <c r="E129" s="220"/>
      <c r="F129" s="220"/>
      <c r="G129" s="156" t="s">
        <v>124</v>
      </c>
      <c r="H129" s="220"/>
      <c r="I129" s="220"/>
      <c r="J129" s="220"/>
      <c r="K129" s="220"/>
      <c r="L129" s="220"/>
      <c r="M129" s="156">
        <v>5</v>
      </c>
      <c r="N129" s="220" t="s">
        <v>311</v>
      </c>
      <c r="O129" s="220">
        <v>1</v>
      </c>
      <c r="P129" s="157">
        <v>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545457-1C85-4E45-A7B3-DBFC6EEF0A3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P4:P129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5337-F491-436C-96DE-03CB587D52FE}">
  <dimension ref="A1:BW144"/>
  <sheetViews>
    <sheetView topLeftCell="R1" workbookViewId="0">
      <selection activeCell="AP71" sqref="AP71"/>
    </sheetView>
  </sheetViews>
  <sheetFormatPr baseColWidth="10" defaultColWidth="11.44140625" defaultRowHeight="14.4" outlineLevelCol="1" x14ac:dyDescent="0.3"/>
  <cols>
    <col min="1" max="1" width="14.6640625" hidden="1" customWidth="1" outlineLevel="1"/>
    <col min="2" max="6" width="13.109375" hidden="1" customWidth="1" outlineLevel="1"/>
    <col min="7" max="7" width="13.88671875" customWidth="1" collapsed="1"/>
    <col min="8" max="8" width="14.109375" customWidth="1"/>
    <col min="9" max="9" width="116.33203125" bestFit="1" customWidth="1"/>
    <col min="10" max="10" width="16.109375" bestFit="1" customWidth="1"/>
    <col min="11" max="11" width="15.6640625" customWidth="1"/>
    <col min="12" max="12" width="13.44140625" customWidth="1" outlineLevel="1"/>
    <col min="13" max="13" width="13.5546875" customWidth="1" outlineLevel="1"/>
    <col min="14" max="14" width="12.109375" customWidth="1" outlineLevel="1"/>
    <col min="15" max="15" width="17.88671875" customWidth="1" outlineLevel="1"/>
    <col min="16" max="17" width="17.6640625" customWidth="1" outlineLevel="1"/>
    <col min="18" max="18" width="21" customWidth="1" outlineLevel="1"/>
    <col min="19" max="19" width="11.6640625" style="60" customWidth="1"/>
    <col min="20" max="20" width="10" bestFit="1" customWidth="1"/>
    <col min="21" max="21" width="11.88671875" customWidth="1"/>
    <col min="22" max="22" width="9.6640625" bestFit="1" customWidth="1"/>
    <col min="23" max="23" width="11.109375" customWidth="1"/>
    <col min="24" max="26" width="11.109375" hidden="1" customWidth="1" outlineLevel="1"/>
    <col min="27" max="27" width="10" bestFit="1" customWidth="1" collapsed="1"/>
    <col min="28" max="28" width="10" customWidth="1"/>
    <col min="29" max="29" width="9.6640625" bestFit="1" customWidth="1"/>
    <col min="30" max="30" width="9.6640625" customWidth="1"/>
    <col min="31" max="33" width="9.6640625" hidden="1" customWidth="1" outlineLevel="1"/>
    <col min="34" max="34" width="10" bestFit="1" customWidth="1" collapsed="1"/>
    <col min="35" max="35" width="9.5546875" customWidth="1"/>
    <col min="36" max="36" width="9.6640625" bestFit="1" customWidth="1"/>
    <col min="37" max="37" width="9.33203125" customWidth="1"/>
    <col min="38" max="40" width="9.33203125" hidden="1" customWidth="1" outlineLevel="1"/>
    <col min="41" max="41" width="10" bestFit="1" customWidth="1" collapsed="1"/>
    <col min="42" max="42" width="9.6640625" customWidth="1"/>
    <col min="43" max="43" width="9.6640625" bestFit="1" customWidth="1"/>
    <col min="44" max="44" width="9.33203125" customWidth="1"/>
    <col min="45" max="45" width="10" bestFit="1" customWidth="1"/>
    <col min="46" max="46" width="9.33203125" customWidth="1"/>
    <col min="47" max="47" width="9.6640625" bestFit="1" customWidth="1"/>
    <col min="48" max="48" width="9.6640625" customWidth="1"/>
    <col min="49" max="49" width="10" bestFit="1" customWidth="1"/>
    <col min="50" max="50" width="9.44140625" customWidth="1"/>
    <col min="51" max="51" width="9.6640625" bestFit="1" customWidth="1"/>
    <col min="52" max="52" width="9.5546875" customWidth="1"/>
    <col min="53" max="73" width="9.5546875" hidden="1" customWidth="1" outlineLevel="1"/>
    <col min="74" max="74" width="9.5546875" customWidth="1" outlineLevel="1"/>
    <col min="75" max="75" width="9.5546875" hidden="1" customWidth="1" outlineLevel="1"/>
    <col min="76" max="76" width="11.5546875"/>
  </cols>
  <sheetData>
    <row r="1" spans="1:74" x14ac:dyDescent="0.3">
      <c r="S1"/>
      <c r="U1" s="60"/>
      <c r="V1" s="352">
        <v>2024</v>
      </c>
      <c r="W1" s="352"/>
      <c r="X1" s="352"/>
      <c r="Y1" s="352"/>
      <c r="Z1" s="182"/>
      <c r="AA1" s="182"/>
      <c r="AB1" s="182"/>
      <c r="AC1" s="353">
        <v>2025</v>
      </c>
      <c r="AD1" s="353"/>
      <c r="AE1" s="353"/>
      <c r="AF1" s="353"/>
      <c r="AG1" s="183"/>
      <c r="AH1" s="183"/>
      <c r="AI1" s="183"/>
      <c r="AJ1" s="354">
        <v>2026</v>
      </c>
      <c r="AK1" s="354"/>
      <c r="AL1" s="354"/>
      <c r="AM1" s="354"/>
      <c r="AN1" s="184"/>
      <c r="AO1" s="184"/>
      <c r="AP1" s="184"/>
      <c r="AQ1" s="350">
        <v>2027</v>
      </c>
      <c r="AR1" s="350"/>
      <c r="AS1" s="350"/>
      <c r="AT1" s="350"/>
      <c r="AU1" s="350">
        <v>2028</v>
      </c>
      <c r="AV1" s="350"/>
      <c r="AW1" s="350"/>
      <c r="AX1" s="350"/>
      <c r="AY1" s="350">
        <v>2029</v>
      </c>
      <c r="AZ1" s="350"/>
      <c r="BA1" s="350"/>
      <c r="BB1" s="350"/>
    </row>
    <row r="2" spans="1:74" x14ac:dyDescent="0.3">
      <c r="S2"/>
      <c r="U2" s="59" t="s">
        <v>476</v>
      </c>
      <c r="V2" s="355">
        <f>Portefeuille_MNT_PROGR_PREV[[#Totals],[AC 2024]]+Portefeuille_MNT_PROGR_PREV[[#Totals],[TR 2024]]</f>
        <v>5859</v>
      </c>
      <c r="W2" s="355"/>
      <c r="X2" s="355"/>
      <c r="Y2" s="355"/>
      <c r="Z2" s="61"/>
      <c r="AA2" s="61"/>
      <c r="AB2" s="61"/>
      <c r="AC2" s="355">
        <f>Portefeuille_MNT_PROGR_PREV[[#Totals],[AC 2025]]+Portefeuille_MNT_PROGR_PREV[[#Totals],[TR 2025]]</f>
        <v>3807</v>
      </c>
      <c r="AD2" s="355"/>
      <c r="AE2" s="355"/>
      <c r="AF2" s="355"/>
      <c r="AG2" s="61"/>
      <c r="AH2" s="61"/>
      <c r="AI2" s="61"/>
      <c r="AJ2" s="355">
        <f>Portefeuille_MNT_PROGR_PREV[[#Totals],[AC 2026]]+Portefeuille_MNT_PROGR_PREV[[#Totals],[TR 2026]]</f>
        <v>2187</v>
      </c>
      <c r="AK2" s="355"/>
      <c r="AL2" s="355"/>
      <c r="AM2" s="355"/>
      <c r="AN2" s="61"/>
      <c r="AO2" s="61"/>
      <c r="AP2" s="61"/>
      <c r="AQ2" s="355">
        <f>Portefeuille_MNT_PROGR_PREV[[#Totals],[AC 2027]]+Portefeuille_MNT_PROGR_PREV[[#Totals],[TR 2027]]</f>
        <v>11232</v>
      </c>
      <c r="AR2" s="355"/>
      <c r="AS2" s="355"/>
      <c r="AT2" s="355"/>
      <c r="AU2" s="355">
        <f>Portefeuille_MNT_PROGR_PREV[[#Totals],[AC 2028]]+Portefeuille_MNT_PROGR_PREV[[#Totals],[TR 2028]]</f>
        <v>13913</v>
      </c>
      <c r="AV2" s="355"/>
      <c r="AW2" s="355"/>
      <c r="AX2" s="355"/>
      <c r="AY2" s="355">
        <f>Portefeuille_MNT_PROGR_PREV[[#Totals],[AC 2029]]+Portefeuille_MNT_PROGR_PREV[[#Totals],[TR 2029]]</f>
        <v>17719</v>
      </c>
      <c r="AZ2" s="355"/>
      <c r="BA2" s="355"/>
      <c r="BB2" s="355"/>
    </row>
    <row r="3" spans="1:74" x14ac:dyDescent="0.3">
      <c r="S3"/>
      <c r="U3" s="59" t="s">
        <v>477</v>
      </c>
      <c r="V3" s="355">
        <f>Portefeuille_MNT_PROGR_PREV[[#Totals],[PREV AC 2024]]+Portefeuille_MNT_PROGR_PREV[[#Totals],[PREV TR 2024]]</f>
        <v>5855</v>
      </c>
      <c r="W3" s="355"/>
      <c r="X3" s="355"/>
      <c r="Y3" s="355"/>
      <c r="Z3" s="61"/>
      <c r="AA3" s="61"/>
      <c r="AB3" s="61"/>
      <c r="AC3" s="355">
        <f>Portefeuille_MNT_PROGR_PREV[[#Totals],[PREV AC 2025]]+Portefeuille_MNT_PROGR_PREV[[#Totals],[PREV TR 2025]]</f>
        <v>3774</v>
      </c>
      <c r="AD3" s="355"/>
      <c r="AE3" s="355"/>
      <c r="AF3" s="355"/>
      <c r="AG3" s="61"/>
      <c r="AH3" s="61"/>
      <c r="AI3" s="61"/>
      <c r="AJ3" s="355">
        <f>Portefeuille_MNT_PROGR_PREV[[#Totals],[PREV AC 2026]]+Portefeuille_MNT_PROGR_PREV[[#Totals],[PREV TR 2026]]</f>
        <v>2237</v>
      </c>
      <c r="AK3" s="355"/>
      <c r="AL3" s="355"/>
      <c r="AM3" s="355"/>
      <c r="AN3" s="61"/>
      <c r="AO3" s="61"/>
      <c r="AP3" s="61"/>
      <c r="AQ3" s="355">
        <f>Portefeuille_MNT_PROGR_PREV[[#Totals],[PREV AC 2027]]+Portefeuille_MNT_PROGR_PREV[[#Totals],[PREV TR 2027]]</f>
        <v>3407</v>
      </c>
      <c r="AR3" s="355"/>
      <c r="AS3" s="355"/>
      <c r="AT3" s="355"/>
      <c r="AU3" s="355">
        <f>Portefeuille_MNT_PROGR_PREV[[#Totals],[PREV AC 2028]]+Portefeuille_MNT_PROGR_PREV[[#Totals],[PREV TR 2028]]</f>
        <v>6643</v>
      </c>
      <c r="AV3" s="355"/>
      <c r="AW3" s="355"/>
      <c r="AX3" s="355"/>
      <c r="AY3" s="355">
        <f>Portefeuille_MNT_PROGR_PREV[[#Totals],[PREV AC 2029]]+Portefeuille_MNT_PROGR_PREV[[#Totals],[PREV TR 2029]]</f>
        <v>8124</v>
      </c>
      <c r="AZ3" s="355"/>
      <c r="BA3" s="355"/>
      <c r="BB3" s="355"/>
    </row>
    <row r="4" spans="1:74" ht="15" thickBot="1" x14ac:dyDescent="0.35">
      <c r="S4"/>
      <c r="U4" s="59" t="s">
        <v>478</v>
      </c>
      <c r="V4" s="351">
        <f>V2-V3</f>
        <v>4</v>
      </c>
      <c r="W4" s="351"/>
      <c r="X4" s="351"/>
      <c r="Y4" s="351"/>
      <c r="Z4" s="61"/>
      <c r="AA4" s="61"/>
      <c r="AB4" s="61"/>
      <c r="AC4" s="351">
        <f>AC2-AC3</f>
        <v>33</v>
      </c>
      <c r="AD4" s="351"/>
      <c r="AE4" s="351"/>
      <c r="AF4" s="351"/>
      <c r="AG4" s="61"/>
      <c r="AH4" s="61"/>
      <c r="AI4" s="61"/>
      <c r="AJ4" s="351">
        <f>AJ2-AJ3</f>
        <v>-50</v>
      </c>
      <c r="AK4" s="351"/>
      <c r="AL4" s="351"/>
      <c r="AM4" s="35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</row>
    <row r="5" spans="1:74" s="11" customFormat="1" ht="56.4" customHeight="1" thickBot="1" x14ac:dyDescent="0.35">
      <c r="A5" s="11" t="s">
        <v>38</v>
      </c>
      <c r="B5" s="11" t="s">
        <v>39</v>
      </c>
      <c r="C5" t="s">
        <v>661</v>
      </c>
      <c r="D5" s="11" t="s">
        <v>37</v>
      </c>
      <c r="E5" s="11" t="s">
        <v>41</v>
      </c>
      <c r="F5" s="11" t="s">
        <v>42</v>
      </c>
      <c r="G5" s="11" t="s">
        <v>44</v>
      </c>
      <c r="H5" s="11" t="s">
        <v>45</v>
      </c>
      <c r="I5" s="11" t="s">
        <v>46</v>
      </c>
      <c r="J5" s="11" t="s">
        <v>47</v>
      </c>
      <c r="K5" s="11" t="s">
        <v>40</v>
      </c>
      <c r="L5" s="11" t="s">
        <v>49</v>
      </c>
      <c r="M5" s="11" t="s">
        <v>50</v>
      </c>
      <c r="N5" s="11" t="s">
        <v>51</v>
      </c>
      <c r="O5" t="s">
        <v>593</v>
      </c>
      <c r="P5" s="11" t="s">
        <v>52</v>
      </c>
      <c r="Q5" s="11" t="s">
        <v>56</v>
      </c>
      <c r="R5" s="11" t="s">
        <v>55</v>
      </c>
      <c r="S5" s="11" t="s">
        <v>54</v>
      </c>
      <c r="T5" s="11" t="s">
        <v>71</v>
      </c>
      <c r="U5" s="11" t="s">
        <v>48</v>
      </c>
      <c r="V5" s="42" t="s">
        <v>78</v>
      </c>
      <c r="W5" s="43" t="s">
        <v>479</v>
      </c>
      <c r="X5" s="48" t="s">
        <v>481</v>
      </c>
      <c r="Y5" s="48" t="s">
        <v>482</v>
      </c>
      <c r="Z5" s="48" t="s">
        <v>483</v>
      </c>
      <c r="AA5" s="43" t="s">
        <v>79</v>
      </c>
      <c r="AB5" s="43" t="s">
        <v>480</v>
      </c>
      <c r="AC5" s="50" t="s">
        <v>80</v>
      </c>
      <c r="AD5" s="51" t="s">
        <v>484</v>
      </c>
      <c r="AE5" s="45" t="s">
        <v>486</v>
      </c>
      <c r="AF5" s="44" t="s">
        <v>487</v>
      </c>
      <c r="AG5" s="44" t="s">
        <v>488</v>
      </c>
      <c r="AH5" s="51" t="s">
        <v>81</v>
      </c>
      <c r="AI5" s="51" t="s">
        <v>485</v>
      </c>
      <c r="AJ5" s="53" t="s">
        <v>82</v>
      </c>
      <c r="AK5" s="54" t="s">
        <v>489</v>
      </c>
      <c r="AL5" s="46" t="s">
        <v>545</v>
      </c>
      <c r="AM5" s="46" t="s">
        <v>546</v>
      </c>
      <c r="AN5" s="58" t="s">
        <v>547</v>
      </c>
      <c r="AO5" s="54" t="s">
        <v>83</v>
      </c>
      <c r="AP5" s="54" t="s">
        <v>490</v>
      </c>
      <c r="AQ5" s="11" t="s">
        <v>84</v>
      </c>
      <c r="AR5" s="11" t="s">
        <v>491</v>
      </c>
      <c r="AS5" s="11" t="s">
        <v>85</v>
      </c>
      <c r="AT5" s="11" t="s">
        <v>492</v>
      </c>
      <c r="AU5" s="11" t="s">
        <v>86</v>
      </c>
      <c r="AV5" s="11" t="s">
        <v>493</v>
      </c>
      <c r="AW5" s="11" t="s">
        <v>87</v>
      </c>
      <c r="AX5" s="11" t="s">
        <v>494</v>
      </c>
      <c r="AY5" s="11" t="s">
        <v>88</v>
      </c>
      <c r="AZ5" s="11" t="s">
        <v>495</v>
      </c>
      <c r="BA5" s="11" t="s">
        <v>89</v>
      </c>
      <c r="BB5" s="11" t="s">
        <v>496</v>
      </c>
      <c r="BC5" s="11" t="s">
        <v>90</v>
      </c>
      <c r="BD5" s="11" t="s">
        <v>497</v>
      </c>
      <c r="BE5" s="11" t="s">
        <v>91</v>
      </c>
      <c r="BF5" s="11" t="s">
        <v>498</v>
      </c>
      <c r="BG5" s="11" t="s">
        <v>92</v>
      </c>
      <c r="BH5" s="11" t="s">
        <v>499</v>
      </c>
      <c r="BI5" s="11" t="s">
        <v>93</v>
      </c>
      <c r="BJ5" s="11" t="s">
        <v>500</v>
      </c>
      <c r="BK5" s="11" t="s">
        <v>94</v>
      </c>
      <c r="BL5" s="11" t="s">
        <v>501</v>
      </c>
      <c r="BM5" s="11" t="s">
        <v>95</v>
      </c>
      <c r="BN5" s="11" t="s">
        <v>502</v>
      </c>
      <c r="BO5" s="11" t="s">
        <v>96</v>
      </c>
      <c r="BP5" s="11" t="s">
        <v>503</v>
      </c>
      <c r="BQ5" s="11" t="s">
        <v>97</v>
      </c>
      <c r="BR5" s="11" t="s">
        <v>504</v>
      </c>
      <c r="BS5" s="11" t="s">
        <v>98</v>
      </c>
      <c r="BT5" s="11" t="s">
        <v>505</v>
      </c>
      <c r="BU5" s="11" t="s">
        <v>99</v>
      </c>
      <c r="BV5" s="11" t="s">
        <v>506</v>
      </c>
    </row>
    <row r="6" spans="1:74" hidden="1" x14ac:dyDescent="0.3">
      <c r="A6" t="s">
        <v>102</v>
      </c>
      <c r="B6" t="s">
        <v>103</v>
      </c>
      <c r="C6" t="s">
        <v>664</v>
      </c>
      <c r="D6" t="s">
        <v>101</v>
      </c>
      <c r="E6" t="s">
        <v>16</v>
      </c>
      <c r="F6" t="s">
        <v>16</v>
      </c>
      <c r="G6" t="s">
        <v>105</v>
      </c>
      <c r="H6" t="s">
        <v>305</v>
      </c>
      <c r="I6" t="s">
        <v>306</v>
      </c>
      <c r="J6" t="s">
        <v>302</v>
      </c>
      <c r="K6" t="s">
        <v>104</v>
      </c>
      <c r="L6" t="s">
        <v>164</v>
      </c>
      <c r="M6" s="1">
        <v>43612</v>
      </c>
      <c r="N6" s="1">
        <v>44098</v>
      </c>
      <c r="P6" s="1">
        <v>44188</v>
      </c>
      <c r="Q6">
        <v>5</v>
      </c>
      <c r="R6">
        <v>5</v>
      </c>
      <c r="S6">
        <v>5</v>
      </c>
      <c r="U6" s="60"/>
      <c r="V6" s="47">
        <v>36</v>
      </c>
      <c r="W6" s="47">
        <v>36</v>
      </c>
      <c r="X6" s="49">
        <f>Portefeuille_MNT_PROGR_PREV[[#This Row],[AC 2024]]-Portefeuille_MNT_PROGR_PREV[[#This Row],[PREV AC 2024]]</f>
        <v>0</v>
      </c>
      <c r="Y6" s="49">
        <f>Portefeuille_MNT_PROGR_PREV[[#This Row],[TR 2024]]-Portefeuille_MNT_PROGR_PREV[[#This Row],[PREV TR 2024]]</f>
        <v>0</v>
      </c>
      <c r="Z6" s="49">
        <f>Portefeuille_MNT_PROGR_PREV[[#This Row],[ÉCART AC 2024]]+Portefeuille_MNT_PROGR_PREV[[#This Row],[ÉCART TR 2024]]</f>
        <v>0</v>
      </c>
      <c r="AA6" s="47"/>
      <c r="AB6" s="47"/>
      <c r="AC6" s="15"/>
      <c r="AD6" s="15"/>
      <c r="AE6" s="52">
        <f>Portefeuille_MNT_PROGR_PREV[[#This Row],[AC 2025]]-Portefeuille_MNT_PROGR_PREV[[#This Row],[PREV AC 2025]]</f>
        <v>0</v>
      </c>
      <c r="AF6" s="52">
        <f>Portefeuille_MNT_PROGR_PREV[[#This Row],[TR 2025]]-Portefeuille_MNT_PROGR_PREV[[#This Row],[PREV TR 2025]]</f>
        <v>0</v>
      </c>
      <c r="AG6" s="52">
        <f>Portefeuille_MNT_PROGR_PREV[[#This Row],[ÉCART AC 2025]]+Portefeuille_MNT_PROGR_PREV[[#This Row],[ÉCART TR 2025]]</f>
        <v>0</v>
      </c>
      <c r="AH6" s="15"/>
      <c r="AI6" s="15"/>
      <c r="AJ6" s="55"/>
      <c r="AK6" s="55"/>
      <c r="AL6" s="56">
        <f>Portefeuille_MNT_PROGR_PREV[[#This Row],[AC 2026]]-Portefeuille_MNT_PROGR_PREV[[#This Row],[PREV AC 2026]]</f>
        <v>0</v>
      </c>
      <c r="AM6" s="56">
        <f>Portefeuille_MNT_PROGR_PREV[[#This Row],[TR 2026]]-Portefeuille_MNT_PROGR_PREV[[#This Row],[PREV TR 2026]]</f>
        <v>0</v>
      </c>
      <c r="AN6" s="56">
        <f>Portefeuille_MNT_PROGR_PREV[[#This Row],[ÉCART AC 20262]]+Portefeuille_MNT_PROGR_PREV[[#This Row],[ÉCART TR 20263]]</f>
        <v>0</v>
      </c>
      <c r="AO6" s="55"/>
      <c r="AP6" s="55"/>
    </row>
    <row r="7" spans="1:74" hidden="1" x14ac:dyDescent="0.3">
      <c r="A7" t="s">
        <v>102</v>
      </c>
      <c r="B7" t="s">
        <v>136</v>
      </c>
      <c r="C7" t="s">
        <v>662</v>
      </c>
      <c r="D7" t="s">
        <v>118</v>
      </c>
      <c r="E7" t="s">
        <v>130</v>
      </c>
      <c r="F7" t="s">
        <v>20</v>
      </c>
      <c r="G7" t="s">
        <v>105</v>
      </c>
      <c r="H7" t="s">
        <v>364</v>
      </c>
      <c r="I7" t="s">
        <v>365</v>
      </c>
      <c r="J7" t="s">
        <v>205</v>
      </c>
      <c r="K7" t="s">
        <v>104</v>
      </c>
      <c r="L7" t="s">
        <v>291</v>
      </c>
      <c r="M7" s="1"/>
      <c r="N7" s="1"/>
      <c r="P7" s="1"/>
      <c r="S7"/>
      <c r="U7" s="60" t="s">
        <v>370</v>
      </c>
      <c r="V7" s="47"/>
      <c r="W7" s="47"/>
      <c r="X7" s="49">
        <f>Portefeuille_MNT_PROGR_PREV[[#This Row],[AC 2024]]-Portefeuille_MNT_PROGR_PREV[[#This Row],[PREV AC 2024]]</f>
        <v>0</v>
      </c>
      <c r="Y7" s="49">
        <f>Portefeuille_MNT_PROGR_PREV[[#This Row],[TR 2024]]-Portefeuille_MNT_PROGR_PREV[[#This Row],[PREV TR 2024]]</f>
        <v>0</v>
      </c>
      <c r="Z7" s="49">
        <f>Portefeuille_MNT_PROGR_PREV[[#This Row],[ÉCART AC 2024]]+Portefeuille_MNT_PROGR_PREV[[#This Row],[ÉCART TR 2024]]</f>
        <v>0</v>
      </c>
      <c r="AA7" s="47"/>
      <c r="AB7" s="47"/>
      <c r="AC7" s="15"/>
      <c r="AD7" s="15"/>
      <c r="AE7" s="52">
        <f>Portefeuille_MNT_PROGR_PREV[[#This Row],[AC 2025]]-Portefeuille_MNT_PROGR_PREV[[#This Row],[PREV AC 2025]]</f>
        <v>0</v>
      </c>
      <c r="AF7" s="52">
        <f>Portefeuille_MNT_PROGR_PREV[[#This Row],[TR 2025]]-Portefeuille_MNT_PROGR_PREV[[#This Row],[PREV TR 2025]]</f>
        <v>0</v>
      </c>
      <c r="AG7" s="52">
        <f>Portefeuille_MNT_PROGR_PREV[[#This Row],[ÉCART AC 2025]]+Portefeuille_MNT_PROGR_PREV[[#This Row],[ÉCART TR 2025]]</f>
        <v>0</v>
      </c>
      <c r="AH7" s="15"/>
      <c r="AI7" s="15"/>
      <c r="AJ7" s="55"/>
      <c r="AK7" s="55"/>
      <c r="AL7" s="56">
        <f>Portefeuille_MNT_PROGR_PREV[[#This Row],[AC 2026]]-Portefeuille_MNT_PROGR_PREV[[#This Row],[PREV AC 2026]]</f>
        <v>0</v>
      </c>
      <c r="AM7" s="56">
        <f>Portefeuille_MNT_PROGR_PREV[[#This Row],[TR 2026]]-Portefeuille_MNT_PROGR_PREV[[#This Row],[PREV TR 2026]]</f>
        <v>0</v>
      </c>
      <c r="AN7" s="56">
        <f>Portefeuille_MNT_PROGR_PREV[[#This Row],[ÉCART AC 20262]]+Portefeuille_MNT_PROGR_PREV[[#This Row],[ÉCART TR 20263]]</f>
        <v>0</v>
      </c>
      <c r="AO7" s="55"/>
      <c r="AP7" s="55"/>
      <c r="AU7">
        <v>200</v>
      </c>
      <c r="AY7">
        <v>200</v>
      </c>
      <c r="BC7">
        <v>400</v>
      </c>
      <c r="BG7">
        <v>400</v>
      </c>
      <c r="BI7">
        <v>4500</v>
      </c>
      <c r="BK7">
        <v>400</v>
      </c>
      <c r="BM7">
        <v>7000</v>
      </c>
      <c r="BO7">
        <v>400</v>
      </c>
      <c r="BQ7">
        <v>7000</v>
      </c>
    </row>
    <row r="8" spans="1:74" hidden="1" x14ac:dyDescent="0.3">
      <c r="A8" t="s">
        <v>102</v>
      </c>
      <c r="B8" t="s">
        <v>389</v>
      </c>
      <c r="C8" t="s">
        <v>664</v>
      </c>
      <c r="D8" t="s">
        <v>101</v>
      </c>
      <c r="E8" t="s">
        <v>20</v>
      </c>
      <c r="F8" t="s">
        <v>20</v>
      </c>
      <c r="G8" t="s">
        <v>105</v>
      </c>
      <c r="H8" t="s">
        <v>601</v>
      </c>
      <c r="I8" t="s">
        <v>602</v>
      </c>
      <c r="J8" t="s">
        <v>239</v>
      </c>
      <c r="L8" t="s">
        <v>291</v>
      </c>
      <c r="M8" s="1"/>
      <c r="N8" s="1"/>
      <c r="O8">
        <v>500</v>
      </c>
      <c r="P8" s="1"/>
      <c r="S8"/>
      <c r="U8" s="60" t="s">
        <v>533</v>
      </c>
      <c r="V8" s="47"/>
      <c r="W8" s="47"/>
      <c r="X8" s="49">
        <f>Portefeuille_MNT_PROGR_PREV[[#This Row],[AC 2024]]-Portefeuille_MNT_PROGR_PREV[[#This Row],[PREV AC 2024]]</f>
        <v>0</v>
      </c>
      <c r="Y8" s="49">
        <f>Portefeuille_MNT_PROGR_PREV[[#This Row],[TR 2024]]-Portefeuille_MNT_PROGR_PREV[[#This Row],[PREV TR 2024]]</f>
        <v>0</v>
      </c>
      <c r="Z8" s="49">
        <f>Portefeuille_MNT_PROGR_PREV[[#This Row],[ÉCART AC 2024]]+Portefeuille_MNT_PROGR_PREV[[#This Row],[ÉCART TR 2024]]</f>
        <v>0</v>
      </c>
      <c r="AA8" s="47"/>
      <c r="AB8" s="47"/>
      <c r="AC8" s="15"/>
      <c r="AD8" s="15"/>
      <c r="AE8" s="52">
        <f>Portefeuille_MNT_PROGR_PREV[[#This Row],[AC 2025]]-Portefeuille_MNT_PROGR_PREV[[#This Row],[PREV AC 2025]]</f>
        <v>0</v>
      </c>
      <c r="AF8" s="52">
        <f>Portefeuille_MNT_PROGR_PREV[[#This Row],[TR 2025]]-Portefeuille_MNT_PROGR_PREV[[#This Row],[PREV TR 2025]]</f>
        <v>0</v>
      </c>
      <c r="AG8" s="52">
        <f>Portefeuille_MNT_PROGR_PREV[[#This Row],[ÉCART AC 2025]]+Portefeuille_MNT_PROGR_PREV[[#This Row],[ÉCART TR 2025]]</f>
        <v>0</v>
      </c>
      <c r="AH8" s="15"/>
      <c r="AI8" s="15"/>
      <c r="AJ8" s="55"/>
      <c r="AK8" s="55"/>
      <c r="AL8" s="56">
        <f>Portefeuille_MNT_PROGR_PREV[[#This Row],[AC 2026]]-Portefeuille_MNT_PROGR_PREV[[#This Row],[PREV AC 2026]]</f>
        <v>0</v>
      </c>
      <c r="AM8" s="56">
        <f>Portefeuille_MNT_PROGR_PREV[[#This Row],[TR 2026]]-Portefeuille_MNT_PROGR_PREV[[#This Row],[PREV TR 2026]]</f>
        <v>0</v>
      </c>
      <c r="AN8" s="56">
        <f>Portefeuille_MNT_PROGR_PREV[[#This Row],[ÉCART AC 20262]]+Portefeuille_MNT_PROGR_PREV[[#This Row],[ÉCART TR 20263]]</f>
        <v>0</v>
      </c>
      <c r="AO8" s="55"/>
      <c r="AP8" s="55"/>
      <c r="BO8">
        <v>100</v>
      </c>
      <c r="BS8">
        <v>100</v>
      </c>
    </row>
    <row r="9" spans="1:74" hidden="1" x14ac:dyDescent="0.3">
      <c r="A9" t="s">
        <v>102</v>
      </c>
      <c r="B9" t="s">
        <v>103</v>
      </c>
      <c r="C9" t="s">
        <v>664</v>
      </c>
      <c r="D9" t="s">
        <v>101</v>
      </c>
      <c r="E9" t="s">
        <v>16</v>
      </c>
      <c r="F9" t="s">
        <v>20</v>
      </c>
      <c r="G9" t="s">
        <v>105</v>
      </c>
      <c r="H9" t="s">
        <v>235</v>
      </c>
      <c r="I9" t="s">
        <v>510</v>
      </c>
      <c r="J9" t="s">
        <v>205</v>
      </c>
      <c r="K9" t="s">
        <v>149</v>
      </c>
      <c r="L9" t="s">
        <v>110</v>
      </c>
      <c r="M9" s="1">
        <v>45706</v>
      </c>
      <c r="N9" s="1">
        <v>46055</v>
      </c>
      <c r="P9" s="1">
        <v>46273</v>
      </c>
      <c r="Q9">
        <v>5</v>
      </c>
      <c r="R9">
        <v>1</v>
      </c>
      <c r="S9">
        <v>1</v>
      </c>
      <c r="U9" s="60" t="s">
        <v>173</v>
      </c>
      <c r="V9" s="47"/>
      <c r="W9" s="47"/>
      <c r="X9" s="49">
        <f>Portefeuille_MNT_PROGR_PREV[[#This Row],[AC 2024]]-Portefeuille_MNT_PROGR_PREV[[#This Row],[PREV AC 2024]]</f>
        <v>0</v>
      </c>
      <c r="Y9" s="49">
        <f>Portefeuille_MNT_PROGR_PREV[[#This Row],[TR 2024]]-Portefeuille_MNT_PROGR_PREV[[#This Row],[PREV TR 2024]]</f>
        <v>0</v>
      </c>
      <c r="Z9" s="49">
        <f>Portefeuille_MNT_PROGR_PREV[[#This Row],[ÉCART AC 2024]]+Portefeuille_MNT_PROGR_PREV[[#This Row],[ÉCART TR 2024]]</f>
        <v>0</v>
      </c>
      <c r="AA9" s="47"/>
      <c r="AB9" s="47"/>
      <c r="AC9" s="15">
        <v>90</v>
      </c>
      <c r="AD9" s="15">
        <v>102</v>
      </c>
      <c r="AE9" s="52">
        <f>Portefeuille_MNT_PROGR_PREV[[#This Row],[AC 2025]]-Portefeuille_MNT_PROGR_PREV[[#This Row],[PREV AC 2025]]</f>
        <v>-12</v>
      </c>
      <c r="AF9" s="52">
        <f>Portefeuille_MNT_PROGR_PREV[[#This Row],[TR 2025]]-Portefeuille_MNT_PROGR_PREV[[#This Row],[PREV TR 2025]]</f>
        <v>0</v>
      </c>
      <c r="AG9" s="52">
        <f>Portefeuille_MNT_PROGR_PREV[[#This Row],[ÉCART AC 2025]]+Portefeuille_MNT_PROGR_PREV[[#This Row],[ÉCART TR 2025]]</f>
        <v>-12</v>
      </c>
      <c r="AH9" s="15"/>
      <c r="AI9" s="15"/>
      <c r="AJ9" s="55">
        <v>200</v>
      </c>
      <c r="AK9" s="55">
        <v>200</v>
      </c>
      <c r="AL9" s="56">
        <f>Portefeuille_MNT_PROGR_PREV[[#This Row],[AC 2026]]-Portefeuille_MNT_PROGR_PREV[[#This Row],[PREV AC 2026]]</f>
        <v>0</v>
      </c>
      <c r="AM9" s="56">
        <f>Portefeuille_MNT_PROGR_PREV[[#This Row],[TR 2026]]-Portefeuille_MNT_PROGR_PREV[[#This Row],[PREV TR 2026]]</f>
        <v>0</v>
      </c>
      <c r="AN9" s="56">
        <f>Portefeuille_MNT_PROGR_PREV[[#This Row],[ÉCART AC 20262]]+Portefeuille_MNT_PROGR_PREV[[#This Row],[ÉCART TR 20263]]</f>
        <v>0</v>
      </c>
      <c r="AO9" s="55"/>
      <c r="AP9" s="55"/>
      <c r="AQ9">
        <v>970</v>
      </c>
      <c r="AR9">
        <v>970</v>
      </c>
      <c r="AS9">
        <v>13608</v>
      </c>
    </row>
    <row r="10" spans="1:74" hidden="1" x14ac:dyDescent="0.3">
      <c r="A10" t="s">
        <v>127</v>
      </c>
      <c r="B10" t="s">
        <v>136</v>
      </c>
      <c r="C10" t="s">
        <v>295</v>
      </c>
      <c r="D10" t="s">
        <v>126</v>
      </c>
      <c r="E10" t="s">
        <v>16</v>
      </c>
      <c r="F10" t="s">
        <v>16</v>
      </c>
      <c r="G10" t="s">
        <v>105</v>
      </c>
      <c r="H10" t="s">
        <v>162</v>
      </c>
      <c r="I10" t="s">
        <v>163</v>
      </c>
      <c r="J10" t="s">
        <v>122</v>
      </c>
      <c r="K10" t="s">
        <v>104</v>
      </c>
      <c r="L10" t="s">
        <v>164</v>
      </c>
      <c r="M10" s="1"/>
      <c r="N10" s="1"/>
      <c r="P10" s="1"/>
      <c r="S10"/>
      <c r="U10" s="60" t="s">
        <v>148</v>
      </c>
      <c r="V10" s="47">
        <v>46</v>
      </c>
      <c r="W10" s="47">
        <v>46</v>
      </c>
      <c r="X10" s="49">
        <f>Portefeuille_MNT_PROGR_PREV[[#This Row],[AC 2024]]-Portefeuille_MNT_PROGR_PREV[[#This Row],[PREV AC 2024]]</f>
        <v>0</v>
      </c>
      <c r="Y10" s="49">
        <f>Portefeuille_MNT_PROGR_PREV[[#This Row],[TR 2024]]-Portefeuille_MNT_PROGR_PREV[[#This Row],[PREV TR 2024]]</f>
        <v>0</v>
      </c>
      <c r="Z10" s="49">
        <f>Portefeuille_MNT_PROGR_PREV[[#This Row],[ÉCART AC 2024]]+Portefeuille_MNT_PROGR_PREV[[#This Row],[ÉCART TR 2024]]</f>
        <v>0</v>
      </c>
      <c r="AA10" s="47">
        <v>891</v>
      </c>
      <c r="AB10" s="47">
        <v>891</v>
      </c>
      <c r="AC10" s="15">
        <v>399</v>
      </c>
      <c r="AD10" s="15">
        <v>103</v>
      </c>
      <c r="AE10" s="52">
        <f>Portefeuille_MNT_PROGR_PREV[[#This Row],[AC 2025]]-Portefeuille_MNT_PROGR_PREV[[#This Row],[PREV AC 2025]]</f>
        <v>296</v>
      </c>
      <c r="AF10" s="52">
        <f>Portefeuille_MNT_PROGR_PREV[[#This Row],[TR 2025]]-Portefeuille_MNT_PROGR_PREV[[#This Row],[PREV TR 2025]]</f>
        <v>-87</v>
      </c>
      <c r="AG10" s="52">
        <f>Portefeuille_MNT_PROGR_PREV[[#This Row],[ÉCART AC 2025]]+Portefeuille_MNT_PROGR_PREV[[#This Row],[ÉCART TR 2025]]</f>
        <v>209</v>
      </c>
      <c r="AH10" s="15">
        <v>67</v>
      </c>
      <c r="AI10" s="15">
        <v>154</v>
      </c>
      <c r="AJ10" s="55">
        <v>93</v>
      </c>
      <c r="AK10" s="55">
        <v>45</v>
      </c>
      <c r="AL10" s="56">
        <f>Portefeuille_MNT_PROGR_PREV[[#This Row],[AC 2026]]-Portefeuille_MNT_PROGR_PREV[[#This Row],[PREV AC 2026]]</f>
        <v>48</v>
      </c>
      <c r="AM10" s="56">
        <f>Portefeuille_MNT_PROGR_PREV[[#This Row],[TR 2026]]-Portefeuille_MNT_PROGR_PREV[[#This Row],[PREV TR 2026]]</f>
        <v>0</v>
      </c>
      <c r="AN10" s="56">
        <f>Portefeuille_MNT_PROGR_PREV[[#This Row],[ÉCART AC 20262]]+Portefeuille_MNT_PROGR_PREV[[#This Row],[ÉCART TR 20263]]</f>
        <v>48</v>
      </c>
      <c r="AO10" s="55"/>
      <c r="AP10" s="55"/>
    </row>
    <row r="11" spans="1:74" hidden="1" x14ac:dyDescent="0.3">
      <c r="A11" t="s">
        <v>102</v>
      </c>
      <c r="B11" t="s">
        <v>136</v>
      </c>
      <c r="C11" t="s">
        <v>663</v>
      </c>
      <c r="D11" t="s">
        <v>101</v>
      </c>
      <c r="E11" t="s">
        <v>16</v>
      </c>
      <c r="F11" t="s">
        <v>20</v>
      </c>
      <c r="G11" t="s">
        <v>105</v>
      </c>
      <c r="H11" t="s">
        <v>203</v>
      </c>
      <c r="I11" t="s">
        <v>204</v>
      </c>
      <c r="J11" t="s">
        <v>205</v>
      </c>
      <c r="K11" t="s">
        <v>149</v>
      </c>
      <c r="L11" t="s">
        <v>155</v>
      </c>
      <c r="M11" s="1">
        <v>45960</v>
      </c>
      <c r="N11" s="1">
        <v>46264</v>
      </c>
      <c r="P11" s="1">
        <v>46629</v>
      </c>
      <c r="Q11">
        <v>5</v>
      </c>
      <c r="R11">
        <v>1</v>
      </c>
      <c r="S11">
        <v>1</v>
      </c>
      <c r="U11" s="60" t="s">
        <v>197</v>
      </c>
      <c r="V11" s="47"/>
      <c r="W11" s="47"/>
      <c r="X11" s="49">
        <f>Portefeuille_MNT_PROGR_PREV[[#This Row],[AC 2024]]-Portefeuille_MNT_PROGR_PREV[[#This Row],[PREV AC 2024]]</f>
        <v>0</v>
      </c>
      <c r="Y11" s="49">
        <f>Portefeuille_MNT_PROGR_PREV[[#This Row],[TR 2024]]-Portefeuille_MNT_PROGR_PREV[[#This Row],[PREV TR 2024]]</f>
        <v>0</v>
      </c>
      <c r="Z11" s="49">
        <f>Portefeuille_MNT_PROGR_PREV[[#This Row],[ÉCART AC 2024]]+Portefeuille_MNT_PROGR_PREV[[#This Row],[ÉCART TR 2024]]</f>
        <v>0</v>
      </c>
      <c r="AA11" s="47"/>
      <c r="AB11" s="47"/>
      <c r="AC11" s="15">
        <v>85</v>
      </c>
      <c r="AD11" s="15">
        <v>0</v>
      </c>
      <c r="AE11" s="52">
        <f>Portefeuille_MNT_PROGR_PREV[[#This Row],[AC 2025]]-Portefeuille_MNT_PROGR_PREV[[#This Row],[PREV AC 2025]]</f>
        <v>85</v>
      </c>
      <c r="AF11" s="52">
        <f>Portefeuille_MNT_PROGR_PREV[[#This Row],[TR 2025]]-Portefeuille_MNT_PROGR_PREV[[#This Row],[PREV TR 2025]]</f>
        <v>0</v>
      </c>
      <c r="AG11" s="52">
        <f>Portefeuille_MNT_PROGR_PREV[[#This Row],[ÉCART AC 2025]]+Portefeuille_MNT_PROGR_PREV[[#This Row],[ÉCART TR 2025]]</f>
        <v>85</v>
      </c>
      <c r="AH11" s="15"/>
      <c r="AI11" s="15"/>
      <c r="AJ11" s="55">
        <v>85</v>
      </c>
      <c r="AK11" s="55">
        <v>85</v>
      </c>
      <c r="AL11" s="56">
        <f>Portefeuille_MNT_PROGR_PREV[[#This Row],[AC 2026]]-Portefeuille_MNT_PROGR_PREV[[#This Row],[PREV AC 2026]]</f>
        <v>0</v>
      </c>
      <c r="AM11" s="56">
        <f>Portefeuille_MNT_PROGR_PREV[[#This Row],[TR 2026]]-Portefeuille_MNT_PROGR_PREV[[#This Row],[PREV TR 2026]]</f>
        <v>0</v>
      </c>
      <c r="AN11" s="56">
        <f>Portefeuille_MNT_PROGR_PREV[[#This Row],[ÉCART AC 20262]]+Portefeuille_MNT_PROGR_PREV[[#This Row],[ÉCART TR 20263]]</f>
        <v>0</v>
      </c>
      <c r="AO11" s="55"/>
      <c r="AP11" s="55"/>
      <c r="AQ11">
        <v>170</v>
      </c>
      <c r="AR11">
        <v>170</v>
      </c>
      <c r="AW11">
        <v>2000</v>
      </c>
    </row>
    <row r="12" spans="1:74" hidden="1" x14ac:dyDescent="0.3">
      <c r="A12" t="s">
        <v>102</v>
      </c>
      <c r="B12" t="s">
        <v>136</v>
      </c>
      <c r="C12" t="s">
        <v>663</v>
      </c>
      <c r="D12" t="s">
        <v>101</v>
      </c>
      <c r="E12" t="s">
        <v>16</v>
      </c>
      <c r="F12" t="s">
        <v>20</v>
      </c>
      <c r="G12" t="s">
        <v>105</v>
      </c>
      <c r="H12" t="s">
        <v>166</v>
      </c>
      <c r="I12" t="s">
        <v>167</v>
      </c>
      <c r="J12" t="s">
        <v>168</v>
      </c>
      <c r="K12" t="s">
        <v>113</v>
      </c>
      <c r="L12" t="s">
        <v>155</v>
      </c>
      <c r="M12" s="1">
        <v>45976</v>
      </c>
      <c r="N12" s="1">
        <v>46402</v>
      </c>
      <c r="P12" s="1">
        <v>46980</v>
      </c>
      <c r="Q12">
        <v>5</v>
      </c>
      <c r="R12">
        <v>1</v>
      </c>
      <c r="S12">
        <v>1</v>
      </c>
      <c r="U12" s="60" t="s">
        <v>169</v>
      </c>
      <c r="V12" s="47"/>
      <c r="W12" s="47"/>
      <c r="X12" s="49">
        <f>Portefeuille_MNT_PROGR_PREV[[#This Row],[AC 2024]]-Portefeuille_MNT_PROGR_PREV[[#This Row],[PREV AC 2024]]</f>
        <v>0</v>
      </c>
      <c r="Y12" s="49">
        <f>Portefeuille_MNT_PROGR_PREV[[#This Row],[TR 2024]]-Portefeuille_MNT_PROGR_PREV[[#This Row],[PREV TR 2024]]</f>
        <v>0</v>
      </c>
      <c r="Z12" s="49">
        <f>Portefeuille_MNT_PROGR_PREV[[#This Row],[ÉCART AC 2024]]+Portefeuille_MNT_PROGR_PREV[[#This Row],[ÉCART TR 2024]]</f>
        <v>0</v>
      </c>
      <c r="AA12" s="47"/>
      <c r="AB12" s="47"/>
      <c r="AC12" s="15">
        <v>120</v>
      </c>
      <c r="AD12" s="15">
        <v>11</v>
      </c>
      <c r="AE12" s="52">
        <f>Portefeuille_MNT_PROGR_PREV[[#This Row],[AC 2025]]-Portefeuille_MNT_PROGR_PREV[[#This Row],[PREV AC 2025]]</f>
        <v>109</v>
      </c>
      <c r="AF12" s="52">
        <f>Portefeuille_MNT_PROGR_PREV[[#This Row],[TR 2025]]-Portefeuille_MNT_PROGR_PREV[[#This Row],[PREV TR 2025]]</f>
        <v>0</v>
      </c>
      <c r="AG12" s="52">
        <f>Portefeuille_MNT_PROGR_PREV[[#This Row],[ÉCART AC 2025]]+Portefeuille_MNT_PROGR_PREV[[#This Row],[ÉCART TR 2025]]</f>
        <v>109</v>
      </c>
      <c r="AH12" s="15"/>
      <c r="AI12" s="15"/>
      <c r="AJ12" s="55">
        <v>210</v>
      </c>
      <c r="AK12" s="55">
        <v>210</v>
      </c>
      <c r="AL12" s="56">
        <f>Portefeuille_MNT_PROGR_PREV[[#This Row],[AC 2026]]-Portefeuille_MNT_PROGR_PREV[[#This Row],[PREV AC 2026]]</f>
        <v>0</v>
      </c>
      <c r="AM12" s="56">
        <f>Portefeuille_MNT_PROGR_PREV[[#This Row],[TR 2026]]-Portefeuille_MNT_PROGR_PREV[[#This Row],[PREV TR 2026]]</f>
        <v>0</v>
      </c>
      <c r="AN12" s="56">
        <f>Portefeuille_MNT_PROGR_PREV[[#This Row],[ÉCART AC 20262]]+Portefeuille_MNT_PROGR_PREV[[#This Row],[ÉCART TR 20263]]</f>
        <v>0</v>
      </c>
      <c r="AO12" s="55"/>
      <c r="AP12" s="55"/>
      <c r="AQ12">
        <v>310</v>
      </c>
      <c r="AR12">
        <v>310</v>
      </c>
      <c r="AU12">
        <v>310</v>
      </c>
      <c r="AV12">
        <v>310</v>
      </c>
      <c r="AY12">
        <v>395</v>
      </c>
      <c r="AZ12">
        <v>1250</v>
      </c>
      <c r="BA12">
        <v>2000</v>
      </c>
      <c r="BC12">
        <v>395</v>
      </c>
      <c r="BD12">
        <v>795</v>
      </c>
      <c r="BE12">
        <v>2000</v>
      </c>
      <c r="BG12">
        <v>400</v>
      </c>
      <c r="BI12">
        <v>18319</v>
      </c>
    </row>
    <row r="13" spans="1:74" hidden="1" x14ac:dyDescent="0.3">
      <c r="A13" t="s">
        <v>102</v>
      </c>
      <c r="B13" t="s">
        <v>200</v>
      </c>
      <c r="C13" t="s">
        <v>664</v>
      </c>
      <c r="D13" t="s">
        <v>101</v>
      </c>
      <c r="E13" t="s">
        <v>16</v>
      </c>
      <c r="F13" t="s">
        <v>16</v>
      </c>
      <c r="G13" t="s">
        <v>105</v>
      </c>
      <c r="H13" t="s">
        <v>334</v>
      </c>
      <c r="I13" t="s">
        <v>335</v>
      </c>
      <c r="J13" t="s">
        <v>205</v>
      </c>
      <c r="K13" t="s">
        <v>149</v>
      </c>
      <c r="L13" t="s">
        <v>164</v>
      </c>
      <c r="M13" s="1">
        <v>44228</v>
      </c>
      <c r="N13" s="1">
        <v>44579</v>
      </c>
      <c r="P13" s="1">
        <v>44865</v>
      </c>
      <c r="Q13">
        <v>5</v>
      </c>
      <c r="R13">
        <v>5</v>
      </c>
      <c r="S13">
        <v>5</v>
      </c>
      <c r="U13" s="60" t="s">
        <v>148</v>
      </c>
      <c r="V13" s="47">
        <v>265</v>
      </c>
      <c r="W13" s="47">
        <v>265</v>
      </c>
      <c r="X13" s="49">
        <f>Portefeuille_MNT_PROGR_PREV[[#This Row],[AC 2024]]-Portefeuille_MNT_PROGR_PREV[[#This Row],[PREV AC 2024]]</f>
        <v>0</v>
      </c>
      <c r="Y13" s="49">
        <f>Portefeuille_MNT_PROGR_PREV[[#This Row],[TR 2024]]-Portefeuille_MNT_PROGR_PREV[[#This Row],[PREV TR 2024]]</f>
        <v>0</v>
      </c>
      <c r="Z13" s="49">
        <f>Portefeuille_MNT_PROGR_PREV[[#This Row],[ÉCART AC 2024]]+Portefeuille_MNT_PROGR_PREV[[#This Row],[ÉCART TR 2024]]</f>
        <v>0</v>
      </c>
      <c r="AA13" s="47">
        <v>6205</v>
      </c>
      <c r="AB13" s="47">
        <v>6205</v>
      </c>
      <c r="AC13" s="15">
        <v>183</v>
      </c>
      <c r="AD13" s="15">
        <v>178</v>
      </c>
      <c r="AE13" s="52">
        <f>Portefeuille_MNT_PROGR_PREV[[#This Row],[AC 2025]]-Portefeuille_MNT_PROGR_PREV[[#This Row],[PREV AC 2025]]</f>
        <v>5</v>
      </c>
      <c r="AF13" s="52">
        <f>Portefeuille_MNT_PROGR_PREV[[#This Row],[TR 2025]]-Portefeuille_MNT_PROGR_PREV[[#This Row],[PREV TR 2025]]</f>
        <v>0</v>
      </c>
      <c r="AG13" s="52">
        <f>Portefeuille_MNT_PROGR_PREV[[#This Row],[ÉCART AC 2025]]+Portefeuille_MNT_PROGR_PREV[[#This Row],[ÉCART TR 2025]]</f>
        <v>5</v>
      </c>
      <c r="AH13" s="15">
        <v>282</v>
      </c>
      <c r="AI13" s="15">
        <v>282</v>
      </c>
      <c r="AJ13" s="55"/>
      <c r="AK13" s="55"/>
      <c r="AL13" s="56">
        <f>Portefeuille_MNT_PROGR_PREV[[#This Row],[AC 2026]]-Portefeuille_MNT_PROGR_PREV[[#This Row],[PREV AC 2026]]</f>
        <v>0</v>
      </c>
      <c r="AM13" s="56">
        <f>Portefeuille_MNT_PROGR_PREV[[#This Row],[TR 2026]]-Portefeuille_MNT_PROGR_PREV[[#This Row],[PREV TR 2026]]</f>
        <v>0</v>
      </c>
      <c r="AN13" s="56">
        <f>Portefeuille_MNT_PROGR_PREV[[#This Row],[ÉCART AC 20262]]+Portefeuille_MNT_PROGR_PREV[[#This Row],[ÉCART TR 20263]]</f>
        <v>0</v>
      </c>
      <c r="AO13" s="55"/>
      <c r="AP13" s="55"/>
    </row>
    <row r="14" spans="1:74" hidden="1" x14ac:dyDescent="0.3">
      <c r="A14" t="s">
        <v>102</v>
      </c>
      <c r="B14" t="s">
        <v>136</v>
      </c>
      <c r="C14" t="s">
        <v>663</v>
      </c>
      <c r="D14" t="s">
        <v>101</v>
      </c>
      <c r="E14" t="s">
        <v>16</v>
      </c>
      <c r="F14" t="s">
        <v>130</v>
      </c>
      <c r="G14" t="s">
        <v>105</v>
      </c>
      <c r="H14" t="s">
        <v>170</v>
      </c>
      <c r="I14" t="s">
        <v>171</v>
      </c>
      <c r="J14" t="s">
        <v>172</v>
      </c>
      <c r="K14" t="s">
        <v>104</v>
      </c>
      <c r="L14" t="s">
        <v>110</v>
      </c>
      <c r="M14" s="1">
        <v>44833</v>
      </c>
      <c r="N14" s="1">
        <v>45976</v>
      </c>
      <c r="P14" s="1">
        <v>46310</v>
      </c>
      <c r="Q14">
        <v>5</v>
      </c>
      <c r="R14">
        <v>5</v>
      </c>
      <c r="S14">
        <v>1</v>
      </c>
      <c r="U14" s="60" t="s">
        <v>173</v>
      </c>
      <c r="V14" s="47">
        <v>199</v>
      </c>
      <c r="W14" s="47">
        <v>199</v>
      </c>
      <c r="X14" s="49">
        <f>Portefeuille_MNT_PROGR_PREV[[#This Row],[AC 2024]]-Portefeuille_MNT_PROGR_PREV[[#This Row],[PREV AC 2024]]</f>
        <v>0</v>
      </c>
      <c r="Y14" s="49">
        <f>Portefeuille_MNT_PROGR_PREV[[#This Row],[TR 2024]]-Portefeuille_MNT_PROGR_PREV[[#This Row],[PREV TR 2024]]</f>
        <v>0</v>
      </c>
      <c r="Z14" s="49">
        <f>Portefeuille_MNT_PROGR_PREV[[#This Row],[ÉCART AC 2024]]+Portefeuille_MNT_PROGR_PREV[[#This Row],[ÉCART TR 2024]]</f>
        <v>0</v>
      </c>
      <c r="AA14" s="47"/>
      <c r="AB14" s="47"/>
      <c r="AC14" s="15">
        <v>1064</v>
      </c>
      <c r="AD14" s="15">
        <v>1214</v>
      </c>
      <c r="AE14" s="52">
        <f>Portefeuille_MNT_PROGR_PREV[[#This Row],[AC 2025]]-Portefeuille_MNT_PROGR_PREV[[#This Row],[PREV AC 2025]]</f>
        <v>-150</v>
      </c>
      <c r="AF14" s="52">
        <f>Portefeuille_MNT_PROGR_PREV[[#This Row],[TR 2025]]-Portefeuille_MNT_PROGR_PREV[[#This Row],[PREV TR 2025]]</f>
        <v>0</v>
      </c>
      <c r="AG14" s="52">
        <f>Portefeuille_MNT_PROGR_PREV[[#This Row],[ÉCART AC 2025]]+Portefeuille_MNT_PROGR_PREV[[#This Row],[ÉCART TR 2025]]</f>
        <v>-150</v>
      </c>
      <c r="AH14" s="15"/>
      <c r="AI14" s="15"/>
      <c r="AJ14" s="55">
        <v>1008</v>
      </c>
      <c r="AK14" s="55">
        <v>1008</v>
      </c>
      <c r="AL14" s="56">
        <f>Portefeuille_MNT_PROGR_PREV[[#This Row],[AC 2026]]-Portefeuille_MNT_PROGR_PREV[[#This Row],[PREV AC 2026]]</f>
        <v>0</v>
      </c>
      <c r="AM14" s="56">
        <f>Portefeuille_MNT_PROGR_PREV[[#This Row],[TR 2026]]-Portefeuille_MNT_PROGR_PREV[[#This Row],[PREV TR 2026]]</f>
        <v>0</v>
      </c>
      <c r="AN14" s="56">
        <f>Portefeuille_MNT_PROGR_PREV[[#This Row],[ÉCART AC 20262]]+Portefeuille_MNT_PROGR_PREV[[#This Row],[ÉCART TR 20263]]</f>
        <v>0</v>
      </c>
      <c r="AO14" s="55"/>
      <c r="AP14" s="55"/>
      <c r="AQ14">
        <v>1886</v>
      </c>
      <c r="AR14">
        <v>1786</v>
      </c>
      <c r="AS14">
        <v>6580</v>
      </c>
      <c r="AU14">
        <v>722</v>
      </c>
      <c r="AV14">
        <v>1781</v>
      </c>
      <c r="AW14">
        <v>6581</v>
      </c>
      <c r="BA14">
        <v>6576</v>
      </c>
    </row>
    <row r="15" spans="1:74" hidden="1" x14ac:dyDescent="0.3">
      <c r="A15" t="s">
        <v>102</v>
      </c>
      <c r="B15" t="s">
        <v>136</v>
      </c>
      <c r="C15" t="s">
        <v>663</v>
      </c>
      <c r="D15" t="s">
        <v>101</v>
      </c>
      <c r="E15" t="s">
        <v>16</v>
      </c>
      <c r="F15" t="s">
        <v>16</v>
      </c>
      <c r="G15" t="s">
        <v>131</v>
      </c>
      <c r="H15" t="s">
        <v>137</v>
      </c>
      <c r="I15" t="s">
        <v>138</v>
      </c>
      <c r="J15" t="s">
        <v>139</v>
      </c>
      <c r="K15" t="s">
        <v>113</v>
      </c>
      <c r="L15" t="s">
        <v>123</v>
      </c>
      <c r="M15" s="1">
        <v>45062</v>
      </c>
      <c r="N15" s="1">
        <v>45754</v>
      </c>
      <c r="P15" s="1">
        <v>45976</v>
      </c>
      <c r="Q15">
        <v>5</v>
      </c>
      <c r="R15">
        <v>5</v>
      </c>
      <c r="S15">
        <v>5</v>
      </c>
      <c r="U15" s="60" t="s">
        <v>109</v>
      </c>
      <c r="V15" s="47">
        <v>327</v>
      </c>
      <c r="W15" s="47">
        <v>327</v>
      </c>
      <c r="X15" s="49">
        <f>Portefeuille_MNT_PROGR_PREV[[#This Row],[AC 2024]]-Portefeuille_MNT_PROGR_PREV[[#This Row],[PREV AC 2024]]</f>
        <v>0</v>
      </c>
      <c r="Y15" s="49">
        <f>Portefeuille_MNT_PROGR_PREV[[#This Row],[TR 2024]]-Portefeuille_MNT_PROGR_PREV[[#This Row],[PREV TR 2024]]</f>
        <v>0</v>
      </c>
      <c r="Z15" s="49">
        <f>Portefeuille_MNT_PROGR_PREV[[#This Row],[ÉCART AC 2024]]+Portefeuille_MNT_PROGR_PREV[[#This Row],[ÉCART TR 2024]]</f>
        <v>0</v>
      </c>
      <c r="AA15" s="47"/>
      <c r="AB15" s="47"/>
      <c r="AC15" s="15">
        <v>363</v>
      </c>
      <c r="AD15" s="15">
        <v>363</v>
      </c>
      <c r="AE15" s="52">
        <f>Portefeuille_MNT_PROGR_PREV[[#This Row],[AC 2025]]-Portefeuille_MNT_PROGR_PREV[[#This Row],[PREV AC 2025]]</f>
        <v>0</v>
      </c>
      <c r="AF15" s="52">
        <f>Portefeuille_MNT_PROGR_PREV[[#This Row],[TR 2025]]-Portefeuille_MNT_PROGR_PREV[[#This Row],[PREV TR 2025]]</f>
        <v>0</v>
      </c>
      <c r="AG15" s="52">
        <f>Portefeuille_MNT_PROGR_PREV[[#This Row],[ÉCART AC 2025]]+Portefeuille_MNT_PROGR_PREV[[#This Row],[ÉCART TR 2025]]</f>
        <v>0</v>
      </c>
      <c r="AH15" s="15"/>
      <c r="AI15" s="15"/>
      <c r="AJ15" s="55">
        <v>1006</v>
      </c>
      <c r="AK15" s="55">
        <v>1006</v>
      </c>
      <c r="AL15" s="56">
        <f>Portefeuille_MNT_PROGR_PREV[[#This Row],[AC 2026]]-Portefeuille_MNT_PROGR_PREV[[#This Row],[PREV AC 2026]]</f>
        <v>0</v>
      </c>
      <c r="AM15" s="56">
        <f>Portefeuille_MNT_PROGR_PREV[[#This Row],[TR 2026]]-Portefeuille_MNT_PROGR_PREV[[#This Row],[PREV TR 2026]]</f>
        <v>-30</v>
      </c>
      <c r="AN15" s="56">
        <f>Portefeuille_MNT_PROGR_PREV[[#This Row],[ÉCART AC 20262]]+Portefeuille_MNT_PROGR_PREV[[#This Row],[ÉCART TR 20263]]</f>
        <v>-30</v>
      </c>
      <c r="AO15" s="55">
        <v>5870</v>
      </c>
      <c r="AP15" s="55">
        <v>5900</v>
      </c>
    </row>
    <row r="16" spans="1:74" hidden="1" x14ac:dyDescent="0.3">
      <c r="A16" t="s">
        <v>102</v>
      </c>
      <c r="B16" t="s">
        <v>389</v>
      </c>
      <c r="C16" t="s">
        <v>662</v>
      </c>
      <c r="D16" t="s">
        <v>118</v>
      </c>
      <c r="E16" t="s">
        <v>20</v>
      </c>
      <c r="F16" t="s">
        <v>20</v>
      </c>
      <c r="G16" t="s">
        <v>105</v>
      </c>
      <c r="H16" t="s">
        <v>424</v>
      </c>
      <c r="I16" t="s">
        <v>425</v>
      </c>
      <c r="J16" t="s">
        <v>205</v>
      </c>
      <c r="L16" t="s">
        <v>291</v>
      </c>
      <c r="M16" s="1"/>
      <c r="N16" s="1"/>
      <c r="P16" s="1"/>
      <c r="S16"/>
      <c r="U16" s="60" t="s">
        <v>392</v>
      </c>
      <c r="V16" s="47"/>
      <c r="W16" s="47"/>
      <c r="X16" s="49">
        <f>Portefeuille_MNT_PROGR_PREV[[#This Row],[AC 2024]]-Portefeuille_MNT_PROGR_PREV[[#This Row],[PREV AC 2024]]</f>
        <v>0</v>
      </c>
      <c r="Y16" s="49">
        <f>Portefeuille_MNT_PROGR_PREV[[#This Row],[TR 2024]]-Portefeuille_MNT_PROGR_PREV[[#This Row],[PREV TR 2024]]</f>
        <v>0</v>
      </c>
      <c r="Z16" s="49">
        <f>Portefeuille_MNT_PROGR_PREV[[#This Row],[ÉCART AC 2024]]+Portefeuille_MNT_PROGR_PREV[[#This Row],[ÉCART TR 2024]]</f>
        <v>0</v>
      </c>
      <c r="AA16" s="47"/>
      <c r="AB16" s="47"/>
      <c r="AC16" s="15"/>
      <c r="AD16" s="15"/>
      <c r="AE16" s="52">
        <f>Portefeuille_MNT_PROGR_PREV[[#This Row],[AC 2025]]-Portefeuille_MNT_PROGR_PREV[[#This Row],[PREV AC 2025]]</f>
        <v>0</v>
      </c>
      <c r="AF16" s="52">
        <f>Portefeuille_MNT_PROGR_PREV[[#This Row],[TR 2025]]-Portefeuille_MNT_PROGR_PREV[[#This Row],[PREV TR 2025]]</f>
        <v>0</v>
      </c>
      <c r="AG16" s="52">
        <f>Portefeuille_MNT_PROGR_PREV[[#This Row],[ÉCART AC 2025]]+Portefeuille_MNT_PROGR_PREV[[#This Row],[ÉCART TR 2025]]</f>
        <v>0</v>
      </c>
      <c r="AH16" s="15"/>
      <c r="AI16" s="15"/>
      <c r="AJ16" s="55"/>
      <c r="AK16" s="55"/>
      <c r="AL16" s="56">
        <f>Portefeuille_MNT_PROGR_PREV[[#This Row],[AC 2026]]-Portefeuille_MNT_PROGR_PREV[[#This Row],[PREV AC 2026]]</f>
        <v>0</v>
      </c>
      <c r="AM16" s="56">
        <f>Portefeuille_MNT_PROGR_PREV[[#This Row],[TR 2026]]-Portefeuille_MNT_PROGR_PREV[[#This Row],[PREV TR 2026]]</f>
        <v>0</v>
      </c>
      <c r="AN16" s="56">
        <f>Portefeuille_MNT_PROGR_PREV[[#This Row],[ÉCART AC 20262]]+Portefeuille_MNT_PROGR_PREV[[#This Row],[ÉCART TR 20263]]</f>
        <v>0</v>
      </c>
      <c r="AO16" s="55"/>
      <c r="AP16" s="55"/>
      <c r="BG16">
        <v>100</v>
      </c>
      <c r="BK16">
        <v>100</v>
      </c>
      <c r="BO16">
        <v>200</v>
      </c>
      <c r="BQ16">
        <v>5000</v>
      </c>
    </row>
    <row r="17" spans="1:71" hidden="1" x14ac:dyDescent="0.3">
      <c r="A17" t="s">
        <v>102</v>
      </c>
      <c r="B17" t="s">
        <v>103</v>
      </c>
      <c r="C17" t="s">
        <v>664</v>
      </c>
      <c r="D17" t="s">
        <v>101</v>
      </c>
      <c r="E17" t="s">
        <v>20</v>
      </c>
      <c r="F17" t="s">
        <v>20</v>
      </c>
      <c r="G17" t="s">
        <v>131</v>
      </c>
      <c r="H17" t="s">
        <v>653</v>
      </c>
      <c r="I17" t="s">
        <v>654</v>
      </c>
      <c r="J17" t="s">
        <v>134</v>
      </c>
      <c r="K17" t="s">
        <v>129</v>
      </c>
      <c r="L17" t="s">
        <v>291</v>
      </c>
      <c r="M17" s="1"/>
      <c r="N17" s="1"/>
      <c r="P17" s="1"/>
      <c r="S17"/>
      <c r="U17" s="60" t="s">
        <v>169</v>
      </c>
      <c r="V17" s="47"/>
      <c r="W17" s="47"/>
      <c r="X17" s="49">
        <f>Portefeuille_MNT_PROGR_PREV[[#This Row],[AC 2024]]-Portefeuille_MNT_PROGR_PREV[[#This Row],[PREV AC 2024]]</f>
        <v>0</v>
      </c>
      <c r="Y17" s="49">
        <f>Portefeuille_MNT_PROGR_PREV[[#This Row],[TR 2024]]-Portefeuille_MNT_PROGR_PREV[[#This Row],[PREV TR 2024]]</f>
        <v>0</v>
      </c>
      <c r="Z17" s="49">
        <f>Portefeuille_MNT_PROGR_PREV[[#This Row],[ÉCART AC 2024]]+Portefeuille_MNT_PROGR_PREV[[#This Row],[ÉCART TR 2024]]</f>
        <v>0</v>
      </c>
      <c r="AA17" s="47"/>
      <c r="AB17" s="47"/>
      <c r="AC17" s="15"/>
      <c r="AD17" s="15"/>
      <c r="AE17" s="52">
        <f>Portefeuille_MNT_PROGR_PREV[[#This Row],[AC 2025]]-Portefeuille_MNT_PROGR_PREV[[#This Row],[PREV AC 2025]]</f>
        <v>0</v>
      </c>
      <c r="AF17" s="52">
        <f>Portefeuille_MNT_PROGR_PREV[[#This Row],[TR 2025]]-Portefeuille_MNT_PROGR_PREV[[#This Row],[PREV TR 2025]]</f>
        <v>0</v>
      </c>
      <c r="AG17" s="52">
        <f>Portefeuille_MNT_PROGR_PREV[[#This Row],[ÉCART AC 2025]]+Portefeuille_MNT_PROGR_PREV[[#This Row],[ÉCART TR 2025]]</f>
        <v>0</v>
      </c>
      <c r="AH17" s="15"/>
      <c r="AI17" s="15"/>
      <c r="AJ17" s="55"/>
      <c r="AK17" s="55"/>
      <c r="AL17" s="56">
        <f>Portefeuille_MNT_PROGR_PREV[[#This Row],[AC 2026]]-Portefeuille_MNT_PROGR_PREV[[#This Row],[PREV AC 2026]]</f>
        <v>0</v>
      </c>
      <c r="AM17" s="56">
        <f>Portefeuille_MNT_PROGR_PREV[[#This Row],[TR 2026]]-Portefeuille_MNT_PROGR_PREV[[#This Row],[PREV TR 2026]]</f>
        <v>0</v>
      </c>
      <c r="AN17" s="56">
        <f>Portefeuille_MNT_PROGR_PREV[[#This Row],[ÉCART AC 20262]]+Portefeuille_MNT_PROGR_PREV[[#This Row],[ÉCART TR 20263]]</f>
        <v>0</v>
      </c>
      <c r="AO17" s="55"/>
      <c r="AP17" s="55"/>
      <c r="AQ17">
        <v>125</v>
      </c>
      <c r="AU17">
        <v>125</v>
      </c>
      <c r="AY17">
        <v>250</v>
      </c>
      <c r="BA17">
        <v>1000</v>
      </c>
    </row>
    <row r="18" spans="1:71" hidden="1" x14ac:dyDescent="0.3">
      <c r="A18" t="s">
        <v>102</v>
      </c>
      <c r="B18" t="s">
        <v>136</v>
      </c>
      <c r="C18" t="s">
        <v>662</v>
      </c>
      <c r="D18" t="s">
        <v>118</v>
      </c>
      <c r="E18" t="s">
        <v>16</v>
      </c>
      <c r="F18" t="s">
        <v>16</v>
      </c>
      <c r="G18" t="s">
        <v>131</v>
      </c>
      <c r="H18" t="s">
        <v>218</v>
      </c>
      <c r="I18" t="s">
        <v>219</v>
      </c>
      <c r="J18" t="s">
        <v>152</v>
      </c>
      <c r="K18" t="s">
        <v>129</v>
      </c>
      <c r="L18" t="s">
        <v>164</v>
      </c>
      <c r="M18" s="1">
        <v>45370</v>
      </c>
      <c r="N18" s="1"/>
      <c r="P18" s="1">
        <v>45706</v>
      </c>
      <c r="Q18">
        <v>5</v>
      </c>
      <c r="S18">
        <v>5</v>
      </c>
      <c r="U18" s="60" t="s">
        <v>148</v>
      </c>
      <c r="V18" s="47">
        <v>45</v>
      </c>
      <c r="W18" s="47">
        <v>45</v>
      </c>
      <c r="X18" s="49">
        <f>Portefeuille_MNT_PROGR_PREV[[#This Row],[AC 2024]]-Portefeuille_MNT_PROGR_PREV[[#This Row],[PREV AC 2024]]</f>
        <v>0</v>
      </c>
      <c r="Y18" s="49">
        <f>Portefeuille_MNT_PROGR_PREV[[#This Row],[TR 2024]]-Portefeuille_MNT_PROGR_PREV[[#This Row],[PREV TR 2024]]</f>
        <v>0</v>
      </c>
      <c r="Z18" s="49">
        <f>Portefeuille_MNT_PROGR_PREV[[#This Row],[ÉCART AC 2024]]+Portefeuille_MNT_PROGR_PREV[[#This Row],[ÉCART TR 2024]]</f>
        <v>0</v>
      </c>
      <c r="AA18" s="47"/>
      <c r="AB18" s="47"/>
      <c r="AC18" s="15">
        <v>38</v>
      </c>
      <c r="AD18" s="15">
        <v>37</v>
      </c>
      <c r="AE18" s="52">
        <f>Portefeuille_MNT_PROGR_PREV[[#This Row],[AC 2025]]-Portefeuille_MNT_PROGR_PREV[[#This Row],[PREV AC 2025]]</f>
        <v>1</v>
      </c>
      <c r="AF18" s="52">
        <f>Portefeuille_MNT_PROGR_PREV[[#This Row],[TR 2025]]-Portefeuille_MNT_PROGR_PREV[[#This Row],[PREV TR 2025]]</f>
        <v>-155</v>
      </c>
      <c r="AG18" s="52">
        <f>Portefeuille_MNT_PROGR_PREV[[#This Row],[ÉCART AC 2025]]+Portefeuille_MNT_PROGR_PREV[[#This Row],[ÉCART TR 2025]]</f>
        <v>-154</v>
      </c>
      <c r="AH18" s="15">
        <v>605</v>
      </c>
      <c r="AI18" s="15">
        <v>760</v>
      </c>
      <c r="AJ18" s="55"/>
      <c r="AK18" s="55"/>
      <c r="AL18" s="56">
        <f>Portefeuille_MNT_PROGR_PREV[[#This Row],[AC 2026]]-Portefeuille_MNT_PROGR_PREV[[#This Row],[PREV AC 2026]]</f>
        <v>0</v>
      </c>
      <c r="AM18" s="56">
        <f>Portefeuille_MNT_PROGR_PREV[[#This Row],[TR 2026]]-Portefeuille_MNT_PROGR_PREV[[#This Row],[PREV TR 2026]]</f>
        <v>0</v>
      </c>
      <c r="AN18" s="56">
        <f>Portefeuille_MNT_PROGR_PREV[[#This Row],[ÉCART AC 20262]]+Portefeuille_MNT_PROGR_PREV[[#This Row],[ÉCART TR 20263]]</f>
        <v>0</v>
      </c>
      <c r="AO18" s="55"/>
      <c r="AP18" s="55"/>
    </row>
    <row r="19" spans="1:71" hidden="1" x14ac:dyDescent="0.3">
      <c r="A19" t="s">
        <v>102</v>
      </c>
      <c r="B19" t="s">
        <v>136</v>
      </c>
      <c r="C19" t="s">
        <v>663</v>
      </c>
      <c r="D19" t="s">
        <v>101</v>
      </c>
      <c r="E19" t="s">
        <v>16</v>
      </c>
      <c r="F19" t="s">
        <v>16</v>
      </c>
      <c r="G19" t="s">
        <v>131</v>
      </c>
      <c r="H19" t="s">
        <v>360</v>
      </c>
      <c r="I19" t="s">
        <v>361</v>
      </c>
      <c r="J19" t="s">
        <v>134</v>
      </c>
      <c r="K19" t="s">
        <v>140</v>
      </c>
      <c r="L19" t="s">
        <v>164</v>
      </c>
      <c r="M19" s="1">
        <v>43390</v>
      </c>
      <c r="N19" s="1"/>
      <c r="P19" s="1">
        <v>44890</v>
      </c>
      <c r="Q19">
        <v>5</v>
      </c>
      <c r="S19">
        <v>5</v>
      </c>
      <c r="U19" s="60"/>
      <c r="V19" s="47">
        <v>18</v>
      </c>
      <c r="W19" s="47">
        <v>18</v>
      </c>
      <c r="X19" s="49">
        <f>Portefeuille_MNT_PROGR_PREV[[#This Row],[AC 2024]]-Portefeuille_MNT_PROGR_PREV[[#This Row],[PREV AC 2024]]</f>
        <v>0</v>
      </c>
      <c r="Y19" s="49">
        <f>Portefeuille_MNT_PROGR_PREV[[#This Row],[TR 2024]]-Portefeuille_MNT_PROGR_PREV[[#This Row],[PREV TR 2024]]</f>
        <v>0</v>
      </c>
      <c r="Z19" s="49">
        <f>Portefeuille_MNT_PROGR_PREV[[#This Row],[ÉCART AC 2024]]+Portefeuille_MNT_PROGR_PREV[[#This Row],[ÉCART TR 2024]]</f>
        <v>0</v>
      </c>
      <c r="AA19" s="47">
        <v>288</v>
      </c>
      <c r="AB19" s="47">
        <v>288</v>
      </c>
      <c r="AC19" s="15"/>
      <c r="AD19" s="15"/>
      <c r="AE19" s="52">
        <f>Portefeuille_MNT_PROGR_PREV[[#This Row],[AC 2025]]-Portefeuille_MNT_PROGR_PREV[[#This Row],[PREV AC 2025]]</f>
        <v>0</v>
      </c>
      <c r="AF19" s="52">
        <f>Portefeuille_MNT_PROGR_PREV[[#This Row],[TR 2025]]-Portefeuille_MNT_PROGR_PREV[[#This Row],[PREV TR 2025]]</f>
        <v>0</v>
      </c>
      <c r="AG19" s="52">
        <f>Portefeuille_MNT_PROGR_PREV[[#This Row],[ÉCART AC 2025]]+Portefeuille_MNT_PROGR_PREV[[#This Row],[ÉCART TR 2025]]</f>
        <v>0</v>
      </c>
      <c r="AH19" s="15"/>
      <c r="AI19" s="15"/>
      <c r="AJ19" s="55"/>
      <c r="AK19" s="55"/>
      <c r="AL19" s="56">
        <f>Portefeuille_MNT_PROGR_PREV[[#This Row],[AC 2026]]-Portefeuille_MNT_PROGR_PREV[[#This Row],[PREV AC 2026]]</f>
        <v>0</v>
      </c>
      <c r="AM19" s="56">
        <f>Portefeuille_MNT_PROGR_PREV[[#This Row],[TR 2026]]-Portefeuille_MNT_PROGR_PREV[[#This Row],[PREV TR 2026]]</f>
        <v>0</v>
      </c>
      <c r="AN19" s="56">
        <f>Portefeuille_MNT_PROGR_PREV[[#This Row],[ÉCART AC 20262]]+Portefeuille_MNT_PROGR_PREV[[#This Row],[ÉCART TR 20263]]</f>
        <v>0</v>
      </c>
      <c r="AO19" s="55"/>
      <c r="AP19" s="55"/>
    </row>
    <row r="20" spans="1:71" hidden="1" x14ac:dyDescent="0.3">
      <c r="A20" t="s">
        <v>102</v>
      </c>
      <c r="B20" t="s">
        <v>136</v>
      </c>
      <c r="C20" t="s">
        <v>663</v>
      </c>
      <c r="D20" t="s">
        <v>101</v>
      </c>
      <c r="E20" t="s">
        <v>16</v>
      </c>
      <c r="F20" t="s">
        <v>20</v>
      </c>
      <c r="G20" t="s">
        <v>131</v>
      </c>
      <c r="H20" t="s">
        <v>181</v>
      </c>
      <c r="I20" t="s">
        <v>296</v>
      </c>
      <c r="J20" t="s">
        <v>183</v>
      </c>
      <c r="K20" t="s">
        <v>140</v>
      </c>
      <c r="L20" t="s">
        <v>110</v>
      </c>
      <c r="M20" s="1">
        <v>45590</v>
      </c>
      <c r="N20" s="1">
        <v>46157</v>
      </c>
      <c r="P20" s="1">
        <v>46157</v>
      </c>
      <c r="Q20">
        <v>5</v>
      </c>
      <c r="R20">
        <v>1</v>
      </c>
      <c r="S20">
        <v>1</v>
      </c>
      <c r="U20" s="60" t="s">
        <v>173</v>
      </c>
      <c r="V20" s="47"/>
      <c r="W20" s="47"/>
      <c r="X20" s="49">
        <f>Portefeuille_MNT_PROGR_PREV[[#This Row],[AC 2024]]-Portefeuille_MNT_PROGR_PREV[[#This Row],[PREV AC 2024]]</f>
        <v>0</v>
      </c>
      <c r="Y20" s="49">
        <f>Portefeuille_MNT_PROGR_PREV[[#This Row],[TR 2024]]-Portefeuille_MNT_PROGR_PREV[[#This Row],[PREV TR 2024]]</f>
        <v>0</v>
      </c>
      <c r="Z20" s="49">
        <f>Portefeuille_MNT_PROGR_PREV[[#This Row],[ÉCART AC 2024]]+Portefeuille_MNT_PROGR_PREV[[#This Row],[ÉCART TR 2024]]</f>
        <v>0</v>
      </c>
      <c r="AA20" s="47"/>
      <c r="AB20" s="47"/>
      <c r="AC20" s="15">
        <v>466</v>
      </c>
      <c r="AD20" s="15">
        <v>99</v>
      </c>
      <c r="AE20" s="52">
        <f>Portefeuille_MNT_PROGR_PREV[[#This Row],[AC 2025]]-Portefeuille_MNT_PROGR_PREV[[#This Row],[PREV AC 2025]]</f>
        <v>367</v>
      </c>
      <c r="AF20" s="52">
        <f>Portefeuille_MNT_PROGR_PREV[[#This Row],[TR 2025]]-Portefeuille_MNT_PROGR_PREV[[#This Row],[PREV TR 2025]]</f>
        <v>0</v>
      </c>
      <c r="AG20" s="52">
        <f>Portefeuille_MNT_PROGR_PREV[[#This Row],[ÉCART AC 2025]]+Portefeuille_MNT_PROGR_PREV[[#This Row],[ÉCART TR 2025]]</f>
        <v>367</v>
      </c>
      <c r="AH20" s="15"/>
      <c r="AI20" s="15"/>
      <c r="AJ20" s="55">
        <v>475</v>
      </c>
      <c r="AK20" s="55">
        <v>66</v>
      </c>
      <c r="AL20" s="56">
        <f>Portefeuille_MNT_PROGR_PREV[[#This Row],[AC 2026]]-Portefeuille_MNT_PROGR_PREV[[#This Row],[PREV AC 2026]]</f>
        <v>409</v>
      </c>
      <c r="AM20" s="56">
        <f>Portefeuille_MNT_PROGR_PREV[[#This Row],[TR 2026]]-Portefeuille_MNT_PROGR_PREV[[#This Row],[PREV TR 2026]]</f>
        <v>0</v>
      </c>
      <c r="AN20" s="56">
        <f>Portefeuille_MNT_PROGR_PREV[[#This Row],[ÉCART AC 20262]]+Portefeuille_MNT_PROGR_PREV[[#This Row],[ÉCART TR 20263]]</f>
        <v>409</v>
      </c>
      <c r="AO20" s="55"/>
      <c r="AP20" s="55"/>
      <c r="AQ20">
        <v>468</v>
      </c>
      <c r="AR20">
        <v>305</v>
      </c>
      <c r="AS20">
        <v>1461</v>
      </c>
      <c r="AT20">
        <v>1461</v>
      </c>
    </row>
    <row r="21" spans="1:71" hidden="1" x14ac:dyDescent="0.3">
      <c r="A21" t="s">
        <v>102</v>
      </c>
      <c r="B21" t="s">
        <v>177</v>
      </c>
      <c r="C21" t="s">
        <v>662</v>
      </c>
      <c r="D21" t="s">
        <v>118</v>
      </c>
      <c r="E21" t="s">
        <v>16</v>
      </c>
      <c r="F21" t="s">
        <v>16</v>
      </c>
      <c r="G21" t="s">
        <v>131</v>
      </c>
      <c r="H21" t="s">
        <v>293</v>
      </c>
      <c r="I21" t="s">
        <v>294</v>
      </c>
      <c r="J21" t="s">
        <v>134</v>
      </c>
      <c r="K21" t="s">
        <v>129</v>
      </c>
      <c r="L21" t="s">
        <v>164</v>
      </c>
      <c r="M21" s="1">
        <v>45702</v>
      </c>
      <c r="N21" s="1">
        <v>45702</v>
      </c>
      <c r="P21" s="1">
        <v>45702</v>
      </c>
      <c r="Q21">
        <v>5</v>
      </c>
      <c r="R21">
        <v>5</v>
      </c>
      <c r="S21">
        <v>5</v>
      </c>
      <c r="U21" s="60" t="s">
        <v>148</v>
      </c>
      <c r="V21" s="47"/>
      <c r="W21" s="47"/>
      <c r="X21" s="49">
        <f>Portefeuille_MNT_PROGR_PREV[[#This Row],[AC 2024]]-Portefeuille_MNT_PROGR_PREV[[#This Row],[PREV AC 2024]]</f>
        <v>0</v>
      </c>
      <c r="Y21" s="49">
        <f>Portefeuille_MNT_PROGR_PREV[[#This Row],[TR 2024]]-Portefeuille_MNT_PROGR_PREV[[#This Row],[PREV TR 2024]]</f>
        <v>0</v>
      </c>
      <c r="Z21" s="49">
        <f>Portefeuille_MNT_PROGR_PREV[[#This Row],[ÉCART AC 2024]]+Portefeuille_MNT_PROGR_PREV[[#This Row],[ÉCART TR 2024]]</f>
        <v>0</v>
      </c>
      <c r="AA21" s="47"/>
      <c r="AB21" s="47"/>
      <c r="AC21" s="15">
        <v>50</v>
      </c>
      <c r="AD21" s="15">
        <v>52</v>
      </c>
      <c r="AE21" s="52">
        <f>Portefeuille_MNT_PROGR_PREV[[#This Row],[AC 2025]]-Portefeuille_MNT_PROGR_PREV[[#This Row],[PREV AC 2025]]</f>
        <v>-2</v>
      </c>
      <c r="AF21" s="52">
        <f>Portefeuille_MNT_PROGR_PREV[[#This Row],[TR 2025]]-Portefeuille_MNT_PROGR_PREV[[#This Row],[PREV TR 2025]]</f>
        <v>770</v>
      </c>
      <c r="AG21" s="52">
        <f>Portefeuille_MNT_PROGR_PREV[[#This Row],[ÉCART AC 2025]]+Portefeuille_MNT_PROGR_PREV[[#This Row],[ÉCART TR 2025]]</f>
        <v>768</v>
      </c>
      <c r="AH21" s="15">
        <v>2894</v>
      </c>
      <c r="AI21" s="15">
        <v>2124</v>
      </c>
      <c r="AJ21" s="55"/>
      <c r="AK21" s="55"/>
      <c r="AL21" s="56">
        <f>Portefeuille_MNT_PROGR_PREV[[#This Row],[AC 2026]]-Portefeuille_MNT_PROGR_PREV[[#This Row],[PREV AC 2026]]</f>
        <v>0</v>
      </c>
      <c r="AM21" s="56">
        <f>Portefeuille_MNT_PROGR_PREV[[#This Row],[TR 2026]]-Portefeuille_MNT_PROGR_PREV[[#This Row],[PREV TR 2026]]</f>
        <v>0</v>
      </c>
      <c r="AN21" s="56">
        <f>Portefeuille_MNT_PROGR_PREV[[#This Row],[ÉCART AC 20262]]+Portefeuille_MNT_PROGR_PREV[[#This Row],[ÉCART TR 20263]]</f>
        <v>0</v>
      </c>
      <c r="AO21" s="55"/>
      <c r="AP21" s="55"/>
    </row>
    <row r="22" spans="1:71" hidden="1" x14ac:dyDescent="0.3">
      <c r="A22" t="s">
        <v>102</v>
      </c>
      <c r="B22" t="s">
        <v>136</v>
      </c>
      <c r="C22" t="s">
        <v>663</v>
      </c>
      <c r="D22" t="s">
        <v>101</v>
      </c>
      <c r="E22" t="s">
        <v>16</v>
      </c>
      <c r="F22" t="s">
        <v>20</v>
      </c>
      <c r="G22" t="s">
        <v>131</v>
      </c>
      <c r="H22" t="s">
        <v>185</v>
      </c>
      <c r="I22" t="s">
        <v>186</v>
      </c>
      <c r="J22" t="s">
        <v>187</v>
      </c>
      <c r="K22" t="s">
        <v>113</v>
      </c>
      <c r="L22" t="s">
        <v>110</v>
      </c>
      <c r="M22" s="1">
        <v>44823</v>
      </c>
      <c r="N22" s="1">
        <v>46310</v>
      </c>
      <c r="P22" s="1">
        <v>46521</v>
      </c>
      <c r="Q22">
        <v>5</v>
      </c>
      <c r="R22">
        <v>1</v>
      </c>
      <c r="S22">
        <v>1</v>
      </c>
      <c r="U22" s="60" t="s">
        <v>197</v>
      </c>
      <c r="V22" s="47">
        <v>175</v>
      </c>
      <c r="W22" s="47">
        <v>175</v>
      </c>
      <c r="X22" s="49">
        <f>Portefeuille_MNT_PROGR_PREV[[#This Row],[AC 2024]]-Portefeuille_MNT_PROGR_PREV[[#This Row],[PREV AC 2024]]</f>
        <v>0</v>
      </c>
      <c r="Y22" s="49">
        <f>Portefeuille_MNT_PROGR_PREV[[#This Row],[TR 2024]]-Portefeuille_MNT_PROGR_PREV[[#This Row],[PREV TR 2024]]</f>
        <v>0</v>
      </c>
      <c r="Z22" s="49">
        <f>Portefeuille_MNT_PROGR_PREV[[#This Row],[ÉCART AC 2024]]+Portefeuille_MNT_PROGR_PREV[[#This Row],[ÉCART TR 2024]]</f>
        <v>0</v>
      </c>
      <c r="AA22" s="47"/>
      <c r="AB22" s="47"/>
      <c r="AC22" s="15">
        <v>835</v>
      </c>
      <c r="AD22" s="15">
        <v>523</v>
      </c>
      <c r="AE22" s="52">
        <f>Portefeuille_MNT_PROGR_PREV[[#This Row],[AC 2025]]-Portefeuille_MNT_PROGR_PREV[[#This Row],[PREV AC 2025]]</f>
        <v>312</v>
      </c>
      <c r="AF22" s="52">
        <f>Portefeuille_MNT_PROGR_PREV[[#This Row],[TR 2025]]-Portefeuille_MNT_PROGR_PREV[[#This Row],[PREV TR 2025]]</f>
        <v>0</v>
      </c>
      <c r="AG22" s="52">
        <f>Portefeuille_MNT_PROGR_PREV[[#This Row],[ÉCART AC 2025]]+Portefeuille_MNT_PROGR_PREV[[#This Row],[ÉCART TR 2025]]</f>
        <v>312</v>
      </c>
      <c r="AH22" s="15"/>
      <c r="AI22" s="15"/>
      <c r="AJ22" s="55">
        <v>630</v>
      </c>
      <c r="AK22" s="55">
        <v>810</v>
      </c>
      <c r="AL22" s="56">
        <f>Portefeuille_MNT_PROGR_PREV[[#This Row],[AC 2026]]-Portefeuille_MNT_PROGR_PREV[[#This Row],[PREV AC 2026]]</f>
        <v>-180</v>
      </c>
      <c r="AM22" s="56">
        <f>Portefeuille_MNT_PROGR_PREV[[#This Row],[TR 2026]]-Portefeuille_MNT_PROGR_PREV[[#This Row],[PREV TR 2026]]</f>
        <v>0</v>
      </c>
      <c r="AN22" s="56">
        <f>Portefeuille_MNT_PROGR_PREV[[#This Row],[ÉCART AC 20262]]+Portefeuille_MNT_PROGR_PREV[[#This Row],[ÉCART TR 20263]]</f>
        <v>-180</v>
      </c>
      <c r="AO22" s="55"/>
      <c r="AP22" s="55"/>
      <c r="AQ22">
        <v>225</v>
      </c>
      <c r="AR22">
        <v>735</v>
      </c>
      <c r="AU22">
        <v>225</v>
      </c>
      <c r="AV22">
        <v>225</v>
      </c>
      <c r="AW22">
        <v>5369</v>
      </c>
      <c r="AY22">
        <v>502</v>
      </c>
      <c r="AZ22">
        <v>502</v>
      </c>
      <c r="BA22">
        <v>10806</v>
      </c>
    </row>
    <row r="23" spans="1:71" hidden="1" x14ac:dyDescent="0.3">
      <c r="A23" t="s">
        <v>127</v>
      </c>
      <c r="B23" t="s">
        <v>136</v>
      </c>
      <c r="C23" t="s">
        <v>295</v>
      </c>
      <c r="D23" t="s">
        <v>126</v>
      </c>
      <c r="E23" t="s">
        <v>16</v>
      </c>
      <c r="F23" t="s">
        <v>16</v>
      </c>
      <c r="G23" t="s">
        <v>105</v>
      </c>
      <c r="H23" t="s">
        <v>300</v>
      </c>
      <c r="I23" t="s">
        <v>301</v>
      </c>
      <c r="J23" t="s">
        <v>302</v>
      </c>
      <c r="K23" t="s">
        <v>104</v>
      </c>
      <c r="L23" t="s">
        <v>164</v>
      </c>
      <c r="M23" s="1">
        <v>41907</v>
      </c>
      <c r="N23" s="1">
        <v>41968</v>
      </c>
      <c r="P23" s="1">
        <v>42045</v>
      </c>
      <c r="Q23">
        <v>5</v>
      </c>
      <c r="R23">
        <v>5</v>
      </c>
      <c r="S23">
        <v>5</v>
      </c>
      <c r="U23" s="60"/>
      <c r="V23" s="47">
        <v>25</v>
      </c>
      <c r="W23" s="47">
        <v>25</v>
      </c>
      <c r="X23" s="49">
        <f>Portefeuille_MNT_PROGR_PREV[[#This Row],[AC 2024]]-Portefeuille_MNT_PROGR_PREV[[#This Row],[PREV AC 2024]]</f>
        <v>0</v>
      </c>
      <c r="Y23" s="49">
        <f>Portefeuille_MNT_PROGR_PREV[[#This Row],[TR 2024]]-Portefeuille_MNT_PROGR_PREV[[#This Row],[PREV TR 2024]]</f>
        <v>0</v>
      </c>
      <c r="Z23" s="49">
        <f>Portefeuille_MNT_PROGR_PREV[[#This Row],[ÉCART AC 2024]]+Portefeuille_MNT_PROGR_PREV[[#This Row],[ÉCART TR 2024]]</f>
        <v>0</v>
      </c>
      <c r="AA23" s="47">
        <v>98</v>
      </c>
      <c r="AB23" s="47">
        <v>98</v>
      </c>
      <c r="AC23" s="15">
        <v>10</v>
      </c>
      <c r="AD23" s="15">
        <v>11</v>
      </c>
      <c r="AE23" s="52">
        <f>Portefeuille_MNT_PROGR_PREV[[#This Row],[AC 2025]]-Portefeuille_MNT_PROGR_PREV[[#This Row],[PREV AC 2025]]</f>
        <v>-1</v>
      </c>
      <c r="AF23" s="52">
        <f>Portefeuille_MNT_PROGR_PREV[[#This Row],[TR 2025]]-Portefeuille_MNT_PROGR_PREV[[#This Row],[PREV TR 2025]]</f>
        <v>0</v>
      </c>
      <c r="AG23" s="52">
        <f>Portefeuille_MNT_PROGR_PREV[[#This Row],[ÉCART AC 2025]]+Portefeuille_MNT_PROGR_PREV[[#This Row],[ÉCART TR 2025]]</f>
        <v>-1</v>
      </c>
      <c r="AH23" s="15"/>
      <c r="AI23" s="15"/>
      <c r="AJ23" s="55"/>
      <c r="AK23" s="55"/>
      <c r="AL23" s="56">
        <f>Portefeuille_MNT_PROGR_PREV[[#This Row],[AC 2026]]-Portefeuille_MNT_PROGR_PREV[[#This Row],[PREV AC 2026]]</f>
        <v>0</v>
      </c>
      <c r="AM23" s="56">
        <f>Portefeuille_MNT_PROGR_PREV[[#This Row],[TR 2026]]-Portefeuille_MNT_PROGR_PREV[[#This Row],[PREV TR 2026]]</f>
        <v>0</v>
      </c>
      <c r="AN23" s="56">
        <f>Portefeuille_MNT_PROGR_PREV[[#This Row],[ÉCART AC 20262]]+Portefeuille_MNT_PROGR_PREV[[#This Row],[ÉCART TR 20263]]</f>
        <v>0</v>
      </c>
      <c r="AO23" s="55"/>
      <c r="AP23" s="55"/>
    </row>
    <row r="24" spans="1:71" hidden="1" x14ac:dyDescent="0.3">
      <c r="A24" t="s">
        <v>102</v>
      </c>
      <c r="B24" t="s">
        <v>103</v>
      </c>
      <c r="C24" t="s">
        <v>664</v>
      </c>
      <c r="D24" t="s">
        <v>101</v>
      </c>
      <c r="E24" t="s">
        <v>16</v>
      </c>
      <c r="F24" t="s">
        <v>16</v>
      </c>
      <c r="G24" t="s">
        <v>105</v>
      </c>
      <c r="H24" t="s">
        <v>309</v>
      </c>
      <c r="I24" t="s">
        <v>310</v>
      </c>
      <c r="J24" t="s">
        <v>108</v>
      </c>
      <c r="L24" t="s">
        <v>291</v>
      </c>
      <c r="M24" s="1"/>
      <c r="N24" s="1"/>
      <c r="P24" s="1"/>
      <c r="S24"/>
      <c r="U24" s="60" t="s">
        <v>148</v>
      </c>
      <c r="V24" s="47"/>
      <c r="W24" s="47"/>
      <c r="X24" s="49">
        <f>Portefeuille_MNT_PROGR_PREV[[#This Row],[AC 2024]]-Portefeuille_MNT_PROGR_PREV[[#This Row],[PREV AC 2024]]</f>
        <v>0</v>
      </c>
      <c r="Y24" s="49">
        <f>Portefeuille_MNT_PROGR_PREV[[#This Row],[TR 2024]]-Portefeuille_MNT_PROGR_PREV[[#This Row],[PREV TR 2024]]</f>
        <v>0</v>
      </c>
      <c r="Z24" s="49">
        <f>Portefeuille_MNT_PROGR_PREV[[#This Row],[ÉCART AC 2024]]+Portefeuille_MNT_PROGR_PREV[[#This Row],[ÉCART TR 2024]]</f>
        <v>0</v>
      </c>
      <c r="AA24" s="47"/>
      <c r="AB24" s="47"/>
      <c r="AC24" s="15">
        <v>27</v>
      </c>
      <c r="AD24" s="15">
        <v>27</v>
      </c>
      <c r="AE24" s="52">
        <f>Portefeuille_MNT_PROGR_PREV[[#This Row],[AC 2025]]-Portefeuille_MNT_PROGR_PREV[[#This Row],[PREV AC 2025]]</f>
        <v>0</v>
      </c>
      <c r="AF24" s="52">
        <f>Portefeuille_MNT_PROGR_PREV[[#This Row],[TR 2025]]-Portefeuille_MNT_PROGR_PREV[[#This Row],[PREV TR 2025]]</f>
        <v>0</v>
      </c>
      <c r="AG24" s="52">
        <f>Portefeuille_MNT_PROGR_PREV[[#This Row],[ÉCART AC 2025]]+Portefeuille_MNT_PROGR_PREV[[#This Row],[ÉCART TR 2025]]</f>
        <v>0</v>
      </c>
      <c r="AH24" s="15">
        <v>135</v>
      </c>
      <c r="AI24" s="15">
        <v>135</v>
      </c>
      <c r="AJ24" s="55"/>
      <c r="AK24" s="55"/>
      <c r="AL24" s="56">
        <f>Portefeuille_MNT_PROGR_PREV[[#This Row],[AC 2026]]-Portefeuille_MNT_PROGR_PREV[[#This Row],[PREV AC 2026]]</f>
        <v>0</v>
      </c>
      <c r="AM24" s="56">
        <f>Portefeuille_MNT_PROGR_PREV[[#This Row],[TR 2026]]-Portefeuille_MNT_PROGR_PREV[[#This Row],[PREV TR 2026]]</f>
        <v>0</v>
      </c>
      <c r="AN24" s="56">
        <f>Portefeuille_MNT_PROGR_PREV[[#This Row],[ÉCART AC 20262]]+Portefeuille_MNT_PROGR_PREV[[#This Row],[ÉCART TR 20263]]</f>
        <v>0</v>
      </c>
      <c r="AO24" s="55"/>
      <c r="AP24" s="55"/>
    </row>
    <row r="25" spans="1:71" hidden="1" x14ac:dyDescent="0.3">
      <c r="A25" t="s">
        <v>102</v>
      </c>
      <c r="B25" t="s">
        <v>119</v>
      </c>
      <c r="C25" t="s">
        <v>663</v>
      </c>
      <c r="D25" t="s">
        <v>101</v>
      </c>
      <c r="E25" t="s">
        <v>16</v>
      </c>
      <c r="F25" t="s">
        <v>16</v>
      </c>
      <c r="G25" t="s">
        <v>131</v>
      </c>
      <c r="H25" t="s">
        <v>153</v>
      </c>
      <c r="I25" t="s">
        <v>154</v>
      </c>
      <c r="J25" t="s">
        <v>134</v>
      </c>
      <c r="K25" t="s">
        <v>129</v>
      </c>
      <c r="L25" t="s">
        <v>123</v>
      </c>
      <c r="M25" s="1">
        <v>45601</v>
      </c>
      <c r="N25" s="1">
        <v>45731</v>
      </c>
      <c r="P25" s="1">
        <v>45976</v>
      </c>
      <c r="Q25">
        <v>5</v>
      </c>
      <c r="R25">
        <v>5</v>
      </c>
      <c r="S25">
        <v>5</v>
      </c>
      <c r="U25" s="60" t="s">
        <v>109</v>
      </c>
      <c r="V25" s="47"/>
      <c r="W25" s="47"/>
      <c r="X25" s="49">
        <f>Portefeuille_MNT_PROGR_PREV[[#This Row],[AC 2024]]-Portefeuille_MNT_PROGR_PREV[[#This Row],[PREV AC 2024]]</f>
        <v>0</v>
      </c>
      <c r="Y25" s="49">
        <f>Portefeuille_MNT_PROGR_PREV[[#This Row],[TR 2024]]-Portefeuille_MNT_PROGR_PREV[[#This Row],[PREV TR 2024]]</f>
        <v>0</v>
      </c>
      <c r="Z25" s="49">
        <f>Portefeuille_MNT_PROGR_PREV[[#This Row],[ÉCART AC 2024]]+Portefeuille_MNT_PROGR_PREV[[#This Row],[ÉCART TR 2024]]</f>
        <v>0</v>
      </c>
      <c r="AA25" s="47"/>
      <c r="AB25" s="47"/>
      <c r="AC25" s="15">
        <v>20</v>
      </c>
      <c r="AD25" s="15">
        <v>10</v>
      </c>
      <c r="AE25" s="52">
        <f>Portefeuille_MNT_PROGR_PREV[[#This Row],[AC 2025]]-Portefeuille_MNT_PROGR_PREV[[#This Row],[PREV AC 2025]]</f>
        <v>10</v>
      </c>
      <c r="AF25" s="52">
        <f>Portefeuille_MNT_PROGR_PREV[[#This Row],[TR 2025]]-Portefeuille_MNT_PROGR_PREV[[#This Row],[PREV TR 2025]]</f>
        <v>0</v>
      </c>
      <c r="AG25" s="52">
        <f>Portefeuille_MNT_PROGR_PREV[[#This Row],[ÉCART AC 2025]]+Portefeuille_MNT_PROGR_PREV[[#This Row],[ÉCART TR 2025]]</f>
        <v>10</v>
      </c>
      <c r="AH25" s="15"/>
      <c r="AI25" s="15"/>
      <c r="AJ25" s="55">
        <v>55</v>
      </c>
      <c r="AK25" s="55">
        <v>75</v>
      </c>
      <c r="AL25" s="56">
        <f>Portefeuille_MNT_PROGR_PREV[[#This Row],[AC 2026]]-Portefeuille_MNT_PROGR_PREV[[#This Row],[PREV AC 2026]]</f>
        <v>-20</v>
      </c>
      <c r="AM25" s="56">
        <f>Portefeuille_MNT_PROGR_PREV[[#This Row],[TR 2026]]-Portefeuille_MNT_PROGR_PREV[[#This Row],[PREV TR 2026]]</f>
        <v>6</v>
      </c>
      <c r="AN25" s="56">
        <f>Portefeuille_MNT_PROGR_PREV[[#This Row],[ÉCART AC 20262]]+Portefeuille_MNT_PROGR_PREV[[#This Row],[ÉCART TR 20263]]</f>
        <v>-14</v>
      </c>
      <c r="AO25" s="55">
        <v>543</v>
      </c>
      <c r="AP25" s="55">
        <v>537</v>
      </c>
    </row>
    <row r="26" spans="1:71" hidden="1" x14ac:dyDescent="0.3">
      <c r="A26" t="s">
        <v>102</v>
      </c>
      <c r="B26" t="s">
        <v>188</v>
      </c>
      <c r="C26" t="s">
        <v>662</v>
      </c>
      <c r="D26" t="s">
        <v>118</v>
      </c>
      <c r="E26" t="s">
        <v>16</v>
      </c>
      <c r="F26" t="s">
        <v>130</v>
      </c>
      <c r="G26" t="s">
        <v>131</v>
      </c>
      <c r="H26" t="s">
        <v>189</v>
      </c>
      <c r="I26" t="s">
        <v>190</v>
      </c>
      <c r="J26" t="s">
        <v>191</v>
      </c>
      <c r="K26" t="s">
        <v>113</v>
      </c>
      <c r="L26" t="s">
        <v>123</v>
      </c>
      <c r="M26" s="1">
        <v>45684</v>
      </c>
      <c r="N26" s="1"/>
      <c r="P26" s="1">
        <v>46006</v>
      </c>
      <c r="Q26">
        <v>5</v>
      </c>
      <c r="S26">
        <v>5</v>
      </c>
      <c r="U26" s="60" t="s">
        <v>109</v>
      </c>
      <c r="V26" s="47"/>
      <c r="W26" s="47"/>
      <c r="X26" s="49">
        <f>Portefeuille_MNT_PROGR_PREV[[#This Row],[AC 2024]]-Portefeuille_MNT_PROGR_PREV[[#This Row],[PREV AC 2024]]</f>
        <v>0</v>
      </c>
      <c r="Y26" s="49">
        <f>Portefeuille_MNT_PROGR_PREV[[#This Row],[TR 2024]]-Portefeuille_MNT_PROGR_PREV[[#This Row],[PREV TR 2024]]</f>
        <v>0</v>
      </c>
      <c r="Z26" s="49">
        <f>Portefeuille_MNT_PROGR_PREV[[#This Row],[ÉCART AC 2024]]+Portefeuille_MNT_PROGR_PREV[[#This Row],[ÉCART TR 2024]]</f>
        <v>0</v>
      </c>
      <c r="AA26" s="47"/>
      <c r="AB26" s="47"/>
      <c r="AC26" s="15">
        <v>80</v>
      </c>
      <c r="AD26" s="15">
        <v>132</v>
      </c>
      <c r="AE26" s="52">
        <f>Portefeuille_MNT_PROGR_PREV[[#This Row],[AC 2025]]-Portefeuille_MNT_PROGR_PREV[[#This Row],[PREV AC 2025]]</f>
        <v>-52</v>
      </c>
      <c r="AF26" s="52">
        <f>Portefeuille_MNT_PROGR_PREV[[#This Row],[TR 2025]]-Portefeuille_MNT_PROGR_PREV[[#This Row],[PREV TR 2025]]</f>
        <v>0</v>
      </c>
      <c r="AG26" s="52">
        <f>Portefeuille_MNT_PROGR_PREV[[#This Row],[ÉCART AC 2025]]+Portefeuille_MNT_PROGR_PREV[[#This Row],[ÉCART TR 2025]]</f>
        <v>-52</v>
      </c>
      <c r="AH26" s="15"/>
      <c r="AI26" s="15"/>
      <c r="AJ26" s="55">
        <v>87</v>
      </c>
      <c r="AK26" s="55">
        <v>227</v>
      </c>
      <c r="AL26" s="56">
        <f>Portefeuille_MNT_PROGR_PREV[[#This Row],[AC 2026]]-Portefeuille_MNT_PROGR_PREV[[#This Row],[PREV AC 2026]]</f>
        <v>-140</v>
      </c>
      <c r="AM26" s="56">
        <f>Portefeuille_MNT_PROGR_PREV[[#This Row],[TR 2026]]-Portefeuille_MNT_PROGR_PREV[[#This Row],[PREV TR 2026]]</f>
        <v>-43</v>
      </c>
      <c r="AN26" s="56">
        <f>Portefeuille_MNT_PROGR_PREV[[#This Row],[ÉCART AC 20262]]+Portefeuille_MNT_PROGR_PREV[[#This Row],[ÉCART TR 20263]]</f>
        <v>-183</v>
      </c>
      <c r="AO26" s="55">
        <v>899</v>
      </c>
      <c r="AP26" s="55">
        <v>942</v>
      </c>
      <c r="AQ26">
        <v>227</v>
      </c>
      <c r="AR26">
        <v>0</v>
      </c>
    </row>
    <row r="27" spans="1:71" hidden="1" x14ac:dyDescent="0.3">
      <c r="A27" t="s">
        <v>102</v>
      </c>
      <c r="B27" t="s">
        <v>103</v>
      </c>
      <c r="C27" t="s">
        <v>664</v>
      </c>
      <c r="D27" t="s">
        <v>101</v>
      </c>
      <c r="E27" t="s">
        <v>16</v>
      </c>
      <c r="F27" t="s">
        <v>16</v>
      </c>
      <c r="G27" t="s">
        <v>131</v>
      </c>
      <c r="H27" t="s">
        <v>132</v>
      </c>
      <c r="I27" t="s">
        <v>288</v>
      </c>
      <c r="J27" t="s">
        <v>134</v>
      </c>
      <c r="K27" t="s">
        <v>129</v>
      </c>
      <c r="L27" t="s">
        <v>123</v>
      </c>
      <c r="M27" s="1">
        <v>45218</v>
      </c>
      <c r="N27" s="1">
        <v>45722</v>
      </c>
      <c r="P27" s="1">
        <v>45976</v>
      </c>
      <c r="Q27">
        <v>5</v>
      </c>
      <c r="R27">
        <v>5</v>
      </c>
      <c r="S27">
        <v>5</v>
      </c>
      <c r="U27" s="60" t="s">
        <v>109</v>
      </c>
      <c r="V27" s="47">
        <v>12</v>
      </c>
      <c r="W27" s="47">
        <v>12</v>
      </c>
      <c r="X27" s="49">
        <f>Portefeuille_MNT_PROGR_PREV[[#This Row],[AC 2024]]-Portefeuille_MNT_PROGR_PREV[[#This Row],[PREV AC 2024]]</f>
        <v>0</v>
      </c>
      <c r="Y27" s="49">
        <f>Portefeuille_MNT_PROGR_PREV[[#This Row],[TR 2024]]-Portefeuille_MNT_PROGR_PREV[[#This Row],[PREV TR 2024]]</f>
        <v>0</v>
      </c>
      <c r="Z27" s="49">
        <f>Portefeuille_MNT_PROGR_PREV[[#This Row],[ÉCART AC 2024]]+Portefeuille_MNT_PROGR_PREV[[#This Row],[ÉCART TR 2024]]</f>
        <v>0</v>
      </c>
      <c r="AA27" s="47"/>
      <c r="AB27" s="47"/>
      <c r="AC27" s="15">
        <v>10</v>
      </c>
      <c r="AD27" s="15">
        <v>15</v>
      </c>
      <c r="AE27" s="52">
        <f>Portefeuille_MNT_PROGR_PREV[[#This Row],[AC 2025]]-Portefeuille_MNT_PROGR_PREV[[#This Row],[PREV AC 2025]]</f>
        <v>-5</v>
      </c>
      <c r="AF27" s="52">
        <f>Portefeuille_MNT_PROGR_PREV[[#This Row],[TR 2025]]-Portefeuille_MNT_PROGR_PREV[[#This Row],[PREV TR 2025]]</f>
        <v>0</v>
      </c>
      <c r="AG27" s="52">
        <f>Portefeuille_MNT_PROGR_PREV[[#This Row],[ÉCART AC 2025]]+Portefeuille_MNT_PROGR_PREV[[#This Row],[ÉCART TR 2025]]</f>
        <v>-5</v>
      </c>
      <c r="AH27" s="15"/>
      <c r="AI27" s="15"/>
      <c r="AJ27" s="55">
        <v>350</v>
      </c>
      <c r="AK27" s="55">
        <v>350</v>
      </c>
      <c r="AL27" s="56">
        <f>Portefeuille_MNT_PROGR_PREV[[#This Row],[AC 2026]]-Portefeuille_MNT_PROGR_PREV[[#This Row],[PREV AC 2026]]</f>
        <v>0</v>
      </c>
      <c r="AM27" s="56">
        <f>Portefeuille_MNT_PROGR_PREV[[#This Row],[TR 2026]]-Portefeuille_MNT_PROGR_PREV[[#This Row],[PREV TR 2026]]</f>
        <v>316</v>
      </c>
      <c r="AN27" s="56">
        <f>Portefeuille_MNT_PROGR_PREV[[#This Row],[ÉCART AC 20262]]+Portefeuille_MNT_PROGR_PREV[[#This Row],[ÉCART TR 20263]]</f>
        <v>316</v>
      </c>
      <c r="AO27" s="55">
        <v>4669</v>
      </c>
      <c r="AP27" s="55">
        <v>4353</v>
      </c>
    </row>
    <row r="28" spans="1:71" hidden="1" x14ac:dyDescent="0.3">
      <c r="A28" t="s">
        <v>102</v>
      </c>
      <c r="B28" t="s">
        <v>128</v>
      </c>
      <c r="C28" t="s">
        <v>664</v>
      </c>
      <c r="D28" t="s">
        <v>101</v>
      </c>
      <c r="E28" t="s">
        <v>16</v>
      </c>
      <c r="F28" t="s">
        <v>16</v>
      </c>
      <c r="G28" t="s">
        <v>105</v>
      </c>
      <c r="H28" t="s">
        <v>141</v>
      </c>
      <c r="I28" t="s">
        <v>142</v>
      </c>
      <c r="J28" t="s">
        <v>143</v>
      </c>
      <c r="K28" t="s">
        <v>140</v>
      </c>
      <c r="L28" t="s">
        <v>123</v>
      </c>
      <c r="M28" s="1">
        <v>42900</v>
      </c>
      <c r="N28" s="1">
        <v>45323</v>
      </c>
      <c r="P28" s="1">
        <v>45889</v>
      </c>
      <c r="Q28">
        <v>5</v>
      </c>
      <c r="R28">
        <v>5</v>
      </c>
      <c r="S28">
        <v>5</v>
      </c>
      <c r="U28" s="60" t="s">
        <v>109</v>
      </c>
      <c r="V28" s="47"/>
      <c r="W28" s="47"/>
      <c r="X28" s="49">
        <f>Portefeuille_MNT_PROGR_PREV[[#This Row],[AC 2024]]-Portefeuille_MNT_PROGR_PREV[[#This Row],[PREV AC 2024]]</f>
        <v>0</v>
      </c>
      <c r="Y28" s="49">
        <f>Portefeuille_MNT_PROGR_PREV[[#This Row],[TR 2024]]-Portefeuille_MNT_PROGR_PREV[[#This Row],[PREV TR 2024]]</f>
        <v>0</v>
      </c>
      <c r="Z28" s="49">
        <f>Portefeuille_MNT_PROGR_PREV[[#This Row],[ÉCART AC 2024]]+Portefeuille_MNT_PROGR_PREV[[#This Row],[ÉCART TR 2024]]</f>
        <v>0</v>
      </c>
      <c r="AA28" s="47"/>
      <c r="AB28" s="47"/>
      <c r="AC28" s="15"/>
      <c r="AD28" s="15"/>
      <c r="AE28" s="52">
        <f>Portefeuille_MNT_PROGR_PREV[[#This Row],[AC 2025]]-Portefeuille_MNT_PROGR_PREV[[#This Row],[PREV AC 2025]]</f>
        <v>0</v>
      </c>
      <c r="AF28" s="52">
        <f>Portefeuille_MNT_PROGR_PREV[[#This Row],[TR 2025]]-Portefeuille_MNT_PROGR_PREV[[#This Row],[PREV TR 2025]]</f>
        <v>0</v>
      </c>
      <c r="AG28" s="52">
        <f>Portefeuille_MNT_PROGR_PREV[[#This Row],[ÉCART AC 2025]]+Portefeuille_MNT_PROGR_PREV[[#This Row],[ÉCART TR 2025]]</f>
        <v>0</v>
      </c>
      <c r="AH28" s="15"/>
      <c r="AI28" s="15"/>
      <c r="AJ28" s="55">
        <v>400</v>
      </c>
      <c r="AK28" s="55">
        <v>370</v>
      </c>
      <c r="AL28" s="56">
        <f>Portefeuille_MNT_PROGR_PREV[[#This Row],[AC 2026]]-Portefeuille_MNT_PROGR_PREV[[#This Row],[PREV AC 2026]]</f>
        <v>30</v>
      </c>
      <c r="AM28" s="56">
        <f>Portefeuille_MNT_PROGR_PREV[[#This Row],[TR 2026]]-Portefeuille_MNT_PROGR_PREV[[#This Row],[PREV TR 2026]]</f>
        <v>1</v>
      </c>
      <c r="AN28" s="56">
        <f>Portefeuille_MNT_PROGR_PREV[[#This Row],[ÉCART AC 20262]]+Portefeuille_MNT_PROGR_PREV[[#This Row],[ÉCART TR 20263]]</f>
        <v>31</v>
      </c>
      <c r="AO28" s="55">
        <v>5399</v>
      </c>
      <c r="AP28" s="55">
        <v>5398</v>
      </c>
    </row>
    <row r="29" spans="1:71" hidden="1" x14ac:dyDescent="0.3">
      <c r="A29" t="s">
        <v>102</v>
      </c>
      <c r="B29" t="s">
        <v>242</v>
      </c>
      <c r="C29" t="s">
        <v>662</v>
      </c>
      <c r="D29" t="s">
        <v>118</v>
      </c>
      <c r="E29" t="s">
        <v>16</v>
      </c>
      <c r="F29" t="s">
        <v>20</v>
      </c>
      <c r="G29" t="s">
        <v>131</v>
      </c>
      <c r="H29" t="s">
        <v>385</v>
      </c>
      <c r="I29" t="s">
        <v>386</v>
      </c>
      <c r="J29" t="s">
        <v>134</v>
      </c>
      <c r="K29" t="s">
        <v>129</v>
      </c>
      <c r="L29" t="s">
        <v>155</v>
      </c>
      <c r="M29" s="1">
        <v>45960</v>
      </c>
      <c r="N29" s="1">
        <v>46395</v>
      </c>
      <c r="P29" s="1">
        <v>46631</v>
      </c>
      <c r="Q29">
        <v>5</v>
      </c>
      <c r="R29">
        <v>1</v>
      </c>
      <c r="S29">
        <v>1</v>
      </c>
      <c r="U29" s="60" t="s">
        <v>197</v>
      </c>
      <c r="V29" s="47"/>
      <c r="W29" s="47"/>
      <c r="X29" s="49">
        <f>Portefeuille_MNT_PROGR_PREV[[#This Row],[AC 2024]]-Portefeuille_MNT_PROGR_PREV[[#This Row],[PREV AC 2024]]</f>
        <v>0</v>
      </c>
      <c r="Y29" s="49">
        <f>Portefeuille_MNT_PROGR_PREV[[#This Row],[TR 2024]]-Portefeuille_MNT_PROGR_PREV[[#This Row],[PREV TR 2024]]</f>
        <v>0</v>
      </c>
      <c r="Z29" s="49">
        <f>Portefeuille_MNT_PROGR_PREV[[#This Row],[ÉCART AC 2024]]+Portefeuille_MNT_PROGR_PREV[[#This Row],[ÉCART TR 2024]]</f>
        <v>0</v>
      </c>
      <c r="AA29" s="47"/>
      <c r="AB29" s="47"/>
      <c r="AC29" s="15">
        <v>20</v>
      </c>
      <c r="AD29" s="15">
        <v>0</v>
      </c>
      <c r="AE29" s="52">
        <f>Portefeuille_MNT_PROGR_PREV[[#This Row],[AC 2025]]-Portefeuille_MNT_PROGR_PREV[[#This Row],[PREV AC 2025]]</f>
        <v>20</v>
      </c>
      <c r="AF29" s="52">
        <f>Portefeuille_MNT_PROGR_PREV[[#This Row],[TR 2025]]-Portefeuille_MNT_PROGR_PREV[[#This Row],[PREV TR 2025]]</f>
        <v>0</v>
      </c>
      <c r="AG29" s="52">
        <f>Portefeuille_MNT_PROGR_PREV[[#This Row],[ÉCART AC 2025]]+Portefeuille_MNT_PROGR_PREV[[#This Row],[ÉCART TR 2025]]</f>
        <v>20</v>
      </c>
      <c r="AH29" s="15"/>
      <c r="AI29" s="15"/>
      <c r="AJ29" s="55">
        <v>50</v>
      </c>
      <c r="AK29" s="55">
        <v>50</v>
      </c>
      <c r="AL29" s="56">
        <f>Portefeuille_MNT_PROGR_PREV[[#This Row],[AC 2026]]-Portefeuille_MNT_PROGR_PREV[[#This Row],[PREV AC 2026]]</f>
        <v>0</v>
      </c>
      <c r="AM29" s="56">
        <f>Portefeuille_MNT_PROGR_PREV[[#This Row],[TR 2026]]-Portefeuille_MNT_PROGR_PREV[[#This Row],[PREV TR 2026]]</f>
        <v>0</v>
      </c>
      <c r="AN29" s="56">
        <f>Portefeuille_MNT_PROGR_PREV[[#This Row],[ÉCART AC 20262]]+Portefeuille_MNT_PROGR_PREV[[#This Row],[ÉCART TR 20263]]</f>
        <v>0</v>
      </c>
      <c r="AO29" s="55"/>
      <c r="AP29" s="55"/>
      <c r="AQ29">
        <v>50</v>
      </c>
      <c r="AR29">
        <v>50</v>
      </c>
      <c r="AU29">
        <v>200</v>
      </c>
      <c r="AV29">
        <v>200</v>
      </c>
      <c r="AW29">
        <v>2000</v>
      </c>
    </row>
    <row r="30" spans="1:71" hidden="1" x14ac:dyDescent="0.3">
      <c r="A30" t="s">
        <v>102</v>
      </c>
      <c r="B30" t="s">
        <v>103</v>
      </c>
      <c r="C30" t="s">
        <v>664</v>
      </c>
      <c r="D30" t="s">
        <v>101</v>
      </c>
      <c r="E30" t="s">
        <v>16</v>
      </c>
      <c r="F30" t="s">
        <v>16</v>
      </c>
      <c r="G30" t="s">
        <v>105</v>
      </c>
      <c r="H30" t="s">
        <v>312</v>
      </c>
      <c r="I30" t="s">
        <v>313</v>
      </c>
      <c r="J30" t="s">
        <v>168</v>
      </c>
      <c r="K30" t="s">
        <v>113</v>
      </c>
      <c r="L30" t="s">
        <v>164</v>
      </c>
      <c r="M30" s="1">
        <v>44055</v>
      </c>
      <c r="N30" s="1">
        <v>44315</v>
      </c>
      <c r="P30" s="1">
        <v>44589</v>
      </c>
      <c r="Q30">
        <v>5</v>
      </c>
      <c r="R30">
        <v>5</v>
      </c>
      <c r="S30">
        <v>5</v>
      </c>
      <c r="U30" s="60" t="s">
        <v>148</v>
      </c>
      <c r="V30" s="47">
        <v>290</v>
      </c>
      <c r="W30" s="47">
        <v>290</v>
      </c>
      <c r="X30" s="49">
        <f>Portefeuille_MNT_PROGR_PREV[[#This Row],[AC 2024]]-Portefeuille_MNT_PROGR_PREV[[#This Row],[PREV AC 2024]]</f>
        <v>0</v>
      </c>
      <c r="Y30" s="49">
        <f>Portefeuille_MNT_PROGR_PREV[[#This Row],[TR 2024]]-Portefeuille_MNT_PROGR_PREV[[#This Row],[PREV TR 2024]]</f>
        <v>-400</v>
      </c>
      <c r="Z30" s="49">
        <f>Portefeuille_MNT_PROGR_PREV[[#This Row],[ÉCART AC 2024]]+Portefeuille_MNT_PROGR_PREV[[#This Row],[ÉCART TR 2024]]</f>
        <v>-400</v>
      </c>
      <c r="AA30" s="47">
        <v>3895</v>
      </c>
      <c r="AB30" s="47">
        <v>4295</v>
      </c>
      <c r="AC30" s="15">
        <v>93</v>
      </c>
      <c r="AD30" s="15">
        <v>93</v>
      </c>
      <c r="AE30" s="52">
        <f>Portefeuille_MNT_PROGR_PREV[[#This Row],[AC 2025]]-Portefeuille_MNT_PROGR_PREV[[#This Row],[PREV AC 2025]]</f>
        <v>0</v>
      </c>
      <c r="AF30" s="52">
        <f>Portefeuille_MNT_PROGR_PREV[[#This Row],[TR 2025]]-Portefeuille_MNT_PROGR_PREV[[#This Row],[PREV TR 2025]]</f>
        <v>0</v>
      </c>
      <c r="AG30" s="52">
        <f>Portefeuille_MNT_PROGR_PREV[[#This Row],[ÉCART AC 2025]]+Portefeuille_MNT_PROGR_PREV[[#This Row],[ÉCART TR 2025]]</f>
        <v>0</v>
      </c>
      <c r="AH30" s="15">
        <v>390</v>
      </c>
      <c r="AI30" s="15">
        <v>390</v>
      </c>
      <c r="AJ30" s="55"/>
      <c r="AK30" s="55"/>
      <c r="AL30" s="56">
        <f>Portefeuille_MNT_PROGR_PREV[[#This Row],[AC 2026]]-Portefeuille_MNT_PROGR_PREV[[#This Row],[PREV AC 2026]]</f>
        <v>0</v>
      </c>
      <c r="AM30" s="56">
        <f>Portefeuille_MNT_PROGR_PREV[[#This Row],[TR 2026]]-Portefeuille_MNT_PROGR_PREV[[#This Row],[PREV TR 2026]]</f>
        <v>0</v>
      </c>
      <c r="AN30" s="56">
        <f>Portefeuille_MNT_PROGR_PREV[[#This Row],[ÉCART AC 20262]]+Portefeuille_MNT_PROGR_PREV[[#This Row],[ÉCART TR 20263]]</f>
        <v>0</v>
      </c>
      <c r="AO30" s="55"/>
      <c r="AP30" s="55"/>
    </row>
    <row r="31" spans="1:71" hidden="1" x14ac:dyDescent="0.3">
      <c r="A31" t="s">
        <v>102</v>
      </c>
      <c r="B31" t="s">
        <v>103</v>
      </c>
      <c r="C31" t="s">
        <v>664</v>
      </c>
      <c r="D31" t="s">
        <v>101</v>
      </c>
      <c r="E31" t="s">
        <v>20</v>
      </c>
      <c r="F31" t="s">
        <v>20</v>
      </c>
      <c r="G31" t="s">
        <v>131</v>
      </c>
      <c r="H31" t="s">
        <v>379</v>
      </c>
      <c r="I31" t="s">
        <v>380</v>
      </c>
      <c r="J31" t="s">
        <v>134</v>
      </c>
      <c r="L31" t="s">
        <v>291</v>
      </c>
      <c r="M31" s="1"/>
      <c r="N31" s="1"/>
      <c r="O31">
        <v>250</v>
      </c>
      <c r="P31" s="1"/>
      <c r="S31"/>
      <c r="U31" s="60" t="s">
        <v>533</v>
      </c>
      <c r="V31" s="47"/>
      <c r="W31" s="47"/>
      <c r="X31" s="49">
        <f>Portefeuille_MNT_PROGR_PREV[[#This Row],[AC 2024]]-Portefeuille_MNT_PROGR_PREV[[#This Row],[PREV AC 2024]]</f>
        <v>0</v>
      </c>
      <c r="Y31" s="49">
        <f>Portefeuille_MNT_PROGR_PREV[[#This Row],[TR 2024]]-Portefeuille_MNT_PROGR_PREV[[#This Row],[PREV TR 2024]]</f>
        <v>0</v>
      </c>
      <c r="Z31" s="49">
        <f>Portefeuille_MNT_PROGR_PREV[[#This Row],[ÉCART AC 2024]]+Portefeuille_MNT_PROGR_PREV[[#This Row],[ÉCART TR 2024]]</f>
        <v>0</v>
      </c>
      <c r="AA31" s="47"/>
      <c r="AB31" s="47"/>
      <c r="AC31" s="15"/>
      <c r="AD31" s="15"/>
      <c r="AE31" s="52">
        <f>Portefeuille_MNT_PROGR_PREV[[#This Row],[AC 2025]]-Portefeuille_MNT_PROGR_PREV[[#This Row],[PREV AC 2025]]</f>
        <v>0</v>
      </c>
      <c r="AF31" s="52">
        <f>Portefeuille_MNT_PROGR_PREV[[#This Row],[TR 2025]]-Portefeuille_MNT_PROGR_PREV[[#This Row],[PREV TR 2025]]</f>
        <v>0</v>
      </c>
      <c r="AG31" s="52">
        <f>Portefeuille_MNT_PROGR_PREV[[#This Row],[ÉCART AC 2025]]+Portefeuille_MNT_PROGR_PREV[[#This Row],[ÉCART TR 2025]]</f>
        <v>0</v>
      </c>
      <c r="AH31" s="15"/>
      <c r="AI31" s="15"/>
      <c r="AJ31" s="55"/>
      <c r="AK31" s="55"/>
      <c r="AL31" s="56">
        <f>Portefeuille_MNT_PROGR_PREV[[#This Row],[AC 2026]]-Portefeuille_MNT_PROGR_PREV[[#This Row],[PREV AC 2026]]</f>
        <v>0</v>
      </c>
      <c r="AM31" s="56">
        <f>Portefeuille_MNT_PROGR_PREV[[#This Row],[TR 2026]]-Portefeuille_MNT_PROGR_PREV[[#This Row],[PREV TR 2026]]</f>
        <v>0</v>
      </c>
      <c r="AN31" s="56">
        <f>Portefeuille_MNT_PROGR_PREV[[#This Row],[ÉCART AC 20262]]+Portefeuille_MNT_PROGR_PREV[[#This Row],[ÉCART TR 20263]]</f>
        <v>0</v>
      </c>
      <c r="AO31" s="55"/>
      <c r="AP31" s="55"/>
      <c r="BS31">
        <v>150</v>
      </c>
    </row>
    <row r="32" spans="1:71" hidden="1" x14ac:dyDescent="0.3">
      <c r="A32" t="s">
        <v>102</v>
      </c>
      <c r="B32" t="s">
        <v>128</v>
      </c>
      <c r="C32" t="s">
        <v>664</v>
      </c>
      <c r="D32" t="s">
        <v>101</v>
      </c>
      <c r="E32" t="s">
        <v>16</v>
      </c>
      <c r="F32" t="s">
        <v>16</v>
      </c>
      <c r="G32" t="s">
        <v>105</v>
      </c>
      <c r="H32" t="s">
        <v>160</v>
      </c>
      <c r="I32" t="s">
        <v>161</v>
      </c>
      <c r="J32" t="s">
        <v>122</v>
      </c>
      <c r="K32" t="s">
        <v>113</v>
      </c>
      <c r="L32" t="s">
        <v>164</v>
      </c>
      <c r="M32" s="1">
        <v>44956</v>
      </c>
      <c r="N32" s="1">
        <v>45321</v>
      </c>
      <c r="P32" s="1">
        <v>45687</v>
      </c>
      <c r="Q32">
        <v>5</v>
      </c>
      <c r="R32">
        <v>5</v>
      </c>
      <c r="S32">
        <v>5</v>
      </c>
      <c r="U32" s="60" t="s">
        <v>148</v>
      </c>
      <c r="V32" s="47">
        <v>14</v>
      </c>
      <c r="W32" s="47">
        <v>14</v>
      </c>
      <c r="X32" s="49">
        <f>Portefeuille_MNT_PROGR_PREV[[#This Row],[AC 2024]]-Portefeuille_MNT_PROGR_PREV[[#This Row],[PREV AC 2024]]</f>
        <v>0</v>
      </c>
      <c r="Y32" s="49">
        <f>Portefeuille_MNT_PROGR_PREV[[#This Row],[TR 2024]]-Portefeuille_MNT_PROGR_PREV[[#This Row],[PREV TR 2024]]</f>
        <v>0</v>
      </c>
      <c r="Z32" s="49">
        <f>Portefeuille_MNT_PROGR_PREV[[#This Row],[ÉCART AC 2024]]+Portefeuille_MNT_PROGR_PREV[[#This Row],[ÉCART TR 2024]]</f>
        <v>0</v>
      </c>
      <c r="AA32" s="47"/>
      <c r="AB32" s="47"/>
      <c r="AC32" s="15">
        <v>325</v>
      </c>
      <c r="AD32" s="15">
        <v>290</v>
      </c>
      <c r="AE32" s="52">
        <f>Portefeuille_MNT_PROGR_PREV[[#This Row],[AC 2025]]-Portefeuille_MNT_PROGR_PREV[[#This Row],[PREV AC 2025]]</f>
        <v>35</v>
      </c>
      <c r="AF32" s="52">
        <f>Portefeuille_MNT_PROGR_PREV[[#This Row],[TR 2025]]-Portefeuille_MNT_PROGR_PREV[[#This Row],[PREV TR 2025]]</f>
        <v>-34</v>
      </c>
      <c r="AG32" s="52">
        <f>Portefeuille_MNT_PROGR_PREV[[#This Row],[ÉCART AC 2025]]+Portefeuille_MNT_PROGR_PREV[[#This Row],[ÉCART TR 2025]]</f>
        <v>1</v>
      </c>
      <c r="AH32" s="15">
        <v>4503</v>
      </c>
      <c r="AI32" s="15">
        <v>4537</v>
      </c>
      <c r="AJ32" s="55"/>
      <c r="AK32" s="55"/>
      <c r="AL32" s="56">
        <f>Portefeuille_MNT_PROGR_PREV[[#This Row],[AC 2026]]-Portefeuille_MNT_PROGR_PREV[[#This Row],[PREV AC 2026]]</f>
        <v>0</v>
      </c>
      <c r="AM32" s="56">
        <f>Portefeuille_MNT_PROGR_PREV[[#This Row],[TR 2026]]-Portefeuille_MNT_PROGR_PREV[[#This Row],[PREV TR 2026]]</f>
        <v>0</v>
      </c>
      <c r="AN32" s="56">
        <f>Portefeuille_MNT_PROGR_PREV[[#This Row],[ÉCART AC 20262]]+Portefeuille_MNT_PROGR_PREV[[#This Row],[ÉCART TR 20263]]</f>
        <v>0</v>
      </c>
      <c r="AO32" s="55"/>
      <c r="AP32" s="55"/>
    </row>
    <row r="33" spans="1:73" hidden="1" x14ac:dyDescent="0.3">
      <c r="A33" t="s">
        <v>102</v>
      </c>
      <c r="B33" t="s">
        <v>103</v>
      </c>
      <c r="C33" t="s">
        <v>662</v>
      </c>
      <c r="D33" t="s">
        <v>118</v>
      </c>
      <c r="E33" t="s">
        <v>20</v>
      </c>
      <c r="F33" t="s">
        <v>20</v>
      </c>
      <c r="G33" t="s">
        <v>131</v>
      </c>
      <c r="H33" t="s">
        <v>371</v>
      </c>
      <c r="I33" t="s">
        <v>372</v>
      </c>
      <c r="J33" t="s">
        <v>152</v>
      </c>
      <c r="L33" t="s">
        <v>291</v>
      </c>
      <c r="M33" s="1"/>
      <c r="N33" s="1"/>
      <c r="P33" s="1"/>
      <c r="S33"/>
      <c r="U33" s="60" t="s">
        <v>370</v>
      </c>
      <c r="V33" s="47"/>
      <c r="W33" s="47"/>
      <c r="X33" s="49">
        <f>Portefeuille_MNT_PROGR_PREV[[#This Row],[AC 2024]]-Portefeuille_MNT_PROGR_PREV[[#This Row],[PREV AC 2024]]</f>
        <v>0</v>
      </c>
      <c r="Y33" s="49">
        <f>Portefeuille_MNT_PROGR_PREV[[#This Row],[TR 2024]]-Portefeuille_MNT_PROGR_PREV[[#This Row],[PREV TR 2024]]</f>
        <v>0</v>
      </c>
      <c r="Z33" s="49">
        <f>Portefeuille_MNT_PROGR_PREV[[#This Row],[ÉCART AC 2024]]+Portefeuille_MNT_PROGR_PREV[[#This Row],[ÉCART TR 2024]]</f>
        <v>0</v>
      </c>
      <c r="AA33" s="47"/>
      <c r="AB33" s="47"/>
      <c r="AC33" s="15"/>
      <c r="AD33" s="15"/>
      <c r="AE33" s="52">
        <f>Portefeuille_MNT_PROGR_PREV[[#This Row],[AC 2025]]-Portefeuille_MNT_PROGR_PREV[[#This Row],[PREV AC 2025]]</f>
        <v>0</v>
      </c>
      <c r="AF33" s="52">
        <f>Portefeuille_MNT_PROGR_PREV[[#This Row],[TR 2025]]-Portefeuille_MNT_PROGR_PREV[[#This Row],[PREV TR 2025]]</f>
        <v>0</v>
      </c>
      <c r="AG33" s="52">
        <f>Portefeuille_MNT_PROGR_PREV[[#This Row],[ÉCART AC 2025]]+Portefeuille_MNT_PROGR_PREV[[#This Row],[ÉCART TR 2025]]</f>
        <v>0</v>
      </c>
      <c r="AH33" s="15"/>
      <c r="AI33" s="15"/>
      <c r="AJ33" s="55"/>
      <c r="AK33" s="55"/>
      <c r="AL33" s="56">
        <f>Portefeuille_MNT_PROGR_PREV[[#This Row],[AC 2026]]-Portefeuille_MNT_PROGR_PREV[[#This Row],[PREV AC 2026]]</f>
        <v>0</v>
      </c>
      <c r="AM33" s="56">
        <f>Portefeuille_MNT_PROGR_PREV[[#This Row],[TR 2026]]-Portefeuille_MNT_PROGR_PREV[[#This Row],[PREV TR 2026]]</f>
        <v>0</v>
      </c>
      <c r="AN33" s="56">
        <f>Portefeuille_MNT_PROGR_PREV[[#This Row],[ÉCART AC 20262]]+Portefeuille_MNT_PROGR_PREV[[#This Row],[ÉCART TR 20263]]</f>
        <v>0</v>
      </c>
      <c r="AO33" s="55"/>
      <c r="AP33" s="55"/>
      <c r="AY33">
        <v>100</v>
      </c>
      <c r="BC33">
        <v>200</v>
      </c>
      <c r="BG33">
        <v>450</v>
      </c>
      <c r="BI33">
        <v>7500</v>
      </c>
    </row>
    <row r="34" spans="1:73" hidden="1" x14ac:dyDescent="0.3">
      <c r="A34" t="s">
        <v>102</v>
      </c>
      <c r="B34" t="s">
        <v>103</v>
      </c>
      <c r="C34" t="s">
        <v>664</v>
      </c>
      <c r="D34" t="s">
        <v>101</v>
      </c>
      <c r="E34" t="s">
        <v>16</v>
      </c>
      <c r="F34" t="s">
        <v>16</v>
      </c>
      <c r="G34" t="s">
        <v>105</v>
      </c>
      <c r="H34" t="s">
        <v>356</v>
      </c>
      <c r="I34" t="s">
        <v>357</v>
      </c>
      <c r="J34" t="s">
        <v>116</v>
      </c>
      <c r="K34" t="s">
        <v>129</v>
      </c>
      <c r="L34" t="s">
        <v>164</v>
      </c>
      <c r="M34" s="1"/>
      <c r="N34" s="1">
        <v>44911</v>
      </c>
      <c r="P34" s="1">
        <v>45167</v>
      </c>
      <c r="R34">
        <v>5</v>
      </c>
      <c r="S34">
        <v>5</v>
      </c>
      <c r="U34" s="60"/>
      <c r="V34" s="47">
        <v>19</v>
      </c>
      <c r="W34" s="47">
        <v>19</v>
      </c>
      <c r="X34" s="49">
        <f>Portefeuille_MNT_PROGR_PREV[[#This Row],[AC 2024]]-Portefeuille_MNT_PROGR_PREV[[#This Row],[PREV AC 2024]]</f>
        <v>0</v>
      </c>
      <c r="Y34" s="49">
        <f>Portefeuille_MNT_PROGR_PREV[[#This Row],[TR 2024]]-Portefeuille_MNT_PROGR_PREV[[#This Row],[PREV TR 2024]]</f>
        <v>0</v>
      </c>
      <c r="Z34" s="49">
        <f>Portefeuille_MNT_PROGR_PREV[[#This Row],[ÉCART AC 2024]]+Portefeuille_MNT_PROGR_PREV[[#This Row],[ÉCART TR 2024]]</f>
        <v>0</v>
      </c>
      <c r="AA34" s="47">
        <v>1816</v>
      </c>
      <c r="AB34" s="47">
        <v>1816</v>
      </c>
      <c r="AC34" s="15"/>
      <c r="AD34" s="15"/>
      <c r="AE34" s="52">
        <f>Portefeuille_MNT_PROGR_PREV[[#This Row],[AC 2025]]-Portefeuille_MNT_PROGR_PREV[[#This Row],[PREV AC 2025]]</f>
        <v>0</v>
      </c>
      <c r="AF34" s="52">
        <f>Portefeuille_MNT_PROGR_PREV[[#This Row],[TR 2025]]-Portefeuille_MNT_PROGR_PREV[[#This Row],[PREV TR 2025]]</f>
        <v>0</v>
      </c>
      <c r="AG34" s="52">
        <f>Portefeuille_MNT_PROGR_PREV[[#This Row],[ÉCART AC 2025]]+Portefeuille_MNT_PROGR_PREV[[#This Row],[ÉCART TR 2025]]</f>
        <v>0</v>
      </c>
      <c r="AH34" s="15"/>
      <c r="AI34" s="15"/>
      <c r="AJ34" s="55"/>
      <c r="AK34" s="55"/>
      <c r="AL34" s="56">
        <f>Portefeuille_MNT_PROGR_PREV[[#This Row],[AC 2026]]-Portefeuille_MNT_PROGR_PREV[[#This Row],[PREV AC 2026]]</f>
        <v>0</v>
      </c>
      <c r="AM34" s="56">
        <f>Portefeuille_MNT_PROGR_PREV[[#This Row],[TR 2026]]-Portefeuille_MNT_PROGR_PREV[[#This Row],[PREV TR 2026]]</f>
        <v>0</v>
      </c>
      <c r="AN34" s="56">
        <f>Portefeuille_MNT_PROGR_PREV[[#This Row],[ÉCART AC 20262]]+Portefeuille_MNT_PROGR_PREV[[#This Row],[ÉCART TR 20263]]</f>
        <v>0</v>
      </c>
      <c r="AO34" s="55"/>
      <c r="AP34" s="55"/>
    </row>
    <row r="35" spans="1:73" x14ac:dyDescent="0.3">
      <c r="A35" t="s">
        <v>102</v>
      </c>
      <c r="B35" t="s">
        <v>136</v>
      </c>
      <c r="C35" t="s">
        <v>663</v>
      </c>
      <c r="D35" t="s">
        <v>101</v>
      </c>
      <c r="E35" t="s">
        <v>16</v>
      </c>
      <c r="F35" t="s">
        <v>20</v>
      </c>
      <c r="G35" t="s">
        <v>131</v>
      </c>
      <c r="H35" t="s">
        <v>195</v>
      </c>
      <c r="I35" t="s">
        <v>196</v>
      </c>
      <c r="J35" t="s">
        <v>180</v>
      </c>
      <c r="K35" t="s">
        <v>144</v>
      </c>
      <c r="L35" t="s">
        <v>110</v>
      </c>
      <c r="M35" s="1">
        <v>44889</v>
      </c>
      <c r="N35" s="1">
        <v>46068</v>
      </c>
      <c r="P35" s="1">
        <v>46583</v>
      </c>
      <c r="Q35">
        <v>5</v>
      </c>
      <c r="R35">
        <v>1</v>
      </c>
      <c r="S35">
        <v>1</v>
      </c>
      <c r="U35" s="60" t="s">
        <v>197</v>
      </c>
      <c r="V35" s="47">
        <v>76</v>
      </c>
      <c r="W35" s="47">
        <v>76</v>
      </c>
      <c r="X35" s="49">
        <f>Portefeuille_MNT_PROGR_PREV[[#This Row],[AC 2024]]-Portefeuille_MNT_PROGR_PREV[[#This Row],[PREV AC 2024]]</f>
        <v>0</v>
      </c>
      <c r="Y35" s="49">
        <f>Portefeuille_MNT_PROGR_PREV[[#This Row],[TR 2024]]-Portefeuille_MNT_PROGR_PREV[[#This Row],[PREV TR 2024]]</f>
        <v>0</v>
      </c>
      <c r="Z35" s="49">
        <f>Portefeuille_MNT_PROGR_PREV[[#This Row],[ÉCART AC 2024]]+Portefeuille_MNT_PROGR_PREV[[#This Row],[ÉCART TR 2024]]</f>
        <v>0</v>
      </c>
      <c r="AA35" s="47"/>
      <c r="AB35" s="47"/>
      <c r="AC35" s="15">
        <v>1657.9999999999998</v>
      </c>
      <c r="AD35" s="15">
        <v>1534</v>
      </c>
      <c r="AE35" s="52">
        <f>Portefeuille_MNT_PROGR_PREV[[#This Row],[AC 2025]]-Portefeuille_MNT_PROGR_PREV[[#This Row],[PREV AC 2025]]</f>
        <v>123.99999999999977</v>
      </c>
      <c r="AF35" s="52">
        <f>Portefeuille_MNT_PROGR_PREV[[#This Row],[TR 2025]]-Portefeuille_MNT_PROGR_PREV[[#This Row],[PREV TR 2025]]</f>
        <v>0</v>
      </c>
      <c r="AG35" s="52">
        <f>Portefeuille_MNT_PROGR_PREV[[#This Row],[ÉCART AC 2025]]+Portefeuille_MNT_PROGR_PREV[[#This Row],[ÉCART TR 2025]]</f>
        <v>123.99999999999977</v>
      </c>
      <c r="AH35" s="15"/>
      <c r="AI35" s="15"/>
      <c r="AJ35" s="55">
        <v>1529</v>
      </c>
      <c r="AK35" s="55">
        <v>1611</v>
      </c>
      <c r="AL35" s="56">
        <f>Portefeuille_MNT_PROGR_PREV[[#This Row],[AC 2026]]-Portefeuille_MNT_PROGR_PREV[[#This Row],[PREV AC 2026]]</f>
        <v>-82</v>
      </c>
      <c r="AM35" s="56">
        <f>Portefeuille_MNT_PROGR_PREV[[#This Row],[TR 2026]]-Portefeuille_MNT_PROGR_PREV[[#This Row],[PREV TR 2026]]</f>
        <v>0</v>
      </c>
      <c r="AN35" s="56">
        <f>Portefeuille_MNT_PROGR_PREV[[#This Row],[ÉCART AC 20262]]+Portefeuille_MNT_PROGR_PREV[[#This Row],[ÉCART TR 20263]]</f>
        <v>-82</v>
      </c>
      <c r="AO35" s="55"/>
      <c r="AP35" s="55"/>
      <c r="AQ35">
        <v>1529</v>
      </c>
      <c r="AR35">
        <v>1611</v>
      </c>
      <c r="AU35">
        <v>1325</v>
      </c>
      <c r="AV35">
        <v>1611</v>
      </c>
      <c r="AW35">
        <v>7500</v>
      </c>
      <c r="AY35">
        <v>1200</v>
      </c>
      <c r="AZ35">
        <v>1200</v>
      </c>
      <c r="BA35">
        <v>9500</v>
      </c>
      <c r="BC35">
        <v>439</v>
      </c>
      <c r="BD35">
        <v>439</v>
      </c>
      <c r="BE35">
        <v>18000</v>
      </c>
    </row>
    <row r="36" spans="1:73" hidden="1" x14ac:dyDescent="0.3">
      <c r="A36" t="s">
        <v>102</v>
      </c>
      <c r="B36" t="s">
        <v>103</v>
      </c>
      <c r="C36" t="s">
        <v>664</v>
      </c>
      <c r="D36" t="s">
        <v>101</v>
      </c>
      <c r="E36" t="s">
        <v>16</v>
      </c>
      <c r="F36" t="s">
        <v>16</v>
      </c>
      <c r="G36" t="s">
        <v>105</v>
      </c>
      <c r="H36" t="s">
        <v>114</v>
      </c>
      <c r="I36" t="s">
        <v>115</v>
      </c>
      <c r="J36" t="s">
        <v>116</v>
      </c>
      <c r="K36" t="s">
        <v>113</v>
      </c>
      <c r="L36" t="s">
        <v>297</v>
      </c>
      <c r="M36" s="1">
        <v>45105</v>
      </c>
      <c r="N36" s="1">
        <v>45789</v>
      </c>
      <c r="P36" s="1">
        <v>45932</v>
      </c>
      <c r="Q36">
        <v>5</v>
      </c>
      <c r="R36">
        <v>5</v>
      </c>
      <c r="S36">
        <v>5</v>
      </c>
      <c r="U36" s="60" t="s">
        <v>109</v>
      </c>
      <c r="V36" s="47">
        <v>17</v>
      </c>
      <c r="W36" s="47">
        <v>17</v>
      </c>
      <c r="X36" s="49">
        <f>Portefeuille_MNT_PROGR_PREV[[#This Row],[AC 2024]]-Portefeuille_MNT_PROGR_PREV[[#This Row],[PREV AC 2024]]</f>
        <v>0</v>
      </c>
      <c r="Y36" s="49">
        <f>Portefeuille_MNT_PROGR_PREV[[#This Row],[TR 2024]]-Portefeuille_MNT_PROGR_PREV[[#This Row],[PREV TR 2024]]</f>
        <v>0</v>
      </c>
      <c r="Z36" s="49">
        <f>Portefeuille_MNT_PROGR_PREV[[#This Row],[ÉCART AC 2024]]+Portefeuille_MNT_PROGR_PREV[[#This Row],[ÉCART TR 2024]]</f>
        <v>0</v>
      </c>
      <c r="AA36" s="47"/>
      <c r="AB36" s="47"/>
      <c r="AC36" s="15">
        <v>48</v>
      </c>
      <c r="AD36" s="15">
        <v>53</v>
      </c>
      <c r="AE36" s="52">
        <f>Portefeuille_MNT_PROGR_PREV[[#This Row],[AC 2025]]-Portefeuille_MNT_PROGR_PREV[[#This Row],[PREV AC 2025]]</f>
        <v>-5</v>
      </c>
      <c r="AF36" s="52">
        <f>Portefeuille_MNT_PROGR_PREV[[#This Row],[TR 2025]]-Portefeuille_MNT_PROGR_PREV[[#This Row],[PREV TR 2025]]</f>
        <v>0</v>
      </c>
      <c r="AG36" s="52">
        <f>Portefeuille_MNT_PROGR_PREV[[#This Row],[ÉCART AC 2025]]+Portefeuille_MNT_PROGR_PREV[[#This Row],[ÉCART TR 2025]]</f>
        <v>-5</v>
      </c>
      <c r="AH36" s="15"/>
      <c r="AI36" s="15"/>
      <c r="AJ36" s="55">
        <v>520</v>
      </c>
      <c r="AK36" s="55">
        <v>520</v>
      </c>
      <c r="AL36" s="56">
        <f>Portefeuille_MNT_PROGR_PREV[[#This Row],[AC 2026]]-Portefeuille_MNT_PROGR_PREV[[#This Row],[PREV AC 2026]]</f>
        <v>0</v>
      </c>
      <c r="AM36" s="56">
        <f>Portefeuille_MNT_PROGR_PREV[[#This Row],[TR 2026]]-Portefeuille_MNT_PROGR_PREV[[#This Row],[PREV TR 2026]]</f>
        <v>0</v>
      </c>
      <c r="AN36" s="56">
        <f>Portefeuille_MNT_PROGR_PREV[[#This Row],[ÉCART AC 20262]]+Portefeuille_MNT_PROGR_PREV[[#This Row],[ÉCART TR 20263]]</f>
        <v>0</v>
      </c>
      <c r="AO36" s="55">
        <v>19125</v>
      </c>
      <c r="AP36" s="55">
        <v>19125</v>
      </c>
    </row>
    <row r="37" spans="1:73" hidden="1" x14ac:dyDescent="0.3">
      <c r="A37" t="s">
        <v>102</v>
      </c>
      <c r="B37" t="s">
        <v>136</v>
      </c>
      <c r="C37" t="s">
        <v>663</v>
      </c>
      <c r="D37" t="s">
        <v>101</v>
      </c>
      <c r="E37" t="s">
        <v>130</v>
      </c>
      <c r="F37" t="s">
        <v>20</v>
      </c>
      <c r="G37" t="s">
        <v>131</v>
      </c>
      <c r="H37" t="s">
        <v>375</v>
      </c>
      <c r="I37" t="s">
        <v>376</v>
      </c>
      <c r="J37" t="s">
        <v>209</v>
      </c>
      <c r="K37" t="s">
        <v>206</v>
      </c>
      <c r="L37" t="s">
        <v>155</v>
      </c>
      <c r="M37" s="1">
        <v>46280</v>
      </c>
      <c r="N37" s="1">
        <v>46645</v>
      </c>
      <c r="P37" s="1">
        <v>47011</v>
      </c>
      <c r="Q37">
        <v>1</v>
      </c>
      <c r="R37">
        <v>1</v>
      </c>
      <c r="S37">
        <v>1</v>
      </c>
      <c r="U37" s="60" t="s">
        <v>169</v>
      </c>
      <c r="V37" s="47"/>
      <c r="W37" s="47"/>
      <c r="X37" s="49">
        <f>Portefeuille_MNT_PROGR_PREV[[#This Row],[AC 2024]]-Portefeuille_MNT_PROGR_PREV[[#This Row],[PREV AC 2024]]</f>
        <v>0</v>
      </c>
      <c r="Y37" s="49">
        <f>Portefeuille_MNT_PROGR_PREV[[#This Row],[TR 2024]]-Portefeuille_MNT_PROGR_PREV[[#This Row],[PREV TR 2024]]</f>
        <v>0</v>
      </c>
      <c r="Z37" s="49">
        <f>Portefeuille_MNT_PROGR_PREV[[#This Row],[ÉCART AC 2024]]+Portefeuille_MNT_PROGR_PREV[[#This Row],[ÉCART TR 2024]]</f>
        <v>0</v>
      </c>
      <c r="AA37" s="47"/>
      <c r="AB37" s="47"/>
      <c r="AC37" s="15"/>
      <c r="AD37" s="15"/>
      <c r="AE37" s="52">
        <f>Portefeuille_MNT_PROGR_PREV[[#This Row],[AC 2025]]-Portefeuille_MNT_PROGR_PREV[[#This Row],[PREV AC 2025]]</f>
        <v>0</v>
      </c>
      <c r="AF37" s="52">
        <f>Portefeuille_MNT_PROGR_PREV[[#This Row],[TR 2025]]-Portefeuille_MNT_PROGR_PREV[[#This Row],[PREV TR 2025]]</f>
        <v>0</v>
      </c>
      <c r="AG37" s="52">
        <f>Portefeuille_MNT_PROGR_PREV[[#This Row],[ÉCART AC 2025]]+Portefeuille_MNT_PROGR_PREV[[#This Row],[ÉCART TR 2025]]</f>
        <v>0</v>
      </c>
      <c r="AH37" s="15"/>
      <c r="AI37" s="15"/>
      <c r="AJ37" s="55">
        <v>100</v>
      </c>
      <c r="AK37" s="55">
        <v>1200</v>
      </c>
      <c r="AL37" s="56">
        <f>Portefeuille_MNT_PROGR_PREV[[#This Row],[AC 2026]]-Portefeuille_MNT_PROGR_PREV[[#This Row],[PREV AC 2026]]</f>
        <v>-1100</v>
      </c>
      <c r="AM37" s="56">
        <f>Portefeuille_MNT_PROGR_PREV[[#This Row],[TR 2026]]-Portefeuille_MNT_PROGR_PREV[[#This Row],[PREV TR 2026]]</f>
        <v>0</v>
      </c>
      <c r="AN37" s="56">
        <f>Portefeuille_MNT_PROGR_PREV[[#This Row],[ÉCART AC 20262]]+Portefeuille_MNT_PROGR_PREV[[#This Row],[ÉCART TR 20263]]</f>
        <v>-1100</v>
      </c>
      <c r="AO37" s="55"/>
      <c r="AP37" s="55"/>
      <c r="AQ37">
        <v>250</v>
      </c>
      <c r="AR37">
        <v>1200</v>
      </c>
      <c r="AU37">
        <v>350</v>
      </c>
      <c r="AV37">
        <v>1200</v>
      </c>
      <c r="AY37">
        <v>500</v>
      </c>
      <c r="AZ37">
        <v>2400</v>
      </c>
      <c r="BA37">
        <v>5500</v>
      </c>
      <c r="BC37">
        <v>500</v>
      </c>
      <c r="BE37">
        <v>6000</v>
      </c>
      <c r="BG37">
        <v>500</v>
      </c>
      <c r="BI37">
        <v>6000</v>
      </c>
    </row>
    <row r="38" spans="1:73" hidden="1" x14ac:dyDescent="0.3">
      <c r="A38" t="s">
        <v>102</v>
      </c>
      <c r="B38" t="s">
        <v>103</v>
      </c>
      <c r="C38" t="s">
        <v>664</v>
      </c>
      <c r="D38" t="s">
        <v>101</v>
      </c>
      <c r="E38" t="s">
        <v>16</v>
      </c>
      <c r="F38" t="s">
        <v>16</v>
      </c>
      <c r="G38" t="s">
        <v>105</v>
      </c>
      <c r="H38" t="s">
        <v>174</v>
      </c>
      <c r="I38" t="s">
        <v>175</v>
      </c>
      <c r="J38" t="s">
        <v>143</v>
      </c>
      <c r="K38" t="s">
        <v>140</v>
      </c>
      <c r="L38" t="s">
        <v>164</v>
      </c>
      <c r="M38" s="1">
        <v>44014</v>
      </c>
      <c r="N38" s="1">
        <v>44294</v>
      </c>
      <c r="P38" s="1">
        <v>45239</v>
      </c>
      <c r="Q38">
        <v>5</v>
      </c>
      <c r="R38">
        <v>5</v>
      </c>
      <c r="S38">
        <v>5</v>
      </c>
      <c r="U38" s="60" t="s">
        <v>148</v>
      </c>
      <c r="V38" s="47">
        <v>450</v>
      </c>
      <c r="W38" s="47">
        <v>450</v>
      </c>
      <c r="X38" s="49">
        <f>Portefeuille_MNT_PROGR_PREV[[#This Row],[AC 2024]]-Portefeuille_MNT_PROGR_PREV[[#This Row],[PREV AC 2024]]</f>
        <v>0</v>
      </c>
      <c r="Y38" s="49">
        <f>Portefeuille_MNT_PROGR_PREV[[#This Row],[TR 2024]]-Portefeuille_MNT_PROGR_PREV[[#This Row],[PREV TR 2024]]</f>
        <v>0</v>
      </c>
      <c r="Z38" s="49">
        <f>Portefeuille_MNT_PROGR_PREV[[#This Row],[ÉCART AC 2024]]+Portefeuille_MNT_PROGR_PREV[[#This Row],[ÉCART TR 2024]]</f>
        <v>0</v>
      </c>
      <c r="AA38" s="47">
        <v>25618</v>
      </c>
      <c r="AB38" s="47">
        <v>25618</v>
      </c>
      <c r="AC38" s="15">
        <v>678</v>
      </c>
      <c r="AD38" s="15">
        <v>663</v>
      </c>
      <c r="AE38" s="52">
        <f>Portefeuille_MNT_PROGR_PREV[[#This Row],[AC 2025]]-Portefeuille_MNT_PROGR_PREV[[#This Row],[PREV AC 2025]]</f>
        <v>15</v>
      </c>
      <c r="AF38" s="52">
        <f>Portefeuille_MNT_PROGR_PREV[[#This Row],[TR 2025]]-Portefeuille_MNT_PROGR_PREV[[#This Row],[PREV TR 2025]]</f>
        <v>-245</v>
      </c>
      <c r="AG38" s="52">
        <f>Portefeuille_MNT_PROGR_PREV[[#This Row],[ÉCART AC 2025]]+Portefeuille_MNT_PROGR_PREV[[#This Row],[ÉCART TR 2025]]</f>
        <v>-230</v>
      </c>
      <c r="AH38" s="15">
        <v>14983</v>
      </c>
      <c r="AI38" s="15">
        <v>15228</v>
      </c>
      <c r="AJ38" s="55"/>
      <c r="AK38" s="55"/>
      <c r="AL38" s="56">
        <f>Portefeuille_MNT_PROGR_PREV[[#This Row],[AC 2026]]-Portefeuille_MNT_PROGR_PREV[[#This Row],[PREV AC 2026]]</f>
        <v>0</v>
      </c>
      <c r="AM38" s="56">
        <f>Portefeuille_MNT_PROGR_PREV[[#This Row],[TR 2026]]-Portefeuille_MNT_PROGR_PREV[[#This Row],[PREV TR 2026]]</f>
        <v>0</v>
      </c>
      <c r="AN38" s="56">
        <f>Portefeuille_MNT_PROGR_PREV[[#This Row],[ÉCART AC 20262]]+Portefeuille_MNT_PROGR_PREV[[#This Row],[ÉCART TR 20263]]</f>
        <v>0</v>
      </c>
      <c r="AO38" s="55"/>
      <c r="AP38" s="55"/>
    </row>
    <row r="39" spans="1:73" hidden="1" x14ac:dyDescent="0.3">
      <c r="A39" t="s">
        <v>102</v>
      </c>
      <c r="B39" t="s">
        <v>136</v>
      </c>
      <c r="C39" t="s">
        <v>663</v>
      </c>
      <c r="D39" t="s">
        <v>101</v>
      </c>
      <c r="E39" t="s">
        <v>20</v>
      </c>
      <c r="F39" t="s">
        <v>20</v>
      </c>
      <c r="G39" t="s">
        <v>105</v>
      </c>
      <c r="H39" t="s">
        <v>464</v>
      </c>
      <c r="I39" t="s">
        <v>465</v>
      </c>
      <c r="J39" t="s">
        <v>116</v>
      </c>
      <c r="L39" t="s">
        <v>291</v>
      </c>
      <c r="M39" s="1"/>
      <c r="N39" s="1"/>
      <c r="P39" s="1"/>
      <c r="S39"/>
      <c r="U39" s="60" t="s">
        <v>395</v>
      </c>
      <c r="V39" s="47"/>
      <c r="W39" s="47"/>
      <c r="X39" s="49">
        <f>Portefeuille_MNT_PROGR_PREV[[#This Row],[AC 2024]]-Portefeuille_MNT_PROGR_PREV[[#This Row],[PREV AC 2024]]</f>
        <v>0</v>
      </c>
      <c r="Y39" s="49">
        <f>Portefeuille_MNT_PROGR_PREV[[#This Row],[TR 2024]]-Portefeuille_MNT_PROGR_PREV[[#This Row],[PREV TR 2024]]</f>
        <v>0</v>
      </c>
      <c r="Z39" s="49">
        <f>Portefeuille_MNT_PROGR_PREV[[#This Row],[ÉCART AC 2024]]+Portefeuille_MNT_PROGR_PREV[[#This Row],[ÉCART TR 2024]]</f>
        <v>0</v>
      </c>
      <c r="AA39" s="47"/>
      <c r="AB39" s="47"/>
      <c r="AC39" s="15"/>
      <c r="AD39" s="15"/>
      <c r="AE39" s="52">
        <f>Portefeuille_MNT_PROGR_PREV[[#This Row],[AC 2025]]-Portefeuille_MNT_PROGR_PREV[[#This Row],[PREV AC 2025]]</f>
        <v>0</v>
      </c>
      <c r="AF39" s="52">
        <f>Portefeuille_MNT_PROGR_PREV[[#This Row],[TR 2025]]-Portefeuille_MNT_PROGR_PREV[[#This Row],[PREV TR 2025]]</f>
        <v>0</v>
      </c>
      <c r="AG39" s="52">
        <f>Portefeuille_MNT_PROGR_PREV[[#This Row],[ÉCART AC 2025]]+Portefeuille_MNT_PROGR_PREV[[#This Row],[ÉCART TR 2025]]</f>
        <v>0</v>
      </c>
      <c r="AH39" s="15"/>
      <c r="AI39" s="15"/>
      <c r="AJ39" s="55"/>
      <c r="AK39" s="55"/>
      <c r="AL39" s="56">
        <f>Portefeuille_MNT_PROGR_PREV[[#This Row],[AC 2026]]-Portefeuille_MNT_PROGR_PREV[[#This Row],[PREV AC 2026]]</f>
        <v>0</v>
      </c>
      <c r="AM39" s="56">
        <f>Portefeuille_MNT_PROGR_PREV[[#This Row],[TR 2026]]-Portefeuille_MNT_PROGR_PREV[[#This Row],[PREV TR 2026]]</f>
        <v>0</v>
      </c>
      <c r="AN39" s="56">
        <f>Portefeuille_MNT_PROGR_PREV[[#This Row],[ÉCART AC 20262]]+Portefeuille_MNT_PROGR_PREV[[#This Row],[ÉCART TR 20263]]</f>
        <v>0</v>
      </c>
      <c r="AO39" s="55"/>
      <c r="AP39" s="55"/>
      <c r="BG39">
        <v>150</v>
      </c>
      <c r="BK39">
        <v>150</v>
      </c>
      <c r="BO39">
        <v>150</v>
      </c>
      <c r="BS39">
        <v>500</v>
      </c>
      <c r="BU39">
        <v>6800</v>
      </c>
    </row>
    <row r="40" spans="1:73" x14ac:dyDescent="0.3">
      <c r="A40" t="s">
        <v>102</v>
      </c>
      <c r="B40" t="s">
        <v>200</v>
      </c>
      <c r="C40" t="s">
        <v>664</v>
      </c>
      <c r="D40" t="s">
        <v>101</v>
      </c>
      <c r="E40" t="s">
        <v>16</v>
      </c>
      <c r="F40" t="s">
        <v>16</v>
      </c>
      <c r="G40" t="s">
        <v>105</v>
      </c>
      <c r="H40" t="s">
        <v>330</v>
      </c>
      <c r="I40" t="s">
        <v>331</v>
      </c>
      <c r="J40" t="s">
        <v>180</v>
      </c>
      <c r="K40" t="s">
        <v>104</v>
      </c>
      <c r="L40" t="s">
        <v>164</v>
      </c>
      <c r="M40" s="1">
        <v>43360</v>
      </c>
      <c r="N40" s="1">
        <v>43671</v>
      </c>
      <c r="P40" s="1">
        <v>44217</v>
      </c>
      <c r="Q40">
        <v>5</v>
      </c>
      <c r="R40">
        <v>5</v>
      </c>
      <c r="S40">
        <v>5</v>
      </c>
      <c r="U40" s="60" t="s">
        <v>148</v>
      </c>
      <c r="V40" s="47">
        <v>136</v>
      </c>
      <c r="W40" s="47">
        <v>136</v>
      </c>
      <c r="X40" s="49">
        <f>Portefeuille_MNT_PROGR_PREV[[#This Row],[AC 2024]]-Portefeuille_MNT_PROGR_PREV[[#This Row],[PREV AC 2024]]</f>
        <v>0</v>
      </c>
      <c r="Y40" s="49">
        <f>Portefeuille_MNT_PROGR_PREV[[#This Row],[TR 2024]]-Portefeuille_MNT_PROGR_PREV[[#This Row],[PREV TR 2024]]</f>
        <v>0</v>
      </c>
      <c r="Z40" s="49">
        <f>Portefeuille_MNT_PROGR_PREV[[#This Row],[ÉCART AC 2024]]+Portefeuille_MNT_PROGR_PREV[[#This Row],[ÉCART TR 2024]]</f>
        <v>0</v>
      </c>
      <c r="AA40" s="47"/>
      <c r="AB40" s="47"/>
      <c r="AC40" s="15">
        <v>137</v>
      </c>
      <c r="AD40" s="15">
        <v>122</v>
      </c>
      <c r="AE40" s="52">
        <f>Portefeuille_MNT_PROGR_PREV[[#This Row],[AC 2025]]-Portefeuille_MNT_PROGR_PREV[[#This Row],[PREV AC 2025]]</f>
        <v>15</v>
      </c>
      <c r="AF40" s="52">
        <f>Portefeuille_MNT_PROGR_PREV[[#This Row],[TR 2025]]-Portefeuille_MNT_PROGR_PREV[[#This Row],[PREV TR 2025]]</f>
        <v>1</v>
      </c>
      <c r="AG40" s="52">
        <f>Portefeuille_MNT_PROGR_PREV[[#This Row],[ÉCART AC 2025]]+Portefeuille_MNT_PROGR_PREV[[#This Row],[ÉCART TR 2025]]</f>
        <v>16</v>
      </c>
      <c r="AH40" s="15">
        <v>73</v>
      </c>
      <c r="AI40" s="15">
        <v>72</v>
      </c>
      <c r="AJ40" s="55"/>
      <c r="AK40" s="55"/>
      <c r="AL40" s="56">
        <f>Portefeuille_MNT_PROGR_PREV[[#This Row],[AC 2026]]-Portefeuille_MNT_PROGR_PREV[[#This Row],[PREV AC 2026]]</f>
        <v>0</v>
      </c>
      <c r="AM40" s="56">
        <f>Portefeuille_MNT_PROGR_PREV[[#This Row],[TR 2026]]-Portefeuille_MNT_PROGR_PREV[[#This Row],[PREV TR 2026]]</f>
        <v>0</v>
      </c>
      <c r="AN40" s="56">
        <f>Portefeuille_MNT_PROGR_PREV[[#This Row],[ÉCART AC 20262]]+Portefeuille_MNT_PROGR_PREV[[#This Row],[ÉCART TR 20263]]</f>
        <v>0</v>
      </c>
      <c r="AO40" s="55"/>
      <c r="AP40" s="55"/>
    </row>
    <row r="41" spans="1:73" hidden="1" x14ac:dyDescent="0.3">
      <c r="A41" t="s">
        <v>102</v>
      </c>
      <c r="B41" t="s">
        <v>119</v>
      </c>
      <c r="C41" t="s">
        <v>663</v>
      </c>
      <c r="D41" t="s">
        <v>101</v>
      </c>
      <c r="E41" t="s">
        <v>16</v>
      </c>
      <c r="F41" t="s">
        <v>16</v>
      </c>
      <c r="G41" t="s">
        <v>105</v>
      </c>
      <c r="H41" t="s">
        <v>332</v>
      </c>
      <c r="I41" t="s">
        <v>333</v>
      </c>
      <c r="J41" t="s">
        <v>122</v>
      </c>
      <c r="K41" t="s">
        <v>113</v>
      </c>
      <c r="L41" t="s">
        <v>164</v>
      </c>
      <c r="M41" s="1">
        <v>44162</v>
      </c>
      <c r="N41" s="1">
        <v>44489</v>
      </c>
      <c r="P41" s="1">
        <v>44608</v>
      </c>
      <c r="Q41">
        <v>5</v>
      </c>
      <c r="R41">
        <v>5</v>
      </c>
      <c r="S41">
        <v>5</v>
      </c>
      <c r="U41" s="60" t="s">
        <v>148</v>
      </c>
      <c r="V41" s="47">
        <v>297</v>
      </c>
      <c r="W41" s="47">
        <v>297</v>
      </c>
      <c r="X41" s="49">
        <f>Portefeuille_MNT_PROGR_PREV[[#This Row],[AC 2024]]-Portefeuille_MNT_PROGR_PREV[[#This Row],[PREV AC 2024]]</f>
        <v>0</v>
      </c>
      <c r="Y41" s="49">
        <f>Portefeuille_MNT_PROGR_PREV[[#This Row],[TR 2024]]-Portefeuille_MNT_PROGR_PREV[[#This Row],[PREV TR 2024]]</f>
        <v>0</v>
      </c>
      <c r="Z41" s="49">
        <f>Portefeuille_MNT_PROGR_PREV[[#This Row],[ÉCART AC 2024]]+Portefeuille_MNT_PROGR_PREV[[#This Row],[ÉCART TR 2024]]</f>
        <v>0</v>
      </c>
      <c r="AA41" s="47">
        <v>6350</v>
      </c>
      <c r="AB41" s="47">
        <v>6350</v>
      </c>
      <c r="AC41" s="15">
        <v>162</v>
      </c>
      <c r="AD41" s="15">
        <v>128</v>
      </c>
      <c r="AE41" s="52">
        <f>Portefeuille_MNT_PROGR_PREV[[#This Row],[AC 2025]]-Portefeuille_MNT_PROGR_PREV[[#This Row],[PREV AC 2025]]</f>
        <v>34</v>
      </c>
      <c r="AF41" s="52">
        <f>Portefeuille_MNT_PROGR_PREV[[#This Row],[TR 2025]]-Portefeuille_MNT_PROGR_PREV[[#This Row],[PREV TR 2025]]</f>
        <v>0</v>
      </c>
      <c r="AG41" s="52">
        <f>Portefeuille_MNT_PROGR_PREV[[#This Row],[ÉCART AC 2025]]+Portefeuille_MNT_PROGR_PREV[[#This Row],[ÉCART TR 2025]]</f>
        <v>34</v>
      </c>
      <c r="AH41" s="15">
        <v>50</v>
      </c>
      <c r="AI41" s="15">
        <v>50</v>
      </c>
      <c r="AJ41" s="55"/>
      <c r="AK41" s="55"/>
      <c r="AL41" s="56">
        <f>Portefeuille_MNT_PROGR_PREV[[#This Row],[AC 2026]]-Portefeuille_MNT_PROGR_PREV[[#This Row],[PREV AC 2026]]</f>
        <v>0</v>
      </c>
      <c r="AM41" s="56">
        <f>Portefeuille_MNT_PROGR_PREV[[#This Row],[TR 2026]]-Portefeuille_MNT_PROGR_PREV[[#This Row],[PREV TR 2026]]</f>
        <v>0</v>
      </c>
      <c r="AN41" s="56">
        <f>Portefeuille_MNT_PROGR_PREV[[#This Row],[ÉCART AC 20262]]+Portefeuille_MNT_PROGR_PREV[[#This Row],[ÉCART TR 20263]]</f>
        <v>0</v>
      </c>
      <c r="AO41" s="55"/>
      <c r="AP41" s="55"/>
    </row>
    <row r="42" spans="1:73" hidden="1" x14ac:dyDescent="0.3">
      <c r="A42" t="s">
        <v>102</v>
      </c>
      <c r="B42" t="s">
        <v>103</v>
      </c>
      <c r="C42" t="s">
        <v>664</v>
      </c>
      <c r="D42" t="s">
        <v>101</v>
      </c>
      <c r="E42" t="s">
        <v>16</v>
      </c>
      <c r="F42" t="s">
        <v>16</v>
      </c>
      <c r="G42" t="s">
        <v>105</v>
      </c>
      <c r="H42" t="s">
        <v>362</v>
      </c>
      <c r="I42" t="s">
        <v>363</v>
      </c>
      <c r="J42" t="s">
        <v>122</v>
      </c>
      <c r="K42" t="s">
        <v>113</v>
      </c>
      <c r="L42" t="s">
        <v>164</v>
      </c>
      <c r="M42" s="1">
        <v>44316</v>
      </c>
      <c r="N42" s="1">
        <v>44636</v>
      </c>
      <c r="P42" s="1">
        <v>45084</v>
      </c>
      <c r="Q42">
        <v>5</v>
      </c>
      <c r="R42">
        <v>5</v>
      </c>
      <c r="S42">
        <v>5</v>
      </c>
      <c r="U42" s="60"/>
      <c r="V42" s="47">
        <v>81</v>
      </c>
      <c r="W42" s="47">
        <v>81</v>
      </c>
      <c r="X42" s="49">
        <f>Portefeuille_MNT_PROGR_PREV[[#This Row],[AC 2024]]-Portefeuille_MNT_PROGR_PREV[[#This Row],[PREV AC 2024]]</f>
        <v>0</v>
      </c>
      <c r="Y42" s="49">
        <f>Portefeuille_MNT_PROGR_PREV[[#This Row],[TR 2024]]-Portefeuille_MNT_PROGR_PREV[[#This Row],[PREV TR 2024]]</f>
        <v>0</v>
      </c>
      <c r="Z42" s="49">
        <f>Portefeuille_MNT_PROGR_PREV[[#This Row],[ÉCART AC 2024]]+Portefeuille_MNT_PROGR_PREV[[#This Row],[ÉCART TR 2024]]</f>
        <v>0</v>
      </c>
      <c r="AA42" s="47">
        <v>10747</v>
      </c>
      <c r="AB42" s="47">
        <v>10747</v>
      </c>
      <c r="AC42" s="15">
        <v>178</v>
      </c>
      <c r="AD42" s="15">
        <v>11</v>
      </c>
      <c r="AE42" s="52">
        <f>Portefeuille_MNT_PROGR_PREV[[#This Row],[AC 2025]]-Portefeuille_MNT_PROGR_PREV[[#This Row],[PREV AC 2025]]</f>
        <v>167</v>
      </c>
      <c r="AF42" s="52">
        <f>Portefeuille_MNT_PROGR_PREV[[#This Row],[TR 2025]]-Portefeuille_MNT_PROGR_PREV[[#This Row],[PREV TR 2025]]</f>
        <v>0</v>
      </c>
      <c r="AG42" s="52">
        <f>Portefeuille_MNT_PROGR_PREV[[#This Row],[ÉCART AC 2025]]+Portefeuille_MNT_PROGR_PREV[[#This Row],[ÉCART TR 2025]]</f>
        <v>167</v>
      </c>
      <c r="AH42" s="15"/>
      <c r="AI42" s="15"/>
      <c r="AJ42" s="55"/>
      <c r="AK42" s="55"/>
      <c r="AL42" s="56">
        <f>Portefeuille_MNT_PROGR_PREV[[#This Row],[AC 2026]]-Portefeuille_MNT_PROGR_PREV[[#This Row],[PREV AC 2026]]</f>
        <v>0</v>
      </c>
      <c r="AM42" s="56">
        <f>Portefeuille_MNT_PROGR_PREV[[#This Row],[TR 2026]]-Portefeuille_MNT_PROGR_PREV[[#This Row],[PREV TR 2026]]</f>
        <v>0</v>
      </c>
      <c r="AN42" s="56">
        <f>Portefeuille_MNT_PROGR_PREV[[#This Row],[ÉCART AC 20262]]+Portefeuille_MNT_PROGR_PREV[[#This Row],[ÉCART TR 20263]]</f>
        <v>0</v>
      </c>
      <c r="AO42" s="55"/>
      <c r="AP42" s="55"/>
    </row>
    <row r="43" spans="1:73" hidden="1" x14ac:dyDescent="0.3">
      <c r="A43" t="s">
        <v>102</v>
      </c>
      <c r="B43" t="s">
        <v>177</v>
      </c>
      <c r="C43" t="s">
        <v>663</v>
      </c>
      <c r="D43" t="s">
        <v>101</v>
      </c>
      <c r="E43" t="s">
        <v>16</v>
      </c>
      <c r="F43" t="s">
        <v>325</v>
      </c>
      <c r="G43" t="s">
        <v>131</v>
      </c>
      <c r="H43" t="s">
        <v>603</v>
      </c>
      <c r="I43" t="s">
        <v>604</v>
      </c>
      <c r="J43" t="s">
        <v>214</v>
      </c>
      <c r="K43" t="s">
        <v>104</v>
      </c>
      <c r="L43" t="s">
        <v>291</v>
      </c>
      <c r="M43" s="1"/>
      <c r="N43" s="1"/>
      <c r="P43" s="1"/>
      <c r="S43"/>
      <c r="U43" s="60"/>
      <c r="V43" s="47">
        <v>5</v>
      </c>
      <c r="W43" s="47">
        <v>5</v>
      </c>
      <c r="X43" s="49">
        <f>Portefeuille_MNT_PROGR_PREV[[#This Row],[AC 2024]]-Portefeuille_MNT_PROGR_PREV[[#This Row],[PREV AC 2024]]</f>
        <v>0</v>
      </c>
      <c r="Y43" s="49">
        <f>Portefeuille_MNT_PROGR_PREV[[#This Row],[TR 2024]]-Portefeuille_MNT_PROGR_PREV[[#This Row],[PREV TR 2024]]</f>
        <v>0</v>
      </c>
      <c r="Z43" s="49">
        <f>Portefeuille_MNT_PROGR_PREV[[#This Row],[ÉCART AC 2024]]+Portefeuille_MNT_PROGR_PREV[[#This Row],[ÉCART TR 2024]]</f>
        <v>0</v>
      </c>
      <c r="AA43" s="47"/>
      <c r="AB43" s="47"/>
      <c r="AC43" s="15"/>
      <c r="AD43" s="15"/>
      <c r="AE43" s="52">
        <f>Portefeuille_MNT_PROGR_PREV[[#This Row],[AC 2025]]-Portefeuille_MNT_PROGR_PREV[[#This Row],[PREV AC 2025]]</f>
        <v>0</v>
      </c>
      <c r="AF43" s="52">
        <f>Portefeuille_MNT_PROGR_PREV[[#This Row],[TR 2025]]-Portefeuille_MNT_PROGR_PREV[[#This Row],[PREV TR 2025]]</f>
        <v>0</v>
      </c>
      <c r="AG43" s="52">
        <f>Portefeuille_MNT_PROGR_PREV[[#This Row],[ÉCART AC 2025]]+Portefeuille_MNT_PROGR_PREV[[#This Row],[ÉCART TR 2025]]</f>
        <v>0</v>
      </c>
      <c r="AH43" s="15"/>
      <c r="AI43" s="15"/>
      <c r="AJ43" s="55"/>
      <c r="AK43" s="55"/>
      <c r="AL43" s="56">
        <f>Portefeuille_MNT_PROGR_PREV[[#This Row],[AC 2026]]-Portefeuille_MNT_PROGR_PREV[[#This Row],[PREV AC 2026]]</f>
        <v>0</v>
      </c>
      <c r="AM43" s="56">
        <f>Portefeuille_MNT_PROGR_PREV[[#This Row],[TR 2026]]-Portefeuille_MNT_PROGR_PREV[[#This Row],[PREV TR 2026]]</f>
        <v>0</v>
      </c>
      <c r="AN43" s="56">
        <f>Portefeuille_MNT_PROGR_PREV[[#This Row],[ÉCART AC 20262]]+Portefeuille_MNT_PROGR_PREV[[#This Row],[ÉCART TR 20263]]</f>
        <v>0</v>
      </c>
      <c r="AO43" s="55"/>
      <c r="AP43" s="55"/>
    </row>
    <row r="44" spans="1:73" hidden="1" x14ac:dyDescent="0.3">
      <c r="A44" t="s">
        <v>102</v>
      </c>
      <c r="B44" t="s">
        <v>119</v>
      </c>
      <c r="C44" t="s">
        <v>662</v>
      </c>
      <c r="D44" t="s">
        <v>118</v>
      </c>
      <c r="E44" t="s">
        <v>16</v>
      </c>
      <c r="F44" t="s">
        <v>16</v>
      </c>
      <c r="G44" t="s">
        <v>105</v>
      </c>
      <c r="H44" t="s">
        <v>120</v>
      </c>
      <c r="I44" t="s">
        <v>289</v>
      </c>
      <c r="J44" t="s">
        <v>122</v>
      </c>
      <c r="K44" t="s">
        <v>113</v>
      </c>
      <c r="L44" t="s">
        <v>164</v>
      </c>
      <c r="M44" s="1"/>
      <c r="N44" s="1"/>
      <c r="P44" s="1">
        <v>45712</v>
      </c>
      <c r="S44">
        <v>5</v>
      </c>
      <c r="U44" s="60" t="s">
        <v>148</v>
      </c>
      <c r="V44" s="47"/>
      <c r="W44" s="47"/>
      <c r="X44" s="49">
        <f>Portefeuille_MNT_PROGR_PREV[[#This Row],[AC 2024]]-Portefeuille_MNT_PROGR_PREV[[#This Row],[PREV AC 2024]]</f>
        <v>0</v>
      </c>
      <c r="Y44" s="49">
        <f>Portefeuille_MNT_PROGR_PREV[[#This Row],[TR 2024]]-Portefeuille_MNT_PROGR_PREV[[#This Row],[PREV TR 2024]]</f>
        <v>0</v>
      </c>
      <c r="Z44" s="49">
        <f>Portefeuille_MNT_PROGR_PREV[[#This Row],[ÉCART AC 2024]]+Portefeuille_MNT_PROGR_PREV[[#This Row],[ÉCART TR 2024]]</f>
        <v>0</v>
      </c>
      <c r="AA44" s="47"/>
      <c r="AB44" s="47"/>
      <c r="AC44" s="15">
        <v>20</v>
      </c>
      <c r="AD44" s="15">
        <v>20</v>
      </c>
      <c r="AE44" s="52">
        <f>Portefeuille_MNT_PROGR_PREV[[#This Row],[AC 2025]]-Portefeuille_MNT_PROGR_PREV[[#This Row],[PREV AC 2025]]</f>
        <v>0</v>
      </c>
      <c r="AF44" s="52">
        <f>Portefeuille_MNT_PROGR_PREV[[#This Row],[TR 2025]]-Portefeuille_MNT_PROGR_PREV[[#This Row],[PREV TR 2025]]</f>
        <v>-105</v>
      </c>
      <c r="AG44" s="52">
        <f>Portefeuille_MNT_PROGR_PREV[[#This Row],[ÉCART AC 2025]]+Portefeuille_MNT_PROGR_PREV[[#This Row],[ÉCART TR 2025]]</f>
        <v>-105</v>
      </c>
      <c r="AH44" s="15">
        <v>895</v>
      </c>
      <c r="AI44" s="15">
        <v>1000</v>
      </c>
      <c r="AJ44" s="55"/>
      <c r="AK44" s="55"/>
      <c r="AL44" s="56">
        <f>Portefeuille_MNT_PROGR_PREV[[#This Row],[AC 2026]]-Portefeuille_MNT_PROGR_PREV[[#This Row],[PREV AC 2026]]</f>
        <v>0</v>
      </c>
      <c r="AM44" s="56">
        <f>Portefeuille_MNT_PROGR_PREV[[#This Row],[TR 2026]]-Portefeuille_MNT_PROGR_PREV[[#This Row],[PREV TR 2026]]</f>
        <v>0</v>
      </c>
      <c r="AN44" s="56">
        <f>Portefeuille_MNT_PROGR_PREV[[#This Row],[ÉCART AC 20262]]+Portefeuille_MNT_PROGR_PREV[[#This Row],[ÉCART TR 20263]]</f>
        <v>0</v>
      </c>
      <c r="AO44" s="55"/>
      <c r="AP44" s="55"/>
    </row>
    <row r="45" spans="1:73" hidden="1" x14ac:dyDescent="0.3">
      <c r="A45" t="s">
        <v>102</v>
      </c>
      <c r="B45" t="s">
        <v>119</v>
      </c>
      <c r="C45" t="s">
        <v>662</v>
      </c>
      <c r="D45" t="s">
        <v>118</v>
      </c>
      <c r="E45" t="s">
        <v>16</v>
      </c>
      <c r="F45" t="s">
        <v>130</v>
      </c>
      <c r="G45" t="s">
        <v>131</v>
      </c>
      <c r="H45" t="s">
        <v>207</v>
      </c>
      <c r="I45" t="s">
        <v>208</v>
      </c>
      <c r="J45" t="s">
        <v>209</v>
      </c>
      <c r="K45" t="s">
        <v>206</v>
      </c>
      <c r="L45" t="s">
        <v>155</v>
      </c>
      <c r="M45" s="1">
        <v>45976</v>
      </c>
      <c r="N45" s="1">
        <v>46096</v>
      </c>
      <c r="P45" s="1">
        <v>46280</v>
      </c>
      <c r="Q45">
        <v>5</v>
      </c>
      <c r="R45">
        <v>1</v>
      </c>
      <c r="S45">
        <v>1</v>
      </c>
      <c r="U45" s="60" t="s">
        <v>173</v>
      </c>
      <c r="V45" s="47"/>
      <c r="W45" s="47"/>
      <c r="X45" s="49">
        <f>Portefeuille_MNT_PROGR_PREV[[#This Row],[AC 2024]]-Portefeuille_MNT_PROGR_PREV[[#This Row],[PREV AC 2024]]</f>
        <v>0</v>
      </c>
      <c r="Y45" s="49">
        <f>Portefeuille_MNT_PROGR_PREV[[#This Row],[TR 2024]]-Portefeuille_MNT_PROGR_PREV[[#This Row],[PREV TR 2024]]</f>
        <v>0</v>
      </c>
      <c r="Z45" s="49">
        <f>Portefeuille_MNT_PROGR_PREV[[#This Row],[ÉCART AC 2024]]+Portefeuille_MNT_PROGR_PREV[[#This Row],[ÉCART TR 2024]]</f>
        <v>0</v>
      </c>
      <c r="AA45" s="47"/>
      <c r="AB45" s="47"/>
      <c r="AC45" s="15">
        <v>40</v>
      </c>
      <c r="AD45" s="15">
        <v>40</v>
      </c>
      <c r="AE45" s="52">
        <f>Portefeuille_MNT_PROGR_PREV[[#This Row],[AC 2025]]-Portefeuille_MNT_PROGR_PREV[[#This Row],[PREV AC 2025]]</f>
        <v>0</v>
      </c>
      <c r="AF45" s="52">
        <f>Portefeuille_MNT_PROGR_PREV[[#This Row],[TR 2025]]-Portefeuille_MNT_PROGR_PREV[[#This Row],[PREV TR 2025]]</f>
        <v>0</v>
      </c>
      <c r="AG45" s="52">
        <f>Portefeuille_MNT_PROGR_PREV[[#This Row],[ÉCART AC 2025]]+Portefeuille_MNT_PROGR_PREV[[#This Row],[ÉCART TR 2025]]</f>
        <v>0</v>
      </c>
      <c r="AH45" s="15"/>
      <c r="AI45" s="15"/>
      <c r="AJ45" s="55">
        <v>255</v>
      </c>
      <c r="AK45" s="55">
        <v>255</v>
      </c>
      <c r="AL45" s="56">
        <f>Portefeuille_MNT_PROGR_PREV[[#This Row],[AC 2026]]-Portefeuille_MNT_PROGR_PREV[[#This Row],[PREV AC 2026]]</f>
        <v>0</v>
      </c>
      <c r="AM45" s="56">
        <f>Portefeuille_MNT_PROGR_PREV[[#This Row],[TR 2026]]-Portefeuille_MNT_PROGR_PREV[[#This Row],[PREV TR 2026]]</f>
        <v>0</v>
      </c>
      <c r="AN45" s="56">
        <f>Portefeuille_MNT_PROGR_PREV[[#This Row],[ÉCART AC 20262]]+Portefeuille_MNT_PROGR_PREV[[#This Row],[ÉCART TR 20263]]</f>
        <v>0</v>
      </c>
      <c r="AO45" s="55"/>
      <c r="AP45" s="55"/>
      <c r="AQ45">
        <v>396</v>
      </c>
      <c r="AR45">
        <v>396</v>
      </c>
      <c r="AS45">
        <v>1500</v>
      </c>
    </row>
    <row r="46" spans="1:73" hidden="1" x14ac:dyDescent="0.3">
      <c r="A46" t="s">
        <v>102</v>
      </c>
      <c r="B46" t="s">
        <v>103</v>
      </c>
      <c r="C46" t="s">
        <v>662</v>
      </c>
      <c r="D46" t="s">
        <v>118</v>
      </c>
      <c r="E46" t="s">
        <v>20</v>
      </c>
      <c r="F46" t="s">
        <v>20</v>
      </c>
      <c r="G46" t="s">
        <v>131</v>
      </c>
      <c r="H46" t="s">
        <v>377</v>
      </c>
      <c r="I46" t="s">
        <v>378</v>
      </c>
      <c r="J46" t="s">
        <v>191</v>
      </c>
      <c r="K46" t="s">
        <v>113</v>
      </c>
      <c r="L46" t="s">
        <v>155</v>
      </c>
      <c r="M46" s="1">
        <v>46068</v>
      </c>
      <c r="N46" s="1">
        <v>46461</v>
      </c>
      <c r="P46" s="1">
        <v>46888</v>
      </c>
      <c r="Q46">
        <v>1</v>
      </c>
      <c r="R46">
        <v>1</v>
      </c>
      <c r="S46">
        <v>1</v>
      </c>
      <c r="U46" s="60" t="s">
        <v>169</v>
      </c>
      <c r="V46" s="47"/>
      <c r="W46" s="47"/>
      <c r="X46" s="49">
        <f>Portefeuille_MNT_PROGR_PREV[[#This Row],[AC 2024]]-Portefeuille_MNT_PROGR_PREV[[#This Row],[PREV AC 2024]]</f>
        <v>0</v>
      </c>
      <c r="Y46" s="49">
        <f>Portefeuille_MNT_PROGR_PREV[[#This Row],[TR 2024]]-Portefeuille_MNT_PROGR_PREV[[#This Row],[PREV TR 2024]]</f>
        <v>0</v>
      </c>
      <c r="Z46" s="49">
        <f>Portefeuille_MNT_PROGR_PREV[[#This Row],[ÉCART AC 2024]]+Portefeuille_MNT_PROGR_PREV[[#This Row],[ÉCART TR 2024]]</f>
        <v>0</v>
      </c>
      <c r="AA46" s="47"/>
      <c r="AB46" s="47"/>
      <c r="AC46" s="15"/>
      <c r="AD46" s="15"/>
      <c r="AE46" s="52">
        <f>Portefeuille_MNT_PROGR_PREV[[#This Row],[AC 2025]]-Portefeuille_MNT_PROGR_PREV[[#This Row],[PREV AC 2025]]</f>
        <v>0</v>
      </c>
      <c r="AF46" s="52">
        <f>Portefeuille_MNT_PROGR_PREV[[#This Row],[TR 2025]]-Portefeuille_MNT_PROGR_PREV[[#This Row],[PREV TR 2025]]</f>
        <v>0</v>
      </c>
      <c r="AG46" s="52">
        <f>Portefeuille_MNT_PROGR_PREV[[#This Row],[ÉCART AC 2025]]+Portefeuille_MNT_PROGR_PREV[[#This Row],[ÉCART TR 2025]]</f>
        <v>0</v>
      </c>
      <c r="AH46" s="15"/>
      <c r="AI46" s="15"/>
      <c r="AJ46" s="55"/>
      <c r="AK46" s="55"/>
      <c r="AL46" s="56">
        <f>Portefeuille_MNT_PROGR_PREV[[#This Row],[AC 2026]]-Portefeuille_MNT_PROGR_PREV[[#This Row],[PREV AC 2026]]</f>
        <v>0</v>
      </c>
      <c r="AM46" s="56">
        <f>Portefeuille_MNT_PROGR_PREV[[#This Row],[TR 2026]]-Portefeuille_MNT_PROGR_PREV[[#This Row],[PREV TR 2026]]</f>
        <v>0</v>
      </c>
      <c r="AN46" s="56">
        <f>Portefeuille_MNT_PROGR_PREV[[#This Row],[ÉCART AC 20262]]+Portefeuille_MNT_PROGR_PREV[[#This Row],[ÉCART TR 20263]]</f>
        <v>0</v>
      </c>
      <c r="AO46" s="55"/>
      <c r="AP46" s="55"/>
      <c r="AQ46">
        <v>100</v>
      </c>
      <c r="AU46">
        <v>200</v>
      </c>
      <c r="AY46">
        <v>495</v>
      </c>
      <c r="BA46">
        <v>8000</v>
      </c>
    </row>
    <row r="47" spans="1:73" hidden="1" x14ac:dyDescent="0.3">
      <c r="A47" t="s">
        <v>102</v>
      </c>
      <c r="B47" t="s">
        <v>103</v>
      </c>
      <c r="C47" t="s">
        <v>662</v>
      </c>
      <c r="D47" t="s">
        <v>118</v>
      </c>
      <c r="E47" t="s">
        <v>20</v>
      </c>
      <c r="F47" t="s">
        <v>20</v>
      </c>
      <c r="G47" t="s">
        <v>105</v>
      </c>
      <c r="H47" t="s">
        <v>426</v>
      </c>
      <c r="I47" t="s">
        <v>527</v>
      </c>
      <c r="J47" t="s">
        <v>122</v>
      </c>
      <c r="K47" t="s">
        <v>113</v>
      </c>
      <c r="L47" t="s">
        <v>155</v>
      </c>
      <c r="M47" s="1">
        <v>46249</v>
      </c>
      <c r="N47" s="1">
        <v>46675</v>
      </c>
      <c r="P47" s="1">
        <v>47041</v>
      </c>
      <c r="Q47">
        <v>1</v>
      </c>
      <c r="R47">
        <v>1</v>
      </c>
      <c r="S47">
        <v>1</v>
      </c>
      <c r="U47" s="60" t="s">
        <v>184</v>
      </c>
      <c r="V47" s="47"/>
      <c r="W47" s="47"/>
      <c r="X47" s="49">
        <f>Portefeuille_MNT_PROGR_PREV[[#This Row],[AC 2024]]-Portefeuille_MNT_PROGR_PREV[[#This Row],[PREV AC 2024]]</f>
        <v>0</v>
      </c>
      <c r="Y47" s="49">
        <f>Portefeuille_MNT_PROGR_PREV[[#This Row],[TR 2024]]-Portefeuille_MNT_PROGR_PREV[[#This Row],[PREV TR 2024]]</f>
        <v>0</v>
      </c>
      <c r="Z47" s="49">
        <f>Portefeuille_MNT_PROGR_PREV[[#This Row],[ÉCART AC 2024]]+Portefeuille_MNT_PROGR_PREV[[#This Row],[ÉCART TR 2024]]</f>
        <v>0</v>
      </c>
      <c r="AA47" s="47"/>
      <c r="AB47" s="47"/>
      <c r="AC47" s="15"/>
      <c r="AD47" s="15"/>
      <c r="AE47" s="52">
        <f>Portefeuille_MNT_PROGR_PREV[[#This Row],[AC 2025]]-Portefeuille_MNT_PROGR_PREV[[#This Row],[PREV AC 2025]]</f>
        <v>0</v>
      </c>
      <c r="AF47" s="52">
        <f>Portefeuille_MNT_PROGR_PREV[[#This Row],[TR 2025]]-Portefeuille_MNT_PROGR_PREV[[#This Row],[PREV TR 2025]]</f>
        <v>0</v>
      </c>
      <c r="AG47" s="52">
        <f>Portefeuille_MNT_PROGR_PREV[[#This Row],[ÉCART AC 2025]]+Portefeuille_MNT_PROGR_PREV[[#This Row],[ÉCART TR 2025]]</f>
        <v>0</v>
      </c>
      <c r="AH47" s="15"/>
      <c r="AI47" s="15"/>
      <c r="AJ47" s="55"/>
      <c r="AK47" s="55"/>
      <c r="AL47" s="56">
        <f>Portefeuille_MNT_PROGR_PREV[[#This Row],[AC 2026]]-Portefeuille_MNT_PROGR_PREV[[#This Row],[PREV AC 2026]]</f>
        <v>0</v>
      </c>
      <c r="AM47" s="56">
        <f>Portefeuille_MNT_PROGR_PREV[[#This Row],[TR 2026]]-Portefeuille_MNT_PROGR_PREV[[#This Row],[PREV TR 2026]]</f>
        <v>0</v>
      </c>
      <c r="AN47" s="56">
        <f>Portefeuille_MNT_PROGR_PREV[[#This Row],[ÉCART AC 20262]]+Portefeuille_MNT_PROGR_PREV[[#This Row],[ÉCART TR 20263]]</f>
        <v>0</v>
      </c>
      <c r="AO47" s="55"/>
      <c r="AP47" s="55"/>
      <c r="AU47">
        <v>100</v>
      </c>
      <c r="AY47">
        <v>300</v>
      </c>
      <c r="BC47">
        <v>500</v>
      </c>
      <c r="BE47">
        <v>12000</v>
      </c>
    </row>
    <row r="48" spans="1:73" hidden="1" x14ac:dyDescent="0.3">
      <c r="A48" t="s">
        <v>102</v>
      </c>
      <c r="B48" t="s">
        <v>103</v>
      </c>
      <c r="C48" t="s">
        <v>662</v>
      </c>
      <c r="D48" t="s">
        <v>118</v>
      </c>
      <c r="E48" t="s">
        <v>16</v>
      </c>
      <c r="F48" t="s">
        <v>20</v>
      </c>
      <c r="G48" t="s">
        <v>131</v>
      </c>
      <c r="H48" t="s">
        <v>210</v>
      </c>
      <c r="I48" t="s">
        <v>211</v>
      </c>
      <c r="J48" t="s">
        <v>209</v>
      </c>
      <c r="K48" t="s">
        <v>206</v>
      </c>
      <c r="L48" t="s">
        <v>155</v>
      </c>
      <c r="M48" s="1">
        <v>45976</v>
      </c>
      <c r="N48" s="1">
        <v>46341</v>
      </c>
      <c r="P48" s="1">
        <v>46706</v>
      </c>
      <c r="Q48">
        <v>5</v>
      </c>
      <c r="R48">
        <v>1</v>
      </c>
      <c r="S48">
        <v>1</v>
      </c>
      <c r="U48" s="60" t="s">
        <v>197</v>
      </c>
      <c r="V48" s="47"/>
      <c r="W48" s="47"/>
      <c r="X48" s="49">
        <f>Portefeuille_MNT_PROGR_PREV[[#This Row],[AC 2024]]-Portefeuille_MNT_PROGR_PREV[[#This Row],[PREV AC 2024]]</f>
        <v>0</v>
      </c>
      <c r="Y48" s="49">
        <f>Portefeuille_MNT_PROGR_PREV[[#This Row],[TR 2024]]-Portefeuille_MNT_PROGR_PREV[[#This Row],[PREV TR 2024]]</f>
        <v>0</v>
      </c>
      <c r="Z48" s="49">
        <f>Portefeuille_MNT_PROGR_PREV[[#This Row],[ÉCART AC 2024]]+Portefeuille_MNT_PROGR_PREV[[#This Row],[ÉCART TR 2024]]</f>
        <v>0</v>
      </c>
      <c r="AA48" s="47"/>
      <c r="AB48" s="47"/>
      <c r="AC48" s="15">
        <v>100</v>
      </c>
      <c r="AD48" s="15">
        <v>100</v>
      </c>
      <c r="AE48" s="52">
        <f>Portefeuille_MNT_PROGR_PREV[[#This Row],[AC 2025]]-Portefeuille_MNT_PROGR_PREV[[#This Row],[PREV AC 2025]]</f>
        <v>0</v>
      </c>
      <c r="AF48" s="52">
        <f>Portefeuille_MNT_PROGR_PREV[[#This Row],[TR 2025]]-Portefeuille_MNT_PROGR_PREV[[#This Row],[PREV TR 2025]]</f>
        <v>0</v>
      </c>
      <c r="AG48" s="52">
        <f>Portefeuille_MNT_PROGR_PREV[[#This Row],[ÉCART AC 2025]]+Portefeuille_MNT_PROGR_PREV[[#This Row],[ÉCART TR 2025]]</f>
        <v>0</v>
      </c>
      <c r="AH48" s="15"/>
      <c r="AI48" s="15"/>
      <c r="AJ48" s="55">
        <v>100</v>
      </c>
      <c r="AK48" s="55">
        <v>100</v>
      </c>
      <c r="AL48" s="56">
        <f>Portefeuille_MNT_PROGR_PREV[[#This Row],[AC 2026]]-Portefeuille_MNT_PROGR_PREV[[#This Row],[PREV AC 2026]]</f>
        <v>0</v>
      </c>
      <c r="AM48" s="56">
        <f>Portefeuille_MNT_PROGR_PREV[[#This Row],[TR 2026]]-Portefeuille_MNT_PROGR_PREV[[#This Row],[PREV TR 2026]]</f>
        <v>0</v>
      </c>
      <c r="AN48" s="56">
        <f>Portefeuille_MNT_PROGR_PREV[[#This Row],[ÉCART AC 20262]]+Portefeuille_MNT_PROGR_PREV[[#This Row],[ÉCART TR 20263]]</f>
        <v>0</v>
      </c>
      <c r="AO48" s="55"/>
      <c r="AP48" s="55"/>
      <c r="AQ48">
        <v>100</v>
      </c>
      <c r="AR48">
        <v>250</v>
      </c>
      <c r="AU48">
        <v>250</v>
      </c>
      <c r="AV48">
        <v>250</v>
      </c>
      <c r="AW48">
        <v>7500</v>
      </c>
    </row>
    <row r="49" spans="1:71" hidden="1" x14ac:dyDescent="0.3">
      <c r="A49" t="s">
        <v>102</v>
      </c>
      <c r="B49" t="s">
        <v>103</v>
      </c>
      <c r="C49" t="s">
        <v>664</v>
      </c>
      <c r="D49" t="s">
        <v>101</v>
      </c>
      <c r="E49" t="s">
        <v>20</v>
      </c>
      <c r="F49" t="s">
        <v>20</v>
      </c>
      <c r="G49" t="s">
        <v>105</v>
      </c>
      <c r="H49" t="s">
        <v>393</v>
      </c>
      <c r="I49" t="s">
        <v>394</v>
      </c>
      <c r="J49" t="s">
        <v>122</v>
      </c>
      <c r="L49" t="s">
        <v>291</v>
      </c>
      <c r="M49" s="1"/>
      <c r="N49" s="1"/>
      <c r="O49">
        <v>500</v>
      </c>
      <c r="P49" s="1"/>
      <c r="S49"/>
      <c r="U49" s="60" t="s">
        <v>533</v>
      </c>
      <c r="V49" s="47"/>
      <c r="W49" s="47"/>
      <c r="X49" s="49">
        <f>Portefeuille_MNT_PROGR_PREV[[#This Row],[AC 2024]]-Portefeuille_MNT_PROGR_PREV[[#This Row],[PREV AC 2024]]</f>
        <v>0</v>
      </c>
      <c r="Y49" s="49">
        <f>Portefeuille_MNT_PROGR_PREV[[#This Row],[TR 2024]]-Portefeuille_MNT_PROGR_PREV[[#This Row],[PREV TR 2024]]</f>
        <v>0</v>
      </c>
      <c r="Z49" s="49">
        <f>Portefeuille_MNT_PROGR_PREV[[#This Row],[ÉCART AC 2024]]+Portefeuille_MNT_PROGR_PREV[[#This Row],[ÉCART TR 2024]]</f>
        <v>0</v>
      </c>
      <c r="AA49" s="47"/>
      <c r="AB49" s="47"/>
      <c r="AC49" s="15"/>
      <c r="AD49" s="15"/>
      <c r="AE49" s="52">
        <f>Portefeuille_MNT_PROGR_PREV[[#This Row],[AC 2025]]-Portefeuille_MNT_PROGR_PREV[[#This Row],[PREV AC 2025]]</f>
        <v>0</v>
      </c>
      <c r="AF49" s="52">
        <f>Portefeuille_MNT_PROGR_PREV[[#This Row],[TR 2025]]-Portefeuille_MNT_PROGR_PREV[[#This Row],[PREV TR 2025]]</f>
        <v>0</v>
      </c>
      <c r="AG49" s="52">
        <f>Portefeuille_MNT_PROGR_PREV[[#This Row],[ÉCART AC 2025]]+Portefeuille_MNT_PROGR_PREV[[#This Row],[ÉCART TR 2025]]</f>
        <v>0</v>
      </c>
      <c r="AH49" s="15"/>
      <c r="AI49" s="15"/>
      <c r="AJ49" s="55"/>
      <c r="AK49" s="55"/>
      <c r="AL49" s="56">
        <f>Portefeuille_MNT_PROGR_PREV[[#This Row],[AC 2026]]-Portefeuille_MNT_PROGR_PREV[[#This Row],[PREV AC 2026]]</f>
        <v>0</v>
      </c>
      <c r="AM49" s="56">
        <f>Portefeuille_MNT_PROGR_PREV[[#This Row],[TR 2026]]-Portefeuille_MNT_PROGR_PREV[[#This Row],[PREV TR 2026]]</f>
        <v>0</v>
      </c>
      <c r="AN49" s="56">
        <f>Portefeuille_MNT_PROGR_PREV[[#This Row],[ÉCART AC 20262]]+Portefeuille_MNT_PROGR_PREV[[#This Row],[ÉCART TR 20263]]</f>
        <v>0</v>
      </c>
      <c r="AO49" s="55"/>
      <c r="AP49" s="55"/>
      <c r="BO49">
        <v>100</v>
      </c>
      <c r="BS49">
        <v>100</v>
      </c>
    </row>
    <row r="50" spans="1:71" hidden="1" x14ac:dyDescent="0.3">
      <c r="A50" t="s">
        <v>102</v>
      </c>
      <c r="B50" t="s">
        <v>103</v>
      </c>
      <c r="C50" t="s">
        <v>664</v>
      </c>
      <c r="D50" t="s">
        <v>101</v>
      </c>
      <c r="E50" t="s">
        <v>20</v>
      </c>
      <c r="F50" t="s">
        <v>20</v>
      </c>
      <c r="G50" t="s">
        <v>131</v>
      </c>
      <c r="H50" t="s">
        <v>383</v>
      </c>
      <c r="I50" t="s">
        <v>384</v>
      </c>
      <c r="J50" t="s">
        <v>183</v>
      </c>
      <c r="L50" t="s">
        <v>291</v>
      </c>
      <c r="M50" s="1"/>
      <c r="N50" s="1"/>
      <c r="O50">
        <v>250</v>
      </c>
      <c r="P50" s="1"/>
      <c r="S50"/>
      <c r="U50" s="60" t="s">
        <v>533</v>
      </c>
      <c r="V50" s="47"/>
      <c r="W50" s="47"/>
      <c r="X50" s="49">
        <f>Portefeuille_MNT_PROGR_PREV[[#This Row],[AC 2024]]-Portefeuille_MNT_PROGR_PREV[[#This Row],[PREV AC 2024]]</f>
        <v>0</v>
      </c>
      <c r="Y50" s="49">
        <f>Portefeuille_MNT_PROGR_PREV[[#This Row],[TR 2024]]-Portefeuille_MNT_PROGR_PREV[[#This Row],[PREV TR 2024]]</f>
        <v>0</v>
      </c>
      <c r="Z50" s="49">
        <f>Portefeuille_MNT_PROGR_PREV[[#This Row],[ÉCART AC 2024]]+Portefeuille_MNT_PROGR_PREV[[#This Row],[ÉCART TR 2024]]</f>
        <v>0</v>
      </c>
      <c r="AA50" s="47"/>
      <c r="AB50" s="47"/>
      <c r="AC50" s="15"/>
      <c r="AD50" s="15"/>
      <c r="AE50" s="52">
        <f>Portefeuille_MNT_PROGR_PREV[[#This Row],[AC 2025]]-Portefeuille_MNT_PROGR_PREV[[#This Row],[PREV AC 2025]]</f>
        <v>0</v>
      </c>
      <c r="AF50" s="52">
        <f>Portefeuille_MNT_PROGR_PREV[[#This Row],[TR 2025]]-Portefeuille_MNT_PROGR_PREV[[#This Row],[PREV TR 2025]]</f>
        <v>0</v>
      </c>
      <c r="AG50" s="52">
        <f>Portefeuille_MNT_PROGR_PREV[[#This Row],[ÉCART AC 2025]]+Portefeuille_MNT_PROGR_PREV[[#This Row],[ÉCART TR 2025]]</f>
        <v>0</v>
      </c>
      <c r="AH50" s="15"/>
      <c r="AI50" s="15"/>
      <c r="AJ50" s="55"/>
      <c r="AK50" s="55"/>
      <c r="AL50" s="56">
        <f>Portefeuille_MNT_PROGR_PREV[[#This Row],[AC 2026]]-Portefeuille_MNT_PROGR_PREV[[#This Row],[PREV AC 2026]]</f>
        <v>0</v>
      </c>
      <c r="AM50" s="56">
        <f>Portefeuille_MNT_PROGR_PREV[[#This Row],[TR 2026]]-Portefeuille_MNT_PROGR_PREV[[#This Row],[PREV TR 2026]]</f>
        <v>0</v>
      </c>
      <c r="AN50" s="56">
        <f>Portefeuille_MNT_PROGR_PREV[[#This Row],[ÉCART AC 20262]]+Portefeuille_MNT_PROGR_PREV[[#This Row],[ÉCART TR 20263]]</f>
        <v>0</v>
      </c>
      <c r="AO50" s="55"/>
      <c r="AP50" s="55"/>
      <c r="BS50">
        <v>150</v>
      </c>
    </row>
    <row r="51" spans="1:71" hidden="1" x14ac:dyDescent="0.3">
      <c r="A51" t="s">
        <v>102</v>
      </c>
      <c r="B51" t="s">
        <v>136</v>
      </c>
      <c r="C51" t="s">
        <v>664</v>
      </c>
      <c r="D51" t="s">
        <v>101</v>
      </c>
      <c r="E51" t="s">
        <v>16</v>
      </c>
      <c r="F51" t="s">
        <v>20</v>
      </c>
      <c r="G51" t="s">
        <v>131</v>
      </c>
      <c r="H51" t="s">
        <v>212</v>
      </c>
      <c r="I51" t="s">
        <v>213</v>
      </c>
      <c r="J51" t="s">
        <v>214</v>
      </c>
      <c r="K51" t="s">
        <v>149</v>
      </c>
      <c r="L51" t="s">
        <v>155</v>
      </c>
      <c r="M51" s="1">
        <v>46127</v>
      </c>
      <c r="N51" s="1">
        <v>46798</v>
      </c>
      <c r="P51" s="1">
        <v>47192</v>
      </c>
      <c r="Q51">
        <v>1</v>
      </c>
      <c r="R51">
        <v>1</v>
      </c>
      <c r="S51">
        <v>1</v>
      </c>
      <c r="U51" s="60" t="s">
        <v>184</v>
      </c>
      <c r="V51" s="47">
        <v>93</v>
      </c>
      <c r="W51" s="47">
        <v>93</v>
      </c>
      <c r="X51" s="49">
        <f>Portefeuille_MNT_PROGR_PREV[[#This Row],[AC 2024]]-Portefeuille_MNT_PROGR_PREV[[#This Row],[PREV AC 2024]]</f>
        <v>0</v>
      </c>
      <c r="Y51" s="49">
        <f>Portefeuille_MNT_PROGR_PREV[[#This Row],[TR 2024]]-Portefeuille_MNT_PROGR_PREV[[#This Row],[PREV TR 2024]]</f>
        <v>0</v>
      </c>
      <c r="Z51" s="49">
        <f>Portefeuille_MNT_PROGR_PREV[[#This Row],[ÉCART AC 2024]]+Portefeuille_MNT_PROGR_PREV[[#This Row],[ÉCART TR 2024]]</f>
        <v>0</v>
      </c>
      <c r="AA51" s="47"/>
      <c r="AB51" s="47"/>
      <c r="AC51" s="15">
        <v>150</v>
      </c>
      <c r="AD51" s="15">
        <v>107</v>
      </c>
      <c r="AE51" s="52">
        <f>Portefeuille_MNT_PROGR_PREV[[#This Row],[AC 2025]]-Portefeuille_MNT_PROGR_PREV[[#This Row],[PREV AC 2025]]</f>
        <v>43</v>
      </c>
      <c r="AF51" s="52">
        <f>Portefeuille_MNT_PROGR_PREV[[#This Row],[TR 2025]]-Portefeuille_MNT_PROGR_PREV[[#This Row],[PREV TR 2025]]</f>
        <v>0</v>
      </c>
      <c r="AG51" s="52">
        <f>Portefeuille_MNT_PROGR_PREV[[#This Row],[ÉCART AC 2025]]+Portefeuille_MNT_PROGR_PREV[[#This Row],[ÉCART TR 2025]]</f>
        <v>43</v>
      </c>
      <c r="AH51" s="15"/>
      <c r="AI51" s="15"/>
      <c r="AJ51" s="55">
        <v>125</v>
      </c>
      <c r="AK51" s="55">
        <v>125</v>
      </c>
      <c r="AL51" s="56">
        <f>Portefeuille_MNT_PROGR_PREV[[#This Row],[AC 2026]]-Portefeuille_MNT_PROGR_PREV[[#This Row],[PREV AC 2026]]</f>
        <v>0</v>
      </c>
      <c r="AM51" s="56">
        <f>Portefeuille_MNT_PROGR_PREV[[#This Row],[TR 2026]]-Portefeuille_MNT_PROGR_PREV[[#This Row],[PREV TR 2026]]</f>
        <v>0</v>
      </c>
      <c r="AN51" s="56">
        <f>Portefeuille_MNT_PROGR_PREV[[#This Row],[ÉCART AC 20262]]+Portefeuille_MNT_PROGR_PREV[[#This Row],[ÉCART TR 20263]]</f>
        <v>0</v>
      </c>
      <c r="AO51" s="55"/>
      <c r="AP51" s="55"/>
      <c r="AQ51">
        <v>125</v>
      </c>
      <c r="AR51">
        <v>125</v>
      </c>
      <c r="AU51">
        <v>125</v>
      </c>
      <c r="AV51">
        <v>125</v>
      </c>
      <c r="AY51">
        <v>125</v>
      </c>
      <c r="AZ51">
        <v>125</v>
      </c>
      <c r="BC51">
        <v>300</v>
      </c>
      <c r="BD51">
        <v>731</v>
      </c>
      <c r="BE51">
        <v>5000</v>
      </c>
      <c r="BG51">
        <v>431</v>
      </c>
      <c r="BI51">
        <v>10000</v>
      </c>
    </row>
    <row r="52" spans="1:71" x14ac:dyDescent="0.3">
      <c r="A52" t="s">
        <v>102</v>
      </c>
      <c r="B52" t="s">
        <v>177</v>
      </c>
      <c r="C52" t="s">
        <v>663</v>
      </c>
      <c r="D52" t="s">
        <v>101</v>
      </c>
      <c r="E52" t="s">
        <v>16</v>
      </c>
      <c r="F52" t="s">
        <v>16</v>
      </c>
      <c r="G52" t="s">
        <v>131</v>
      </c>
      <c r="H52" t="s">
        <v>178</v>
      </c>
      <c r="I52" t="s">
        <v>179</v>
      </c>
      <c r="J52" t="s">
        <v>180</v>
      </c>
      <c r="K52" t="s">
        <v>129</v>
      </c>
      <c r="L52" t="s">
        <v>164</v>
      </c>
      <c r="M52" s="1"/>
      <c r="N52" s="1"/>
      <c r="P52" s="1">
        <v>45195</v>
      </c>
      <c r="S52">
        <v>5</v>
      </c>
      <c r="U52" s="60" t="s">
        <v>148</v>
      </c>
      <c r="V52" s="47">
        <v>25</v>
      </c>
      <c r="W52" s="47">
        <v>25</v>
      </c>
      <c r="X52" s="49">
        <f>Portefeuille_MNT_PROGR_PREV[[#This Row],[AC 2024]]-Portefeuille_MNT_PROGR_PREV[[#This Row],[PREV AC 2024]]</f>
        <v>0</v>
      </c>
      <c r="Y52" s="49">
        <f>Portefeuille_MNT_PROGR_PREV[[#This Row],[TR 2024]]-Portefeuille_MNT_PROGR_PREV[[#This Row],[PREV TR 2024]]</f>
        <v>2</v>
      </c>
      <c r="Z52" s="49">
        <f>Portefeuille_MNT_PROGR_PREV[[#This Row],[ÉCART AC 2024]]+Portefeuille_MNT_PROGR_PREV[[#This Row],[ÉCART TR 2024]]</f>
        <v>2</v>
      </c>
      <c r="AA52" s="47">
        <v>1137</v>
      </c>
      <c r="AB52" s="47">
        <v>1135</v>
      </c>
      <c r="AC52" s="15">
        <v>73</v>
      </c>
      <c r="AD52" s="15">
        <v>40</v>
      </c>
      <c r="AE52" s="52">
        <f>Portefeuille_MNT_PROGR_PREV[[#This Row],[AC 2025]]-Portefeuille_MNT_PROGR_PREV[[#This Row],[PREV AC 2025]]</f>
        <v>33</v>
      </c>
      <c r="AF52" s="52">
        <f>Portefeuille_MNT_PROGR_PREV[[#This Row],[TR 2025]]-Portefeuille_MNT_PROGR_PREV[[#This Row],[PREV TR 2025]]</f>
        <v>1</v>
      </c>
      <c r="AG52" s="52">
        <f>Portefeuille_MNT_PROGR_PREV[[#This Row],[ÉCART AC 2025]]+Portefeuille_MNT_PROGR_PREV[[#This Row],[ÉCART TR 2025]]</f>
        <v>34</v>
      </c>
      <c r="AH52" s="15">
        <v>596</v>
      </c>
      <c r="AI52" s="15">
        <v>595</v>
      </c>
      <c r="AJ52" s="55"/>
      <c r="AK52" s="55"/>
      <c r="AL52" s="56">
        <f>Portefeuille_MNT_PROGR_PREV[[#This Row],[AC 2026]]-Portefeuille_MNT_PROGR_PREV[[#This Row],[PREV AC 2026]]</f>
        <v>0</v>
      </c>
      <c r="AM52" s="56">
        <f>Portefeuille_MNT_PROGR_PREV[[#This Row],[TR 2026]]-Portefeuille_MNT_PROGR_PREV[[#This Row],[PREV TR 2026]]</f>
        <v>0</v>
      </c>
      <c r="AN52" s="56">
        <f>Portefeuille_MNT_PROGR_PREV[[#This Row],[ÉCART AC 20262]]+Portefeuille_MNT_PROGR_PREV[[#This Row],[ÉCART TR 20263]]</f>
        <v>0</v>
      </c>
      <c r="AO52" s="55"/>
      <c r="AP52" s="55"/>
    </row>
    <row r="53" spans="1:71" x14ac:dyDescent="0.3">
      <c r="A53" t="s">
        <v>102</v>
      </c>
      <c r="B53" t="s">
        <v>200</v>
      </c>
      <c r="C53" t="s">
        <v>664</v>
      </c>
      <c r="D53" t="s">
        <v>101</v>
      </c>
      <c r="E53" t="s">
        <v>16</v>
      </c>
      <c r="F53" t="s">
        <v>16</v>
      </c>
      <c r="G53" t="s">
        <v>131</v>
      </c>
      <c r="H53" t="s">
        <v>336</v>
      </c>
      <c r="I53" t="s">
        <v>337</v>
      </c>
      <c r="J53" t="s">
        <v>180</v>
      </c>
      <c r="K53" t="s">
        <v>113</v>
      </c>
      <c r="L53" t="s">
        <v>164</v>
      </c>
      <c r="M53" s="1"/>
      <c r="N53" s="1">
        <v>44518</v>
      </c>
      <c r="P53" s="1">
        <v>44657</v>
      </c>
      <c r="R53">
        <v>5</v>
      </c>
      <c r="S53">
        <v>5</v>
      </c>
      <c r="U53" s="60" t="s">
        <v>148</v>
      </c>
      <c r="V53" s="47">
        <v>264</v>
      </c>
      <c r="W53" s="47">
        <v>264</v>
      </c>
      <c r="X53" s="49">
        <f>Portefeuille_MNT_PROGR_PREV[[#This Row],[AC 2024]]-Portefeuille_MNT_PROGR_PREV[[#This Row],[PREV AC 2024]]</f>
        <v>0</v>
      </c>
      <c r="Y53" s="49">
        <f>Portefeuille_MNT_PROGR_PREV[[#This Row],[TR 2024]]-Portefeuille_MNT_PROGR_PREV[[#This Row],[PREV TR 2024]]</f>
        <v>1</v>
      </c>
      <c r="Z53" s="49">
        <f>Portefeuille_MNT_PROGR_PREV[[#This Row],[ÉCART AC 2024]]+Portefeuille_MNT_PROGR_PREV[[#This Row],[ÉCART TR 2024]]</f>
        <v>1</v>
      </c>
      <c r="AA53" s="47">
        <v>2717</v>
      </c>
      <c r="AB53" s="47">
        <v>2716</v>
      </c>
      <c r="AC53" s="15">
        <v>63</v>
      </c>
      <c r="AD53" s="15">
        <v>75</v>
      </c>
      <c r="AE53" s="52">
        <f>Portefeuille_MNT_PROGR_PREV[[#This Row],[AC 2025]]-Portefeuille_MNT_PROGR_PREV[[#This Row],[PREV AC 2025]]</f>
        <v>-12</v>
      </c>
      <c r="AF53" s="52">
        <f>Portefeuille_MNT_PROGR_PREV[[#This Row],[TR 2025]]-Portefeuille_MNT_PROGR_PREV[[#This Row],[PREV TR 2025]]</f>
        <v>54</v>
      </c>
      <c r="AG53" s="52">
        <f>Portefeuille_MNT_PROGR_PREV[[#This Row],[ÉCART AC 2025]]+Portefeuille_MNT_PROGR_PREV[[#This Row],[ÉCART TR 2025]]</f>
        <v>42</v>
      </c>
      <c r="AH53" s="15">
        <v>462</v>
      </c>
      <c r="AI53" s="15">
        <v>408</v>
      </c>
      <c r="AJ53" s="55"/>
      <c r="AK53" s="55"/>
      <c r="AL53" s="56">
        <f>Portefeuille_MNT_PROGR_PREV[[#This Row],[AC 2026]]-Portefeuille_MNT_PROGR_PREV[[#This Row],[PREV AC 2026]]</f>
        <v>0</v>
      </c>
      <c r="AM53" s="56">
        <f>Portefeuille_MNT_PROGR_PREV[[#This Row],[TR 2026]]-Portefeuille_MNT_PROGR_PREV[[#This Row],[PREV TR 2026]]</f>
        <v>0</v>
      </c>
      <c r="AN53" s="56">
        <f>Portefeuille_MNT_PROGR_PREV[[#This Row],[ÉCART AC 20262]]+Portefeuille_MNT_PROGR_PREV[[#This Row],[ÉCART TR 20263]]</f>
        <v>0</v>
      </c>
      <c r="AO53" s="55"/>
      <c r="AP53" s="55"/>
    </row>
    <row r="54" spans="1:71" hidden="1" x14ac:dyDescent="0.3">
      <c r="A54" t="s">
        <v>102</v>
      </c>
      <c r="B54" t="s">
        <v>136</v>
      </c>
      <c r="C54" t="s">
        <v>662</v>
      </c>
      <c r="D54" t="s">
        <v>118</v>
      </c>
      <c r="E54" t="s">
        <v>20</v>
      </c>
      <c r="F54" t="s">
        <v>20</v>
      </c>
      <c r="G54" t="s">
        <v>131</v>
      </c>
      <c r="H54" t="s">
        <v>470</v>
      </c>
      <c r="I54" t="s">
        <v>471</v>
      </c>
      <c r="J54" t="s">
        <v>191</v>
      </c>
      <c r="L54" t="s">
        <v>291</v>
      </c>
      <c r="M54" s="1"/>
      <c r="N54" s="1"/>
      <c r="P54" s="1"/>
      <c r="S54"/>
      <c r="U54" s="60" t="s">
        <v>421</v>
      </c>
      <c r="V54" s="47"/>
      <c r="W54" s="47"/>
      <c r="X54" s="49">
        <f>Portefeuille_MNT_PROGR_PREV[[#This Row],[AC 2024]]-Portefeuille_MNT_PROGR_PREV[[#This Row],[PREV AC 2024]]</f>
        <v>0</v>
      </c>
      <c r="Y54" s="49">
        <f>Portefeuille_MNT_PROGR_PREV[[#This Row],[TR 2024]]-Portefeuille_MNT_PROGR_PREV[[#This Row],[PREV TR 2024]]</f>
        <v>0</v>
      </c>
      <c r="Z54" s="49">
        <f>Portefeuille_MNT_PROGR_PREV[[#This Row],[ÉCART AC 2024]]+Portefeuille_MNT_PROGR_PREV[[#This Row],[ÉCART TR 2024]]</f>
        <v>0</v>
      </c>
      <c r="AA54" s="47"/>
      <c r="AB54" s="47"/>
      <c r="AC54" s="15"/>
      <c r="AD54" s="15"/>
      <c r="AE54" s="52">
        <f>Portefeuille_MNT_PROGR_PREV[[#This Row],[AC 2025]]-Portefeuille_MNT_PROGR_PREV[[#This Row],[PREV AC 2025]]</f>
        <v>0</v>
      </c>
      <c r="AF54" s="52">
        <f>Portefeuille_MNT_PROGR_PREV[[#This Row],[TR 2025]]-Portefeuille_MNT_PROGR_PREV[[#This Row],[PREV TR 2025]]</f>
        <v>0</v>
      </c>
      <c r="AG54" s="52">
        <f>Portefeuille_MNT_PROGR_PREV[[#This Row],[ÉCART AC 2025]]+Portefeuille_MNT_PROGR_PREV[[#This Row],[ÉCART TR 2025]]</f>
        <v>0</v>
      </c>
      <c r="AH54" s="15"/>
      <c r="AI54" s="15"/>
      <c r="AJ54" s="55"/>
      <c r="AK54" s="55"/>
      <c r="AL54" s="56">
        <f>Portefeuille_MNT_PROGR_PREV[[#This Row],[AC 2026]]-Portefeuille_MNT_PROGR_PREV[[#This Row],[PREV AC 2026]]</f>
        <v>0</v>
      </c>
      <c r="AM54" s="56">
        <f>Portefeuille_MNT_PROGR_PREV[[#This Row],[TR 2026]]-Portefeuille_MNT_PROGR_PREV[[#This Row],[PREV TR 2026]]</f>
        <v>0</v>
      </c>
      <c r="AN54" s="56">
        <f>Portefeuille_MNT_PROGR_PREV[[#This Row],[ÉCART AC 20262]]+Portefeuille_MNT_PROGR_PREV[[#This Row],[ÉCART TR 20263]]</f>
        <v>0</v>
      </c>
      <c r="AO54" s="55"/>
      <c r="AP54" s="55"/>
      <c r="AY54">
        <v>100</v>
      </c>
      <c r="BC54">
        <v>100</v>
      </c>
      <c r="BG54">
        <v>200</v>
      </c>
      <c r="BK54">
        <v>500</v>
      </c>
      <c r="BM54">
        <v>3000</v>
      </c>
      <c r="BO54">
        <v>500</v>
      </c>
      <c r="BQ54">
        <v>3000</v>
      </c>
    </row>
    <row r="55" spans="1:71" hidden="1" x14ac:dyDescent="0.3">
      <c r="A55" t="s">
        <v>102</v>
      </c>
      <c r="B55" t="s">
        <v>103</v>
      </c>
      <c r="C55" t="s">
        <v>664</v>
      </c>
      <c r="D55" t="s">
        <v>101</v>
      </c>
      <c r="E55" t="s">
        <v>16</v>
      </c>
      <c r="F55" t="s">
        <v>16</v>
      </c>
      <c r="G55" t="s">
        <v>105</v>
      </c>
      <c r="H55" t="s">
        <v>228</v>
      </c>
      <c r="I55" t="s">
        <v>229</v>
      </c>
      <c r="J55" t="s">
        <v>230</v>
      </c>
      <c r="K55" t="s">
        <v>149</v>
      </c>
      <c r="L55" t="s">
        <v>164</v>
      </c>
      <c r="M55" s="1">
        <v>45022</v>
      </c>
      <c r="N55" s="1">
        <v>45463</v>
      </c>
      <c r="P55" s="1">
        <v>45590</v>
      </c>
      <c r="Q55">
        <v>5</v>
      </c>
      <c r="R55">
        <v>5</v>
      </c>
      <c r="S55">
        <v>5</v>
      </c>
      <c r="U55" s="60" t="s">
        <v>148</v>
      </c>
      <c r="V55" s="47"/>
      <c r="W55" s="47"/>
      <c r="X55" s="49">
        <f>Portefeuille_MNT_PROGR_PREV[[#This Row],[AC 2024]]-Portefeuille_MNT_PROGR_PREV[[#This Row],[PREV AC 2024]]</f>
        <v>0</v>
      </c>
      <c r="Y55" s="49">
        <f>Portefeuille_MNT_PROGR_PREV[[#This Row],[TR 2024]]-Portefeuille_MNT_PROGR_PREV[[#This Row],[PREV TR 2024]]</f>
        <v>0</v>
      </c>
      <c r="Z55" s="49">
        <f>Portefeuille_MNT_PROGR_PREV[[#This Row],[ÉCART AC 2024]]+Portefeuille_MNT_PROGR_PREV[[#This Row],[ÉCART TR 2024]]</f>
        <v>0</v>
      </c>
      <c r="AA55" s="47"/>
      <c r="AB55" s="47"/>
      <c r="AC55" s="15">
        <v>601</v>
      </c>
      <c r="AD55" s="15">
        <v>624</v>
      </c>
      <c r="AE55" s="52">
        <f>Portefeuille_MNT_PROGR_PREV[[#This Row],[AC 2025]]-Portefeuille_MNT_PROGR_PREV[[#This Row],[PREV AC 2025]]</f>
        <v>-23</v>
      </c>
      <c r="AF55" s="52">
        <f>Portefeuille_MNT_PROGR_PREV[[#This Row],[TR 2025]]-Portefeuille_MNT_PROGR_PREV[[#This Row],[PREV TR 2025]]</f>
        <v>729</v>
      </c>
      <c r="AG55" s="52">
        <f>Portefeuille_MNT_PROGR_PREV[[#This Row],[ÉCART AC 2025]]+Portefeuille_MNT_PROGR_PREV[[#This Row],[ÉCART TR 2025]]</f>
        <v>706</v>
      </c>
      <c r="AH55" s="15">
        <v>11581</v>
      </c>
      <c r="AI55" s="15">
        <v>10852</v>
      </c>
      <c r="AJ55" s="55"/>
      <c r="AK55" s="55"/>
      <c r="AL55" s="56">
        <f>Portefeuille_MNT_PROGR_PREV[[#This Row],[AC 2026]]-Portefeuille_MNT_PROGR_PREV[[#This Row],[PREV AC 2026]]</f>
        <v>0</v>
      </c>
      <c r="AM55" s="56">
        <f>Portefeuille_MNT_PROGR_PREV[[#This Row],[TR 2026]]-Portefeuille_MNT_PROGR_PREV[[#This Row],[PREV TR 2026]]</f>
        <v>0</v>
      </c>
      <c r="AN55" s="56">
        <f>Portefeuille_MNT_PROGR_PREV[[#This Row],[ÉCART AC 20262]]+Portefeuille_MNT_PROGR_PREV[[#This Row],[ÉCART TR 20263]]</f>
        <v>0</v>
      </c>
      <c r="AO55" s="55"/>
      <c r="AP55" s="55"/>
    </row>
    <row r="56" spans="1:71" hidden="1" x14ac:dyDescent="0.3">
      <c r="A56" t="s">
        <v>102</v>
      </c>
      <c r="B56" t="s">
        <v>103</v>
      </c>
      <c r="C56" t="s">
        <v>662</v>
      </c>
      <c r="D56" t="s">
        <v>118</v>
      </c>
      <c r="E56" t="s">
        <v>16</v>
      </c>
      <c r="F56" t="s">
        <v>325</v>
      </c>
      <c r="G56" t="s">
        <v>131</v>
      </c>
      <c r="H56" t="s">
        <v>317</v>
      </c>
      <c r="I56" t="s">
        <v>318</v>
      </c>
      <c r="J56" t="s">
        <v>187</v>
      </c>
      <c r="L56" t="s">
        <v>291</v>
      </c>
      <c r="M56" s="1"/>
      <c r="N56" s="1"/>
      <c r="P56" s="1"/>
      <c r="S56"/>
      <c r="U56" s="60"/>
      <c r="V56" s="47">
        <v>17</v>
      </c>
      <c r="W56" s="47">
        <v>17</v>
      </c>
      <c r="X56" s="49">
        <f>Portefeuille_MNT_PROGR_PREV[[#This Row],[AC 2024]]-Portefeuille_MNT_PROGR_PREV[[#This Row],[PREV AC 2024]]</f>
        <v>0</v>
      </c>
      <c r="Y56" s="49">
        <f>Portefeuille_MNT_PROGR_PREV[[#This Row],[TR 2024]]-Portefeuille_MNT_PROGR_PREV[[#This Row],[PREV TR 2024]]</f>
        <v>0</v>
      </c>
      <c r="Z56" s="49">
        <f>Portefeuille_MNT_PROGR_PREV[[#This Row],[ÉCART AC 2024]]+Portefeuille_MNT_PROGR_PREV[[#This Row],[ÉCART TR 2024]]</f>
        <v>0</v>
      </c>
      <c r="AA56" s="47"/>
      <c r="AB56" s="47"/>
      <c r="AC56" s="15"/>
      <c r="AD56" s="15"/>
      <c r="AE56" s="52">
        <f>Portefeuille_MNT_PROGR_PREV[[#This Row],[AC 2025]]-Portefeuille_MNT_PROGR_PREV[[#This Row],[PREV AC 2025]]</f>
        <v>0</v>
      </c>
      <c r="AF56" s="52">
        <f>Portefeuille_MNT_PROGR_PREV[[#This Row],[TR 2025]]-Portefeuille_MNT_PROGR_PREV[[#This Row],[PREV TR 2025]]</f>
        <v>0</v>
      </c>
      <c r="AG56" s="52">
        <f>Portefeuille_MNT_PROGR_PREV[[#This Row],[ÉCART AC 2025]]+Portefeuille_MNT_PROGR_PREV[[#This Row],[ÉCART TR 2025]]</f>
        <v>0</v>
      </c>
      <c r="AH56" s="15"/>
      <c r="AI56" s="15"/>
      <c r="AJ56" s="55"/>
      <c r="AK56" s="55"/>
      <c r="AL56" s="56">
        <f>Portefeuille_MNT_PROGR_PREV[[#This Row],[AC 2026]]-Portefeuille_MNT_PROGR_PREV[[#This Row],[PREV AC 2026]]</f>
        <v>0</v>
      </c>
      <c r="AM56" s="56">
        <f>Portefeuille_MNT_PROGR_PREV[[#This Row],[TR 2026]]-Portefeuille_MNT_PROGR_PREV[[#This Row],[PREV TR 2026]]</f>
        <v>0</v>
      </c>
      <c r="AN56" s="56">
        <f>Portefeuille_MNT_PROGR_PREV[[#This Row],[ÉCART AC 20262]]+Portefeuille_MNT_PROGR_PREV[[#This Row],[ÉCART TR 20263]]</f>
        <v>0</v>
      </c>
      <c r="AO56" s="55"/>
      <c r="AP56" s="55"/>
    </row>
    <row r="57" spans="1:71" hidden="1" x14ac:dyDescent="0.3">
      <c r="A57" t="s">
        <v>127</v>
      </c>
      <c r="B57" t="s">
        <v>103</v>
      </c>
      <c r="C57" t="s">
        <v>295</v>
      </c>
      <c r="D57" t="s">
        <v>126</v>
      </c>
      <c r="E57" t="s">
        <v>16</v>
      </c>
      <c r="F57" t="s">
        <v>130</v>
      </c>
      <c r="G57" t="s">
        <v>131</v>
      </c>
      <c r="H57" t="s">
        <v>220</v>
      </c>
      <c r="I57" t="s">
        <v>221</v>
      </c>
      <c r="J57" t="s">
        <v>159</v>
      </c>
      <c r="K57" t="s">
        <v>104</v>
      </c>
      <c r="L57" t="s">
        <v>155</v>
      </c>
      <c r="M57" s="1">
        <v>45976</v>
      </c>
      <c r="N57" s="1">
        <v>46264</v>
      </c>
      <c r="P57" s="1">
        <v>46553</v>
      </c>
      <c r="Q57">
        <v>5</v>
      </c>
      <c r="R57">
        <v>1</v>
      </c>
      <c r="S57">
        <v>1</v>
      </c>
      <c r="U57" s="60" t="s">
        <v>197</v>
      </c>
      <c r="V57" s="47"/>
      <c r="W57" s="47"/>
      <c r="X57" s="49">
        <f>Portefeuille_MNT_PROGR_PREV[[#This Row],[AC 2024]]-Portefeuille_MNT_PROGR_PREV[[#This Row],[PREV AC 2024]]</f>
        <v>0</v>
      </c>
      <c r="Y57" s="49">
        <f>Portefeuille_MNT_PROGR_PREV[[#This Row],[TR 2024]]-Portefeuille_MNT_PROGR_PREV[[#This Row],[PREV TR 2024]]</f>
        <v>0</v>
      </c>
      <c r="Z57" s="49">
        <f>Portefeuille_MNT_PROGR_PREV[[#This Row],[ÉCART AC 2024]]+Portefeuille_MNT_PROGR_PREV[[#This Row],[ÉCART TR 2024]]</f>
        <v>0</v>
      </c>
      <c r="AA57" s="47"/>
      <c r="AB57" s="47"/>
      <c r="AC57" s="15">
        <v>130</v>
      </c>
      <c r="AD57" s="15">
        <v>43</v>
      </c>
      <c r="AE57" s="52">
        <f>Portefeuille_MNT_PROGR_PREV[[#This Row],[AC 2025]]-Portefeuille_MNT_PROGR_PREV[[#This Row],[PREV AC 2025]]</f>
        <v>87</v>
      </c>
      <c r="AF57" s="52">
        <f>Portefeuille_MNT_PROGR_PREV[[#This Row],[TR 2025]]-Portefeuille_MNT_PROGR_PREV[[#This Row],[PREV TR 2025]]</f>
        <v>0</v>
      </c>
      <c r="AG57" s="52">
        <f>Portefeuille_MNT_PROGR_PREV[[#This Row],[ÉCART AC 2025]]+Portefeuille_MNT_PROGR_PREV[[#This Row],[ÉCART TR 2025]]</f>
        <v>87</v>
      </c>
      <c r="AH57" s="15"/>
      <c r="AI57" s="15"/>
      <c r="AJ57" s="55">
        <v>125</v>
      </c>
      <c r="AK57" s="55">
        <v>130</v>
      </c>
      <c r="AL57" s="56">
        <f>Portefeuille_MNT_PROGR_PREV[[#This Row],[AC 2026]]-Portefeuille_MNT_PROGR_PREV[[#This Row],[PREV AC 2026]]</f>
        <v>-5</v>
      </c>
      <c r="AM57" s="56">
        <f>Portefeuille_MNT_PROGR_PREV[[#This Row],[TR 2026]]-Portefeuille_MNT_PROGR_PREV[[#This Row],[PREV TR 2026]]</f>
        <v>0</v>
      </c>
      <c r="AN57" s="56">
        <f>Portefeuille_MNT_PROGR_PREV[[#This Row],[ÉCART AC 20262]]+Portefeuille_MNT_PROGR_PREV[[#This Row],[ÉCART TR 20263]]</f>
        <v>-5</v>
      </c>
      <c r="AO57" s="55"/>
      <c r="AP57" s="55"/>
      <c r="AQ57">
        <v>100</v>
      </c>
      <c r="AR57">
        <v>94</v>
      </c>
      <c r="AU57">
        <v>70</v>
      </c>
      <c r="AV57">
        <v>235</v>
      </c>
      <c r="AW57">
        <v>14000</v>
      </c>
      <c r="AY57">
        <v>55</v>
      </c>
      <c r="AZ57">
        <v>235</v>
      </c>
      <c r="BA57">
        <v>16662</v>
      </c>
    </row>
    <row r="58" spans="1:71" x14ac:dyDescent="0.3">
      <c r="A58" t="s">
        <v>127</v>
      </c>
      <c r="B58" t="s">
        <v>177</v>
      </c>
      <c r="C58" t="s">
        <v>295</v>
      </c>
      <c r="D58" t="s">
        <v>126</v>
      </c>
      <c r="E58" t="s">
        <v>16</v>
      </c>
      <c r="F58" t="s">
        <v>16</v>
      </c>
      <c r="G58" t="s">
        <v>223</v>
      </c>
      <c r="H58" t="s">
        <v>224</v>
      </c>
      <c r="I58" t="s">
        <v>520</v>
      </c>
      <c r="J58" t="s">
        <v>180</v>
      </c>
      <c r="K58" t="s">
        <v>206</v>
      </c>
      <c r="L58" t="s">
        <v>123</v>
      </c>
      <c r="M58" s="1">
        <v>44623</v>
      </c>
      <c r="N58" s="1">
        <v>45698</v>
      </c>
      <c r="P58" s="1">
        <v>46341</v>
      </c>
      <c r="Q58">
        <v>5</v>
      </c>
      <c r="R58">
        <v>5</v>
      </c>
      <c r="S58">
        <v>1</v>
      </c>
      <c r="U58" s="60" t="s">
        <v>109</v>
      </c>
      <c r="V58" s="47">
        <v>53</v>
      </c>
      <c r="W58" s="47">
        <v>52</v>
      </c>
      <c r="X58" s="49">
        <f>Portefeuille_MNT_PROGR_PREV[[#This Row],[AC 2024]]-Portefeuille_MNT_PROGR_PREV[[#This Row],[PREV AC 2024]]</f>
        <v>1</v>
      </c>
      <c r="Y58" s="49">
        <f>Portefeuille_MNT_PROGR_PREV[[#This Row],[TR 2024]]-Portefeuille_MNT_PROGR_PREV[[#This Row],[PREV TR 2024]]</f>
        <v>0</v>
      </c>
      <c r="Z58" s="49">
        <f>Portefeuille_MNT_PROGR_PREV[[#This Row],[ÉCART AC 2024]]+Portefeuille_MNT_PROGR_PREV[[#This Row],[ÉCART TR 2024]]</f>
        <v>1</v>
      </c>
      <c r="AA58" s="47"/>
      <c r="AB58" s="47"/>
      <c r="AC58" s="15">
        <v>150</v>
      </c>
      <c r="AD58" s="15">
        <v>348</v>
      </c>
      <c r="AE58" s="52">
        <f>Portefeuille_MNT_PROGR_PREV[[#This Row],[AC 2025]]-Portefeuille_MNT_PROGR_PREV[[#This Row],[PREV AC 2025]]</f>
        <v>-198</v>
      </c>
      <c r="AF58" s="52">
        <f>Portefeuille_MNT_PROGR_PREV[[#This Row],[TR 2025]]-Portefeuille_MNT_PROGR_PREV[[#This Row],[PREV TR 2025]]</f>
        <v>0</v>
      </c>
      <c r="AG58" s="52">
        <f>Portefeuille_MNT_PROGR_PREV[[#This Row],[ÉCART AC 2025]]+Portefeuille_MNT_PROGR_PREV[[#This Row],[ÉCART TR 2025]]</f>
        <v>-198</v>
      </c>
      <c r="AH58" s="15"/>
      <c r="AI58" s="15"/>
      <c r="AJ58" s="55">
        <v>133</v>
      </c>
      <c r="AK58" s="55">
        <v>52</v>
      </c>
      <c r="AL58" s="56">
        <f>Portefeuille_MNT_PROGR_PREV[[#This Row],[AC 2026]]-Portefeuille_MNT_PROGR_PREV[[#This Row],[PREV AC 2026]]</f>
        <v>81</v>
      </c>
      <c r="AM58" s="56">
        <f>Portefeuille_MNT_PROGR_PREV[[#This Row],[TR 2026]]-Portefeuille_MNT_PROGR_PREV[[#This Row],[PREV TR 2026]]</f>
        <v>2.9999999999999432</v>
      </c>
      <c r="AN58" s="56">
        <f>Portefeuille_MNT_PROGR_PREV[[#This Row],[ÉCART AC 20262]]+Portefeuille_MNT_PROGR_PREV[[#This Row],[ÉCART TR 20263]]</f>
        <v>83.999999999999943</v>
      </c>
      <c r="AO58" s="55">
        <v>354.99999999999994</v>
      </c>
      <c r="AP58" s="55">
        <v>352</v>
      </c>
      <c r="AQ58">
        <v>53.000000000000007</v>
      </c>
      <c r="AR58">
        <v>52</v>
      </c>
      <c r="AS58">
        <v>1610</v>
      </c>
      <c r="AT58">
        <v>1612</v>
      </c>
      <c r="AU58">
        <v>159</v>
      </c>
      <c r="AV58">
        <v>104</v>
      </c>
      <c r="AW58">
        <v>4929</v>
      </c>
      <c r="AX58">
        <v>4928</v>
      </c>
      <c r="AY58">
        <v>212</v>
      </c>
      <c r="AZ58">
        <v>212</v>
      </c>
      <c r="BA58">
        <v>6707.0000000000018</v>
      </c>
      <c r="BB58">
        <v>6712</v>
      </c>
      <c r="BC58">
        <v>261</v>
      </c>
      <c r="BD58">
        <v>260</v>
      </c>
      <c r="BE58">
        <v>6846.0000000000018</v>
      </c>
      <c r="BF58">
        <v>6848</v>
      </c>
    </row>
    <row r="59" spans="1:71" hidden="1" x14ac:dyDescent="0.3">
      <c r="A59" t="s">
        <v>102</v>
      </c>
      <c r="B59" t="s">
        <v>103</v>
      </c>
      <c r="C59" t="s">
        <v>662</v>
      </c>
      <c r="D59" t="s">
        <v>118</v>
      </c>
      <c r="E59" t="s">
        <v>16</v>
      </c>
      <c r="F59" t="s">
        <v>16</v>
      </c>
      <c r="G59" t="s">
        <v>131</v>
      </c>
      <c r="H59" t="s">
        <v>319</v>
      </c>
      <c r="I59" t="s">
        <v>320</v>
      </c>
      <c r="J59" t="s">
        <v>159</v>
      </c>
      <c r="K59" t="s">
        <v>104</v>
      </c>
      <c r="L59" t="s">
        <v>164</v>
      </c>
      <c r="M59" s="1">
        <v>44063</v>
      </c>
      <c r="N59" s="1">
        <v>44488</v>
      </c>
      <c r="P59" s="1">
        <v>44602</v>
      </c>
      <c r="Q59">
        <v>5</v>
      </c>
      <c r="R59">
        <v>5</v>
      </c>
      <c r="S59">
        <v>5</v>
      </c>
      <c r="U59" s="60"/>
      <c r="V59" s="47">
        <v>24</v>
      </c>
      <c r="W59" s="47">
        <v>24</v>
      </c>
      <c r="X59" s="49">
        <f>Portefeuille_MNT_PROGR_PREV[[#This Row],[AC 2024]]-Portefeuille_MNT_PROGR_PREV[[#This Row],[PREV AC 2024]]</f>
        <v>0</v>
      </c>
      <c r="Y59" s="49">
        <f>Portefeuille_MNT_PROGR_PREV[[#This Row],[TR 2024]]-Portefeuille_MNT_PROGR_PREV[[#This Row],[PREV TR 2024]]</f>
        <v>0</v>
      </c>
      <c r="Z59" s="49">
        <f>Portefeuille_MNT_PROGR_PREV[[#This Row],[ÉCART AC 2024]]+Portefeuille_MNT_PROGR_PREV[[#This Row],[ÉCART TR 2024]]</f>
        <v>0</v>
      </c>
      <c r="AA59" s="47"/>
      <c r="AB59" s="47"/>
      <c r="AC59" s="15">
        <v>28</v>
      </c>
      <c r="AD59" s="15">
        <v>0</v>
      </c>
      <c r="AE59" s="52">
        <f>Portefeuille_MNT_PROGR_PREV[[#This Row],[AC 2025]]-Portefeuille_MNT_PROGR_PREV[[#This Row],[PREV AC 2025]]</f>
        <v>28</v>
      </c>
      <c r="AF59" s="52">
        <f>Portefeuille_MNT_PROGR_PREV[[#This Row],[TR 2025]]-Portefeuille_MNT_PROGR_PREV[[#This Row],[PREV TR 2025]]</f>
        <v>0</v>
      </c>
      <c r="AG59" s="52">
        <f>Portefeuille_MNT_PROGR_PREV[[#This Row],[ÉCART AC 2025]]+Portefeuille_MNT_PROGR_PREV[[#This Row],[ÉCART TR 2025]]</f>
        <v>28</v>
      </c>
      <c r="AH59" s="15"/>
      <c r="AI59" s="15"/>
      <c r="AJ59" s="55"/>
      <c r="AK59" s="55"/>
      <c r="AL59" s="56">
        <f>Portefeuille_MNT_PROGR_PREV[[#This Row],[AC 2026]]-Portefeuille_MNT_PROGR_PREV[[#This Row],[PREV AC 2026]]</f>
        <v>0</v>
      </c>
      <c r="AM59" s="56">
        <f>Portefeuille_MNT_PROGR_PREV[[#This Row],[TR 2026]]-Portefeuille_MNT_PROGR_PREV[[#This Row],[PREV TR 2026]]</f>
        <v>0</v>
      </c>
      <c r="AN59" s="56">
        <f>Portefeuille_MNT_PROGR_PREV[[#This Row],[ÉCART AC 20262]]+Portefeuille_MNT_PROGR_PREV[[#This Row],[ÉCART TR 20263]]</f>
        <v>0</v>
      </c>
      <c r="AO59" s="55"/>
      <c r="AP59" s="55"/>
    </row>
    <row r="60" spans="1:71" hidden="1" x14ac:dyDescent="0.3">
      <c r="A60" t="s">
        <v>127</v>
      </c>
      <c r="B60" t="s">
        <v>136</v>
      </c>
      <c r="C60" t="s">
        <v>295</v>
      </c>
      <c r="D60" t="s">
        <v>126</v>
      </c>
      <c r="E60" t="s">
        <v>16</v>
      </c>
      <c r="F60" t="s">
        <v>20</v>
      </c>
      <c r="G60" t="s">
        <v>131</v>
      </c>
      <c r="H60" t="s">
        <v>226</v>
      </c>
      <c r="I60" t="s">
        <v>227</v>
      </c>
      <c r="J60" t="s">
        <v>139</v>
      </c>
      <c r="K60" t="s">
        <v>113</v>
      </c>
      <c r="L60" t="s">
        <v>110</v>
      </c>
      <c r="M60" s="1">
        <v>45330</v>
      </c>
      <c r="N60" s="1">
        <v>46690</v>
      </c>
      <c r="P60" s="1">
        <v>47376</v>
      </c>
      <c r="Q60">
        <v>5</v>
      </c>
      <c r="R60">
        <v>1</v>
      </c>
      <c r="S60">
        <v>1</v>
      </c>
      <c r="U60" s="60" t="s">
        <v>184</v>
      </c>
      <c r="V60" s="47">
        <v>35</v>
      </c>
      <c r="W60" s="47">
        <v>35</v>
      </c>
      <c r="X60" s="49">
        <f>Portefeuille_MNT_PROGR_PREV[[#This Row],[AC 2024]]-Portefeuille_MNT_PROGR_PREV[[#This Row],[PREV AC 2024]]</f>
        <v>0</v>
      </c>
      <c r="Y60" s="49">
        <f>Portefeuille_MNT_PROGR_PREV[[#This Row],[TR 2024]]-Portefeuille_MNT_PROGR_PREV[[#This Row],[PREV TR 2024]]</f>
        <v>0</v>
      </c>
      <c r="Z60" s="49">
        <f>Portefeuille_MNT_PROGR_PREV[[#This Row],[ÉCART AC 2024]]+Portefeuille_MNT_PROGR_PREV[[#This Row],[ÉCART TR 2024]]</f>
        <v>0</v>
      </c>
      <c r="AA60" s="47"/>
      <c r="AB60" s="47"/>
      <c r="AC60" s="15">
        <v>100</v>
      </c>
      <c r="AD60" s="15">
        <v>25</v>
      </c>
      <c r="AE60" s="52">
        <f>Portefeuille_MNT_PROGR_PREV[[#This Row],[AC 2025]]-Portefeuille_MNT_PROGR_PREV[[#This Row],[PREV AC 2025]]</f>
        <v>75</v>
      </c>
      <c r="AF60" s="52">
        <f>Portefeuille_MNT_PROGR_PREV[[#This Row],[TR 2025]]-Portefeuille_MNT_PROGR_PREV[[#This Row],[PREV TR 2025]]</f>
        <v>0</v>
      </c>
      <c r="AG60" s="52">
        <f>Portefeuille_MNT_PROGR_PREV[[#This Row],[ÉCART AC 2025]]+Portefeuille_MNT_PROGR_PREV[[#This Row],[ÉCART TR 2025]]</f>
        <v>75</v>
      </c>
      <c r="AH60" s="15"/>
      <c r="AI60" s="15"/>
      <c r="AJ60" s="55">
        <v>288</v>
      </c>
      <c r="AK60" s="55">
        <v>475</v>
      </c>
      <c r="AL60" s="56">
        <f>Portefeuille_MNT_PROGR_PREV[[#This Row],[AC 2026]]-Portefeuille_MNT_PROGR_PREV[[#This Row],[PREV AC 2026]]</f>
        <v>-187</v>
      </c>
      <c r="AM60" s="56">
        <f>Portefeuille_MNT_PROGR_PREV[[#This Row],[TR 2026]]-Portefeuille_MNT_PROGR_PREV[[#This Row],[PREV TR 2026]]</f>
        <v>0</v>
      </c>
      <c r="AN60" s="56">
        <f>Portefeuille_MNT_PROGR_PREV[[#This Row],[ÉCART AC 20262]]+Portefeuille_MNT_PROGR_PREV[[#This Row],[ÉCART TR 20263]]</f>
        <v>-187</v>
      </c>
      <c r="AO60" s="55"/>
      <c r="AP60" s="55"/>
      <c r="AQ60">
        <v>475</v>
      </c>
      <c r="AR60">
        <v>475</v>
      </c>
      <c r="AU60">
        <v>475</v>
      </c>
      <c r="AV60">
        <v>2087</v>
      </c>
      <c r="AY60">
        <v>573</v>
      </c>
      <c r="AZ60">
        <v>573</v>
      </c>
      <c r="BC60">
        <v>1000</v>
      </c>
      <c r="BD60">
        <v>2087</v>
      </c>
      <c r="BE60">
        <v>4362</v>
      </c>
      <c r="BG60">
        <v>1087</v>
      </c>
      <c r="BI60">
        <v>12800</v>
      </c>
    </row>
    <row r="61" spans="1:71" hidden="1" x14ac:dyDescent="0.3">
      <c r="A61" t="s">
        <v>102</v>
      </c>
      <c r="B61" t="s">
        <v>103</v>
      </c>
      <c r="C61" t="s">
        <v>662</v>
      </c>
      <c r="D61" t="s">
        <v>118</v>
      </c>
      <c r="E61" t="s">
        <v>16</v>
      </c>
      <c r="F61" t="s">
        <v>325</v>
      </c>
      <c r="G61" t="s">
        <v>131</v>
      </c>
      <c r="H61" t="s">
        <v>321</v>
      </c>
      <c r="I61" t="s">
        <v>525</v>
      </c>
      <c r="J61" t="s">
        <v>147</v>
      </c>
      <c r="L61" t="s">
        <v>291</v>
      </c>
      <c r="M61" s="1"/>
      <c r="N61" s="1"/>
      <c r="P61" s="1"/>
      <c r="S61"/>
      <c r="U61" s="60"/>
      <c r="V61" s="47"/>
      <c r="W61" s="47"/>
      <c r="X61" s="49">
        <f>Portefeuille_MNT_PROGR_PREV[[#This Row],[AC 2024]]-Portefeuille_MNT_PROGR_PREV[[#This Row],[PREV AC 2024]]</f>
        <v>0</v>
      </c>
      <c r="Y61" s="49">
        <f>Portefeuille_MNT_PROGR_PREV[[#This Row],[TR 2024]]-Portefeuille_MNT_PROGR_PREV[[#This Row],[PREV TR 2024]]</f>
        <v>0</v>
      </c>
      <c r="Z61" s="49">
        <f>Portefeuille_MNT_PROGR_PREV[[#This Row],[ÉCART AC 2024]]+Portefeuille_MNT_PROGR_PREV[[#This Row],[ÉCART TR 2024]]</f>
        <v>0</v>
      </c>
      <c r="AA61" s="47"/>
      <c r="AB61" s="47"/>
      <c r="AC61" s="15">
        <v>3</v>
      </c>
      <c r="AD61" s="15">
        <v>3</v>
      </c>
      <c r="AE61" s="52">
        <f>Portefeuille_MNT_PROGR_PREV[[#This Row],[AC 2025]]-Portefeuille_MNT_PROGR_PREV[[#This Row],[PREV AC 2025]]</f>
        <v>0</v>
      </c>
      <c r="AF61" s="52">
        <f>Portefeuille_MNT_PROGR_PREV[[#This Row],[TR 2025]]-Portefeuille_MNT_PROGR_PREV[[#This Row],[PREV TR 2025]]</f>
        <v>0</v>
      </c>
      <c r="AG61" s="52">
        <f>Portefeuille_MNT_PROGR_PREV[[#This Row],[ÉCART AC 2025]]+Portefeuille_MNT_PROGR_PREV[[#This Row],[ÉCART TR 2025]]</f>
        <v>0</v>
      </c>
      <c r="AH61" s="15"/>
      <c r="AI61" s="15"/>
      <c r="AJ61" s="55"/>
      <c r="AK61" s="55"/>
      <c r="AL61" s="56">
        <f>Portefeuille_MNT_PROGR_PREV[[#This Row],[AC 2026]]-Portefeuille_MNT_PROGR_PREV[[#This Row],[PREV AC 2026]]</f>
        <v>0</v>
      </c>
      <c r="AM61" s="56">
        <f>Portefeuille_MNT_PROGR_PREV[[#This Row],[TR 2026]]-Portefeuille_MNT_PROGR_PREV[[#This Row],[PREV TR 2026]]</f>
        <v>0</v>
      </c>
      <c r="AN61" s="56">
        <f>Portefeuille_MNT_PROGR_PREV[[#This Row],[ÉCART AC 20262]]+Portefeuille_MNT_PROGR_PREV[[#This Row],[ÉCART TR 20263]]</f>
        <v>0</v>
      </c>
      <c r="AO61" s="55"/>
      <c r="AP61" s="55"/>
    </row>
    <row r="62" spans="1:71" hidden="1" x14ac:dyDescent="0.3">
      <c r="A62" t="s">
        <v>127</v>
      </c>
      <c r="B62" t="s">
        <v>103</v>
      </c>
      <c r="C62" t="s">
        <v>295</v>
      </c>
      <c r="D62" t="s">
        <v>126</v>
      </c>
      <c r="E62" t="s">
        <v>16</v>
      </c>
      <c r="F62" t="s">
        <v>16</v>
      </c>
      <c r="G62" t="s">
        <v>131</v>
      </c>
      <c r="H62" t="s">
        <v>145</v>
      </c>
      <c r="I62" t="s">
        <v>146</v>
      </c>
      <c r="J62" t="s">
        <v>147</v>
      </c>
      <c r="K62" t="s">
        <v>144</v>
      </c>
      <c r="L62" t="s">
        <v>110</v>
      </c>
      <c r="M62" s="1">
        <v>44609</v>
      </c>
      <c r="N62" s="1">
        <v>46310</v>
      </c>
      <c r="P62" s="1">
        <v>46583</v>
      </c>
      <c r="Q62">
        <v>5</v>
      </c>
      <c r="R62">
        <v>1</v>
      </c>
      <c r="S62">
        <v>1</v>
      </c>
      <c r="U62" s="60" t="s">
        <v>109</v>
      </c>
      <c r="V62" s="47">
        <v>84</v>
      </c>
      <c r="W62" s="47">
        <v>84</v>
      </c>
      <c r="X62" s="49">
        <f>Portefeuille_MNT_PROGR_PREV[[#This Row],[AC 2024]]-Portefeuille_MNT_PROGR_PREV[[#This Row],[PREV AC 2024]]</f>
        <v>0</v>
      </c>
      <c r="Y62" s="49">
        <f>Portefeuille_MNT_PROGR_PREV[[#This Row],[TR 2024]]-Portefeuille_MNT_PROGR_PREV[[#This Row],[PREV TR 2024]]</f>
        <v>0</v>
      </c>
      <c r="Z62" s="49">
        <f>Portefeuille_MNT_PROGR_PREV[[#This Row],[ÉCART AC 2024]]+Portefeuille_MNT_PROGR_PREV[[#This Row],[ÉCART TR 2024]]</f>
        <v>0</v>
      </c>
      <c r="AA62" s="47"/>
      <c r="AB62" s="47"/>
      <c r="AC62" s="15">
        <v>105</v>
      </c>
      <c r="AD62" s="15">
        <v>195</v>
      </c>
      <c r="AE62" s="52">
        <f>Portefeuille_MNT_PROGR_PREV[[#This Row],[AC 2025]]-Portefeuille_MNT_PROGR_PREV[[#This Row],[PREV AC 2025]]</f>
        <v>-90</v>
      </c>
      <c r="AF62" s="52">
        <f>Portefeuille_MNT_PROGR_PREV[[#This Row],[TR 2025]]-Portefeuille_MNT_PROGR_PREV[[#This Row],[PREV TR 2025]]</f>
        <v>0</v>
      </c>
      <c r="AG62" s="52">
        <f>Portefeuille_MNT_PROGR_PREV[[#This Row],[ÉCART AC 2025]]+Portefeuille_MNT_PROGR_PREV[[#This Row],[ÉCART TR 2025]]</f>
        <v>-90</v>
      </c>
      <c r="AH62" s="15"/>
      <c r="AI62" s="15"/>
      <c r="AJ62" s="55">
        <v>417</v>
      </c>
      <c r="AK62" s="55">
        <v>423</v>
      </c>
      <c r="AL62" s="56">
        <f>Portefeuille_MNT_PROGR_PREV[[#This Row],[AC 2026]]-Portefeuille_MNT_PROGR_PREV[[#This Row],[PREV AC 2026]]</f>
        <v>-6</v>
      </c>
      <c r="AM62" s="56">
        <f>Portefeuille_MNT_PROGR_PREV[[#This Row],[TR 2026]]-Portefeuille_MNT_PROGR_PREV[[#This Row],[PREV TR 2026]]</f>
        <v>0</v>
      </c>
      <c r="AN62" s="56">
        <f>Portefeuille_MNT_PROGR_PREV[[#This Row],[ÉCART AC 20262]]+Portefeuille_MNT_PROGR_PREV[[#This Row],[ÉCART TR 20263]]</f>
        <v>-6</v>
      </c>
      <c r="AO62" s="55">
        <v>9684</v>
      </c>
      <c r="AP62" s="55">
        <v>9684</v>
      </c>
    </row>
    <row r="63" spans="1:71" hidden="1" x14ac:dyDescent="0.3">
      <c r="A63" t="s">
        <v>102</v>
      </c>
      <c r="B63" t="s">
        <v>103</v>
      </c>
      <c r="C63" t="s">
        <v>662</v>
      </c>
      <c r="D63" t="s">
        <v>118</v>
      </c>
      <c r="E63" t="s">
        <v>20</v>
      </c>
      <c r="F63" t="s">
        <v>20</v>
      </c>
      <c r="G63" t="s">
        <v>131</v>
      </c>
      <c r="H63" t="s">
        <v>418</v>
      </c>
      <c r="I63" t="s">
        <v>530</v>
      </c>
      <c r="J63" t="s">
        <v>420</v>
      </c>
      <c r="L63" t="s">
        <v>291</v>
      </c>
      <c r="M63" s="1"/>
      <c r="N63" s="1"/>
      <c r="P63" s="1"/>
      <c r="S63"/>
      <c r="U63" s="60" t="s">
        <v>421</v>
      </c>
      <c r="V63" s="47"/>
      <c r="W63" s="47"/>
      <c r="X63" s="49">
        <f>Portefeuille_MNT_PROGR_PREV[[#This Row],[AC 2024]]-Portefeuille_MNT_PROGR_PREV[[#This Row],[PREV AC 2024]]</f>
        <v>0</v>
      </c>
      <c r="Y63" s="49">
        <f>Portefeuille_MNT_PROGR_PREV[[#This Row],[TR 2024]]-Portefeuille_MNT_PROGR_PREV[[#This Row],[PREV TR 2024]]</f>
        <v>0</v>
      </c>
      <c r="Z63" s="49">
        <f>Portefeuille_MNT_PROGR_PREV[[#This Row],[ÉCART AC 2024]]+Portefeuille_MNT_PROGR_PREV[[#This Row],[ÉCART TR 2024]]</f>
        <v>0</v>
      </c>
      <c r="AA63" s="47"/>
      <c r="AB63" s="47"/>
      <c r="AC63" s="15"/>
      <c r="AD63" s="15"/>
      <c r="AE63" s="52">
        <f>Portefeuille_MNT_PROGR_PREV[[#This Row],[AC 2025]]-Portefeuille_MNT_PROGR_PREV[[#This Row],[PREV AC 2025]]</f>
        <v>0</v>
      </c>
      <c r="AF63" s="52">
        <f>Portefeuille_MNT_PROGR_PREV[[#This Row],[TR 2025]]-Portefeuille_MNT_PROGR_PREV[[#This Row],[PREV TR 2025]]</f>
        <v>0</v>
      </c>
      <c r="AG63" s="52">
        <f>Portefeuille_MNT_PROGR_PREV[[#This Row],[ÉCART AC 2025]]+Portefeuille_MNT_PROGR_PREV[[#This Row],[ÉCART TR 2025]]</f>
        <v>0</v>
      </c>
      <c r="AH63" s="15"/>
      <c r="AI63" s="15"/>
      <c r="AJ63" s="55"/>
      <c r="AK63" s="55"/>
      <c r="AL63" s="56">
        <f>Portefeuille_MNT_PROGR_PREV[[#This Row],[AC 2026]]-Portefeuille_MNT_PROGR_PREV[[#This Row],[PREV AC 2026]]</f>
        <v>0</v>
      </c>
      <c r="AM63" s="56">
        <f>Portefeuille_MNT_PROGR_PREV[[#This Row],[TR 2026]]-Portefeuille_MNT_PROGR_PREV[[#This Row],[PREV TR 2026]]</f>
        <v>0</v>
      </c>
      <c r="AN63" s="56">
        <f>Portefeuille_MNT_PROGR_PREV[[#This Row],[ÉCART AC 20262]]+Portefeuille_MNT_PROGR_PREV[[#This Row],[ÉCART TR 20263]]</f>
        <v>0</v>
      </c>
      <c r="AO63" s="55"/>
      <c r="AP63" s="55"/>
      <c r="BC63">
        <v>100</v>
      </c>
      <c r="BG63">
        <v>200</v>
      </c>
      <c r="BK63">
        <v>450</v>
      </c>
      <c r="BM63">
        <v>7500</v>
      </c>
    </row>
    <row r="64" spans="1:71" hidden="1" x14ac:dyDescent="0.3">
      <c r="A64" t="s">
        <v>127</v>
      </c>
      <c r="B64" t="s">
        <v>136</v>
      </c>
      <c r="C64" t="s">
        <v>295</v>
      </c>
      <c r="D64" t="s">
        <v>126</v>
      </c>
      <c r="E64" t="s">
        <v>16</v>
      </c>
      <c r="F64" t="s">
        <v>20</v>
      </c>
      <c r="G64" t="s">
        <v>131</v>
      </c>
      <c r="H64" t="s">
        <v>231</v>
      </c>
      <c r="I64" t="s">
        <v>232</v>
      </c>
      <c r="J64" t="s">
        <v>147</v>
      </c>
      <c r="K64" t="s">
        <v>144</v>
      </c>
      <c r="L64" t="s">
        <v>110</v>
      </c>
      <c r="M64" s="1">
        <v>45099</v>
      </c>
      <c r="N64" s="1">
        <v>46037</v>
      </c>
      <c r="P64" s="1">
        <v>46283</v>
      </c>
      <c r="Q64">
        <v>5</v>
      </c>
      <c r="R64">
        <v>1</v>
      </c>
      <c r="S64">
        <v>1</v>
      </c>
      <c r="U64" s="60" t="s">
        <v>173</v>
      </c>
      <c r="V64" s="47">
        <v>21</v>
      </c>
      <c r="W64" s="47">
        <v>21</v>
      </c>
      <c r="X64" s="49">
        <f>Portefeuille_MNT_PROGR_PREV[[#This Row],[AC 2024]]-Portefeuille_MNT_PROGR_PREV[[#This Row],[PREV AC 2024]]</f>
        <v>0</v>
      </c>
      <c r="Y64" s="49">
        <f>Portefeuille_MNT_PROGR_PREV[[#This Row],[TR 2024]]-Portefeuille_MNT_PROGR_PREV[[#This Row],[PREV TR 2024]]</f>
        <v>0</v>
      </c>
      <c r="Z64" s="49">
        <f>Portefeuille_MNT_PROGR_PREV[[#This Row],[ÉCART AC 2024]]+Portefeuille_MNT_PROGR_PREV[[#This Row],[ÉCART TR 2024]]</f>
        <v>0</v>
      </c>
      <c r="AA64" s="47"/>
      <c r="AB64" s="47"/>
      <c r="AC64" s="15">
        <v>672</v>
      </c>
      <c r="AD64" s="15">
        <v>631</v>
      </c>
      <c r="AE64" s="52">
        <f>Portefeuille_MNT_PROGR_PREV[[#This Row],[AC 2025]]-Portefeuille_MNT_PROGR_PREV[[#This Row],[PREV AC 2025]]</f>
        <v>41</v>
      </c>
      <c r="AF64" s="52">
        <f>Portefeuille_MNT_PROGR_PREV[[#This Row],[TR 2025]]-Portefeuille_MNT_PROGR_PREV[[#This Row],[PREV TR 2025]]</f>
        <v>0</v>
      </c>
      <c r="AG64" s="52">
        <f>Portefeuille_MNT_PROGR_PREV[[#This Row],[ÉCART AC 2025]]+Portefeuille_MNT_PROGR_PREV[[#This Row],[ÉCART TR 2025]]</f>
        <v>41</v>
      </c>
      <c r="AH64" s="15"/>
      <c r="AI64" s="15"/>
      <c r="AJ64" s="55">
        <v>553</v>
      </c>
      <c r="AK64" s="55">
        <v>457</v>
      </c>
      <c r="AL64" s="56">
        <f>Portefeuille_MNT_PROGR_PREV[[#This Row],[AC 2026]]-Portefeuille_MNT_PROGR_PREV[[#This Row],[PREV AC 2026]]</f>
        <v>96</v>
      </c>
      <c r="AM64" s="56">
        <f>Portefeuille_MNT_PROGR_PREV[[#This Row],[TR 2026]]-Portefeuille_MNT_PROGR_PREV[[#This Row],[PREV TR 2026]]</f>
        <v>0</v>
      </c>
      <c r="AN64" s="56">
        <f>Portefeuille_MNT_PROGR_PREV[[#This Row],[ÉCART AC 20262]]+Portefeuille_MNT_PROGR_PREV[[#This Row],[ÉCART TR 20263]]</f>
        <v>96</v>
      </c>
      <c r="AO64" s="55"/>
      <c r="AP64" s="55"/>
      <c r="AQ64">
        <v>1175</v>
      </c>
      <c r="AR64">
        <v>987</v>
      </c>
      <c r="AS64">
        <v>6475</v>
      </c>
      <c r="AU64">
        <v>1602</v>
      </c>
      <c r="AV64">
        <v>987</v>
      </c>
      <c r="AW64">
        <v>6677</v>
      </c>
    </row>
    <row r="65" spans="1:69" hidden="1" x14ac:dyDescent="0.3">
      <c r="A65" t="s">
        <v>127</v>
      </c>
      <c r="B65" t="s">
        <v>128</v>
      </c>
      <c r="C65" t="s">
        <v>295</v>
      </c>
      <c r="D65" t="s">
        <v>126</v>
      </c>
      <c r="E65" t="s">
        <v>16</v>
      </c>
      <c r="F65" t="s">
        <v>16</v>
      </c>
      <c r="G65" t="s">
        <v>131</v>
      </c>
      <c r="H65" t="s">
        <v>323</v>
      </c>
      <c r="I65" t="s">
        <v>324</v>
      </c>
      <c r="J65" t="s">
        <v>214</v>
      </c>
      <c r="K65" t="s">
        <v>129</v>
      </c>
      <c r="L65" t="s">
        <v>164</v>
      </c>
      <c r="M65" s="1">
        <v>44644</v>
      </c>
      <c r="N65" s="1">
        <v>44995</v>
      </c>
      <c r="P65" s="1">
        <v>45061</v>
      </c>
      <c r="Q65">
        <v>5</v>
      </c>
      <c r="R65">
        <v>5</v>
      </c>
      <c r="S65">
        <v>5</v>
      </c>
      <c r="U65" s="60"/>
      <c r="V65" s="47">
        <v>46</v>
      </c>
      <c r="W65" s="47">
        <v>46</v>
      </c>
      <c r="X65" s="49">
        <f>Portefeuille_MNT_PROGR_PREV[[#This Row],[AC 2024]]-Portefeuille_MNT_PROGR_PREV[[#This Row],[PREV AC 2024]]</f>
        <v>0</v>
      </c>
      <c r="Y65" s="49">
        <f>Portefeuille_MNT_PROGR_PREV[[#This Row],[TR 2024]]-Portefeuille_MNT_PROGR_PREV[[#This Row],[PREV TR 2024]]</f>
        <v>0</v>
      </c>
      <c r="Z65" s="49">
        <f>Portefeuille_MNT_PROGR_PREV[[#This Row],[ÉCART AC 2024]]+Portefeuille_MNT_PROGR_PREV[[#This Row],[ÉCART TR 2024]]</f>
        <v>0</v>
      </c>
      <c r="AA65" s="47">
        <v>141</v>
      </c>
      <c r="AB65" s="47">
        <v>141</v>
      </c>
      <c r="AC65" s="15"/>
      <c r="AD65" s="15"/>
      <c r="AE65" s="52">
        <f>Portefeuille_MNT_PROGR_PREV[[#This Row],[AC 2025]]-Portefeuille_MNT_PROGR_PREV[[#This Row],[PREV AC 2025]]</f>
        <v>0</v>
      </c>
      <c r="AF65" s="52">
        <f>Portefeuille_MNT_PROGR_PREV[[#This Row],[TR 2025]]-Portefeuille_MNT_PROGR_PREV[[#This Row],[PREV TR 2025]]</f>
        <v>0</v>
      </c>
      <c r="AG65" s="52">
        <f>Portefeuille_MNT_PROGR_PREV[[#This Row],[ÉCART AC 2025]]+Portefeuille_MNT_PROGR_PREV[[#This Row],[ÉCART TR 2025]]</f>
        <v>0</v>
      </c>
      <c r="AH65" s="15"/>
      <c r="AI65" s="15"/>
      <c r="AJ65" s="55"/>
      <c r="AK65" s="55"/>
      <c r="AL65" s="56">
        <f>Portefeuille_MNT_PROGR_PREV[[#This Row],[AC 2026]]-Portefeuille_MNT_PROGR_PREV[[#This Row],[PREV AC 2026]]</f>
        <v>0</v>
      </c>
      <c r="AM65" s="56">
        <f>Portefeuille_MNT_PROGR_PREV[[#This Row],[TR 2026]]-Portefeuille_MNT_PROGR_PREV[[#This Row],[PREV TR 2026]]</f>
        <v>0</v>
      </c>
      <c r="AN65" s="56">
        <f>Portefeuille_MNT_PROGR_PREV[[#This Row],[ÉCART AC 20262]]+Portefeuille_MNT_PROGR_PREV[[#This Row],[ÉCART TR 20263]]</f>
        <v>0</v>
      </c>
      <c r="AO65" s="55"/>
      <c r="AP65" s="55"/>
    </row>
    <row r="66" spans="1:69" hidden="1" x14ac:dyDescent="0.3">
      <c r="A66" t="s">
        <v>127</v>
      </c>
      <c r="B66" t="s">
        <v>103</v>
      </c>
      <c r="C66" t="s">
        <v>295</v>
      </c>
      <c r="D66" t="s">
        <v>126</v>
      </c>
      <c r="E66" t="s">
        <v>16</v>
      </c>
      <c r="F66" t="s">
        <v>20</v>
      </c>
      <c r="G66" t="s">
        <v>131</v>
      </c>
      <c r="H66" t="s">
        <v>233</v>
      </c>
      <c r="I66" t="s">
        <v>542</v>
      </c>
      <c r="J66" t="s">
        <v>152</v>
      </c>
      <c r="K66" t="s">
        <v>149</v>
      </c>
      <c r="L66" t="s">
        <v>155</v>
      </c>
      <c r="M66" s="1">
        <v>46127</v>
      </c>
      <c r="N66" s="1">
        <v>46553</v>
      </c>
      <c r="P66" s="1">
        <v>46980</v>
      </c>
      <c r="Q66">
        <v>1</v>
      </c>
      <c r="R66">
        <v>1</v>
      </c>
      <c r="S66">
        <v>1</v>
      </c>
      <c r="U66" s="60" t="s">
        <v>197</v>
      </c>
      <c r="V66" s="47"/>
      <c r="W66" s="47"/>
      <c r="X66" s="49">
        <f>Portefeuille_MNT_PROGR_PREV[[#This Row],[AC 2024]]-Portefeuille_MNT_PROGR_PREV[[#This Row],[PREV AC 2024]]</f>
        <v>0</v>
      </c>
      <c r="Y66" s="49">
        <f>Portefeuille_MNT_PROGR_PREV[[#This Row],[TR 2024]]-Portefeuille_MNT_PROGR_PREV[[#This Row],[PREV TR 2024]]</f>
        <v>0</v>
      </c>
      <c r="Z66" s="49">
        <f>Portefeuille_MNT_PROGR_PREV[[#This Row],[ÉCART AC 2024]]+Portefeuille_MNT_PROGR_PREV[[#This Row],[ÉCART TR 2024]]</f>
        <v>0</v>
      </c>
      <c r="AA66" s="47"/>
      <c r="AB66" s="47"/>
      <c r="AC66" s="15">
        <v>100</v>
      </c>
      <c r="AD66" s="15">
        <v>100</v>
      </c>
      <c r="AE66" s="52">
        <f>Portefeuille_MNT_PROGR_PREV[[#This Row],[AC 2025]]-Portefeuille_MNT_PROGR_PREV[[#This Row],[PREV AC 2025]]</f>
        <v>0</v>
      </c>
      <c r="AF66" s="52">
        <f>Portefeuille_MNT_PROGR_PREV[[#This Row],[TR 2025]]-Portefeuille_MNT_PROGR_PREV[[#This Row],[PREV TR 2025]]</f>
        <v>0</v>
      </c>
      <c r="AG66" s="52">
        <f>Portefeuille_MNT_PROGR_PREV[[#This Row],[ÉCART AC 2025]]+Portefeuille_MNT_PROGR_PREV[[#This Row],[ÉCART TR 2025]]</f>
        <v>0</v>
      </c>
      <c r="AH66" s="15"/>
      <c r="AI66" s="15"/>
      <c r="AJ66" s="55">
        <v>267</v>
      </c>
      <c r="AK66" s="55">
        <v>267</v>
      </c>
      <c r="AL66" s="56">
        <f>Portefeuille_MNT_PROGR_PREV[[#This Row],[AC 2026]]-Portefeuille_MNT_PROGR_PREV[[#This Row],[PREV AC 2026]]</f>
        <v>0</v>
      </c>
      <c r="AM66" s="56">
        <f>Portefeuille_MNT_PROGR_PREV[[#This Row],[TR 2026]]-Portefeuille_MNT_PROGR_PREV[[#This Row],[PREV TR 2026]]</f>
        <v>0</v>
      </c>
      <c r="AN66" s="56">
        <f>Portefeuille_MNT_PROGR_PREV[[#This Row],[ÉCART AC 20262]]+Portefeuille_MNT_PROGR_PREV[[#This Row],[ÉCART TR 20263]]</f>
        <v>0</v>
      </c>
      <c r="AO66" s="55"/>
      <c r="AP66" s="55"/>
      <c r="AQ66">
        <v>588</v>
      </c>
      <c r="AR66">
        <v>588</v>
      </c>
      <c r="AW66">
        <v>4500</v>
      </c>
      <c r="BA66">
        <v>3000</v>
      </c>
    </row>
    <row r="67" spans="1:69" hidden="1" x14ac:dyDescent="0.3">
      <c r="A67" t="s">
        <v>102</v>
      </c>
      <c r="B67" t="s">
        <v>103</v>
      </c>
      <c r="C67" t="s">
        <v>664</v>
      </c>
      <c r="D67" t="s">
        <v>101</v>
      </c>
      <c r="E67" t="s">
        <v>20</v>
      </c>
      <c r="F67" t="s">
        <v>20</v>
      </c>
      <c r="G67" t="s">
        <v>105</v>
      </c>
      <c r="H67" t="s">
        <v>398</v>
      </c>
      <c r="I67" t="s">
        <v>541</v>
      </c>
      <c r="J67" t="s">
        <v>172</v>
      </c>
      <c r="K67" t="s">
        <v>104</v>
      </c>
      <c r="L67" t="s">
        <v>291</v>
      </c>
      <c r="M67" s="1"/>
      <c r="N67" s="1"/>
      <c r="P67" s="1"/>
      <c r="S67"/>
      <c r="U67" s="60" t="s">
        <v>169</v>
      </c>
      <c r="V67" s="47"/>
      <c r="W67" s="47"/>
      <c r="X67" s="49">
        <f>Portefeuille_MNT_PROGR_PREV[[#This Row],[AC 2024]]-Portefeuille_MNT_PROGR_PREV[[#This Row],[PREV AC 2024]]</f>
        <v>0</v>
      </c>
      <c r="Y67" s="49">
        <f>Portefeuille_MNT_PROGR_PREV[[#This Row],[TR 2024]]-Portefeuille_MNT_PROGR_PREV[[#This Row],[PREV TR 2024]]</f>
        <v>0</v>
      </c>
      <c r="Z67" s="49">
        <f>Portefeuille_MNT_PROGR_PREV[[#This Row],[ÉCART AC 2024]]+Portefeuille_MNT_PROGR_PREV[[#This Row],[ÉCART TR 2024]]</f>
        <v>0</v>
      </c>
      <c r="AA67" s="47"/>
      <c r="AB67" s="47"/>
      <c r="AC67" s="15"/>
      <c r="AD67" s="15"/>
      <c r="AE67" s="52">
        <f>Portefeuille_MNT_PROGR_PREV[[#This Row],[AC 2025]]-Portefeuille_MNT_PROGR_PREV[[#This Row],[PREV AC 2025]]</f>
        <v>0</v>
      </c>
      <c r="AF67" s="52">
        <f>Portefeuille_MNT_PROGR_PREV[[#This Row],[TR 2025]]-Portefeuille_MNT_PROGR_PREV[[#This Row],[PREV TR 2025]]</f>
        <v>0</v>
      </c>
      <c r="AG67" s="52">
        <f>Portefeuille_MNT_PROGR_PREV[[#This Row],[ÉCART AC 2025]]+Portefeuille_MNT_PROGR_PREV[[#This Row],[ÉCART TR 2025]]</f>
        <v>0</v>
      </c>
      <c r="AH67" s="15"/>
      <c r="AI67" s="15"/>
      <c r="AJ67" s="55"/>
      <c r="AK67" s="55"/>
      <c r="AL67" s="56">
        <f>Portefeuille_MNT_PROGR_PREV[[#This Row],[AC 2026]]-Portefeuille_MNT_PROGR_PREV[[#This Row],[PREV AC 2026]]</f>
        <v>0</v>
      </c>
      <c r="AM67" s="56">
        <f>Portefeuille_MNT_PROGR_PREV[[#This Row],[TR 2026]]-Portefeuille_MNT_PROGR_PREV[[#This Row],[PREV TR 2026]]</f>
        <v>0</v>
      </c>
      <c r="AN67" s="56">
        <f>Portefeuille_MNT_PROGR_PREV[[#This Row],[ÉCART AC 20262]]+Portefeuille_MNT_PROGR_PREV[[#This Row],[ÉCART TR 20263]]</f>
        <v>0</v>
      </c>
      <c r="AO67" s="55"/>
      <c r="AP67" s="55"/>
      <c r="AQ67">
        <v>100</v>
      </c>
      <c r="AU67">
        <v>100</v>
      </c>
      <c r="AY67">
        <v>700</v>
      </c>
      <c r="BA67">
        <v>15000</v>
      </c>
    </row>
    <row r="68" spans="1:69" hidden="1" x14ac:dyDescent="0.3">
      <c r="A68" t="s">
        <v>102</v>
      </c>
      <c r="B68" t="s">
        <v>103</v>
      </c>
      <c r="C68" t="s">
        <v>664</v>
      </c>
      <c r="D68" t="s">
        <v>101</v>
      </c>
      <c r="E68" t="s">
        <v>16</v>
      </c>
      <c r="F68" t="s">
        <v>325</v>
      </c>
      <c r="G68" t="s">
        <v>131</v>
      </c>
      <c r="H68" t="s">
        <v>326</v>
      </c>
      <c r="I68" t="s">
        <v>327</v>
      </c>
      <c r="J68" t="s">
        <v>183</v>
      </c>
      <c r="L68" t="s">
        <v>291</v>
      </c>
      <c r="M68" s="1"/>
      <c r="N68" s="1"/>
      <c r="P68" s="1"/>
      <c r="S68"/>
      <c r="U68" s="60"/>
      <c r="V68" s="47"/>
      <c r="W68" s="47"/>
      <c r="X68" s="49">
        <f>Portefeuille_MNT_PROGR_PREV[[#This Row],[AC 2024]]-Portefeuille_MNT_PROGR_PREV[[#This Row],[PREV AC 2024]]</f>
        <v>0</v>
      </c>
      <c r="Y68" s="49">
        <f>Portefeuille_MNT_PROGR_PREV[[#This Row],[TR 2024]]-Portefeuille_MNT_PROGR_PREV[[#This Row],[PREV TR 2024]]</f>
        <v>0</v>
      </c>
      <c r="Z68" s="49">
        <f>Portefeuille_MNT_PROGR_PREV[[#This Row],[ÉCART AC 2024]]+Portefeuille_MNT_PROGR_PREV[[#This Row],[ÉCART TR 2024]]</f>
        <v>0</v>
      </c>
      <c r="AA68" s="47"/>
      <c r="AB68" s="47"/>
      <c r="AC68" s="15">
        <v>1</v>
      </c>
      <c r="AD68" s="15">
        <v>1</v>
      </c>
      <c r="AE68" s="52">
        <f>Portefeuille_MNT_PROGR_PREV[[#This Row],[AC 2025]]-Portefeuille_MNT_PROGR_PREV[[#This Row],[PREV AC 2025]]</f>
        <v>0</v>
      </c>
      <c r="AF68" s="52">
        <f>Portefeuille_MNT_PROGR_PREV[[#This Row],[TR 2025]]-Portefeuille_MNT_PROGR_PREV[[#This Row],[PREV TR 2025]]</f>
        <v>0</v>
      </c>
      <c r="AG68" s="52">
        <f>Portefeuille_MNT_PROGR_PREV[[#This Row],[ÉCART AC 2025]]+Portefeuille_MNT_PROGR_PREV[[#This Row],[ÉCART TR 2025]]</f>
        <v>0</v>
      </c>
      <c r="AH68" s="15"/>
      <c r="AI68" s="15"/>
      <c r="AJ68" s="55"/>
      <c r="AK68" s="55"/>
      <c r="AL68" s="56">
        <f>Portefeuille_MNT_PROGR_PREV[[#This Row],[AC 2026]]-Portefeuille_MNT_PROGR_PREV[[#This Row],[PREV AC 2026]]</f>
        <v>0</v>
      </c>
      <c r="AM68" s="56">
        <f>Portefeuille_MNT_PROGR_PREV[[#This Row],[TR 2026]]-Portefeuille_MNT_PROGR_PREV[[#This Row],[PREV TR 2026]]</f>
        <v>0</v>
      </c>
      <c r="AN68" s="56">
        <f>Portefeuille_MNT_PROGR_PREV[[#This Row],[ÉCART AC 20262]]+Portefeuille_MNT_PROGR_PREV[[#This Row],[ÉCART TR 20263]]</f>
        <v>0</v>
      </c>
      <c r="AO68" s="55"/>
      <c r="AP68" s="55"/>
    </row>
    <row r="69" spans="1:69" hidden="1" x14ac:dyDescent="0.3">
      <c r="A69" t="s">
        <v>102</v>
      </c>
      <c r="B69" t="s">
        <v>103</v>
      </c>
      <c r="C69" t="s">
        <v>664</v>
      </c>
      <c r="D69" t="s">
        <v>101</v>
      </c>
      <c r="E69" t="s">
        <v>16</v>
      </c>
      <c r="F69" t="s">
        <v>20</v>
      </c>
      <c r="G69" t="s">
        <v>105</v>
      </c>
      <c r="H69" t="s">
        <v>237</v>
      </c>
      <c r="I69" t="s">
        <v>238</v>
      </c>
      <c r="J69" t="s">
        <v>239</v>
      </c>
      <c r="K69" t="s">
        <v>149</v>
      </c>
      <c r="L69" t="s">
        <v>110</v>
      </c>
      <c r="M69" s="1">
        <v>45915</v>
      </c>
      <c r="N69" s="1">
        <v>46037</v>
      </c>
      <c r="P69" s="1">
        <v>46310</v>
      </c>
      <c r="Q69">
        <v>5</v>
      </c>
      <c r="R69">
        <v>1</v>
      </c>
      <c r="S69">
        <v>1</v>
      </c>
      <c r="U69" s="60" t="s">
        <v>173</v>
      </c>
      <c r="V69" s="47"/>
      <c r="W69" s="47"/>
      <c r="X69" s="49">
        <f>Portefeuille_MNT_PROGR_PREV[[#This Row],[AC 2024]]-Portefeuille_MNT_PROGR_PREV[[#This Row],[PREV AC 2024]]</f>
        <v>0</v>
      </c>
      <c r="Y69" s="49">
        <f>Portefeuille_MNT_PROGR_PREV[[#This Row],[TR 2024]]-Portefeuille_MNT_PROGR_PREV[[#This Row],[PREV TR 2024]]</f>
        <v>0</v>
      </c>
      <c r="Z69" s="49">
        <f>Portefeuille_MNT_PROGR_PREV[[#This Row],[ÉCART AC 2024]]+Portefeuille_MNT_PROGR_PREV[[#This Row],[ÉCART TR 2024]]</f>
        <v>0</v>
      </c>
      <c r="AA69" s="47"/>
      <c r="AB69" s="47"/>
      <c r="AC69" s="15">
        <v>100</v>
      </c>
      <c r="AD69" s="15">
        <v>25</v>
      </c>
      <c r="AE69" s="52">
        <f>Portefeuille_MNT_PROGR_PREV[[#This Row],[AC 2025]]-Portefeuille_MNT_PROGR_PREV[[#This Row],[PREV AC 2025]]</f>
        <v>75</v>
      </c>
      <c r="AF69" s="52">
        <f>Portefeuille_MNT_PROGR_PREV[[#This Row],[TR 2025]]-Portefeuille_MNT_PROGR_PREV[[#This Row],[PREV TR 2025]]</f>
        <v>0</v>
      </c>
      <c r="AG69" s="52">
        <f>Portefeuille_MNT_PROGR_PREV[[#This Row],[ÉCART AC 2025]]+Portefeuille_MNT_PROGR_PREV[[#This Row],[ÉCART TR 2025]]</f>
        <v>75</v>
      </c>
      <c r="AH69" s="15"/>
      <c r="AI69" s="15"/>
      <c r="AJ69" s="55">
        <v>200</v>
      </c>
      <c r="AK69" s="55">
        <v>26</v>
      </c>
      <c r="AL69" s="56">
        <f>Portefeuille_MNT_PROGR_PREV[[#This Row],[AC 2026]]-Portefeuille_MNT_PROGR_PREV[[#This Row],[PREV AC 2026]]</f>
        <v>174</v>
      </c>
      <c r="AM69" s="56">
        <f>Portefeuille_MNT_PROGR_PREV[[#This Row],[TR 2026]]-Portefeuille_MNT_PROGR_PREV[[#This Row],[PREV TR 2026]]</f>
        <v>0</v>
      </c>
      <c r="AN69" s="56">
        <f>Portefeuille_MNT_PROGR_PREV[[#This Row],[ÉCART AC 20262]]+Portefeuille_MNT_PROGR_PREV[[#This Row],[ÉCART TR 20263]]</f>
        <v>174</v>
      </c>
      <c r="AO69" s="55"/>
      <c r="AP69" s="55"/>
      <c r="AQ69">
        <v>475</v>
      </c>
      <c r="AR69">
        <v>723</v>
      </c>
      <c r="AS69">
        <v>11000</v>
      </c>
    </row>
    <row r="70" spans="1:69" hidden="1" x14ac:dyDescent="0.3">
      <c r="A70" t="s">
        <v>102</v>
      </c>
      <c r="B70" t="s">
        <v>136</v>
      </c>
      <c r="C70" t="s">
        <v>663</v>
      </c>
      <c r="D70" t="s">
        <v>101</v>
      </c>
      <c r="E70" t="s">
        <v>20</v>
      </c>
      <c r="F70" t="s">
        <v>20</v>
      </c>
      <c r="G70" t="s">
        <v>105</v>
      </c>
      <c r="H70" t="s">
        <v>462</v>
      </c>
      <c r="I70" t="s">
        <v>463</v>
      </c>
      <c r="J70" t="s">
        <v>230</v>
      </c>
      <c r="L70" t="s">
        <v>291</v>
      </c>
      <c r="M70" s="1"/>
      <c r="N70" s="1"/>
      <c r="P70" s="1"/>
      <c r="S70"/>
      <c r="U70" s="60" t="s">
        <v>392</v>
      </c>
      <c r="V70" s="47"/>
      <c r="W70" s="47"/>
      <c r="X70" s="49">
        <f>Portefeuille_MNT_PROGR_PREV[[#This Row],[AC 2024]]-Portefeuille_MNT_PROGR_PREV[[#This Row],[PREV AC 2024]]</f>
        <v>0</v>
      </c>
      <c r="Y70" s="49">
        <f>Portefeuille_MNT_PROGR_PREV[[#This Row],[TR 2024]]-Portefeuille_MNT_PROGR_PREV[[#This Row],[PREV TR 2024]]</f>
        <v>0</v>
      </c>
      <c r="Z70" s="49">
        <f>Portefeuille_MNT_PROGR_PREV[[#This Row],[ÉCART AC 2024]]+Portefeuille_MNT_PROGR_PREV[[#This Row],[ÉCART TR 2024]]</f>
        <v>0</v>
      </c>
      <c r="AA70" s="47"/>
      <c r="AB70" s="47"/>
      <c r="AC70" s="15"/>
      <c r="AD70" s="15"/>
      <c r="AE70" s="52">
        <f>Portefeuille_MNT_PROGR_PREV[[#This Row],[AC 2025]]-Portefeuille_MNT_PROGR_PREV[[#This Row],[PREV AC 2025]]</f>
        <v>0</v>
      </c>
      <c r="AF70" s="52">
        <f>Portefeuille_MNT_PROGR_PREV[[#This Row],[TR 2025]]-Portefeuille_MNT_PROGR_PREV[[#This Row],[PREV TR 2025]]</f>
        <v>0</v>
      </c>
      <c r="AG70" s="52">
        <f>Portefeuille_MNT_PROGR_PREV[[#This Row],[ÉCART AC 2025]]+Portefeuille_MNT_PROGR_PREV[[#This Row],[ÉCART TR 2025]]</f>
        <v>0</v>
      </c>
      <c r="AH70" s="15"/>
      <c r="AI70" s="15"/>
      <c r="AJ70" s="55"/>
      <c r="AK70" s="55"/>
      <c r="AL70" s="56">
        <f>Portefeuille_MNT_PROGR_PREV[[#This Row],[AC 2026]]-Portefeuille_MNT_PROGR_PREV[[#This Row],[PREV AC 2026]]</f>
        <v>0</v>
      </c>
      <c r="AM70" s="56">
        <f>Portefeuille_MNT_PROGR_PREV[[#This Row],[TR 2026]]-Portefeuille_MNT_PROGR_PREV[[#This Row],[PREV TR 2026]]</f>
        <v>0</v>
      </c>
      <c r="AN70" s="56">
        <f>Portefeuille_MNT_PROGR_PREV[[#This Row],[ÉCART AC 20262]]+Portefeuille_MNT_PROGR_PREV[[#This Row],[ÉCART TR 20263]]</f>
        <v>0</v>
      </c>
      <c r="AO70" s="55"/>
      <c r="AP70" s="55"/>
      <c r="BG70">
        <v>150</v>
      </c>
      <c r="BK70">
        <v>150</v>
      </c>
      <c r="BO70">
        <v>500</v>
      </c>
      <c r="BQ70">
        <v>6800</v>
      </c>
    </row>
    <row r="71" spans="1:69" hidden="1" x14ac:dyDescent="0.3">
      <c r="A71" t="s">
        <v>102</v>
      </c>
      <c r="B71" t="s">
        <v>103</v>
      </c>
      <c r="C71" t="s">
        <v>664</v>
      </c>
      <c r="D71" t="s">
        <v>101</v>
      </c>
      <c r="E71" t="s">
        <v>20</v>
      </c>
      <c r="F71" t="s">
        <v>20</v>
      </c>
      <c r="G71" t="s">
        <v>105</v>
      </c>
      <c r="H71" t="s">
        <v>400</v>
      </c>
      <c r="I71" t="s">
        <v>401</v>
      </c>
      <c r="J71" t="s">
        <v>402</v>
      </c>
      <c r="K71" t="s">
        <v>129</v>
      </c>
      <c r="L71" t="s">
        <v>155</v>
      </c>
      <c r="M71" s="1">
        <v>46047</v>
      </c>
      <c r="N71" s="1">
        <v>46461</v>
      </c>
      <c r="P71" s="1">
        <v>46794</v>
      </c>
      <c r="Q71">
        <v>1</v>
      </c>
      <c r="R71">
        <v>1</v>
      </c>
      <c r="S71">
        <v>1</v>
      </c>
      <c r="U71" s="60" t="s">
        <v>197</v>
      </c>
      <c r="V71" s="47"/>
      <c r="W71" s="47"/>
      <c r="X71" s="49">
        <f>Portefeuille_MNT_PROGR_PREV[[#This Row],[AC 2024]]-Portefeuille_MNT_PROGR_PREV[[#This Row],[PREV AC 2024]]</f>
        <v>0</v>
      </c>
      <c r="Y71" s="49">
        <f>Portefeuille_MNT_PROGR_PREV[[#This Row],[TR 2024]]-Portefeuille_MNT_PROGR_PREV[[#This Row],[PREV TR 2024]]</f>
        <v>0</v>
      </c>
      <c r="Z71" s="49">
        <f>Portefeuille_MNT_PROGR_PREV[[#This Row],[ÉCART AC 2024]]+Portefeuille_MNT_PROGR_PREV[[#This Row],[ÉCART TR 2024]]</f>
        <v>0</v>
      </c>
      <c r="AA71" s="47"/>
      <c r="AB71" s="47"/>
      <c r="AC71" s="15"/>
      <c r="AD71" s="15"/>
      <c r="AE71" s="52">
        <f>Portefeuille_MNT_PROGR_PREV[[#This Row],[AC 2025]]-Portefeuille_MNT_PROGR_PREV[[#This Row],[PREV AC 2025]]</f>
        <v>0</v>
      </c>
      <c r="AF71" s="52">
        <f>Portefeuille_MNT_PROGR_PREV[[#This Row],[TR 2025]]-Portefeuille_MNT_PROGR_PREV[[#This Row],[PREV TR 2025]]</f>
        <v>0</v>
      </c>
      <c r="AG71" s="52">
        <f>Portefeuille_MNT_PROGR_PREV[[#This Row],[ÉCART AC 2025]]+Portefeuille_MNT_PROGR_PREV[[#This Row],[ÉCART TR 2025]]</f>
        <v>0</v>
      </c>
      <c r="AH71" s="15"/>
      <c r="AI71" s="15"/>
      <c r="AJ71" s="55">
        <v>200</v>
      </c>
      <c r="AK71" s="55"/>
      <c r="AL71" s="56">
        <f>Portefeuille_MNT_PROGR_PREV[[#This Row],[AC 2026]]-Portefeuille_MNT_PROGR_PREV[[#This Row],[PREV AC 2026]]</f>
        <v>200</v>
      </c>
      <c r="AM71" s="56">
        <f>Portefeuille_MNT_PROGR_PREV[[#This Row],[TR 2026]]-Portefeuille_MNT_PROGR_PREV[[#This Row],[PREV TR 2026]]</f>
        <v>0</v>
      </c>
      <c r="AN71" s="56">
        <f>Portefeuille_MNT_PROGR_PREV[[#This Row],[ÉCART AC 20262]]+Portefeuille_MNT_PROGR_PREV[[#This Row],[ÉCART TR 20263]]</f>
        <v>200</v>
      </c>
      <c r="AO71" s="55"/>
      <c r="AP71" s="55"/>
      <c r="AQ71">
        <v>200</v>
      </c>
      <c r="AU71">
        <v>800</v>
      </c>
      <c r="AW71">
        <v>16000</v>
      </c>
    </row>
    <row r="72" spans="1:69" hidden="1" x14ac:dyDescent="0.3">
      <c r="A72" t="s">
        <v>102</v>
      </c>
      <c r="B72" t="s">
        <v>103</v>
      </c>
      <c r="C72" t="s">
        <v>664</v>
      </c>
      <c r="D72" t="s">
        <v>101</v>
      </c>
      <c r="E72" t="s">
        <v>16</v>
      </c>
      <c r="F72" t="s">
        <v>16</v>
      </c>
      <c r="G72" t="s">
        <v>105</v>
      </c>
      <c r="H72" t="s">
        <v>106</v>
      </c>
      <c r="I72" t="s">
        <v>107</v>
      </c>
      <c r="J72" t="s">
        <v>108</v>
      </c>
      <c r="K72" t="s">
        <v>104</v>
      </c>
      <c r="L72" t="s">
        <v>123</v>
      </c>
      <c r="M72" s="1">
        <v>45014</v>
      </c>
      <c r="N72" s="1">
        <v>45799</v>
      </c>
      <c r="P72" s="1">
        <v>46006</v>
      </c>
      <c r="Q72">
        <v>5</v>
      </c>
      <c r="R72">
        <v>5</v>
      </c>
      <c r="S72">
        <v>5</v>
      </c>
      <c r="U72" s="60" t="s">
        <v>109</v>
      </c>
      <c r="V72" s="47">
        <v>213</v>
      </c>
      <c r="W72" s="47">
        <v>216</v>
      </c>
      <c r="X72" s="49">
        <f>Portefeuille_MNT_PROGR_PREV[[#This Row],[AC 2024]]-Portefeuille_MNT_PROGR_PREV[[#This Row],[PREV AC 2024]]</f>
        <v>-3</v>
      </c>
      <c r="Y72" s="49">
        <f>Portefeuille_MNT_PROGR_PREV[[#This Row],[TR 2024]]-Portefeuille_MNT_PROGR_PREV[[#This Row],[PREV TR 2024]]</f>
        <v>0</v>
      </c>
      <c r="Z72" s="49">
        <f>Portefeuille_MNT_PROGR_PREV[[#This Row],[ÉCART AC 2024]]+Portefeuille_MNT_PROGR_PREV[[#This Row],[ÉCART TR 2024]]</f>
        <v>-3</v>
      </c>
      <c r="AA72" s="47"/>
      <c r="AB72" s="47"/>
      <c r="AC72" s="15">
        <v>272</v>
      </c>
      <c r="AD72" s="15">
        <v>296</v>
      </c>
      <c r="AE72" s="52">
        <f>Portefeuille_MNT_PROGR_PREV[[#This Row],[AC 2025]]-Portefeuille_MNT_PROGR_PREV[[#This Row],[PREV AC 2025]]</f>
        <v>-24</v>
      </c>
      <c r="AF72" s="52">
        <f>Portefeuille_MNT_PROGR_PREV[[#This Row],[TR 2025]]-Portefeuille_MNT_PROGR_PREV[[#This Row],[PREV TR 2025]]</f>
        <v>0</v>
      </c>
      <c r="AG72" s="52">
        <f>Portefeuille_MNT_PROGR_PREV[[#This Row],[ÉCART AC 2025]]+Portefeuille_MNT_PROGR_PREV[[#This Row],[ÉCART TR 2025]]</f>
        <v>-24</v>
      </c>
      <c r="AH72" s="15"/>
      <c r="AI72" s="15"/>
      <c r="AJ72" s="55">
        <v>636</v>
      </c>
      <c r="AK72" s="55">
        <v>679</v>
      </c>
      <c r="AL72" s="56">
        <f>Portefeuille_MNT_PROGR_PREV[[#This Row],[AC 2026]]-Portefeuille_MNT_PROGR_PREV[[#This Row],[PREV AC 2026]]</f>
        <v>-43</v>
      </c>
      <c r="AM72" s="56">
        <f>Portefeuille_MNT_PROGR_PREV[[#This Row],[TR 2026]]-Portefeuille_MNT_PROGR_PREV[[#This Row],[PREV TR 2026]]</f>
        <v>0</v>
      </c>
      <c r="AN72" s="56">
        <f>Portefeuille_MNT_PROGR_PREV[[#This Row],[ÉCART AC 20262]]+Portefeuille_MNT_PROGR_PREV[[#This Row],[ÉCART TR 20263]]</f>
        <v>-43</v>
      </c>
      <c r="AO72" s="55">
        <v>16507</v>
      </c>
      <c r="AP72" s="55">
        <v>16507</v>
      </c>
    </row>
    <row r="73" spans="1:69" hidden="1" x14ac:dyDescent="0.3">
      <c r="A73" t="s">
        <v>102</v>
      </c>
      <c r="B73" t="s">
        <v>177</v>
      </c>
      <c r="C73" t="s">
        <v>662</v>
      </c>
      <c r="D73" t="s">
        <v>118</v>
      </c>
      <c r="E73" t="s">
        <v>16</v>
      </c>
      <c r="F73" t="s">
        <v>20</v>
      </c>
      <c r="G73" t="s">
        <v>131</v>
      </c>
      <c r="H73" t="s">
        <v>240</v>
      </c>
      <c r="I73" t="s">
        <v>241</v>
      </c>
      <c r="J73" t="s">
        <v>187</v>
      </c>
      <c r="K73" t="s">
        <v>113</v>
      </c>
      <c r="L73" t="s">
        <v>123</v>
      </c>
      <c r="M73" s="1">
        <v>45708</v>
      </c>
      <c r="N73" s="1">
        <v>45923</v>
      </c>
      <c r="P73" s="1">
        <v>46296</v>
      </c>
      <c r="Q73">
        <v>5</v>
      </c>
      <c r="R73">
        <v>5</v>
      </c>
      <c r="S73">
        <v>1</v>
      </c>
      <c r="U73" s="60" t="s">
        <v>173</v>
      </c>
      <c r="V73" s="47"/>
      <c r="W73" s="47"/>
      <c r="X73" s="49">
        <f>Portefeuille_MNT_PROGR_PREV[[#This Row],[AC 2024]]-Portefeuille_MNT_PROGR_PREV[[#This Row],[PREV AC 2024]]</f>
        <v>0</v>
      </c>
      <c r="Y73" s="49">
        <f>Portefeuille_MNT_PROGR_PREV[[#This Row],[TR 2024]]-Portefeuille_MNT_PROGR_PREV[[#This Row],[PREV TR 2024]]</f>
        <v>0</v>
      </c>
      <c r="Z73" s="49">
        <f>Portefeuille_MNT_PROGR_PREV[[#This Row],[ÉCART AC 2024]]+Portefeuille_MNT_PROGR_PREV[[#This Row],[ÉCART TR 2024]]</f>
        <v>0</v>
      </c>
      <c r="AA73" s="47"/>
      <c r="AB73" s="47"/>
      <c r="AC73" s="15">
        <v>178</v>
      </c>
      <c r="AD73" s="15">
        <v>215</v>
      </c>
      <c r="AE73" s="52">
        <f>Portefeuille_MNT_PROGR_PREV[[#This Row],[AC 2025]]-Portefeuille_MNT_PROGR_PREV[[#This Row],[PREV AC 2025]]</f>
        <v>-37</v>
      </c>
      <c r="AF73" s="52">
        <f>Portefeuille_MNT_PROGR_PREV[[#This Row],[TR 2025]]-Portefeuille_MNT_PROGR_PREV[[#This Row],[PREV TR 2025]]</f>
        <v>0</v>
      </c>
      <c r="AG73" s="52">
        <f>Portefeuille_MNT_PROGR_PREV[[#This Row],[ÉCART AC 2025]]+Portefeuille_MNT_PROGR_PREV[[#This Row],[ÉCART TR 2025]]</f>
        <v>-37</v>
      </c>
      <c r="AH73" s="15"/>
      <c r="AI73" s="15"/>
      <c r="AJ73" s="55">
        <v>176</v>
      </c>
      <c r="AK73" s="55">
        <v>72</v>
      </c>
      <c r="AL73" s="56">
        <f>Portefeuille_MNT_PROGR_PREV[[#This Row],[AC 2026]]-Portefeuille_MNT_PROGR_PREV[[#This Row],[PREV AC 2026]]</f>
        <v>104</v>
      </c>
      <c r="AM73" s="56">
        <f>Portefeuille_MNT_PROGR_PREV[[#This Row],[TR 2026]]-Portefeuille_MNT_PROGR_PREV[[#This Row],[PREV TR 2026]]</f>
        <v>0</v>
      </c>
      <c r="AN73" s="56">
        <f>Portefeuille_MNT_PROGR_PREV[[#This Row],[ÉCART AC 20262]]+Portefeuille_MNT_PROGR_PREV[[#This Row],[ÉCART TR 20263]]</f>
        <v>104</v>
      </c>
      <c r="AO73" s="55"/>
      <c r="AP73" s="55"/>
      <c r="AQ73">
        <v>212</v>
      </c>
      <c r="AR73">
        <v>290</v>
      </c>
      <c r="AS73">
        <v>4831</v>
      </c>
      <c r="AU73">
        <v>151</v>
      </c>
      <c r="AV73">
        <v>5</v>
      </c>
      <c r="AW73">
        <v>3298</v>
      </c>
    </row>
    <row r="74" spans="1:69" hidden="1" x14ac:dyDescent="0.3">
      <c r="A74" t="s">
        <v>102</v>
      </c>
      <c r="B74" t="s">
        <v>200</v>
      </c>
      <c r="C74" t="s">
        <v>664</v>
      </c>
      <c r="D74" t="s">
        <v>101</v>
      </c>
      <c r="E74" t="s">
        <v>16</v>
      </c>
      <c r="F74" t="s">
        <v>325</v>
      </c>
      <c r="G74" t="s">
        <v>131</v>
      </c>
      <c r="H74" t="s">
        <v>328</v>
      </c>
      <c r="I74" t="s">
        <v>329</v>
      </c>
      <c r="J74" t="s">
        <v>152</v>
      </c>
      <c r="L74" t="s">
        <v>291</v>
      </c>
      <c r="M74" s="1"/>
      <c r="N74" s="1"/>
      <c r="P74" s="1"/>
      <c r="S74"/>
      <c r="U74" s="60"/>
      <c r="V74" s="47"/>
      <c r="W74" s="47"/>
      <c r="X74" s="49">
        <f>Portefeuille_MNT_PROGR_PREV[[#This Row],[AC 2024]]-Portefeuille_MNT_PROGR_PREV[[#This Row],[PREV AC 2024]]</f>
        <v>0</v>
      </c>
      <c r="Y74" s="49">
        <f>Portefeuille_MNT_PROGR_PREV[[#This Row],[TR 2024]]-Portefeuille_MNT_PROGR_PREV[[#This Row],[PREV TR 2024]]</f>
        <v>0</v>
      </c>
      <c r="Z74" s="49">
        <f>Portefeuille_MNT_PROGR_PREV[[#This Row],[ÉCART AC 2024]]+Portefeuille_MNT_PROGR_PREV[[#This Row],[ÉCART TR 2024]]</f>
        <v>0</v>
      </c>
      <c r="AA74" s="47"/>
      <c r="AB74" s="47"/>
      <c r="AC74" s="15">
        <v>9</v>
      </c>
      <c r="AD74" s="15">
        <v>9</v>
      </c>
      <c r="AE74" s="52">
        <f>Portefeuille_MNT_PROGR_PREV[[#This Row],[AC 2025]]-Portefeuille_MNT_PROGR_PREV[[#This Row],[PREV AC 2025]]</f>
        <v>0</v>
      </c>
      <c r="AF74" s="52">
        <f>Portefeuille_MNT_PROGR_PREV[[#This Row],[TR 2025]]-Portefeuille_MNT_PROGR_PREV[[#This Row],[PREV TR 2025]]</f>
        <v>0</v>
      </c>
      <c r="AG74" s="52">
        <f>Portefeuille_MNT_PROGR_PREV[[#This Row],[ÉCART AC 2025]]+Portefeuille_MNT_PROGR_PREV[[#This Row],[ÉCART TR 2025]]</f>
        <v>0</v>
      </c>
      <c r="AH74" s="15"/>
      <c r="AI74" s="15"/>
      <c r="AJ74" s="55"/>
      <c r="AK74" s="55"/>
      <c r="AL74" s="56">
        <f>Portefeuille_MNT_PROGR_PREV[[#This Row],[AC 2026]]-Portefeuille_MNT_PROGR_PREV[[#This Row],[PREV AC 2026]]</f>
        <v>0</v>
      </c>
      <c r="AM74" s="56">
        <f>Portefeuille_MNT_PROGR_PREV[[#This Row],[TR 2026]]-Portefeuille_MNT_PROGR_PREV[[#This Row],[PREV TR 2026]]</f>
        <v>0</v>
      </c>
      <c r="AN74" s="56">
        <f>Portefeuille_MNT_PROGR_PREV[[#This Row],[ÉCART AC 20262]]+Portefeuille_MNT_PROGR_PREV[[#This Row],[ÉCART TR 20263]]</f>
        <v>0</v>
      </c>
      <c r="AO74" s="55"/>
      <c r="AP74" s="55"/>
    </row>
    <row r="75" spans="1:69" hidden="1" x14ac:dyDescent="0.3">
      <c r="A75" t="s">
        <v>102</v>
      </c>
      <c r="B75" t="s">
        <v>136</v>
      </c>
      <c r="C75" t="s">
        <v>662</v>
      </c>
      <c r="D75" t="s">
        <v>118</v>
      </c>
      <c r="E75" t="s">
        <v>16</v>
      </c>
      <c r="F75" t="s">
        <v>20</v>
      </c>
      <c r="G75" t="s">
        <v>105</v>
      </c>
      <c r="H75" t="s">
        <v>518</v>
      </c>
      <c r="I75" t="s">
        <v>519</v>
      </c>
      <c r="J75" t="s">
        <v>143</v>
      </c>
      <c r="K75" t="s">
        <v>104</v>
      </c>
      <c r="L75" t="s">
        <v>155</v>
      </c>
      <c r="M75" s="1">
        <v>46127</v>
      </c>
      <c r="N75" s="1"/>
      <c r="P75" s="1"/>
      <c r="Q75">
        <v>1</v>
      </c>
      <c r="S75"/>
      <c r="U75" s="60" t="s">
        <v>173</v>
      </c>
      <c r="V75" s="47"/>
      <c r="W75" s="47"/>
      <c r="X75" s="49">
        <f>Portefeuille_MNT_PROGR_PREV[[#This Row],[AC 2024]]-Portefeuille_MNT_PROGR_PREV[[#This Row],[PREV AC 2024]]</f>
        <v>0</v>
      </c>
      <c r="Y75" s="49">
        <f>Portefeuille_MNT_PROGR_PREV[[#This Row],[TR 2024]]-Portefeuille_MNT_PROGR_PREV[[#This Row],[PREV TR 2024]]</f>
        <v>0</v>
      </c>
      <c r="Z75" s="49">
        <f>Portefeuille_MNT_PROGR_PREV[[#This Row],[ÉCART AC 2024]]+Portefeuille_MNT_PROGR_PREV[[#This Row],[ÉCART TR 2024]]</f>
        <v>0</v>
      </c>
      <c r="AA75" s="47"/>
      <c r="AB75" s="47"/>
      <c r="AC75" s="15">
        <v>25</v>
      </c>
      <c r="AD75" s="15">
        <v>25</v>
      </c>
      <c r="AE75" s="52">
        <f>Portefeuille_MNT_PROGR_PREV[[#This Row],[AC 2025]]-Portefeuille_MNT_PROGR_PREV[[#This Row],[PREV AC 2025]]</f>
        <v>0</v>
      </c>
      <c r="AF75" s="52">
        <f>Portefeuille_MNT_PROGR_PREV[[#This Row],[TR 2025]]-Portefeuille_MNT_PROGR_PREV[[#This Row],[PREV TR 2025]]</f>
        <v>0</v>
      </c>
      <c r="AG75" s="52">
        <f>Portefeuille_MNT_PROGR_PREV[[#This Row],[ÉCART AC 2025]]+Portefeuille_MNT_PROGR_PREV[[#This Row],[ÉCART TR 2025]]</f>
        <v>0</v>
      </c>
      <c r="AH75" s="15"/>
      <c r="AI75" s="15"/>
      <c r="AJ75" s="55">
        <v>25</v>
      </c>
      <c r="AK75" s="55">
        <v>25</v>
      </c>
      <c r="AL75" s="56">
        <f>Portefeuille_MNT_PROGR_PREV[[#This Row],[AC 2026]]-Portefeuille_MNT_PROGR_PREV[[#This Row],[PREV AC 2026]]</f>
        <v>0</v>
      </c>
      <c r="AM75" s="56">
        <f>Portefeuille_MNT_PROGR_PREV[[#This Row],[TR 2026]]-Portefeuille_MNT_PROGR_PREV[[#This Row],[PREV TR 2026]]</f>
        <v>0</v>
      </c>
      <c r="AN75" s="56">
        <f>Portefeuille_MNT_PROGR_PREV[[#This Row],[ÉCART AC 20262]]+Portefeuille_MNT_PROGR_PREV[[#This Row],[ÉCART TR 20263]]</f>
        <v>0</v>
      </c>
      <c r="AO75" s="55"/>
      <c r="AP75" s="55"/>
      <c r="AS75">
        <v>150</v>
      </c>
    </row>
    <row r="76" spans="1:69" hidden="1" x14ac:dyDescent="0.3">
      <c r="A76" t="s">
        <v>102</v>
      </c>
      <c r="B76" t="s">
        <v>103</v>
      </c>
      <c r="C76" t="s">
        <v>662</v>
      </c>
      <c r="D76" t="s">
        <v>118</v>
      </c>
      <c r="E76" t="s">
        <v>20</v>
      </c>
      <c r="F76" t="s">
        <v>20</v>
      </c>
      <c r="G76" t="s">
        <v>131</v>
      </c>
      <c r="H76" t="s">
        <v>403</v>
      </c>
      <c r="I76" t="s">
        <v>643</v>
      </c>
      <c r="J76" t="s">
        <v>214</v>
      </c>
      <c r="K76" t="s">
        <v>129</v>
      </c>
      <c r="L76" t="s">
        <v>155</v>
      </c>
      <c r="M76" s="1">
        <v>46218</v>
      </c>
      <c r="N76" s="1">
        <v>46722</v>
      </c>
      <c r="P76" s="1">
        <v>47011</v>
      </c>
      <c r="Q76">
        <v>1</v>
      </c>
      <c r="R76">
        <v>1</v>
      </c>
      <c r="S76">
        <v>1</v>
      </c>
      <c r="U76" s="60" t="s">
        <v>184</v>
      </c>
      <c r="V76" s="47"/>
      <c r="W76" s="47"/>
      <c r="X76" s="49">
        <f>Portefeuille_MNT_PROGR_PREV[[#This Row],[AC 2024]]-Portefeuille_MNT_PROGR_PREV[[#This Row],[PREV AC 2024]]</f>
        <v>0</v>
      </c>
      <c r="Y76" s="49">
        <f>Portefeuille_MNT_PROGR_PREV[[#This Row],[TR 2024]]-Portefeuille_MNT_PROGR_PREV[[#This Row],[PREV TR 2024]]</f>
        <v>0</v>
      </c>
      <c r="Z76" s="49">
        <f>Portefeuille_MNT_PROGR_PREV[[#This Row],[ÉCART AC 2024]]+Portefeuille_MNT_PROGR_PREV[[#This Row],[ÉCART TR 2024]]</f>
        <v>0</v>
      </c>
      <c r="AA76" s="47"/>
      <c r="AB76" s="47"/>
      <c r="AC76" s="15"/>
      <c r="AD76" s="15"/>
      <c r="AE76" s="52">
        <f>Portefeuille_MNT_PROGR_PREV[[#This Row],[AC 2025]]-Portefeuille_MNT_PROGR_PREV[[#This Row],[PREV AC 2025]]</f>
        <v>0</v>
      </c>
      <c r="AF76" s="52">
        <f>Portefeuille_MNT_PROGR_PREV[[#This Row],[TR 2025]]-Portefeuille_MNT_PROGR_PREV[[#This Row],[PREV TR 2025]]</f>
        <v>0</v>
      </c>
      <c r="AG76" s="52">
        <f>Portefeuille_MNT_PROGR_PREV[[#This Row],[ÉCART AC 2025]]+Portefeuille_MNT_PROGR_PREV[[#This Row],[ÉCART TR 2025]]</f>
        <v>0</v>
      </c>
      <c r="AH76" s="15"/>
      <c r="AI76" s="15"/>
      <c r="AJ76" s="55"/>
      <c r="AK76" s="55"/>
      <c r="AL76" s="56">
        <f>Portefeuille_MNT_PROGR_PREV[[#This Row],[AC 2026]]-Portefeuille_MNT_PROGR_PREV[[#This Row],[PREV AC 2026]]</f>
        <v>0</v>
      </c>
      <c r="AM76" s="56">
        <f>Portefeuille_MNT_PROGR_PREV[[#This Row],[TR 2026]]-Portefeuille_MNT_PROGR_PREV[[#This Row],[PREV TR 2026]]</f>
        <v>0</v>
      </c>
      <c r="AN76" s="56">
        <f>Portefeuille_MNT_PROGR_PREV[[#This Row],[ÉCART AC 20262]]+Portefeuille_MNT_PROGR_PREV[[#This Row],[ÉCART TR 20263]]</f>
        <v>0</v>
      </c>
      <c r="AO76" s="55"/>
      <c r="AP76" s="55"/>
      <c r="AU76">
        <v>100</v>
      </c>
      <c r="AY76">
        <v>200</v>
      </c>
      <c r="BC76">
        <v>200</v>
      </c>
      <c r="BE76">
        <v>10500</v>
      </c>
    </row>
    <row r="77" spans="1:69" hidden="1" x14ac:dyDescent="0.3">
      <c r="A77" t="s">
        <v>102</v>
      </c>
      <c r="B77" t="s">
        <v>103</v>
      </c>
      <c r="C77" t="s">
        <v>662</v>
      </c>
      <c r="D77" t="s">
        <v>118</v>
      </c>
      <c r="E77" t="s">
        <v>16</v>
      </c>
      <c r="F77" t="s">
        <v>16</v>
      </c>
      <c r="G77" t="s">
        <v>105</v>
      </c>
      <c r="H77" t="s">
        <v>354</v>
      </c>
      <c r="I77" t="s">
        <v>355</v>
      </c>
      <c r="J77" t="s">
        <v>143</v>
      </c>
      <c r="K77" t="s">
        <v>340</v>
      </c>
      <c r="L77" t="s">
        <v>164</v>
      </c>
      <c r="M77" s="1"/>
      <c r="N77" s="1"/>
      <c r="P77" s="1"/>
      <c r="S77"/>
      <c r="U77" s="60"/>
      <c r="V77" s="47">
        <v>3</v>
      </c>
      <c r="W77" s="47">
        <v>3</v>
      </c>
      <c r="X77" s="49">
        <f>Portefeuille_MNT_PROGR_PREV[[#This Row],[AC 2024]]-Portefeuille_MNT_PROGR_PREV[[#This Row],[PREV AC 2024]]</f>
        <v>0</v>
      </c>
      <c r="Y77" s="49">
        <f>Portefeuille_MNT_PROGR_PREV[[#This Row],[TR 2024]]-Portefeuille_MNT_PROGR_PREV[[#This Row],[PREV TR 2024]]</f>
        <v>0</v>
      </c>
      <c r="Z77" s="49">
        <f>Portefeuille_MNT_PROGR_PREV[[#This Row],[ÉCART AC 2024]]+Portefeuille_MNT_PROGR_PREV[[#This Row],[ÉCART TR 2024]]</f>
        <v>0</v>
      </c>
      <c r="AA77" s="47">
        <v>173</v>
      </c>
      <c r="AB77" s="47">
        <v>173</v>
      </c>
      <c r="AC77" s="15"/>
      <c r="AD77" s="15"/>
      <c r="AE77" s="52">
        <f>Portefeuille_MNT_PROGR_PREV[[#This Row],[AC 2025]]-Portefeuille_MNT_PROGR_PREV[[#This Row],[PREV AC 2025]]</f>
        <v>0</v>
      </c>
      <c r="AF77" s="52">
        <f>Portefeuille_MNT_PROGR_PREV[[#This Row],[TR 2025]]-Portefeuille_MNT_PROGR_PREV[[#This Row],[PREV TR 2025]]</f>
        <v>0</v>
      </c>
      <c r="AG77" s="52">
        <f>Portefeuille_MNT_PROGR_PREV[[#This Row],[ÉCART AC 2025]]+Portefeuille_MNT_PROGR_PREV[[#This Row],[ÉCART TR 2025]]</f>
        <v>0</v>
      </c>
      <c r="AH77" s="15"/>
      <c r="AI77" s="15"/>
      <c r="AJ77" s="55"/>
      <c r="AK77" s="55"/>
      <c r="AL77" s="56">
        <f>Portefeuille_MNT_PROGR_PREV[[#This Row],[AC 2026]]-Portefeuille_MNT_PROGR_PREV[[#This Row],[PREV AC 2026]]</f>
        <v>0</v>
      </c>
      <c r="AM77" s="56">
        <f>Portefeuille_MNT_PROGR_PREV[[#This Row],[TR 2026]]-Portefeuille_MNT_PROGR_PREV[[#This Row],[PREV TR 2026]]</f>
        <v>0</v>
      </c>
      <c r="AN77" s="56">
        <f>Portefeuille_MNT_PROGR_PREV[[#This Row],[ÉCART AC 20262]]+Portefeuille_MNT_PROGR_PREV[[#This Row],[ÉCART TR 20263]]</f>
        <v>0</v>
      </c>
      <c r="AO77" s="55"/>
      <c r="AP77" s="55"/>
    </row>
    <row r="78" spans="1:69" hidden="1" x14ac:dyDescent="0.3">
      <c r="A78" t="s">
        <v>102</v>
      </c>
      <c r="B78" t="s">
        <v>128</v>
      </c>
      <c r="C78" t="s">
        <v>664</v>
      </c>
      <c r="D78" t="s">
        <v>101</v>
      </c>
      <c r="E78" t="s">
        <v>16</v>
      </c>
      <c r="F78" t="s">
        <v>16</v>
      </c>
      <c r="G78" t="s">
        <v>131</v>
      </c>
      <c r="H78" t="s">
        <v>150</v>
      </c>
      <c r="I78" t="s">
        <v>151</v>
      </c>
      <c r="J78" t="s">
        <v>152</v>
      </c>
      <c r="K78" t="s">
        <v>149</v>
      </c>
      <c r="L78" t="s">
        <v>123</v>
      </c>
      <c r="M78" s="1">
        <v>45079</v>
      </c>
      <c r="N78" s="1">
        <v>45685</v>
      </c>
      <c r="P78" s="1">
        <v>46142</v>
      </c>
      <c r="Q78">
        <v>5</v>
      </c>
      <c r="R78">
        <v>5</v>
      </c>
      <c r="S78">
        <v>1</v>
      </c>
      <c r="U78" s="60" t="s">
        <v>109</v>
      </c>
      <c r="V78" s="47">
        <v>163</v>
      </c>
      <c r="W78" s="47">
        <v>163</v>
      </c>
      <c r="X78" s="49">
        <f>Portefeuille_MNT_PROGR_PREV[[#This Row],[AC 2024]]-Portefeuille_MNT_PROGR_PREV[[#This Row],[PREV AC 2024]]</f>
        <v>0</v>
      </c>
      <c r="Y78" s="49">
        <f>Portefeuille_MNT_PROGR_PREV[[#This Row],[TR 2024]]-Portefeuille_MNT_PROGR_PREV[[#This Row],[PREV TR 2024]]</f>
        <v>0</v>
      </c>
      <c r="Z78" s="49">
        <f>Portefeuille_MNT_PROGR_PREV[[#This Row],[ÉCART AC 2024]]+Portefeuille_MNT_PROGR_PREV[[#This Row],[ÉCART TR 2024]]</f>
        <v>0</v>
      </c>
      <c r="AA78" s="47"/>
      <c r="AB78" s="47"/>
      <c r="AC78" s="15">
        <v>100</v>
      </c>
      <c r="AD78" s="15">
        <v>120</v>
      </c>
      <c r="AE78" s="52">
        <f>Portefeuille_MNT_PROGR_PREV[[#This Row],[AC 2025]]-Portefeuille_MNT_PROGR_PREV[[#This Row],[PREV AC 2025]]</f>
        <v>-20</v>
      </c>
      <c r="AF78" s="52">
        <f>Portefeuille_MNT_PROGR_PREV[[#This Row],[TR 2025]]-Portefeuille_MNT_PROGR_PREV[[#This Row],[PREV TR 2025]]</f>
        <v>0</v>
      </c>
      <c r="AG78" s="52">
        <f>Portefeuille_MNT_PROGR_PREV[[#This Row],[ÉCART AC 2025]]+Portefeuille_MNT_PROGR_PREV[[#This Row],[ÉCART TR 2025]]</f>
        <v>-20</v>
      </c>
      <c r="AH78" s="15"/>
      <c r="AI78" s="15"/>
      <c r="AJ78" s="55">
        <v>300</v>
      </c>
      <c r="AK78" s="55">
        <v>300</v>
      </c>
      <c r="AL78" s="56">
        <f>Portefeuille_MNT_PROGR_PREV[[#This Row],[AC 2026]]-Portefeuille_MNT_PROGR_PREV[[#This Row],[PREV AC 2026]]</f>
        <v>0</v>
      </c>
      <c r="AM78" s="56">
        <f>Portefeuille_MNT_PROGR_PREV[[#This Row],[TR 2026]]-Portefeuille_MNT_PROGR_PREV[[#This Row],[PREV TR 2026]]</f>
        <v>0</v>
      </c>
      <c r="AN78" s="56">
        <f>Portefeuille_MNT_PROGR_PREV[[#This Row],[ÉCART AC 20262]]+Portefeuille_MNT_PROGR_PREV[[#This Row],[ÉCART TR 20263]]</f>
        <v>0</v>
      </c>
      <c r="AO78" s="55">
        <v>4221</v>
      </c>
      <c r="AP78" s="55">
        <v>4221</v>
      </c>
      <c r="AQ78">
        <v>42</v>
      </c>
      <c r="AR78">
        <v>42</v>
      </c>
      <c r="AS78">
        <v>4139</v>
      </c>
      <c r="AT78">
        <v>4139</v>
      </c>
    </row>
    <row r="79" spans="1:69" hidden="1" x14ac:dyDescent="0.3">
      <c r="A79" t="s">
        <v>102</v>
      </c>
      <c r="B79" t="s">
        <v>200</v>
      </c>
      <c r="C79" t="s">
        <v>664</v>
      </c>
      <c r="D79" t="s">
        <v>101</v>
      </c>
      <c r="E79" t="s">
        <v>16</v>
      </c>
      <c r="F79" t="s">
        <v>20</v>
      </c>
      <c r="G79" t="s">
        <v>105</v>
      </c>
      <c r="H79" t="s">
        <v>201</v>
      </c>
      <c r="I79" t="s">
        <v>202</v>
      </c>
      <c r="J79" t="s">
        <v>108</v>
      </c>
      <c r="K79" t="s">
        <v>104</v>
      </c>
      <c r="L79" t="s">
        <v>155</v>
      </c>
      <c r="M79" s="1"/>
      <c r="N79" s="1"/>
      <c r="P79" s="1"/>
      <c r="S79"/>
      <c r="U79" s="60"/>
      <c r="V79" s="47"/>
      <c r="W79" s="47"/>
      <c r="X79" s="49">
        <f>Portefeuille_MNT_PROGR_PREV[[#This Row],[AC 2024]]-Portefeuille_MNT_PROGR_PREV[[#This Row],[PREV AC 2024]]</f>
        <v>0</v>
      </c>
      <c r="Y79" s="49">
        <f>Portefeuille_MNT_PROGR_PREV[[#This Row],[TR 2024]]-Portefeuille_MNT_PROGR_PREV[[#This Row],[PREV TR 2024]]</f>
        <v>0</v>
      </c>
      <c r="Z79" s="49">
        <f>Portefeuille_MNT_PROGR_PREV[[#This Row],[ÉCART AC 2024]]+Portefeuille_MNT_PROGR_PREV[[#This Row],[ÉCART TR 2024]]</f>
        <v>0</v>
      </c>
      <c r="AA79" s="47"/>
      <c r="AB79" s="47"/>
      <c r="AC79" s="15"/>
      <c r="AD79" s="15"/>
      <c r="AE79" s="52">
        <f>Portefeuille_MNT_PROGR_PREV[[#This Row],[AC 2025]]-Portefeuille_MNT_PROGR_PREV[[#This Row],[PREV AC 2025]]</f>
        <v>0</v>
      </c>
      <c r="AF79" s="52">
        <f>Portefeuille_MNT_PROGR_PREV[[#This Row],[TR 2025]]-Portefeuille_MNT_PROGR_PREV[[#This Row],[PREV TR 2025]]</f>
        <v>0</v>
      </c>
      <c r="AG79" s="52">
        <f>Portefeuille_MNT_PROGR_PREV[[#This Row],[ÉCART AC 2025]]+Portefeuille_MNT_PROGR_PREV[[#This Row],[ÉCART TR 2025]]</f>
        <v>0</v>
      </c>
      <c r="AH79" s="15"/>
      <c r="AI79" s="15"/>
      <c r="AJ79" s="55">
        <v>127</v>
      </c>
      <c r="AK79" s="55">
        <v>127</v>
      </c>
      <c r="AL79" s="56">
        <f>Portefeuille_MNT_PROGR_PREV[[#This Row],[AC 2026]]-Portefeuille_MNT_PROGR_PREV[[#This Row],[PREV AC 2026]]</f>
        <v>0</v>
      </c>
      <c r="AM79" s="56">
        <f>Portefeuille_MNT_PROGR_PREV[[#This Row],[TR 2026]]-Portefeuille_MNT_PROGR_PREV[[#This Row],[PREV TR 2026]]</f>
        <v>0</v>
      </c>
      <c r="AN79" s="56">
        <f>Portefeuille_MNT_PROGR_PREV[[#This Row],[ÉCART AC 20262]]+Portefeuille_MNT_PROGR_PREV[[#This Row],[ÉCART TR 20263]]</f>
        <v>0</v>
      </c>
      <c r="AO79" s="55"/>
      <c r="AP79" s="55"/>
      <c r="AQ79">
        <v>125</v>
      </c>
      <c r="AR79">
        <v>127</v>
      </c>
      <c r="AU79">
        <v>471</v>
      </c>
      <c r="AV79">
        <v>471</v>
      </c>
    </row>
    <row r="80" spans="1:69" hidden="1" x14ac:dyDescent="0.3">
      <c r="A80" t="s">
        <v>102</v>
      </c>
      <c r="B80" t="s">
        <v>136</v>
      </c>
      <c r="C80" t="s">
        <v>663</v>
      </c>
      <c r="D80" t="s">
        <v>101</v>
      </c>
      <c r="E80" t="s">
        <v>130</v>
      </c>
      <c r="F80" t="s">
        <v>130</v>
      </c>
      <c r="G80" t="s">
        <v>105</v>
      </c>
      <c r="H80" t="s">
        <v>407</v>
      </c>
      <c r="I80" t="s">
        <v>514</v>
      </c>
      <c r="J80" t="s">
        <v>108</v>
      </c>
      <c r="K80" t="s">
        <v>104</v>
      </c>
      <c r="L80" t="s">
        <v>155</v>
      </c>
      <c r="M80" s="1">
        <v>46127</v>
      </c>
      <c r="N80" s="1">
        <v>46492</v>
      </c>
      <c r="P80" s="1">
        <v>46706</v>
      </c>
      <c r="Q80">
        <v>1</v>
      </c>
      <c r="R80">
        <v>1</v>
      </c>
      <c r="S80">
        <v>1</v>
      </c>
      <c r="U80" s="60" t="s">
        <v>169</v>
      </c>
      <c r="V80" s="47"/>
      <c r="W80" s="47"/>
      <c r="X80" s="49">
        <f>Portefeuille_MNT_PROGR_PREV[[#This Row],[AC 2024]]-Portefeuille_MNT_PROGR_PREV[[#This Row],[PREV AC 2024]]</f>
        <v>0</v>
      </c>
      <c r="Y80" s="49">
        <f>Portefeuille_MNT_PROGR_PREV[[#This Row],[TR 2024]]-Portefeuille_MNT_PROGR_PREV[[#This Row],[PREV TR 2024]]</f>
        <v>0</v>
      </c>
      <c r="Z80" s="49">
        <f>Portefeuille_MNT_PROGR_PREV[[#This Row],[ÉCART AC 2024]]+Portefeuille_MNT_PROGR_PREV[[#This Row],[ÉCART TR 2024]]</f>
        <v>0</v>
      </c>
      <c r="AA80" s="47"/>
      <c r="AB80" s="47"/>
      <c r="AC80" s="15"/>
      <c r="AD80" s="15"/>
      <c r="AE80" s="52">
        <f>Portefeuille_MNT_PROGR_PREV[[#This Row],[AC 2025]]-Portefeuille_MNT_PROGR_PREV[[#This Row],[PREV AC 2025]]</f>
        <v>0</v>
      </c>
      <c r="AF80" s="52">
        <f>Portefeuille_MNT_PROGR_PREV[[#This Row],[TR 2025]]-Portefeuille_MNT_PROGR_PREV[[#This Row],[PREV TR 2025]]</f>
        <v>0</v>
      </c>
      <c r="AG80" s="52">
        <f>Portefeuille_MNT_PROGR_PREV[[#This Row],[ÉCART AC 2025]]+Portefeuille_MNT_PROGR_PREV[[#This Row],[ÉCART TR 2025]]</f>
        <v>0</v>
      </c>
      <c r="AH80" s="15"/>
      <c r="AI80" s="15"/>
      <c r="AJ80" s="55"/>
      <c r="AK80" s="55"/>
      <c r="AL80" s="56">
        <f>Portefeuille_MNT_PROGR_PREV[[#This Row],[AC 2026]]-Portefeuille_MNT_PROGR_PREV[[#This Row],[PREV AC 2026]]</f>
        <v>0</v>
      </c>
      <c r="AM80" s="56">
        <f>Portefeuille_MNT_PROGR_PREV[[#This Row],[TR 2026]]-Portefeuille_MNT_PROGR_PREV[[#This Row],[PREV TR 2026]]</f>
        <v>0</v>
      </c>
      <c r="AN80" s="56">
        <f>Portefeuille_MNT_PROGR_PREV[[#This Row],[ÉCART AC 20262]]+Portefeuille_MNT_PROGR_PREV[[#This Row],[ÉCART TR 20263]]</f>
        <v>0</v>
      </c>
      <c r="AO80" s="55"/>
      <c r="AP80" s="55"/>
      <c r="AQ80">
        <v>150</v>
      </c>
      <c r="AU80">
        <v>150</v>
      </c>
      <c r="AY80">
        <v>550</v>
      </c>
      <c r="BA80">
        <v>4000</v>
      </c>
    </row>
    <row r="81" spans="1:73" hidden="1" x14ac:dyDescent="0.3">
      <c r="A81" t="s">
        <v>127</v>
      </c>
      <c r="B81" t="s">
        <v>103</v>
      </c>
      <c r="C81" t="s">
        <v>295</v>
      </c>
      <c r="D81" t="s">
        <v>126</v>
      </c>
      <c r="E81" t="s">
        <v>20</v>
      </c>
      <c r="F81" t="s">
        <v>20</v>
      </c>
      <c r="G81" t="s">
        <v>105</v>
      </c>
      <c r="H81" t="s">
        <v>635</v>
      </c>
      <c r="I81" t="s">
        <v>636</v>
      </c>
      <c r="J81" t="s">
        <v>143</v>
      </c>
      <c r="K81" t="s">
        <v>140</v>
      </c>
      <c r="L81" t="s">
        <v>155</v>
      </c>
      <c r="M81" s="1">
        <v>46266</v>
      </c>
      <c r="N81" s="1">
        <v>46631</v>
      </c>
      <c r="P81" s="1">
        <v>46997</v>
      </c>
      <c r="Q81">
        <v>1</v>
      </c>
      <c r="R81">
        <v>1</v>
      </c>
      <c r="S81">
        <v>1</v>
      </c>
      <c r="U81" s="60" t="s">
        <v>184</v>
      </c>
      <c r="V81" s="47"/>
      <c r="W81" s="47"/>
      <c r="X81" s="49">
        <f>Portefeuille_MNT_PROGR_PREV[[#This Row],[AC 2024]]-Portefeuille_MNT_PROGR_PREV[[#This Row],[PREV AC 2024]]</f>
        <v>0</v>
      </c>
      <c r="Y81" s="49">
        <f>Portefeuille_MNT_PROGR_PREV[[#This Row],[TR 2024]]-Portefeuille_MNT_PROGR_PREV[[#This Row],[PREV TR 2024]]</f>
        <v>0</v>
      </c>
      <c r="Z81" s="49">
        <f>Portefeuille_MNT_PROGR_PREV[[#This Row],[ÉCART AC 2024]]+Portefeuille_MNT_PROGR_PREV[[#This Row],[ÉCART TR 2024]]</f>
        <v>0</v>
      </c>
      <c r="AA81" s="47"/>
      <c r="AB81" s="47"/>
      <c r="AC81" s="15"/>
      <c r="AD81" s="15"/>
      <c r="AE81" s="52">
        <f>Portefeuille_MNT_PROGR_PREV[[#This Row],[AC 2025]]-Portefeuille_MNT_PROGR_PREV[[#This Row],[PREV AC 2025]]</f>
        <v>0</v>
      </c>
      <c r="AF81" s="52">
        <f>Portefeuille_MNT_PROGR_PREV[[#This Row],[TR 2025]]-Portefeuille_MNT_PROGR_PREV[[#This Row],[PREV TR 2025]]</f>
        <v>0</v>
      </c>
      <c r="AG81" s="52">
        <f>Portefeuille_MNT_PROGR_PREV[[#This Row],[ÉCART AC 2025]]+Portefeuille_MNT_PROGR_PREV[[#This Row],[ÉCART TR 2025]]</f>
        <v>0</v>
      </c>
      <c r="AH81" s="15"/>
      <c r="AI81" s="15"/>
      <c r="AJ81" s="55"/>
      <c r="AK81" s="55"/>
      <c r="AL81" s="56">
        <f>Portefeuille_MNT_PROGR_PREV[[#This Row],[AC 2026]]-Portefeuille_MNT_PROGR_PREV[[#This Row],[PREV AC 2026]]</f>
        <v>0</v>
      </c>
      <c r="AM81" s="56">
        <f>Portefeuille_MNT_PROGR_PREV[[#This Row],[TR 2026]]-Portefeuille_MNT_PROGR_PREV[[#This Row],[PREV TR 2026]]</f>
        <v>0</v>
      </c>
      <c r="AN81" s="56">
        <f>Portefeuille_MNT_PROGR_PREV[[#This Row],[ÉCART AC 20262]]+Portefeuille_MNT_PROGR_PREV[[#This Row],[ÉCART TR 20263]]</f>
        <v>0</v>
      </c>
      <c r="AO81" s="55"/>
      <c r="AP81" s="55"/>
      <c r="AU81">
        <v>375</v>
      </c>
      <c r="AY81">
        <v>375</v>
      </c>
      <c r="BC81">
        <v>750</v>
      </c>
      <c r="BE81">
        <v>10000</v>
      </c>
      <c r="BG81">
        <v>875</v>
      </c>
      <c r="BI81">
        <v>10000</v>
      </c>
      <c r="BK81">
        <v>1250</v>
      </c>
      <c r="BM81">
        <v>15000</v>
      </c>
      <c r="BO81">
        <v>500</v>
      </c>
      <c r="BQ81">
        <v>17000</v>
      </c>
      <c r="BS81">
        <v>1000</v>
      </c>
      <c r="BU81">
        <v>59000</v>
      </c>
    </row>
    <row r="82" spans="1:73" hidden="1" x14ac:dyDescent="0.3">
      <c r="A82" t="s">
        <v>102</v>
      </c>
      <c r="B82" t="s">
        <v>136</v>
      </c>
      <c r="C82" t="s">
        <v>664</v>
      </c>
      <c r="D82" t="s">
        <v>101</v>
      </c>
      <c r="E82" t="s">
        <v>130</v>
      </c>
      <c r="F82" t="s">
        <v>20</v>
      </c>
      <c r="G82" t="s">
        <v>131</v>
      </c>
      <c r="H82" t="s">
        <v>405</v>
      </c>
      <c r="I82" t="s">
        <v>406</v>
      </c>
      <c r="J82" t="s">
        <v>152</v>
      </c>
      <c r="K82" t="s">
        <v>129</v>
      </c>
      <c r="L82" t="s">
        <v>155</v>
      </c>
      <c r="M82" s="1">
        <v>46054</v>
      </c>
      <c r="N82" s="1">
        <v>46427</v>
      </c>
      <c r="P82" s="1">
        <v>46813</v>
      </c>
      <c r="Q82">
        <v>1</v>
      </c>
      <c r="R82">
        <v>1</v>
      </c>
      <c r="S82">
        <v>1</v>
      </c>
      <c r="U82" s="60" t="s">
        <v>184</v>
      </c>
      <c r="V82" s="47"/>
      <c r="W82" s="47"/>
      <c r="X82" s="49">
        <f>Portefeuille_MNT_PROGR_PREV[[#This Row],[AC 2024]]-Portefeuille_MNT_PROGR_PREV[[#This Row],[PREV AC 2024]]</f>
        <v>0</v>
      </c>
      <c r="Y82" s="49">
        <f>Portefeuille_MNT_PROGR_PREV[[#This Row],[TR 2024]]-Portefeuille_MNT_PROGR_PREV[[#This Row],[PREV TR 2024]]</f>
        <v>0</v>
      </c>
      <c r="Z82" s="49">
        <f>Portefeuille_MNT_PROGR_PREV[[#This Row],[ÉCART AC 2024]]+Portefeuille_MNT_PROGR_PREV[[#This Row],[ÉCART TR 2024]]</f>
        <v>0</v>
      </c>
      <c r="AA82" s="47"/>
      <c r="AB82" s="47"/>
      <c r="AC82" s="15"/>
      <c r="AD82" s="15"/>
      <c r="AE82" s="52">
        <f>Portefeuille_MNT_PROGR_PREV[[#This Row],[AC 2025]]-Portefeuille_MNT_PROGR_PREV[[#This Row],[PREV AC 2025]]</f>
        <v>0</v>
      </c>
      <c r="AF82" s="52">
        <f>Portefeuille_MNT_PROGR_PREV[[#This Row],[TR 2025]]-Portefeuille_MNT_PROGR_PREV[[#This Row],[PREV TR 2025]]</f>
        <v>0</v>
      </c>
      <c r="AG82" s="52">
        <f>Portefeuille_MNT_PROGR_PREV[[#This Row],[ÉCART AC 2025]]+Portefeuille_MNT_PROGR_PREV[[#This Row],[ÉCART TR 2025]]</f>
        <v>0</v>
      </c>
      <c r="AH82" s="15"/>
      <c r="AI82" s="15"/>
      <c r="AJ82" s="55">
        <v>100</v>
      </c>
      <c r="AK82" s="55"/>
      <c r="AL82" s="56">
        <f>Portefeuille_MNT_PROGR_PREV[[#This Row],[AC 2026]]-Portefeuille_MNT_PROGR_PREV[[#This Row],[PREV AC 2026]]</f>
        <v>100</v>
      </c>
      <c r="AM82" s="56">
        <f>Portefeuille_MNT_PROGR_PREV[[#This Row],[TR 2026]]-Portefeuille_MNT_PROGR_PREV[[#This Row],[PREV TR 2026]]</f>
        <v>0</v>
      </c>
      <c r="AN82" s="56">
        <f>Portefeuille_MNT_PROGR_PREV[[#This Row],[ÉCART AC 20262]]+Portefeuille_MNT_PROGR_PREV[[#This Row],[ÉCART TR 20263]]</f>
        <v>100</v>
      </c>
      <c r="AO82" s="55"/>
      <c r="AP82" s="55"/>
      <c r="AQ82">
        <v>250</v>
      </c>
      <c r="AU82">
        <v>350</v>
      </c>
      <c r="AY82">
        <v>200</v>
      </c>
      <c r="BC82">
        <v>600</v>
      </c>
      <c r="BE82">
        <v>5500</v>
      </c>
      <c r="BG82">
        <v>600</v>
      </c>
      <c r="BI82">
        <v>6000</v>
      </c>
      <c r="BK82">
        <v>600</v>
      </c>
      <c r="BM82">
        <v>6000</v>
      </c>
    </row>
    <row r="83" spans="1:73" hidden="1" x14ac:dyDescent="0.3">
      <c r="A83" t="s">
        <v>102</v>
      </c>
      <c r="B83" t="s">
        <v>389</v>
      </c>
      <c r="C83" t="s">
        <v>664</v>
      </c>
      <c r="D83" t="s">
        <v>101</v>
      </c>
      <c r="E83" t="s">
        <v>20</v>
      </c>
      <c r="F83" t="s">
        <v>20</v>
      </c>
      <c r="G83" t="s">
        <v>105</v>
      </c>
      <c r="H83" t="s">
        <v>432</v>
      </c>
      <c r="I83" t="s">
        <v>433</v>
      </c>
      <c r="J83" t="s">
        <v>143</v>
      </c>
      <c r="L83" t="s">
        <v>291</v>
      </c>
      <c r="M83" s="1"/>
      <c r="N83" s="1"/>
      <c r="P83" s="1"/>
      <c r="S83"/>
      <c r="U83" s="60" t="s">
        <v>370</v>
      </c>
      <c r="V83" s="47"/>
      <c r="W83" s="47"/>
      <c r="X83" s="49">
        <f>Portefeuille_MNT_PROGR_PREV[[#This Row],[AC 2024]]-Portefeuille_MNT_PROGR_PREV[[#This Row],[PREV AC 2024]]</f>
        <v>0</v>
      </c>
      <c r="Y83" s="49">
        <f>Portefeuille_MNT_PROGR_PREV[[#This Row],[TR 2024]]-Portefeuille_MNT_PROGR_PREV[[#This Row],[PREV TR 2024]]</f>
        <v>0</v>
      </c>
      <c r="Z83" s="49">
        <f>Portefeuille_MNT_PROGR_PREV[[#This Row],[ÉCART AC 2024]]+Portefeuille_MNT_PROGR_PREV[[#This Row],[ÉCART TR 2024]]</f>
        <v>0</v>
      </c>
      <c r="AA83" s="47"/>
      <c r="AB83" s="47"/>
      <c r="AC83" s="15"/>
      <c r="AD83" s="15"/>
      <c r="AE83" s="52">
        <f>Portefeuille_MNT_PROGR_PREV[[#This Row],[AC 2025]]-Portefeuille_MNT_PROGR_PREV[[#This Row],[PREV AC 2025]]</f>
        <v>0</v>
      </c>
      <c r="AF83" s="52">
        <f>Portefeuille_MNT_PROGR_PREV[[#This Row],[TR 2025]]-Portefeuille_MNT_PROGR_PREV[[#This Row],[PREV TR 2025]]</f>
        <v>0</v>
      </c>
      <c r="AG83" s="52">
        <f>Portefeuille_MNT_PROGR_PREV[[#This Row],[ÉCART AC 2025]]+Portefeuille_MNT_PROGR_PREV[[#This Row],[ÉCART TR 2025]]</f>
        <v>0</v>
      </c>
      <c r="AH83" s="15"/>
      <c r="AI83" s="15"/>
      <c r="AJ83" s="55"/>
      <c r="AK83" s="55"/>
      <c r="AL83" s="56">
        <f>Portefeuille_MNT_PROGR_PREV[[#This Row],[AC 2026]]-Portefeuille_MNT_PROGR_PREV[[#This Row],[PREV AC 2026]]</f>
        <v>0</v>
      </c>
      <c r="AM83" s="56">
        <f>Portefeuille_MNT_PROGR_PREV[[#This Row],[TR 2026]]-Portefeuille_MNT_PROGR_PREV[[#This Row],[PREV TR 2026]]</f>
        <v>0</v>
      </c>
      <c r="AN83" s="56">
        <f>Portefeuille_MNT_PROGR_PREV[[#This Row],[ÉCART AC 20262]]+Portefeuille_MNT_PROGR_PREV[[#This Row],[ÉCART TR 20263]]</f>
        <v>0</v>
      </c>
      <c r="AO83" s="55"/>
      <c r="AP83" s="55"/>
      <c r="BC83">
        <v>100</v>
      </c>
      <c r="BG83">
        <v>200</v>
      </c>
      <c r="BI83">
        <v>5000</v>
      </c>
    </row>
    <row r="84" spans="1:73" hidden="1" x14ac:dyDescent="0.3">
      <c r="A84" t="s">
        <v>102</v>
      </c>
      <c r="B84" t="s">
        <v>242</v>
      </c>
      <c r="C84" t="s">
        <v>662</v>
      </c>
      <c r="D84" t="s">
        <v>118</v>
      </c>
      <c r="E84" t="s">
        <v>16</v>
      </c>
      <c r="F84" t="s">
        <v>20</v>
      </c>
      <c r="G84" t="s">
        <v>131</v>
      </c>
      <c r="H84" t="s">
        <v>243</v>
      </c>
      <c r="I84" t="s">
        <v>244</v>
      </c>
      <c r="J84" t="s">
        <v>245</v>
      </c>
      <c r="K84" t="s">
        <v>113</v>
      </c>
      <c r="L84" t="s">
        <v>155</v>
      </c>
      <c r="M84" s="1">
        <v>45976</v>
      </c>
      <c r="N84" s="1">
        <v>46280</v>
      </c>
      <c r="P84" s="1">
        <v>46433</v>
      </c>
      <c r="Q84">
        <v>5</v>
      </c>
      <c r="R84">
        <v>1</v>
      </c>
      <c r="S84">
        <v>1</v>
      </c>
      <c r="U84" s="60" t="s">
        <v>197</v>
      </c>
      <c r="V84" s="47"/>
      <c r="W84" s="47"/>
      <c r="X84" s="49">
        <f>Portefeuille_MNT_PROGR_PREV[[#This Row],[AC 2024]]-Portefeuille_MNT_PROGR_PREV[[#This Row],[PREV AC 2024]]</f>
        <v>0</v>
      </c>
      <c r="Y84" s="49">
        <f>Portefeuille_MNT_PROGR_PREV[[#This Row],[TR 2024]]-Portefeuille_MNT_PROGR_PREV[[#This Row],[PREV TR 2024]]</f>
        <v>0</v>
      </c>
      <c r="Z84" s="49">
        <f>Portefeuille_MNT_PROGR_PREV[[#This Row],[ÉCART AC 2024]]+Portefeuille_MNT_PROGR_PREV[[#This Row],[ÉCART TR 2024]]</f>
        <v>0</v>
      </c>
      <c r="AA84" s="47"/>
      <c r="AB84" s="47"/>
      <c r="AC84" s="15">
        <v>50</v>
      </c>
      <c r="AD84" s="15">
        <v>50</v>
      </c>
      <c r="AE84" s="52">
        <f>Portefeuille_MNT_PROGR_PREV[[#This Row],[AC 2025]]-Portefeuille_MNT_PROGR_PREV[[#This Row],[PREV AC 2025]]</f>
        <v>0</v>
      </c>
      <c r="AF84" s="52">
        <f>Portefeuille_MNT_PROGR_PREV[[#This Row],[TR 2025]]-Portefeuille_MNT_PROGR_PREV[[#This Row],[PREV TR 2025]]</f>
        <v>0</v>
      </c>
      <c r="AG84" s="52">
        <f>Portefeuille_MNT_PROGR_PREV[[#This Row],[ÉCART AC 2025]]+Portefeuille_MNT_PROGR_PREV[[#This Row],[ÉCART TR 2025]]</f>
        <v>0</v>
      </c>
      <c r="AH84" s="15"/>
      <c r="AI84" s="15"/>
      <c r="AJ84" s="55">
        <v>150</v>
      </c>
      <c r="AK84" s="55">
        <v>150</v>
      </c>
      <c r="AL84" s="56">
        <f>Portefeuille_MNT_PROGR_PREV[[#This Row],[AC 2026]]-Portefeuille_MNT_PROGR_PREV[[#This Row],[PREV AC 2026]]</f>
        <v>0</v>
      </c>
      <c r="AM84" s="56">
        <f>Portefeuille_MNT_PROGR_PREV[[#This Row],[TR 2026]]-Portefeuille_MNT_PROGR_PREV[[#This Row],[PREV TR 2026]]</f>
        <v>0</v>
      </c>
      <c r="AN84" s="56">
        <f>Portefeuille_MNT_PROGR_PREV[[#This Row],[ÉCART AC 20262]]+Portefeuille_MNT_PROGR_PREV[[#This Row],[ÉCART TR 20263]]</f>
        <v>0</v>
      </c>
      <c r="AO84" s="55"/>
      <c r="AP84" s="55"/>
      <c r="AQ84">
        <v>150</v>
      </c>
      <c r="AR84">
        <v>150</v>
      </c>
      <c r="AW84">
        <v>2000</v>
      </c>
    </row>
    <row r="85" spans="1:73" hidden="1" x14ac:dyDescent="0.3">
      <c r="A85" t="s">
        <v>102</v>
      </c>
      <c r="B85" t="s">
        <v>136</v>
      </c>
      <c r="C85" t="s">
        <v>663</v>
      </c>
      <c r="D85" t="s">
        <v>101</v>
      </c>
      <c r="E85" t="s">
        <v>20</v>
      </c>
      <c r="F85" t="s">
        <v>20</v>
      </c>
      <c r="G85" t="s">
        <v>105</v>
      </c>
      <c r="H85" t="s">
        <v>454</v>
      </c>
      <c r="I85" t="s">
        <v>455</v>
      </c>
      <c r="J85" t="s">
        <v>143</v>
      </c>
      <c r="L85" t="s">
        <v>291</v>
      </c>
      <c r="M85" s="1"/>
      <c r="N85" s="1"/>
      <c r="P85" s="1"/>
      <c r="S85"/>
      <c r="U85" s="60" t="s">
        <v>421</v>
      </c>
      <c r="V85" s="47"/>
      <c r="W85" s="47"/>
      <c r="X85" s="49">
        <f>Portefeuille_MNT_PROGR_PREV[[#This Row],[AC 2024]]-Portefeuille_MNT_PROGR_PREV[[#This Row],[PREV AC 2024]]</f>
        <v>0</v>
      </c>
      <c r="Y85" s="49">
        <f>Portefeuille_MNT_PROGR_PREV[[#This Row],[TR 2024]]-Portefeuille_MNT_PROGR_PREV[[#This Row],[PREV TR 2024]]</f>
        <v>0</v>
      </c>
      <c r="Z85" s="49">
        <f>Portefeuille_MNT_PROGR_PREV[[#This Row],[ÉCART AC 2024]]+Portefeuille_MNT_PROGR_PREV[[#This Row],[ÉCART TR 2024]]</f>
        <v>0</v>
      </c>
      <c r="AA85" s="47"/>
      <c r="AB85" s="47"/>
      <c r="AC85" s="15"/>
      <c r="AD85" s="15"/>
      <c r="AE85" s="52">
        <f>Portefeuille_MNT_PROGR_PREV[[#This Row],[AC 2025]]-Portefeuille_MNT_PROGR_PREV[[#This Row],[PREV AC 2025]]</f>
        <v>0</v>
      </c>
      <c r="AF85" s="52">
        <f>Portefeuille_MNT_PROGR_PREV[[#This Row],[TR 2025]]-Portefeuille_MNT_PROGR_PREV[[#This Row],[PREV TR 2025]]</f>
        <v>0</v>
      </c>
      <c r="AG85" s="52">
        <f>Portefeuille_MNT_PROGR_PREV[[#This Row],[ÉCART AC 2025]]+Portefeuille_MNT_PROGR_PREV[[#This Row],[ÉCART TR 2025]]</f>
        <v>0</v>
      </c>
      <c r="AH85" s="15"/>
      <c r="AI85" s="15"/>
      <c r="AJ85" s="55"/>
      <c r="AK85" s="55"/>
      <c r="AL85" s="56">
        <f>Portefeuille_MNT_PROGR_PREV[[#This Row],[AC 2026]]-Portefeuille_MNT_PROGR_PREV[[#This Row],[PREV AC 2026]]</f>
        <v>0</v>
      </c>
      <c r="AM85" s="56">
        <f>Portefeuille_MNT_PROGR_PREV[[#This Row],[TR 2026]]-Portefeuille_MNT_PROGR_PREV[[#This Row],[PREV TR 2026]]</f>
        <v>0</v>
      </c>
      <c r="AN85" s="56">
        <f>Portefeuille_MNT_PROGR_PREV[[#This Row],[ÉCART AC 20262]]+Portefeuille_MNT_PROGR_PREV[[#This Row],[ÉCART TR 20263]]</f>
        <v>0</v>
      </c>
      <c r="AO85" s="55"/>
      <c r="AP85" s="55"/>
      <c r="AY85">
        <v>150</v>
      </c>
      <c r="BC85">
        <v>150</v>
      </c>
      <c r="BG85">
        <v>500</v>
      </c>
      <c r="BK85">
        <v>500</v>
      </c>
      <c r="BM85">
        <v>5000</v>
      </c>
      <c r="BO85">
        <v>500</v>
      </c>
      <c r="BQ85">
        <v>5000</v>
      </c>
    </row>
    <row r="86" spans="1:73" x14ac:dyDescent="0.3">
      <c r="A86" t="s">
        <v>102</v>
      </c>
      <c r="B86" t="s">
        <v>103</v>
      </c>
      <c r="C86" t="s">
        <v>663</v>
      </c>
      <c r="D86" t="s">
        <v>101</v>
      </c>
      <c r="E86" t="s">
        <v>16</v>
      </c>
      <c r="F86" t="s">
        <v>20</v>
      </c>
      <c r="G86" t="s">
        <v>131</v>
      </c>
      <c r="H86" t="s">
        <v>246</v>
      </c>
      <c r="I86" t="s">
        <v>515</v>
      </c>
      <c r="J86" t="s">
        <v>180</v>
      </c>
      <c r="K86" t="s">
        <v>140</v>
      </c>
      <c r="L86" t="s">
        <v>110</v>
      </c>
      <c r="M86" s="1">
        <v>45679</v>
      </c>
      <c r="N86" s="1">
        <v>46096</v>
      </c>
      <c r="P86" s="1">
        <v>46371</v>
      </c>
      <c r="Q86">
        <v>5</v>
      </c>
      <c r="R86">
        <v>1</v>
      </c>
      <c r="S86">
        <v>1</v>
      </c>
      <c r="U86" s="60" t="s">
        <v>173</v>
      </c>
      <c r="V86" s="47"/>
      <c r="W86" s="47"/>
      <c r="X86" s="49">
        <f>Portefeuille_MNT_PROGR_PREV[[#This Row],[AC 2024]]-Portefeuille_MNT_PROGR_PREV[[#This Row],[PREV AC 2024]]</f>
        <v>0</v>
      </c>
      <c r="Y86" s="49">
        <f>Portefeuille_MNT_PROGR_PREV[[#This Row],[TR 2024]]-Portefeuille_MNT_PROGR_PREV[[#This Row],[PREV TR 2024]]</f>
        <v>0</v>
      </c>
      <c r="Z86" s="49">
        <f>Portefeuille_MNT_PROGR_PREV[[#This Row],[ÉCART AC 2024]]+Portefeuille_MNT_PROGR_PREV[[#This Row],[ÉCART TR 2024]]</f>
        <v>0</v>
      </c>
      <c r="AA86" s="47"/>
      <c r="AB86" s="47"/>
      <c r="AC86" s="15">
        <v>130</v>
      </c>
      <c r="AD86" s="15">
        <v>200</v>
      </c>
      <c r="AE86" s="52">
        <f>Portefeuille_MNT_PROGR_PREV[[#This Row],[AC 2025]]-Portefeuille_MNT_PROGR_PREV[[#This Row],[PREV AC 2025]]</f>
        <v>-70</v>
      </c>
      <c r="AF86" s="52">
        <f>Portefeuille_MNT_PROGR_PREV[[#This Row],[TR 2025]]-Portefeuille_MNT_PROGR_PREV[[#This Row],[PREV TR 2025]]</f>
        <v>0</v>
      </c>
      <c r="AG86" s="52">
        <f>Portefeuille_MNT_PROGR_PREV[[#This Row],[ÉCART AC 2025]]+Portefeuille_MNT_PROGR_PREV[[#This Row],[ÉCART TR 2025]]</f>
        <v>-70</v>
      </c>
      <c r="AH86" s="15"/>
      <c r="AI86" s="15"/>
      <c r="AJ86" s="55">
        <v>60</v>
      </c>
      <c r="AK86" s="55">
        <v>110</v>
      </c>
      <c r="AL86" s="56">
        <f>Portefeuille_MNT_PROGR_PREV[[#This Row],[AC 2026]]-Portefeuille_MNT_PROGR_PREV[[#This Row],[PREV AC 2026]]</f>
        <v>-50</v>
      </c>
      <c r="AM86" s="56">
        <f>Portefeuille_MNT_PROGR_PREV[[#This Row],[TR 2026]]-Portefeuille_MNT_PROGR_PREV[[#This Row],[PREV TR 2026]]</f>
        <v>0</v>
      </c>
      <c r="AN86" s="56">
        <f>Portefeuille_MNT_PROGR_PREV[[#This Row],[ÉCART AC 20262]]+Portefeuille_MNT_PROGR_PREV[[#This Row],[ÉCART TR 20263]]</f>
        <v>-50</v>
      </c>
      <c r="AO86" s="55"/>
      <c r="AP86" s="55"/>
      <c r="AQ86">
        <v>283</v>
      </c>
      <c r="AR86">
        <v>20</v>
      </c>
      <c r="AS86">
        <v>3902</v>
      </c>
    </row>
    <row r="87" spans="1:73" hidden="1" x14ac:dyDescent="0.3">
      <c r="A87" t="s">
        <v>102</v>
      </c>
      <c r="B87" t="s">
        <v>136</v>
      </c>
      <c r="C87" t="s">
        <v>662</v>
      </c>
      <c r="D87" t="s">
        <v>118</v>
      </c>
      <c r="E87" t="s">
        <v>16</v>
      </c>
      <c r="F87" t="s">
        <v>16</v>
      </c>
      <c r="G87" t="s">
        <v>131</v>
      </c>
      <c r="H87" t="s">
        <v>255</v>
      </c>
      <c r="I87" t="s">
        <v>529</v>
      </c>
      <c r="J87" t="s">
        <v>209</v>
      </c>
      <c r="K87" t="s">
        <v>252</v>
      </c>
      <c r="L87" t="s">
        <v>291</v>
      </c>
      <c r="M87" s="1"/>
      <c r="N87" s="1"/>
      <c r="P87" s="1">
        <v>46006</v>
      </c>
      <c r="S87">
        <v>5</v>
      </c>
      <c r="U87" s="60" t="s">
        <v>109</v>
      </c>
      <c r="V87" s="47"/>
      <c r="W87" s="47"/>
      <c r="X87" s="49">
        <f>Portefeuille_MNT_PROGR_PREV[[#This Row],[AC 2024]]-Portefeuille_MNT_PROGR_PREV[[#This Row],[PREV AC 2024]]</f>
        <v>0</v>
      </c>
      <c r="Y87" s="49">
        <f>Portefeuille_MNT_PROGR_PREV[[#This Row],[TR 2024]]-Portefeuille_MNT_PROGR_PREV[[#This Row],[PREV TR 2024]]</f>
        <v>0</v>
      </c>
      <c r="Z87" s="49">
        <f>Portefeuille_MNT_PROGR_PREV[[#This Row],[ÉCART AC 2024]]+Portefeuille_MNT_PROGR_PREV[[#This Row],[ÉCART TR 2024]]</f>
        <v>0</v>
      </c>
      <c r="AA87" s="47"/>
      <c r="AB87" s="47"/>
      <c r="AC87" s="15">
        <v>60</v>
      </c>
      <c r="AD87" s="15">
        <v>60</v>
      </c>
      <c r="AE87" s="52">
        <f>Portefeuille_MNT_PROGR_PREV[[#This Row],[AC 2025]]-Portefeuille_MNT_PROGR_PREV[[#This Row],[PREV AC 2025]]</f>
        <v>0</v>
      </c>
      <c r="AF87" s="52">
        <f>Portefeuille_MNT_PROGR_PREV[[#This Row],[TR 2025]]-Portefeuille_MNT_PROGR_PREV[[#This Row],[PREV TR 2025]]</f>
        <v>0</v>
      </c>
      <c r="AG87" s="52">
        <f>Portefeuille_MNT_PROGR_PREV[[#This Row],[ÉCART AC 2025]]+Portefeuille_MNT_PROGR_PREV[[#This Row],[ÉCART TR 2025]]</f>
        <v>0</v>
      </c>
      <c r="AH87" s="15"/>
      <c r="AI87" s="15"/>
      <c r="AJ87" s="55">
        <v>20</v>
      </c>
      <c r="AK87" s="55">
        <v>20</v>
      </c>
      <c r="AL87" s="56">
        <f>Portefeuille_MNT_PROGR_PREV[[#This Row],[AC 2026]]-Portefeuille_MNT_PROGR_PREV[[#This Row],[PREV AC 2026]]</f>
        <v>0</v>
      </c>
      <c r="AM87" s="56">
        <f>Portefeuille_MNT_PROGR_PREV[[#This Row],[TR 2026]]-Portefeuille_MNT_PROGR_PREV[[#This Row],[PREV TR 2026]]</f>
        <v>0</v>
      </c>
      <c r="AN87" s="56">
        <f>Portefeuille_MNT_PROGR_PREV[[#This Row],[ÉCART AC 20262]]+Portefeuille_MNT_PROGR_PREV[[#This Row],[ÉCART TR 20263]]</f>
        <v>0</v>
      </c>
      <c r="AO87" s="55">
        <v>540</v>
      </c>
      <c r="AP87" s="55">
        <v>540</v>
      </c>
    </row>
    <row r="88" spans="1:73" hidden="1" x14ac:dyDescent="0.3">
      <c r="A88" t="s">
        <v>102</v>
      </c>
      <c r="B88" t="s">
        <v>242</v>
      </c>
      <c r="C88" t="s">
        <v>662</v>
      </c>
      <c r="D88" t="s">
        <v>118</v>
      </c>
      <c r="E88" t="s">
        <v>20</v>
      </c>
      <c r="F88" t="s">
        <v>20</v>
      </c>
      <c r="G88" t="s">
        <v>131</v>
      </c>
      <c r="H88" t="s">
        <v>412</v>
      </c>
      <c r="I88" t="s">
        <v>644</v>
      </c>
      <c r="J88" t="s">
        <v>414</v>
      </c>
      <c r="K88" t="s">
        <v>129</v>
      </c>
      <c r="L88" t="s">
        <v>291</v>
      </c>
      <c r="M88" s="1"/>
      <c r="N88" s="1"/>
      <c r="P88" s="1"/>
      <c r="S88"/>
      <c r="U88" s="60" t="s">
        <v>184</v>
      </c>
      <c r="V88" s="47"/>
      <c r="W88" s="47"/>
      <c r="X88" s="49">
        <f>Portefeuille_MNT_PROGR_PREV[[#This Row],[AC 2024]]-Portefeuille_MNT_PROGR_PREV[[#This Row],[PREV AC 2024]]</f>
        <v>0</v>
      </c>
      <c r="Y88" s="49">
        <f>Portefeuille_MNT_PROGR_PREV[[#This Row],[TR 2024]]-Portefeuille_MNT_PROGR_PREV[[#This Row],[PREV TR 2024]]</f>
        <v>0</v>
      </c>
      <c r="Z88" s="49">
        <f>Portefeuille_MNT_PROGR_PREV[[#This Row],[ÉCART AC 2024]]+Portefeuille_MNT_PROGR_PREV[[#This Row],[ÉCART TR 2024]]</f>
        <v>0</v>
      </c>
      <c r="AA88" s="47"/>
      <c r="AB88" s="47"/>
      <c r="AC88" s="15"/>
      <c r="AD88" s="15"/>
      <c r="AE88" s="52">
        <f>Portefeuille_MNT_PROGR_PREV[[#This Row],[AC 2025]]-Portefeuille_MNT_PROGR_PREV[[#This Row],[PREV AC 2025]]</f>
        <v>0</v>
      </c>
      <c r="AF88" s="52">
        <f>Portefeuille_MNT_PROGR_PREV[[#This Row],[TR 2025]]-Portefeuille_MNT_PROGR_PREV[[#This Row],[PREV TR 2025]]</f>
        <v>0</v>
      </c>
      <c r="AG88" s="52">
        <f>Portefeuille_MNT_PROGR_PREV[[#This Row],[ÉCART AC 2025]]+Portefeuille_MNT_PROGR_PREV[[#This Row],[ÉCART TR 2025]]</f>
        <v>0</v>
      </c>
      <c r="AH88" s="15"/>
      <c r="AI88" s="15"/>
      <c r="AJ88" s="55"/>
      <c r="AK88" s="55"/>
      <c r="AL88" s="56">
        <f>Portefeuille_MNT_PROGR_PREV[[#This Row],[AC 2026]]-Portefeuille_MNT_PROGR_PREV[[#This Row],[PREV AC 2026]]</f>
        <v>0</v>
      </c>
      <c r="AM88" s="56">
        <f>Portefeuille_MNT_PROGR_PREV[[#This Row],[TR 2026]]-Portefeuille_MNT_PROGR_PREV[[#This Row],[PREV TR 2026]]</f>
        <v>0</v>
      </c>
      <c r="AN88" s="56">
        <f>Portefeuille_MNT_PROGR_PREV[[#This Row],[ÉCART AC 20262]]+Portefeuille_MNT_PROGR_PREV[[#This Row],[ÉCART TR 20263]]</f>
        <v>0</v>
      </c>
      <c r="AO88" s="55"/>
      <c r="AP88" s="55"/>
      <c r="AU88">
        <v>150</v>
      </c>
      <c r="AY88">
        <v>150</v>
      </c>
      <c r="BC88">
        <v>250</v>
      </c>
      <c r="BE88">
        <v>2000</v>
      </c>
    </row>
    <row r="89" spans="1:73" hidden="1" x14ac:dyDescent="0.3">
      <c r="A89" t="s">
        <v>102</v>
      </c>
      <c r="B89" t="s">
        <v>242</v>
      </c>
      <c r="C89" t="s">
        <v>662</v>
      </c>
      <c r="D89" t="s">
        <v>118</v>
      </c>
      <c r="E89" t="s">
        <v>20</v>
      </c>
      <c r="F89" t="s">
        <v>20</v>
      </c>
      <c r="G89" t="s">
        <v>131</v>
      </c>
      <c r="H89" t="s">
        <v>415</v>
      </c>
      <c r="I89" t="s">
        <v>416</v>
      </c>
      <c r="J89" t="s">
        <v>417</v>
      </c>
      <c r="K89" t="s">
        <v>129</v>
      </c>
      <c r="L89" t="s">
        <v>155</v>
      </c>
      <c r="M89" s="1">
        <v>46143</v>
      </c>
      <c r="N89" s="1">
        <v>46508</v>
      </c>
      <c r="P89" s="1">
        <v>46874</v>
      </c>
      <c r="Q89">
        <v>1</v>
      </c>
      <c r="R89">
        <v>1</v>
      </c>
      <c r="S89">
        <v>1</v>
      </c>
      <c r="U89" s="60" t="s">
        <v>184</v>
      </c>
      <c r="V89" s="47"/>
      <c r="W89" s="47"/>
      <c r="X89" s="49">
        <f>Portefeuille_MNT_PROGR_PREV[[#This Row],[AC 2024]]-Portefeuille_MNT_PROGR_PREV[[#This Row],[PREV AC 2024]]</f>
        <v>0</v>
      </c>
      <c r="Y89" s="49">
        <f>Portefeuille_MNT_PROGR_PREV[[#This Row],[TR 2024]]-Portefeuille_MNT_PROGR_PREV[[#This Row],[PREV TR 2024]]</f>
        <v>0</v>
      </c>
      <c r="Z89" s="49">
        <f>Portefeuille_MNT_PROGR_PREV[[#This Row],[ÉCART AC 2024]]+Portefeuille_MNT_PROGR_PREV[[#This Row],[ÉCART TR 2024]]</f>
        <v>0</v>
      </c>
      <c r="AA89" s="47"/>
      <c r="AB89" s="47"/>
      <c r="AC89" s="15"/>
      <c r="AD89" s="15"/>
      <c r="AE89" s="52">
        <f>Portefeuille_MNT_PROGR_PREV[[#This Row],[AC 2025]]-Portefeuille_MNT_PROGR_PREV[[#This Row],[PREV AC 2025]]</f>
        <v>0</v>
      </c>
      <c r="AF89" s="52">
        <f>Portefeuille_MNT_PROGR_PREV[[#This Row],[TR 2025]]-Portefeuille_MNT_PROGR_PREV[[#This Row],[PREV TR 2025]]</f>
        <v>0</v>
      </c>
      <c r="AG89" s="52">
        <f>Portefeuille_MNT_PROGR_PREV[[#This Row],[ÉCART AC 2025]]+Portefeuille_MNT_PROGR_PREV[[#This Row],[ÉCART TR 2025]]</f>
        <v>0</v>
      </c>
      <c r="AH89" s="15"/>
      <c r="AI89" s="15"/>
      <c r="AJ89" s="55"/>
      <c r="AK89" s="55"/>
      <c r="AL89" s="56">
        <f>Portefeuille_MNT_PROGR_PREV[[#This Row],[AC 2026]]-Portefeuille_MNT_PROGR_PREV[[#This Row],[PREV AC 2026]]</f>
        <v>0</v>
      </c>
      <c r="AM89" s="56">
        <f>Portefeuille_MNT_PROGR_PREV[[#This Row],[TR 2026]]-Portefeuille_MNT_PROGR_PREV[[#This Row],[PREV TR 2026]]</f>
        <v>0</v>
      </c>
      <c r="AN89" s="56">
        <f>Portefeuille_MNT_PROGR_PREV[[#This Row],[ÉCART AC 20262]]+Portefeuille_MNT_PROGR_PREV[[#This Row],[ÉCART TR 20263]]</f>
        <v>0</v>
      </c>
      <c r="AO89" s="55"/>
      <c r="AP89" s="55"/>
      <c r="AU89">
        <v>150</v>
      </c>
      <c r="AY89">
        <v>150</v>
      </c>
      <c r="BC89">
        <v>250</v>
      </c>
      <c r="BE89">
        <v>2000</v>
      </c>
    </row>
    <row r="90" spans="1:73" x14ac:dyDescent="0.3">
      <c r="A90" t="s">
        <v>102</v>
      </c>
      <c r="B90" t="s">
        <v>136</v>
      </c>
      <c r="C90" t="s">
        <v>662</v>
      </c>
      <c r="D90" t="s">
        <v>118</v>
      </c>
      <c r="E90" t="s">
        <v>16</v>
      </c>
      <c r="F90" t="s">
        <v>20</v>
      </c>
      <c r="G90" t="s">
        <v>105</v>
      </c>
      <c r="H90" t="s">
        <v>248</v>
      </c>
      <c r="I90" t="s">
        <v>249</v>
      </c>
      <c r="J90" t="s">
        <v>180</v>
      </c>
      <c r="K90" t="s">
        <v>113</v>
      </c>
      <c r="L90" t="s">
        <v>110</v>
      </c>
      <c r="M90" s="1">
        <v>45476</v>
      </c>
      <c r="N90" s="1">
        <v>46068</v>
      </c>
      <c r="P90" s="1">
        <v>46068</v>
      </c>
      <c r="Q90">
        <v>5</v>
      </c>
      <c r="R90">
        <v>1</v>
      </c>
      <c r="S90">
        <v>1</v>
      </c>
      <c r="U90" s="60" t="s">
        <v>173</v>
      </c>
      <c r="V90" s="47"/>
      <c r="W90" s="47"/>
      <c r="X90" s="49">
        <f>Portefeuille_MNT_PROGR_PREV[[#This Row],[AC 2024]]-Portefeuille_MNT_PROGR_PREV[[#This Row],[PREV AC 2024]]</f>
        <v>0</v>
      </c>
      <c r="Y90" s="49">
        <f>Portefeuille_MNT_PROGR_PREV[[#This Row],[TR 2024]]-Portefeuille_MNT_PROGR_PREV[[#This Row],[PREV TR 2024]]</f>
        <v>0</v>
      </c>
      <c r="Z90" s="49">
        <f>Portefeuille_MNT_PROGR_PREV[[#This Row],[ÉCART AC 2024]]+Portefeuille_MNT_PROGR_PREV[[#This Row],[ÉCART TR 2024]]</f>
        <v>0</v>
      </c>
      <c r="AA90" s="47"/>
      <c r="AB90" s="47"/>
      <c r="AC90" s="15">
        <v>100</v>
      </c>
      <c r="AD90" s="15">
        <v>60</v>
      </c>
      <c r="AE90" s="52">
        <f>Portefeuille_MNT_PROGR_PREV[[#This Row],[AC 2025]]-Portefeuille_MNT_PROGR_PREV[[#This Row],[PREV AC 2025]]</f>
        <v>40</v>
      </c>
      <c r="AF90" s="52">
        <f>Portefeuille_MNT_PROGR_PREV[[#This Row],[TR 2025]]-Portefeuille_MNT_PROGR_PREV[[#This Row],[PREV TR 2025]]</f>
        <v>0</v>
      </c>
      <c r="AG90" s="52">
        <f>Portefeuille_MNT_PROGR_PREV[[#This Row],[ÉCART AC 2025]]+Portefeuille_MNT_PROGR_PREV[[#This Row],[ÉCART TR 2025]]</f>
        <v>40</v>
      </c>
      <c r="AH90" s="15"/>
      <c r="AI90" s="15"/>
      <c r="AJ90" s="55">
        <v>110</v>
      </c>
      <c r="AK90" s="55">
        <v>112</v>
      </c>
      <c r="AL90" s="56">
        <f>Portefeuille_MNT_PROGR_PREV[[#This Row],[AC 2026]]-Portefeuille_MNT_PROGR_PREV[[#This Row],[PREV AC 2026]]</f>
        <v>-2</v>
      </c>
      <c r="AM90" s="56">
        <f>Portefeuille_MNT_PROGR_PREV[[#This Row],[TR 2026]]-Portefeuille_MNT_PROGR_PREV[[#This Row],[PREV TR 2026]]</f>
        <v>0</v>
      </c>
      <c r="AN90" s="56">
        <f>Portefeuille_MNT_PROGR_PREV[[#This Row],[ÉCART AC 20262]]+Portefeuille_MNT_PROGR_PREV[[#This Row],[ÉCART TR 20263]]</f>
        <v>-2</v>
      </c>
      <c r="AO90" s="55"/>
      <c r="AP90" s="55"/>
      <c r="AQ90">
        <v>110</v>
      </c>
      <c r="AR90">
        <v>112</v>
      </c>
      <c r="AS90">
        <v>3445</v>
      </c>
    </row>
    <row r="91" spans="1:73" hidden="1" x14ac:dyDescent="0.3">
      <c r="A91" t="s">
        <v>102</v>
      </c>
      <c r="B91" t="s">
        <v>103</v>
      </c>
      <c r="C91" t="s">
        <v>662</v>
      </c>
      <c r="D91" t="s">
        <v>118</v>
      </c>
      <c r="E91" t="s">
        <v>20</v>
      </c>
      <c r="F91" t="s">
        <v>20</v>
      </c>
      <c r="G91" t="s">
        <v>131</v>
      </c>
      <c r="H91" t="s">
        <v>422</v>
      </c>
      <c r="I91" t="s">
        <v>423</v>
      </c>
      <c r="J91" t="s">
        <v>139</v>
      </c>
      <c r="K91" t="s">
        <v>113</v>
      </c>
      <c r="L91" t="s">
        <v>155</v>
      </c>
      <c r="M91" s="1">
        <v>46127</v>
      </c>
      <c r="N91" s="1">
        <v>46522</v>
      </c>
      <c r="P91" s="1">
        <v>47041</v>
      </c>
      <c r="Q91">
        <v>1</v>
      </c>
      <c r="R91">
        <v>1</v>
      </c>
      <c r="S91">
        <v>1</v>
      </c>
      <c r="U91" s="60" t="s">
        <v>392</v>
      </c>
      <c r="V91" s="47"/>
      <c r="W91" s="47"/>
      <c r="X91" s="49">
        <f>Portefeuille_MNT_PROGR_PREV[[#This Row],[AC 2024]]-Portefeuille_MNT_PROGR_PREV[[#This Row],[PREV AC 2024]]</f>
        <v>0</v>
      </c>
      <c r="Y91" s="49">
        <f>Portefeuille_MNT_PROGR_PREV[[#This Row],[TR 2024]]-Portefeuille_MNT_PROGR_PREV[[#This Row],[PREV TR 2024]]</f>
        <v>0</v>
      </c>
      <c r="Z91" s="49">
        <f>Portefeuille_MNT_PROGR_PREV[[#This Row],[ÉCART AC 2024]]+Portefeuille_MNT_PROGR_PREV[[#This Row],[ÉCART TR 2024]]</f>
        <v>0</v>
      </c>
      <c r="AA91" s="47"/>
      <c r="AB91" s="47"/>
      <c r="AC91" s="15"/>
      <c r="AD91" s="15"/>
      <c r="AE91" s="52">
        <f>Portefeuille_MNT_PROGR_PREV[[#This Row],[AC 2025]]-Portefeuille_MNT_PROGR_PREV[[#This Row],[PREV AC 2025]]</f>
        <v>0</v>
      </c>
      <c r="AF91" s="52">
        <f>Portefeuille_MNT_PROGR_PREV[[#This Row],[TR 2025]]-Portefeuille_MNT_PROGR_PREV[[#This Row],[PREV TR 2025]]</f>
        <v>0</v>
      </c>
      <c r="AG91" s="52">
        <f>Portefeuille_MNT_PROGR_PREV[[#This Row],[ÉCART AC 2025]]+Portefeuille_MNT_PROGR_PREV[[#This Row],[ÉCART TR 2025]]</f>
        <v>0</v>
      </c>
      <c r="AH91" s="15"/>
      <c r="AI91" s="15"/>
      <c r="AJ91" s="55"/>
      <c r="AK91" s="55"/>
      <c r="AL91" s="56">
        <f>Portefeuille_MNT_PROGR_PREV[[#This Row],[AC 2026]]-Portefeuille_MNT_PROGR_PREV[[#This Row],[PREV AC 2026]]</f>
        <v>0</v>
      </c>
      <c r="AM91" s="56">
        <f>Portefeuille_MNT_PROGR_PREV[[#This Row],[TR 2026]]-Portefeuille_MNT_PROGR_PREV[[#This Row],[PREV TR 2026]]</f>
        <v>0</v>
      </c>
      <c r="AN91" s="56">
        <f>Portefeuille_MNT_PROGR_PREV[[#This Row],[ÉCART AC 20262]]+Portefeuille_MNT_PROGR_PREV[[#This Row],[ÉCART TR 20263]]</f>
        <v>0</v>
      </c>
      <c r="AO91" s="55"/>
      <c r="AP91" s="55"/>
      <c r="BG91">
        <v>100</v>
      </c>
      <c r="BK91">
        <v>200</v>
      </c>
      <c r="BO91">
        <v>250</v>
      </c>
      <c r="BQ91">
        <v>7500</v>
      </c>
    </row>
    <row r="92" spans="1:73" x14ac:dyDescent="0.3">
      <c r="A92" t="s">
        <v>102</v>
      </c>
      <c r="B92" t="s">
        <v>177</v>
      </c>
      <c r="C92" t="s">
        <v>663</v>
      </c>
      <c r="D92" t="s">
        <v>101</v>
      </c>
      <c r="E92" t="s">
        <v>20</v>
      </c>
      <c r="F92" t="s">
        <v>20</v>
      </c>
      <c r="G92" t="s">
        <v>131</v>
      </c>
      <c r="H92" t="s">
        <v>438</v>
      </c>
      <c r="I92" t="s">
        <v>439</v>
      </c>
      <c r="J92" t="s">
        <v>180</v>
      </c>
      <c r="K92" t="s">
        <v>129</v>
      </c>
      <c r="L92" t="s">
        <v>291</v>
      </c>
      <c r="M92" s="1"/>
      <c r="N92" s="1"/>
      <c r="P92" s="1"/>
      <c r="S92"/>
      <c r="U92" s="60" t="s">
        <v>184</v>
      </c>
      <c r="V92" s="47"/>
      <c r="W92" s="47"/>
      <c r="X92" s="49">
        <f>Portefeuille_MNT_PROGR_PREV[[#This Row],[AC 2024]]-Portefeuille_MNT_PROGR_PREV[[#This Row],[PREV AC 2024]]</f>
        <v>0</v>
      </c>
      <c r="Y92" s="49">
        <f>Portefeuille_MNT_PROGR_PREV[[#This Row],[TR 2024]]-Portefeuille_MNT_PROGR_PREV[[#This Row],[PREV TR 2024]]</f>
        <v>0</v>
      </c>
      <c r="Z92" s="49">
        <f>Portefeuille_MNT_PROGR_PREV[[#This Row],[ÉCART AC 2024]]+Portefeuille_MNT_PROGR_PREV[[#This Row],[ÉCART TR 2024]]</f>
        <v>0</v>
      </c>
      <c r="AA92" s="47"/>
      <c r="AB92" s="47"/>
      <c r="AC92" s="15"/>
      <c r="AD92" s="15"/>
      <c r="AE92" s="52">
        <f>Portefeuille_MNT_PROGR_PREV[[#This Row],[AC 2025]]-Portefeuille_MNT_PROGR_PREV[[#This Row],[PREV AC 2025]]</f>
        <v>0</v>
      </c>
      <c r="AF92" s="52">
        <f>Portefeuille_MNT_PROGR_PREV[[#This Row],[TR 2025]]-Portefeuille_MNT_PROGR_PREV[[#This Row],[PREV TR 2025]]</f>
        <v>0</v>
      </c>
      <c r="AG92" s="52">
        <f>Portefeuille_MNT_PROGR_PREV[[#This Row],[ÉCART AC 2025]]+Portefeuille_MNT_PROGR_PREV[[#This Row],[ÉCART TR 2025]]</f>
        <v>0</v>
      </c>
      <c r="AH92" s="15"/>
      <c r="AI92" s="15"/>
      <c r="AJ92" s="55"/>
      <c r="AK92" s="55"/>
      <c r="AL92" s="56">
        <f>Portefeuille_MNT_PROGR_PREV[[#This Row],[AC 2026]]-Portefeuille_MNT_PROGR_PREV[[#This Row],[PREV AC 2026]]</f>
        <v>0</v>
      </c>
      <c r="AM92" s="56">
        <f>Portefeuille_MNT_PROGR_PREV[[#This Row],[TR 2026]]-Portefeuille_MNT_PROGR_PREV[[#This Row],[PREV TR 2026]]</f>
        <v>0</v>
      </c>
      <c r="AN92" s="56">
        <f>Portefeuille_MNT_PROGR_PREV[[#This Row],[ÉCART AC 20262]]+Portefeuille_MNT_PROGR_PREV[[#This Row],[ÉCART TR 20263]]</f>
        <v>0</v>
      </c>
      <c r="AO92" s="55"/>
      <c r="AP92" s="55"/>
      <c r="AY92">
        <v>100.00000000000001</v>
      </c>
      <c r="BC92">
        <v>175</v>
      </c>
      <c r="BE92">
        <v>1500</v>
      </c>
    </row>
    <row r="93" spans="1:73" hidden="1" x14ac:dyDescent="0.3">
      <c r="A93" t="s">
        <v>102</v>
      </c>
      <c r="B93" t="s">
        <v>103</v>
      </c>
      <c r="C93" t="s">
        <v>662</v>
      </c>
      <c r="D93" t="s">
        <v>118</v>
      </c>
      <c r="E93" t="s">
        <v>16</v>
      </c>
      <c r="F93" t="s">
        <v>16</v>
      </c>
      <c r="G93" t="s">
        <v>131</v>
      </c>
      <c r="H93" t="s">
        <v>341</v>
      </c>
      <c r="I93" t="s">
        <v>342</v>
      </c>
      <c r="J93" t="s">
        <v>147</v>
      </c>
      <c r="K93" t="s">
        <v>340</v>
      </c>
      <c r="L93" t="s">
        <v>164</v>
      </c>
      <c r="M93" s="1">
        <v>44245</v>
      </c>
      <c r="N93" s="1">
        <v>44469</v>
      </c>
      <c r="P93" s="1">
        <v>44538</v>
      </c>
      <c r="Q93">
        <v>5</v>
      </c>
      <c r="R93">
        <v>5</v>
      </c>
      <c r="S93">
        <v>5</v>
      </c>
      <c r="U93" s="60"/>
      <c r="V93" s="47">
        <v>13</v>
      </c>
      <c r="W93" s="47">
        <v>13</v>
      </c>
      <c r="X93" s="49">
        <f>Portefeuille_MNT_PROGR_PREV[[#This Row],[AC 2024]]-Portefeuille_MNT_PROGR_PREV[[#This Row],[PREV AC 2024]]</f>
        <v>0</v>
      </c>
      <c r="Y93" s="49">
        <f>Portefeuille_MNT_PROGR_PREV[[#This Row],[TR 2024]]-Portefeuille_MNT_PROGR_PREV[[#This Row],[PREV TR 2024]]</f>
        <v>0</v>
      </c>
      <c r="Z93" s="49">
        <f>Portefeuille_MNT_PROGR_PREV[[#This Row],[ÉCART AC 2024]]+Portefeuille_MNT_PROGR_PREV[[#This Row],[ÉCART TR 2024]]</f>
        <v>0</v>
      </c>
      <c r="AA93" s="47">
        <v>169</v>
      </c>
      <c r="AB93" s="47">
        <v>169</v>
      </c>
      <c r="AC93" s="15">
        <v>60</v>
      </c>
      <c r="AD93" s="15">
        <v>46</v>
      </c>
      <c r="AE93" s="52">
        <f>Portefeuille_MNT_PROGR_PREV[[#This Row],[AC 2025]]-Portefeuille_MNT_PROGR_PREV[[#This Row],[PREV AC 2025]]</f>
        <v>14</v>
      </c>
      <c r="AF93" s="52">
        <f>Portefeuille_MNT_PROGR_PREV[[#This Row],[TR 2025]]-Portefeuille_MNT_PROGR_PREV[[#This Row],[PREV TR 2025]]</f>
        <v>0</v>
      </c>
      <c r="AG93" s="52">
        <f>Portefeuille_MNT_PROGR_PREV[[#This Row],[ÉCART AC 2025]]+Portefeuille_MNT_PROGR_PREV[[#This Row],[ÉCART TR 2025]]</f>
        <v>14</v>
      </c>
      <c r="AH93" s="15"/>
      <c r="AI93" s="15"/>
      <c r="AJ93" s="55"/>
      <c r="AK93" s="55"/>
      <c r="AL93" s="56">
        <f>Portefeuille_MNT_PROGR_PREV[[#This Row],[AC 2026]]-Portefeuille_MNT_PROGR_PREV[[#This Row],[PREV AC 2026]]</f>
        <v>0</v>
      </c>
      <c r="AM93" s="56">
        <f>Portefeuille_MNT_PROGR_PREV[[#This Row],[TR 2026]]-Portefeuille_MNT_PROGR_PREV[[#This Row],[PREV TR 2026]]</f>
        <v>0</v>
      </c>
      <c r="AN93" s="56">
        <f>Portefeuille_MNT_PROGR_PREV[[#This Row],[ÉCART AC 20262]]+Portefeuille_MNT_PROGR_PREV[[#This Row],[ÉCART TR 20263]]</f>
        <v>0</v>
      </c>
      <c r="AO93" s="55"/>
      <c r="AP93" s="55"/>
    </row>
    <row r="94" spans="1:73" hidden="1" x14ac:dyDescent="0.3">
      <c r="A94" t="s">
        <v>102</v>
      </c>
      <c r="B94" t="s">
        <v>389</v>
      </c>
      <c r="C94" t="s">
        <v>664</v>
      </c>
      <c r="D94" t="s">
        <v>101</v>
      </c>
      <c r="E94" t="s">
        <v>20</v>
      </c>
      <c r="F94" t="s">
        <v>20</v>
      </c>
      <c r="G94" t="s">
        <v>105</v>
      </c>
      <c r="H94" t="s">
        <v>428</v>
      </c>
      <c r="I94" t="s">
        <v>429</v>
      </c>
      <c r="J94" t="s">
        <v>302</v>
      </c>
      <c r="L94" t="s">
        <v>291</v>
      </c>
      <c r="M94" s="1"/>
      <c r="N94" s="1"/>
      <c r="P94" s="1"/>
      <c r="S94"/>
      <c r="U94" s="60" t="s">
        <v>392</v>
      </c>
      <c r="V94" s="47"/>
      <c r="W94" s="47"/>
      <c r="X94" s="49">
        <f>Portefeuille_MNT_PROGR_PREV[[#This Row],[AC 2024]]-Portefeuille_MNT_PROGR_PREV[[#This Row],[PREV AC 2024]]</f>
        <v>0</v>
      </c>
      <c r="Y94" s="49">
        <f>Portefeuille_MNT_PROGR_PREV[[#This Row],[TR 2024]]-Portefeuille_MNT_PROGR_PREV[[#This Row],[PREV TR 2024]]</f>
        <v>0</v>
      </c>
      <c r="Z94" s="49">
        <f>Portefeuille_MNT_PROGR_PREV[[#This Row],[ÉCART AC 2024]]+Portefeuille_MNT_PROGR_PREV[[#This Row],[ÉCART TR 2024]]</f>
        <v>0</v>
      </c>
      <c r="AA94" s="47"/>
      <c r="AB94" s="47"/>
      <c r="AC94" s="15"/>
      <c r="AD94" s="15"/>
      <c r="AE94" s="52">
        <f>Portefeuille_MNT_PROGR_PREV[[#This Row],[AC 2025]]-Portefeuille_MNT_PROGR_PREV[[#This Row],[PREV AC 2025]]</f>
        <v>0</v>
      </c>
      <c r="AF94" s="52">
        <f>Portefeuille_MNT_PROGR_PREV[[#This Row],[TR 2025]]-Portefeuille_MNT_PROGR_PREV[[#This Row],[PREV TR 2025]]</f>
        <v>0</v>
      </c>
      <c r="AG94" s="52">
        <f>Portefeuille_MNT_PROGR_PREV[[#This Row],[ÉCART AC 2025]]+Portefeuille_MNT_PROGR_PREV[[#This Row],[ÉCART TR 2025]]</f>
        <v>0</v>
      </c>
      <c r="AH94" s="15"/>
      <c r="AI94" s="15"/>
      <c r="AJ94" s="55"/>
      <c r="AK94" s="55"/>
      <c r="AL94" s="56">
        <f>Portefeuille_MNT_PROGR_PREV[[#This Row],[AC 2026]]-Portefeuille_MNT_PROGR_PREV[[#This Row],[PREV AC 2026]]</f>
        <v>0</v>
      </c>
      <c r="AM94" s="56">
        <f>Portefeuille_MNT_PROGR_PREV[[#This Row],[TR 2026]]-Portefeuille_MNT_PROGR_PREV[[#This Row],[PREV TR 2026]]</f>
        <v>0</v>
      </c>
      <c r="AN94" s="56">
        <f>Portefeuille_MNT_PROGR_PREV[[#This Row],[ÉCART AC 20262]]+Portefeuille_MNT_PROGR_PREV[[#This Row],[ÉCART TR 20263]]</f>
        <v>0</v>
      </c>
      <c r="AO94" s="55"/>
      <c r="AP94" s="55"/>
      <c r="BK94">
        <v>100</v>
      </c>
      <c r="BO94">
        <v>200</v>
      </c>
      <c r="BQ94">
        <v>5000</v>
      </c>
    </row>
    <row r="95" spans="1:73" x14ac:dyDescent="0.3">
      <c r="A95" t="s">
        <v>102</v>
      </c>
      <c r="B95" t="s">
        <v>136</v>
      </c>
      <c r="C95" t="s">
        <v>662</v>
      </c>
      <c r="D95" t="s">
        <v>118</v>
      </c>
      <c r="E95" t="s">
        <v>16</v>
      </c>
      <c r="F95" t="s">
        <v>16</v>
      </c>
      <c r="G95" t="s">
        <v>105</v>
      </c>
      <c r="H95" t="s">
        <v>352</v>
      </c>
      <c r="I95" t="s">
        <v>353</v>
      </c>
      <c r="J95" t="s">
        <v>180</v>
      </c>
      <c r="K95" t="s">
        <v>340</v>
      </c>
      <c r="L95" t="s">
        <v>164</v>
      </c>
      <c r="M95" s="1"/>
      <c r="N95" s="1">
        <v>44965</v>
      </c>
      <c r="P95" s="1">
        <v>45113</v>
      </c>
      <c r="R95">
        <v>5</v>
      </c>
      <c r="S95">
        <v>5</v>
      </c>
      <c r="U95" s="60"/>
      <c r="V95" s="47">
        <v>35</v>
      </c>
      <c r="W95" s="47">
        <v>34</v>
      </c>
      <c r="X95" s="49">
        <f>Portefeuille_MNT_PROGR_PREV[[#This Row],[AC 2024]]-Portefeuille_MNT_PROGR_PREV[[#This Row],[PREV AC 2024]]</f>
        <v>1</v>
      </c>
      <c r="Y95" s="49">
        <f>Portefeuille_MNT_PROGR_PREV[[#This Row],[TR 2024]]-Portefeuille_MNT_PROGR_PREV[[#This Row],[PREV TR 2024]]</f>
        <v>0</v>
      </c>
      <c r="Z95" s="49">
        <f>Portefeuille_MNT_PROGR_PREV[[#This Row],[ÉCART AC 2024]]+Portefeuille_MNT_PROGR_PREV[[#This Row],[ÉCART TR 2024]]</f>
        <v>1</v>
      </c>
      <c r="AA95" s="47">
        <v>958</v>
      </c>
      <c r="AB95" s="47">
        <v>958</v>
      </c>
      <c r="AC95" s="15"/>
      <c r="AD95" s="15"/>
      <c r="AE95" s="52">
        <f>Portefeuille_MNT_PROGR_PREV[[#This Row],[AC 2025]]-Portefeuille_MNT_PROGR_PREV[[#This Row],[PREV AC 2025]]</f>
        <v>0</v>
      </c>
      <c r="AF95" s="52">
        <f>Portefeuille_MNT_PROGR_PREV[[#This Row],[TR 2025]]-Portefeuille_MNT_PROGR_PREV[[#This Row],[PREV TR 2025]]</f>
        <v>0</v>
      </c>
      <c r="AG95" s="52">
        <f>Portefeuille_MNT_PROGR_PREV[[#This Row],[ÉCART AC 2025]]+Portefeuille_MNT_PROGR_PREV[[#This Row],[ÉCART TR 2025]]</f>
        <v>0</v>
      </c>
      <c r="AH95" s="15"/>
      <c r="AI95" s="15"/>
      <c r="AJ95" s="55"/>
      <c r="AK95" s="55"/>
      <c r="AL95" s="56">
        <f>Portefeuille_MNT_PROGR_PREV[[#This Row],[AC 2026]]-Portefeuille_MNT_PROGR_PREV[[#This Row],[PREV AC 2026]]</f>
        <v>0</v>
      </c>
      <c r="AM95" s="56">
        <f>Portefeuille_MNT_PROGR_PREV[[#This Row],[TR 2026]]-Portefeuille_MNT_PROGR_PREV[[#This Row],[PREV TR 2026]]</f>
        <v>0</v>
      </c>
      <c r="AN95" s="56">
        <f>Portefeuille_MNT_PROGR_PREV[[#This Row],[ÉCART AC 20262]]+Portefeuille_MNT_PROGR_PREV[[#This Row],[ÉCART TR 20263]]</f>
        <v>0</v>
      </c>
      <c r="AO95" s="55"/>
      <c r="AP95" s="55"/>
    </row>
    <row r="96" spans="1:73" x14ac:dyDescent="0.3">
      <c r="A96" t="s">
        <v>102</v>
      </c>
      <c r="B96" t="s">
        <v>200</v>
      </c>
      <c r="C96" t="s">
        <v>664</v>
      </c>
      <c r="D96" t="s">
        <v>101</v>
      </c>
      <c r="E96" t="s">
        <v>16</v>
      </c>
      <c r="F96" t="s">
        <v>16</v>
      </c>
      <c r="G96" t="s">
        <v>105</v>
      </c>
      <c r="H96" t="s">
        <v>338</v>
      </c>
      <c r="I96" t="s">
        <v>339</v>
      </c>
      <c r="J96" t="s">
        <v>180</v>
      </c>
      <c r="K96" t="s">
        <v>104</v>
      </c>
      <c r="L96" t="s">
        <v>164</v>
      </c>
      <c r="M96" s="1">
        <v>43360</v>
      </c>
      <c r="N96" s="1">
        <v>43671</v>
      </c>
      <c r="P96" s="1">
        <v>44217</v>
      </c>
      <c r="Q96">
        <v>5</v>
      </c>
      <c r="R96">
        <v>5</v>
      </c>
      <c r="S96">
        <v>5</v>
      </c>
      <c r="U96" s="60"/>
      <c r="V96" s="47">
        <v>142</v>
      </c>
      <c r="W96" s="47">
        <v>142</v>
      </c>
      <c r="X96" s="49">
        <f>Portefeuille_MNT_PROGR_PREV[[#This Row],[AC 2024]]-Portefeuille_MNT_PROGR_PREV[[#This Row],[PREV AC 2024]]</f>
        <v>0</v>
      </c>
      <c r="Y96" s="49">
        <f>Portefeuille_MNT_PROGR_PREV[[#This Row],[TR 2024]]-Portefeuille_MNT_PROGR_PREV[[#This Row],[PREV TR 2024]]</f>
        <v>0</v>
      </c>
      <c r="Z96" s="49">
        <f>Portefeuille_MNT_PROGR_PREV[[#This Row],[ÉCART AC 2024]]+Portefeuille_MNT_PROGR_PREV[[#This Row],[ÉCART TR 2024]]</f>
        <v>0</v>
      </c>
      <c r="AA96" s="47"/>
      <c r="AB96" s="47"/>
      <c r="AC96" s="15">
        <v>65</v>
      </c>
      <c r="AD96" s="15">
        <v>20</v>
      </c>
      <c r="AE96" s="52">
        <f>Portefeuille_MNT_PROGR_PREV[[#This Row],[AC 2025]]-Portefeuille_MNT_PROGR_PREV[[#This Row],[PREV AC 2025]]</f>
        <v>45</v>
      </c>
      <c r="AF96" s="52">
        <f>Portefeuille_MNT_PROGR_PREV[[#This Row],[TR 2025]]-Portefeuille_MNT_PROGR_PREV[[#This Row],[PREV TR 2025]]</f>
        <v>0</v>
      </c>
      <c r="AG96" s="52">
        <f>Portefeuille_MNT_PROGR_PREV[[#This Row],[ÉCART AC 2025]]+Portefeuille_MNT_PROGR_PREV[[#This Row],[ÉCART TR 2025]]</f>
        <v>45</v>
      </c>
      <c r="AH96" s="15"/>
      <c r="AI96" s="15"/>
      <c r="AJ96" s="55"/>
      <c r="AK96" s="55"/>
      <c r="AL96" s="56">
        <f>Portefeuille_MNT_PROGR_PREV[[#This Row],[AC 2026]]-Portefeuille_MNT_PROGR_PREV[[#This Row],[PREV AC 2026]]</f>
        <v>0</v>
      </c>
      <c r="AM96" s="56">
        <f>Portefeuille_MNT_PROGR_PREV[[#This Row],[TR 2026]]-Portefeuille_MNT_PROGR_PREV[[#This Row],[PREV TR 2026]]</f>
        <v>0</v>
      </c>
      <c r="AN96" s="56">
        <f>Portefeuille_MNT_PROGR_PREV[[#This Row],[ÉCART AC 20262]]+Portefeuille_MNT_PROGR_PREV[[#This Row],[ÉCART TR 20263]]</f>
        <v>0</v>
      </c>
      <c r="AO96" s="55"/>
      <c r="AP96" s="55"/>
    </row>
    <row r="97" spans="1:73" hidden="1" x14ac:dyDescent="0.3">
      <c r="A97" t="s">
        <v>102</v>
      </c>
      <c r="B97" t="s">
        <v>136</v>
      </c>
      <c r="C97" t="s">
        <v>662</v>
      </c>
      <c r="D97" t="s">
        <v>118</v>
      </c>
      <c r="E97" t="s">
        <v>20</v>
      </c>
      <c r="F97" t="s">
        <v>20</v>
      </c>
      <c r="G97" t="s">
        <v>131</v>
      </c>
      <c r="H97" t="s">
        <v>543</v>
      </c>
      <c r="I97" t="s">
        <v>544</v>
      </c>
      <c r="J97" t="s">
        <v>187</v>
      </c>
      <c r="K97" t="s">
        <v>113</v>
      </c>
      <c r="L97" t="s">
        <v>123</v>
      </c>
      <c r="M97" s="1">
        <v>45762</v>
      </c>
      <c r="N97" s="1">
        <v>46096</v>
      </c>
      <c r="P97" s="1">
        <v>46096</v>
      </c>
      <c r="Q97">
        <v>5</v>
      </c>
      <c r="R97">
        <v>1</v>
      </c>
      <c r="S97">
        <v>1</v>
      </c>
      <c r="U97" s="60" t="s">
        <v>109</v>
      </c>
      <c r="V97" s="47"/>
      <c r="W97" s="47"/>
      <c r="X97" s="49">
        <f>Portefeuille_MNT_PROGR_PREV[[#This Row],[AC 2024]]-Portefeuille_MNT_PROGR_PREV[[#This Row],[PREV AC 2024]]</f>
        <v>0</v>
      </c>
      <c r="Y97" s="49">
        <f>Portefeuille_MNT_PROGR_PREV[[#This Row],[TR 2024]]-Portefeuille_MNT_PROGR_PREV[[#This Row],[PREV TR 2024]]</f>
        <v>0</v>
      </c>
      <c r="Z97" s="49">
        <f>Portefeuille_MNT_PROGR_PREV[[#This Row],[ÉCART AC 2024]]+Portefeuille_MNT_PROGR_PREV[[#This Row],[ÉCART TR 2024]]</f>
        <v>0</v>
      </c>
      <c r="AA97" s="47"/>
      <c r="AB97" s="47"/>
      <c r="AC97" s="15"/>
      <c r="AD97" s="15"/>
      <c r="AE97" s="52">
        <f>Portefeuille_MNT_PROGR_PREV[[#This Row],[AC 2025]]-Portefeuille_MNT_PROGR_PREV[[#This Row],[PREV AC 2025]]</f>
        <v>0</v>
      </c>
      <c r="AF97" s="52">
        <f>Portefeuille_MNT_PROGR_PREV[[#This Row],[TR 2025]]-Portefeuille_MNT_PROGR_PREV[[#This Row],[PREV TR 2025]]</f>
        <v>0</v>
      </c>
      <c r="AG97" s="52">
        <f>Portefeuille_MNT_PROGR_PREV[[#This Row],[ÉCART AC 2025]]+Portefeuille_MNT_PROGR_PREV[[#This Row],[ÉCART TR 2025]]</f>
        <v>0</v>
      </c>
      <c r="AH97" s="15"/>
      <c r="AI97" s="15"/>
      <c r="AJ97" s="55">
        <v>1</v>
      </c>
      <c r="AK97" s="55"/>
      <c r="AL97" s="56">
        <f>Portefeuille_MNT_PROGR_PREV[[#This Row],[AC 2026]]-Portefeuille_MNT_PROGR_PREV[[#This Row],[PREV AC 2026]]</f>
        <v>1</v>
      </c>
      <c r="AM97" s="56">
        <f>Portefeuille_MNT_PROGR_PREV[[#This Row],[TR 2026]]-Portefeuille_MNT_PROGR_PREV[[#This Row],[PREV TR 2026]]</f>
        <v>164</v>
      </c>
      <c r="AN97" s="56">
        <f>Portefeuille_MNT_PROGR_PREV[[#This Row],[ÉCART AC 20262]]+Portefeuille_MNT_PROGR_PREV[[#This Row],[ÉCART TR 20263]]</f>
        <v>165</v>
      </c>
      <c r="AO97" s="55">
        <v>164</v>
      </c>
      <c r="AP97" s="55"/>
    </row>
    <row r="98" spans="1:73" hidden="1" x14ac:dyDescent="0.3">
      <c r="A98" t="s">
        <v>102</v>
      </c>
      <c r="B98" t="s">
        <v>177</v>
      </c>
      <c r="C98" t="s">
        <v>662</v>
      </c>
      <c r="D98" t="s">
        <v>118</v>
      </c>
      <c r="E98" t="s">
        <v>20</v>
      </c>
      <c r="F98" t="s">
        <v>20</v>
      </c>
      <c r="G98" t="s">
        <v>131</v>
      </c>
      <c r="H98" t="s">
        <v>430</v>
      </c>
      <c r="I98" t="s">
        <v>639</v>
      </c>
      <c r="J98" t="s">
        <v>147</v>
      </c>
      <c r="L98" t="s">
        <v>291</v>
      </c>
      <c r="M98" s="1"/>
      <c r="N98" s="1"/>
      <c r="P98" s="1"/>
      <c r="S98"/>
      <c r="U98" s="60" t="s">
        <v>169</v>
      </c>
      <c r="V98" s="47"/>
      <c r="W98" s="47"/>
      <c r="X98" s="49">
        <f>Portefeuille_MNT_PROGR_PREV[[#This Row],[AC 2024]]-Portefeuille_MNT_PROGR_PREV[[#This Row],[PREV AC 2024]]</f>
        <v>0</v>
      </c>
      <c r="Y98" s="49">
        <f>Portefeuille_MNT_PROGR_PREV[[#This Row],[TR 2024]]-Portefeuille_MNT_PROGR_PREV[[#This Row],[PREV TR 2024]]</f>
        <v>0</v>
      </c>
      <c r="Z98" s="49">
        <f>Portefeuille_MNT_PROGR_PREV[[#This Row],[ÉCART AC 2024]]+Portefeuille_MNT_PROGR_PREV[[#This Row],[ÉCART TR 2024]]</f>
        <v>0</v>
      </c>
      <c r="AA98" s="47"/>
      <c r="AB98" s="47"/>
      <c r="AC98" s="15"/>
      <c r="AD98" s="15"/>
      <c r="AE98" s="52">
        <f>Portefeuille_MNT_PROGR_PREV[[#This Row],[AC 2025]]-Portefeuille_MNT_PROGR_PREV[[#This Row],[PREV AC 2025]]</f>
        <v>0</v>
      </c>
      <c r="AF98" s="52">
        <f>Portefeuille_MNT_PROGR_PREV[[#This Row],[TR 2025]]-Portefeuille_MNT_PROGR_PREV[[#This Row],[PREV TR 2025]]</f>
        <v>0</v>
      </c>
      <c r="AG98" s="52">
        <f>Portefeuille_MNT_PROGR_PREV[[#This Row],[ÉCART AC 2025]]+Portefeuille_MNT_PROGR_PREV[[#This Row],[ÉCART TR 2025]]</f>
        <v>0</v>
      </c>
      <c r="AH98" s="15"/>
      <c r="AI98" s="15"/>
      <c r="AJ98" s="55"/>
      <c r="AK98" s="55"/>
      <c r="AL98" s="56">
        <f>Portefeuille_MNT_PROGR_PREV[[#This Row],[AC 2026]]-Portefeuille_MNT_PROGR_PREV[[#This Row],[PREV AC 2026]]</f>
        <v>0</v>
      </c>
      <c r="AM98" s="56">
        <f>Portefeuille_MNT_PROGR_PREV[[#This Row],[TR 2026]]-Portefeuille_MNT_PROGR_PREV[[#This Row],[PREV TR 2026]]</f>
        <v>0</v>
      </c>
      <c r="AN98" s="56">
        <f>Portefeuille_MNT_PROGR_PREV[[#This Row],[ÉCART AC 20262]]+Portefeuille_MNT_PROGR_PREV[[#This Row],[ÉCART TR 20263]]</f>
        <v>0</v>
      </c>
      <c r="AO98" s="55"/>
      <c r="AP98" s="55"/>
      <c r="AU98">
        <v>50</v>
      </c>
      <c r="AY98">
        <v>100</v>
      </c>
      <c r="BA98">
        <v>1000</v>
      </c>
    </row>
    <row r="99" spans="1:73" hidden="1" x14ac:dyDescent="0.3">
      <c r="A99" t="s">
        <v>102</v>
      </c>
      <c r="B99" t="s">
        <v>200</v>
      </c>
      <c r="C99" t="s">
        <v>664</v>
      </c>
      <c r="D99" t="s">
        <v>101</v>
      </c>
      <c r="E99" t="s">
        <v>20</v>
      </c>
      <c r="F99" t="s">
        <v>20</v>
      </c>
      <c r="G99" t="s">
        <v>131</v>
      </c>
      <c r="H99" t="s">
        <v>436</v>
      </c>
      <c r="I99" t="s">
        <v>437</v>
      </c>
      <c r="J99" t="s">
        <v>139</v>
      </c>
      <c r="K99" t="s">
        <v>113</v>
      </c>
      <c r="L99" t="s">
        <v>155</v>
      </c>
      <c r="M99" s="1">
        <v>46127</v>
      </c>
      <c r="N99" s="1">
        <v>46522</v>
      </c>
      <c r="P99" s="1">
        <v>47041</v>
      </c>
      <c r="Q99">
        <v>1</v>
      </c>
      <c r="R99">
        <v>1</v>
      </c>
      <c r="S99">
        <v>1</v>
      </c>
      <c r="U99" s="60" t="s">
        <v>169</v>
      </c>
      <c r="V99" s="47"/>
      <c r="W99" s="47"/>
      <c r="X99" s="49">
        <f>Portefeuille_MNT_PROGR_PREV[[#This Row],[AC 2024]]-Portefeuille_MNT_PROGR_PREV[[#This Row],[PREV AC 2024]]</f>
        <v>0</v>
      </c>
      <c r="Y99" s="49">
        <f>Portefeuille_MNT_PROGR_PREV[[#This Row],[TR 2024]]-Portefeuille_MNT_PROGR_PREV[[#This Row],[PREV TR 2024]]</f>
        <v>0</v>
      </c>
      <c r="Z99" s="49">
        <f>Portefeuille_MNT_PROGR_PREV[[#This Row],[ÉCART AC 2024]]+Portefeuille_MNT_PROGR_PREV[[#This Row],[ÉCART TR 2024]]</f>
        <v>0</v>
      </c>
      <c r="AA99" s="47"/>
      <c r="AB99" s="47"/>
      <c r="AC99" s="15"/>
      <c r="AD99" s="15"/>
      <c r="AE99" s="52">
        <f>Portefeuille_MNT_PROGR_PREV[[#This Row],[AC 2025]]-Portefeuille_MNT_PROGR_PREV[[#This Row],[PREV AC 2025]]</f>
        <v>0</v>
      </c>
      <c r="AF99" s="52">
        <f>Portefeuille_MNT_PROGR_PREV[[#This Row],[TR 2025]]-Portefeuille_MNT_PROGR_PREV[[#This Row],[PREV TR 2025]]</f>
        <v>0</v>
      </c>
      <c r="AG99" s="52">
        <f>Portefeuille_MNT_PROGR_PREV[[#This Row],[ÉCART AC 2025]]+Portefeuille_MNT_PROGR_PREV[[#This Row],[ÉCART TR 2025]]</f>
        <v>0</v>
      </c>
      <c r="AH99" s="15"/>
      <c r="AI99" s="15"/>
      <c r="AJ99" s="55">
        <v>50</v>
      </c>
      <c r="AK99" s="55"/>
      <c r="AL99" s="56">
        <f>Portefeuille_MNT_PROGR_PREV[[#This Row],[AC 2026]]-Portefeuille_MNT_PROGR_PREV[[#This Row],[PREV AC 2026]]</f>
        <v>50</v>
      </c>
      <c r="AM99" s="56">
        <f>Portefeuille_MNT_PROGR_PREV[[#This Row],[TR 2026]]-Portefeuille_MNT_PROGR_PREV[[#This Row],[PREV TR 2026]]</f>
        <v>0</v>
      </c>
      <c r="AN99" s="56">
        <f>Portefeuille_MNT_PROGR_PREV[[#This Row],[ÉCART AC 20262]]+Portefeuille_MNT_PROGR_PREV[[#This Row],[ÉCART TR 20263]]</f>
        <v>50</v>
      </c>
      <c r="AO99" s="55"/>
      <c r="AP99" s="55"/>
      <c r="AQ99">
        <v>50</v>
      </c>
      <c r="AU99">
        <v>150</v>
      </c>
      <c r="AY99">
        <v>300</v>
      </c>
      <c r="BA99">
        <v>3000</v>
      </c>
    </row>
    <row r="100" spans="1:73" hidden="1" x14ac:dyDescent="0.3">
      <c r="A100" t="s">
        <v>102</v>
      </c>
      <c r="B100" t="s">
        <v>177</v>
      </c>
      <c r="C100" t="s">
        <v>662</v>
      </c>
      <c r="D100" t="s">
        <v>118</v>
      </c>
      <c r="E100" t="s">
        <v>20</v>
      </c>
      <c r="F100" t="s">
        <v>20</v>
      </c>
      <c r="G100" t="s">
        <v>131</v>
      </c>
      <c r="H100" t="s">
        <v>511</v>
      </c>
      <c r="I100" t="s">
        <v>512</v>
      </c>
      <c r="J100" t="s">
        <v>187</v>
      </c>
      <c r="K100" t="s">
        <v>113</v>
      </c>
      <c r="L100" t="s">
        <v>155</v>
      </c>
      <c r="M100" s="1">
        <v>46188</v>
      </c>
      <c r="N100" s="1">
        <v>46433</v>
      </c>
      <c r="P100" s="1">
        <v>46706</v>
      </c>
      <c r="Q100">
        <v>1</v>
      </c>
      <c r="R100">
        <v>1</v>
      </c>
      <c r="S100">
        <v>1</v>
      </c>
      <c r="U100" s="60" t="s">
        <v>169</v>
      </c>
      <c r="V100" s="47"/>
      <c r="W100" s="47"/>
      <c r="X100" s="49">
        <f>Portefeuille_MNT_PROGR_PREV[[#This Row],[AC 2024]]-Portefeuille_MNT_PROGR_PREV[[#This Row],[PREV AC 2024]]</f>
        <v>0</v>
      </c>
      <c r="Y100" s="49">
        <f>Portefeuille_MNT_PROGR_PREV[[#This Row],[TR 2024]]-Portefeuille_MNT_PROGR_PREV[[#This Row],[PREV TR 2024]]</f>
        <v>0</v>
      </c>
      <c r="Z100" s="49">
        <f>Portefeuille_MNT_PROGR_PREV[[#This Row],[ÉCART AC 2024]]+Portefeuille_MNT_PROGR_PREV[[#This Row],[ÉCART TR 2024]]</f>
        <v>0</v>
      </c>
      <c r="AA100" s="47"/>
      <c r="AB100" s="47"/>
      <c r="AC100" s="15"/>
      <c r="AD100" s="15"/>
      <c r="AE100" s="52">
        <f>Portefeuille_MNT_PROGR_PREV[[#This Row],[AC 2025]]-Portefeuille_MNT_PROGR_PREV[[#This Row],[PREV AC 2025]]</f>
        <v>0</v>
      </c>
      <c r="AF100" s="52">
        <f>Portefeuille_MNT_PROGR_PREV[[#This Row],[TR 2025]]-Portefeuille_MNT_PROGR_PREV[[#This Row],[PREV TR 2025]]</f>
        <v>0</v>
      </c>
      <c r="AG100" s="52">
        <f>Portefeuille_MNT_PROGR_PREV[[#This Row],[ÉCART AC 2025]]+Portefeuille_MNT_PROGR_PREV[[#This Row],[ÉCART TR 2025]]</f>
        <v>0</v>
      </c>
      <c r="AH100" s="15"/>
      <c r="AI100" s="15"/>
      <c r="AJ100" s="55"/>
      <c r="AK100" s="55"/>
      <c r="AL100" s="56">
        <f>Portefeuille_MNT_PROGR_PREV[[#This Row],[AC 2026]]-Portefeuille_MNT_PROGR_PREV[[#This Row],[PREV AC 2026]]</f>
        <v>0</v>
      </c>
      <c r="AM100" s="56">
        <f>Portefeuille_MNT_PROGR_PREV[[#This Row],[TR 2026]]-Portefeuille_MNT_PROGR_PREV[[#This Row],[PREV TR 2026]]</f>
        <v>0</v>
      </c>
      <c r="AN100" s="56">
        <f>Portefeuille_MNT_PROGR_PREV[[#This Row],[ÉCART AC 20262]]+Portefeuille_MNT_PROGR_PREV[[#This Row],[ÉCART TR 20263]]</f>
        <v>0</v>
      </c>
      <c r="AO100" s="55"/>
      <c r="AP100" s="55"/>
      <c r="AQ100">
        <v>75</v>
      </c>
      <c r="AU100">
        <v>75</v>
      </c>
      <c r="AY100">
        <v>150</v>
      </c>
      <c r="BA100">
        <v>1000</v>
      </c>
    </row>
    <row r="101" spans="1:73" hidden="1" x14ac:dyDescent="0.3">
      <c r="A101" t="s">
        <v>102</v>
      </c>
      <c r="B101" t="s">
        <v>136</v>
      </c>
      <c r="C101" t="s">
        <v>662</v>
      </c>
      <c r="D101" t="s">
        <v>118</v>
      </c>
      <c r="E101" t="s">
        <v>16</v>
      </c>
      <c r="F101" t="s">
        <v>20</v>
      </c>
      <c r="G101" t="s">
        <v>131</v>
      </c>
      <c r="H101" t="s">
        <v>157</v>
      </c>
      <c r="I101" t="s">
        <v>158</v>
      </c>
      <c r="J101" t="s">
        <v>159</v>
      </c>
      <c r="K101" t="s">
        <v>104</v>
      </c>
      <c r="L101" t="s">
        <v>155</v>
      </c>
      <c r="M101" s="1">
        <v>45991</v>
      </c>
      <c r="N101" s="1"/>
      <c r="P101" s="1">
        <v>46249</v>
      </c>
      <c r="Q101">
        <v>5</v>
      </c>
      <c r="S101">
        <v>1</v>
      </c>
      <c r="U101" s="60" t="s">
        <v>173</v>
      </c>
      <c r="V101" s="47"/>
      <c r="W101" s="47"/>
      <c r="X101" s="49">
        <f>Portefeuille_MNT_PROGR_PREV[[#This Row],[AC 2024]]-Portefeuille_MNT_PROGR_PREV[[#This Row],[PREV AC 2024]]</f>
        <v>0</v>
      </c>
      <c r="Y101" s="49">
        <f>Portefeuille_MNT_PROGR_PREV[[#This Row],[TR 2024]]-Portefeuille_MNT_PROGR_PREV[[#This Row],[PREV TR 2024]]</f>
        <v>0</v>
      </c>
      <c r="Z101" s="49">
        <f>Portefeuille_MNT_PROGR_PREV[[#This Row],[ÉCART AC 2024]]+Portefeuille_MNT_PROGR_PREV[[#This Row],[ÉCART TR 2024]]</f>
        <v>0</v>
      </c>
      <c r="AA101" s="47"/>
      <c r="AB101" s="47"/>
      <c r="AC101" s="15">
        <v>75</v>
      </c>
      <c r="AD101" s="15">
        <v>75</v>
      </c>
      <c r="AE101" s="52">
        <f>Portefeuille_MNT_PROGR_PREV[[#This Row],[AC 2025]]-Portefeuille_MNT_PROGR_PREV[[#This Row],[PREV AC 2025]]</f>
        <v>0</v>
      </c>
      <c r="AF101" s="52">
        <f>Portefeuille_MNT_PROGR_PREV[[#This Row],[TR 2025]]-Portefeuille_MNT_PROGR_PREV[[#This Row],[PREV TR 2025]]</f>
        <v>0</v>
      </c>
      <c r="AG101" s="52">
        <f>Portefeuille_MNT_PROGR_PREV[[#This Row],[ÉCART AC 2025]]+Portefeuille_MNT_PROGR_PREV[[#This Row],[ÉCART TR 2025]]</f>
        <v>0</v>
      </c>
      <c r="AH101" s="15"/>
      <c r="AI101" s="15"/>
      <c r="AJ101" s="55">
        <v>75</v>
      </c>
      <c r="AK101" s="55">
        <v>75</v>
      </c>
      <c r="AL101" s="56">
        <f>Portefeuille_MNT_PROGR_PREV[[#This Row],[AC 2026]]-Portefeuille_MNT_PROGR_PREV[[#This Row],[PREV AC 2026]]</f>
        <v>0</v>
      </c>
      <c r="AM101" s="56">
        <f>Portefeuille_MNT_PROGR_PREV[[#This Row],[TR 2026]]-Portefeuille_MNT_PROGR_PREV[[#This Row],[PREV TR 2026]]</f>
        <v>0</v>
      </c>
      <c r="AN101" s="56">
        <f>Portefeuille_MNT_PROGR_PREV[[#This Row],[ÉCART AC 20262]]+Portefeuille_MNT_PROGR_PREV[[#This Row],[ÉCART TR 20263]]</f>
        <v>0</v>
      </c>
      <c r="AO101" s="55"/>
      <c r="AP101" s="55"/>
      <c r="AQ101">
        <v>150</v>
      </c>
      <c r="AR101">
        <v>150</v>
      </c>
      <c r="AS101">
        <v>650</v>
      </c>
    </row>
    <row r="102" spans="1:73" hidden="1" x14ac:dyDescent="0.3">
      <c r="A102" t="s">
        <v>102</v>
      </c>
      <c r="B102" t="s">
        <v>119</v>
      </c>
      <c r="C102" t="s">
        <v>663</v>
      </c>
      <c r="D102" t="s">
        <v>101</v>
      </c>
      <c r="E102" t="s">
        <v>20</v>
      </c>
      <c r="F102" t="s">
        <v>20</v>
      </c>
      <c r="G102" t="s">
        <v>131</v>
      </c>
      <c r="H102" t="s">
        <v>440</v>
      </c>
      <c r="I102" t="s">
        <v>441</v>
      </c>
      <c r="J102" t="s">
        <v>152</v>
      </c>
      <c r="K102" t="s">
        <v>129</v>
      </c>
      <c r="L102" t="s">
        <v>155</v>
      </c>
      <c r="M102" s="1">
        <v>46002</v>
      </c>
      <c r="N102" s="1"/>
      <c r="P102" s="1">
        <v>45992</v>
      </c>
      <c r="Q102">
        <v>5</v>
      </c>
      <c r="S102">
        <v>5</v>
      </c>
      <c r="U102" s="60" t="s">
        <v>109</v>
      </c>
      <c r="V102" s="47"/>
      <c r="W102" s="47"/>
      <c r="X102" s="49">
        <f>Portefeuille_MNT_PROGR_PREV[[#This Row],[AC 2024]]-Portefeuille_MNT_PROGR_PREV[[#This Row],[PREV AC 2024]]</f>
        <v>0</v>
      </c>
      <c r="Y102" s="49">
        <f>Portefeuille_MNT_PROGR_PREV[[#This Row],[TR 2024]]-Portefeuille_MNT_PROGR_PREV[[#This Row],[PREV TR 2024]]</f>
        <v>0</v>
      </c>
      <c r="Z102" s="49">
        <f>Portefeuille_MNT_PROGR_PREV[[#This Row],[ÉCART AC 2024]]+Portefeuille_MNT_PROGR_PREV[[#This Row],[ÉCART TR 2024]]</f>
        <v>0</v>
      </c>
      <c r="AA102" s="47"/>
      <c r="AB102" s="47"/>
      <c r="AC102" s="15"/>
      <c r="AD102" s="15"/>
      <c r="AE102" s="52">
        <f>Portefeuille_MNT_PROGR_PREV[[#This Row],[AC 2025]]-Portefeuille_MNT_PROGR_PREV[[#This Row],[PREV AC 2025]]</f>
        <v>0</v>
      </c>
      <c r="AF102" s="52">
        <f>Portefeuille_MNT_PROGR_PREV[[#This Row],[TR 2025]]-Portefeuille_MNT_PROGR_PREV[[#This Row],[PREV TR 2025]]</f>
        <v>0</v>
      </c>
      <c r="AG102" s="52">
        <f>Portefeuille_MNT_PROGR_PREV[[#This Row],[ÉCART AC 2025]]+Portefeuille_MNT_PROGR_PREV[[#This Row],[ÉCART TR 2025]]</f>
        <v>0</v>
      </c>
      <c r="AH102" s="15"/>
      <c r="AI102" s="15"/>
      <c r="AJ102" s="55">
        <v>55</v>
      </c>
      <c r="AK102" s="55"/>
      <c r="AL102" s="56">
        <f>Portefeuille_MNT_PROGR_PREV[[#This Row],[AC 2026]]-Portefeuille_MNT_PROGR_PREV[[#This Row],[PREV AC 2026]]</f>
        <v>55</v>
      </c>
      <c r="AM102" s="56">
        <f>Portefeuille_MNT_PROGR_PREV[[#This Row],[TR 2026]]-Portefeuille_MNT_PROGR_PREV[[#This Row],[PREV TR 2026]]</f>
        <v>543</v>
      </c>
      <c r="AN102" s="56">
        <f>Portefeuille_MNT_PROGR_PREV[[#This Row],[ÉCART AC 20262]]+Portefeuille_MNT_PROGR_PREV[[#This Row],[ÉCART TR 20263]]</f>
        <v>598</v>
      </c>
      <c r="AO102" s="55">
        <v>543</v>
      </c>
      <c r="AP102" s="55"/>
    </row>
    <row r="103" spans="1:73" hidden="1" x14ac:dyDescent="0.3">
      <c r="A103" t="s">
        <v>102</v>
      </c>
      <c r="B103" t="s">
        <v>177</v>
      </c>
      <c r="C103" t="s">
        <v>662</v>
      </c>
      <c r="D103" t="s">
        <v>118</v>
      </c>
      <c r="E103" t="s">
        <v>20</v>
      </c>
      <c r="F103" t="s">
        <v>20</v>
      </c>
      <c r="G103" t="s">
        <v>131</v>
      </c>
      <c r="H103" t="s">
        <v>522</v>
      </c>
      <c r="I103" t="s">
        <v>523</v>
      </c>
      <c r="J103" t="s">
        <v>187</v>
      </c>
      <c r="L103" t="s">
        <v>291</v>
      </c>
      <c r="M103" s="1"/>
      <c r="N103" s="1"/>
      <c r="P103" s="1"/>
      <c r="S103"/>
      <c r="U103" s="60" t="s">
        <v>370</v>
      </c>
      <c r="V103" s="47"/>
      <c r="W103" s="47"/>
      <c r="X103" s="49">
        <f>Portefeuille_MNT_PROGR_PREV[[#This Row],[AC 2024]]-Portefeuille_MNT_PROGR_PREV[[#This Row],[PREV AC 2024]]</f>
        <v>0</v>
      </c>
      <c r="Y103" s="49">
        <f>Portefeuille_MNT_PROGR_PREV[[#This Row],[TR 2024]]-Portefeuille_MNT_PROGR_PREV[[#This Row],[PREV TR 2024]]</f>
        <v>0</v>
      </c>
      <c r="Z103" s="49">
        <f>Portefeuille_MNT_PROGR_PREV[[#This Row],[ÉCART AC 2024]]+Portefeuille_MNT_PROGR_PREV[[#This Row],[ÉCART TR 2024]]</f>
        <v>0</v>
      </c>
      <c r="AA103" s="47"/>
      <c r="AB103" s="47"/>
      <c r="AC103" s="15"/>
      <c r="AD103" s="15"/>
      <c r="AE103" s="52">
        <f>Portefeuille_MNT_PROGR_PREV[[#This Row],[AC 2025]]-Portefeuille_MNT_PROGR_PREV[[#This Row],[PREV AC 2025]]</f>
        <v>0</v>
      </c>
      <c r="AF103" s="52">
        <f>Portefeuille_MNT_PROGR_PREV[[#This Row],[TR 2025]]-Portefeuille_MNT_PROGR_PREV[[#This Row],[PREV TR 2025]]</f>
        <v>0</v>
      </c>
      <c r="AG103" s="52">
        <f>Portefeuille_MNT_PROGR_PREV[[#This Row],[ÉCART AC 2025]]+Portefeuille_MNT_PROGR_PREV[[#This Row],[ÉCART TR 2025]]</f>
        <v>0</v>
      </c>
      <c r="AH103" s="15"/>
      <c r="AI103" s="15"/>
      <c r="AJ103" s="55"/>
      <c r="AK103" s="55"/>
      <c r="AL103" s="56">
        <f>Portefeuille_MNT_PROGR_PREV[[#This Row],[AC 2026]]-Portefeuille_MNT_PROGR_PREV[[#This Row],[PREV AC 2026]]</f>
        <v>0</v>
      </c>
      <c r="AM103" s="56">
        <f>Portefeuille_MNT_PROGR_PREV[[#This Row],[TR 2026]]-Portefeuille_MNT_PROGR_PREV[[#This Row],[PREV TR 2026]]</f>
        <v>0</v>
      </c>
      <c r="AN103" s="56">
        <f>Portefeuille_MNT_PROGR_PREV[[#This Row],[ÉCART AC 20262]]+Portefeuille_MNT_PROGR_PREV[[#This Row],[ÉCART TR 20263]]</f>
        <v>0</v>
      </c>
      <c r="AO103" s="55"/>
      <c r="AP103" s="55"/>
      <c r="AY103">
        <v>50</v>
      </c>
      <c r="BC103">
        <v>50</v>
      </c>
      <c r="BG103">
        <v>100</v>
      </c>
      <c r="BI103">
        <v>2000</v>
      </c>
    </row>
    <row r="104" spans="1:73" hidden="1" x14ac:dyDescent="0.3">
      <c r="A104" t="s">
        <v>127</v>
      </c>
      <c r="B104" t="s">
        <v>103</v>
      </c>
      <c r="C104" t="s">
        <v>295</v>
      </c>
      <c r="D104" t="s">
        <v>126</v>
      </c>
      <c r="E104" t="s">
        <v>20</v>
      </c>
      <c r="F104" t="s">
        <v>20</v>
      </c>
      <c r="G104" t="s">
        <v>105</v>
      </c>
      <c r="H104" t="s">
        <v>442</v>
      </c>
      <c r="I104" t="s">
        <v>526</v>
      </c>
      <c r="J104" t="s">
        <v>168</v>
      </c>
      <c r="K104" t="s">
        <v>113</v>
      </c>
      <c r="L104" t="s">
        <v>291</v>
      </c>
      <c r="M104" s="1"/>
      <c r="N104" s="1"/>
      <c r="P104" s="1"/>
      <c r="S104"/>
      <c r="U104" s="60" t="s">
        <v>421</v>
      </c>
      <c r="V104" s="47"/>
      <c r="W104" s="47"/>
      <c r="X104" s="49">
        <f>Portefeuille_MNT_PROGR_PREV[[#This Row],[AC 2024]]-Portefeuille_MNT_PROGR_PREV[[#This Row],[PREV AC 2024]]</f>
        <v>0</v>
      </c>
      <c r="Y104" s="49">
        <f>Portefeuille_MNT_PROGR_PREV[[#This Row],[TR 2024]]-Portefeuille_MNT_PROGR_PREV[[#This Row],[PREV TR 2024]]</f>
        <v>0</v>
      </c>
      <c r="Z104" s="49">
        <f>Portefeuille_MNT_PROGR_PREV[[#This Row],[ÉCART AC 2024]]+Portefeuille_MNT_PROGR_PREV[[#This Row],[ÉCART TR 2024]]</f>
        <v>0</v>
      </c>
      <c r="AA104" s="47"/>
      <c r="AB104" s="47"/>
      <c r="AC104" s="15"/>
      <c r="AD104" s="15"/>
      <c r="AE104" s="52">
        <f>Portefeuille_MNT_PROGR_PREV[[#This Row],[AC 2025]]-Portefeuille_MNT_PROGR_PREV[[#This Row],[PREV AC 2025]]</f>
        <v>0</v>
      </c>
      <c r="AF104" s="52">
        <f>Portefeuille_MNT_PROGR_PREV[[#This Row],[TR 2025]]-Portefeuille_MNT_PROGR_PREV[[#This Row],[PREV TR 2025]]</f>
        <v>0</v>
      </c>
      <c r="AG104" s="52">
        <f>Portefeuille_MNT_PROGR_PREV[[#This Row],[ÉCART AC 2025]]+Portefeuille_MNT_PROGR_PREV[[#This Row],[ÉCART TR 2025]]</f>
        <v>0</v>
      </c>
      <c r="AH104" s="15"/>
      <c r="AI104" s="15"/>
      <c r="AJ104" s="55"/>
      <c r="AK104" s="55"/>
      <c r="AL104" s="56">
        <f>Portefeuille_MNT_PROGR_PREV[[#This Row],[AC 2026]]-Portefeuille_MNT_PROGR_PREV[[#This Row],[PREV AC 2026]]</f>
        <v>0</v>
      </c>
      <c r="AM104" s="56">
        <f>Portefeuille_MNT_PROGR_PREV[[#This Row],[TR 2026]]-Portefeuille_MNT_PROGR_PREV[[#This Row],[PREV TR 2026]]</f>
        <v>0</v>
      </c>
      <c r="AN104" s="56">
        <f>Portefeuille_MNT_PROGR_PREV[[#This Row],[ÉCART AC 20262]]+Portefeuille_MNT_PROGR_PREV[[#This Row],[ÉCART TR 20263]]</f>
        <v>0</v>
      </c>
      <c r="AO104" s="55"/>
      <c r="AP104" s="55"/>
      <c r="BC104">
        <v>200</v>
      </c>
      <c r="BG104">
        <v>200</v>
      </c>
      <c r="BK104">
        <v>500</v>
      </c>
      <c r="BM104">
        <v>7500</v>
      </c>
      <c r="BO104">
        <v>500</v>
      </c>
      <c r="BQ104">
        <v>7500</v>
      </c>
    </row>
    <row r="105" spans="1:73" hidden="1" x14ac:dyDescent="0.3">
      <c r="A105" t="s">
        <v>102</v>
      </c>
      <c r="B105" t="s">
        <v>128</v>
      </c>
      <c r="C105" t="s">
        <v>664</v>
      </c>
      <c r="D105" t="s">
        <v>101</v>
      </c>
      <c r="E105" t="s">
        <v>16</v>
      </c>
      <c r="F105" t="s">
        <v>20</v>
      </c>
      <c r="G105" t="s">
        <v>131</v>
      </c>
      <c r="H105" t="s">
        <v>250</v>
      </c>
      <c r="I105" t="s">
        <v>251</v>
      </c>
      <c r="J105" t="s">
        <v>214</v>
      </c>
      <c r="K105" t="s">
        <v>129</v>
      </c>
      <c r="L105" t="s">
        <v>110</v>
      </c>
      <c r="M105" s="1">
        <v>45490</v>
      </c>
      <c r="N105" s="1"/>
      <c r="P105" s="1">
        <v>46447</v>
      </c>
      <c r="Q105">
        <v>5</v>
      </c>
      <c r="S105">
        <v>1</v>
      </c>
      <c r="U105" s="60" t="s">
        <v>197</v>
      </c>
      <c r="V105" s="47"/>
      <c r="W105" s="47"/>
      <c r="X105" s="49">
        <f>Portefeuille_MNT_PROGR_PREV[[#This Row],[AC 2024]]-Portefeuille_MNT_PROGR_PREV[[#This Row],[PREV AC 2024]]</f>
        <v>0</v>
      </c>
      <c r="Y105" s="49">
        <f>Portefeuille_MNT_PROGR_PREV[[#This Row],[TR 2024]]-Portefeuille_MNT_PROGR_PREV[[#This Row],[PREV TR 2024]]</f>
        <v>0</v>
      </c>
      <c r="Z105" s="49">
        <f>Portefeuille_MNT_PROGR_PREV[[#This Row],[ÉCART AC 2024]]+Portefeuille_MNT_PROGR_PREV[[#This Row],[ÉCART TR 2024]]</f>
        <v>0</v>
      </c>
      <c r="AA105" s="47"/>
      <c r="AB105" s="47"/>
      <c r="AC105" s="15">
        <v>37</v>
      </c>
      <c r="AD105" s="15">
        <v>47</v>
      </c>
      <c r="AE105" s="52">
        <f>Portefeuille_MNT_PROGR_PREV[[#This Row],[AC 2025]]-Portefeuille_MNT_PROGR_PREV[[#This Row],[PREV AC 2025]]</f>
        <v>-10</v>
      </c>
      <c r="AF105" s="52">
        <f>Portefeuille_MNT_PROGR_PREV[[#This Row],[TR 2025]]-Portefeuille_MNT_PROGR_PREV[[#This Row],[PREV TR 2025]]</f>
        <v>0</v>
      </c>
      <c r="AG105" s="52">
        <f>Portefeuille_MNT_PROGR_PREV[[#This Row],[ÉCART AC 2025]]+Portefeuille_MNT_PROGR_PREV[[#This Row],[ÉCART TR 2025]]</f>
        <v>-10</v>
      </c>
      <c r="AH105" s="15"/>
      <c r="AI105" s="15"/>
      <c r="AJ105" s="55">
        <v>10</v>
      </c>
      <c r="AK105" s="55">
        <v>0</v>
      </c>
      <c r="AL105" s="56">
        <f>Portefeuille_MNT_PROGR_PREV[[#This Row],[AC 2026]]-Portefeuille_MNT_PROGR_PREV[[#This Row],[PREV AC 2026]]</f>
        <v>10</v>
      </c>
      <c r="AM105" s="56">
        <f>Portefeuille_MNT_PROGR_PREV[[#This Row],[TR 2026]]-Portefeuille_MNT_PROGR_PREV[[#This Row],[PREV TR 2026]]</f>
        <v>0</v>
      </c>
      <c r="AN105" s="56">
        <f>Portefeuille_MNT_PROGR_PREV[[#This Row],[ÉCART AC 20262]]+Portefeuille_MNT_PROGR_PREV[[#This Row],[ÉCART TR 20263]]</f>
        <v>10</v>
      </c>
      <c r="AO105" s="55"/>
      <c r="AP105" s="55"/>
      <c r="AQ105">
        <v>12</v>
      </c>
      <c r="AR105">
        <v>12</v>
      </c>
      <c r="AU105">
        <v>30</v>
      </c>
      <c r="AV105">
        <v>30</v>
      </c>
      <c r="AW105">
        <v>194</v>
      </c>
    </row>
    <row r="106" spans="1:73" hidden="1" x14ac:dyDescent="0.3">
      <c r="A106" t="s">
        <v>102</v>
      </c>
      <c r="B106" t="s">
        <v>103</v>
      </c>
      <c r="C106" t="s">
        <v>662</v>
      </c>
      <c r="D106" t="s">
        <v>118</v>
      </c>
      <c r="E106" t="s">
        <v>20</v>
      </c>
      <c r="F106" t="s">
        <v>20</v>
      </c>
      <c r="G106" t="s">
        <v>131</v>
      </c>
      <c r="H106" t="s">
        <v>531</v>
      </c>
      <c r="I106" t="s">
        <v>532</v>
      </c>
      <c r="J106" t="s">
        <v>187</v>
      </c>
      <c r="L106" t="s">
        <v>291</v>
      </c>
      <c r="M106" s="1"/>
      <c r="N106" s="1"/>
      <c r="P106" s="1"/>
      <c r="S106"/>
      <c r="U106" s="60" t="s">
        <v>395</v>
      </c>
      <c r="V106" s="47"/>
      <c r="W106" s="47"/>
      <c r="X106" s="49">
        <f>Portefeuille_MNT_PROGR_PREV[[#This Row],[AC 2024]]-Portefeuille_MNT_PROGR_PREV[[#This Row],[PREV AC 2024]]</f>
        <v>0</v>
      </c>
      <c r="Y106" s="49">
        <f>Portefeuille_MNT_PROGR_PREV[[#This Row],[TR 2024]]-Portefeuille_MNT_PROGR_PREV[[#This Row],[PREV TR 2024]]</f>
        <v>0</v>
      </c>
      <c r="Z106" s="49">
        <f>Portefeuille_MNT_PROGR_PREV[[#This Row],[ÉCART AC 2024]]+Portefeuille_MNT_PROGR_PREV[[#This Row],[ÉCART TR 2024]]</f>
        <v>0</v>
      </c>
      <c r="AA106" s="47"/>
      <c r="AB106" s="47"/>
      <c r="AC106" s="15"/>
      <c r="AD106" s="15"/>
      <c r="AE106" s="52">
        <f>Portefeuille_MNT_PROGR_PREV[[#This Row],[AC 2025]]-Portefeuille_MNT_PROGR_PREV[[#This Row],[PREV AC 2025]]</f>
        <v>0</v>
      </c>
      <c r="AF106" s="52">
        <f>Portefeuille_MNT_PROGR_PREV[[#This Row],[TR 2025]]-Portefeuille_MNT_PROGR_PREV[[#This Row],[PREV TR 2025]]</f>
        <v>0</v>
      </c>
      <c r="AG106" s="52">
        <f>Portefeuille_MNT_PROGR_PREV[[#This Row],[ÉCART AC 2025]]+Portefeuille_MNT_PROGR_PREV[[#This Row],[ÉCART TR 2025]]</f>
        <v>0</v>
      </c>
      <c r="AH106" s="15"/>
      <c r="AI106" s="15"/>
      <c r="AJ106" s="55"/>
      <c r="AK106" s="55"/>
      <c r="AL106" s="56">
        <f>Portefeuille_MNT_PROGR_PREV[[#This Row],[AC 2026]]-Portefeuille_MNT_PROGR_PREV[[#This Row],[PREV AC 2026]]</f>
        <v>0</v>
      </c>
      <c r="AM106" s="56">
        <f>Portefeuille_MNT_PROGR_PREV[[#This Row],[TR 2026]]-Portefeuille_MNT_PROGR_PREV[[#This Row],[PREV TR 2026]]</f>
        <v>0</v>
      </c>
      <c r="AN106" s="56">
        <f>Portefeuille_MNT_PROGR_PREV[[#This Row],[ÉCART AC 20262]]+Portefeuille_MNT_PROGR_PREV[[#This Row],[ÉCART TR 20263]]</f>
        <v>0</v>
      </c>
      <c r="AO106" s="55"/>
      <c r="AP106" s="55"/>
      <c r="BK106">
        <v>150</v>
      </c>
      <c r="BO106">
        <v>150</v>
      </c>
      <c r="BS106">
        <v>500</v>
      </c>
      <c r="BU106">
        <v>8000</v>
      </c>
    </row>
    <row r="107" spans="1:73" hidden="1" x14ac:dyDescent="0.3">
      <c r="A107" t="s">
        <v>127</v>
      </c>
      <c r="B107" t="s">
        <v>128</v>
      </c>
      <c r="C107" t="s">
        <v>295</v>
      </c>
      <c r="D107" t="s">
        <v>126</v>
      </c>
      <c r="E107" t="s">
        <v>16</v>
      </c>
      <c r="F107" t="s">
        <v>16</v>
      </c>
      <c r="G107" t="s">
        <v>131</v>
      </c>
      <c r="H107" t="s">
        <v>253</v>
      </c>
      <c r="I107" t="s">
        <v>254</v>
      </c>
      <c r="J107" t="s">
        <v>147</v>
      </c>
      <c r="K107" t="s">
        <v>252</v>
      </c>
      <c r="L107" t="s">
        <v>291</v>
      </c>
      <c r="M107" s="1"/>
      <c r="N107" s="1"/>
      <c r="P107" s="1"/>
      <c r="S107"/>
      <c r="U107" s="60" t="s">
        <v>148</v>
      </c>
      <c r="V107" s="47"/>
      <c r="W107" s="47"/>
      <c r="X107" s="49">
        <f>Portefeuille_MNT_PROGR_PREV[[#This Row],[AC 2024]]-Portefeuille_MNT_PROGR_PREV[[#This Row],[PREV AC 2024]]</f>
        <v>0</v>
      </c>
      <c r="Y107" s="49">
        <f>Portefeuille_MNT_PROGR_PREV[[#This Row],[TR 2024]]-Portefeuille_MNT_PROGR_PREV[[#This Row],[PREV TR 2024]]</f>
        <v>0</v>
      </c>
      <c r="Z107" s="49">
        <f>Portefeuille_MNT_PROGR_PREV[[#This Row],[ÉCART AC 2024]]+Portefeuille_MNT_PROGR_PREV[[#This Row],[ÉCART TR 2024]]</f>
        <v>0</v>
      </c>
      <c r="AA107" s="47"/>
      <c r="AB107" s="47"/>
      <c r="AC107" s="15">
        <v>10</v>
      </c>
      <c r="AD107" s="15">
        <v>10</v>
      </c>
      <c r="AE107" s="52">
        <f>Portefeuille_MNT_PROGR_PREV[[#This Row],[AC 2025]]-Portefeuille_MNT_PROGR_PREV[[#This Row],[PREV AC 2025]]</f>
        <v>0</v>
      </c>
      <c r="AF107" s="52">
        <f>Portefeuille_MNT_PROGR_PREV[[#This Row],[TR 2025]]-Portefeuille_MNT_PROGR_PREV[[#This Row],[PREV TR 2025]]</f>
        <v>0</v>
      </c>
      <c r="AG107" s="52">
        <f>Portefeuille_MNT_PROGR_PREV[[#This Row],[ÉCART AC 2025]]+Portefeuille_MNT_PROGR_PREV[[#This Row],[ÉCART TR 2025]]</f>
        <v>0</v>
      </c>
      <c r="AH107" s="15">
        <v>39</v>
      </c>
      <c r="AI107" s="15">
        <v>39</v>
      </c>
      <c r="AJ107" s="55"/>
      <c r="AK107" s="55"/>
      <c r="AL107" s="56">
        <f>Portefeuille_MNT_PROGR_PREV[[#This Row],[AC 2026]]-Portefeuille_MNT_PROGR_PREV[[#This Row],[PREV AC 2026]]</f>
        <v>0</v>
      </c>
      <c r="AM107" s="56">
        <f>Portefeuille_MNT_PROGR_PREV[[#This Row],[TR 2026]]-Portefeuille_MNT_PROGR_PREV[[#This Row],[PREV TR 2026]]</f>
        <v>0</v>
      </c>
      <c r="AN107" s="56">
        <f>Portefeuille_MNT_PROGR_PREV[[#This Row],[ÉCART AC 20262]]+Portefeuille_MNT_PROGR_PREV[[#This Row],[ÉCART TR 20263]]</f>
        <v>0</v>
      </c>
      <c r="AO107" s="55"/>
      <c r="AP107" s="55"/>
    </row>
    <row r="108" spans="1:73" hidden="1" x14ac:dyDescent="0.3">
      <c r="A108" t="s">
        <v>102</v>
      </c>
      <c r="B108" t="s">
        <v>103</v>
      </c>
      <c r="C108" t="s">
        <v>664</v>
      </c>
      <c r="D108" t="s">
        <v>101</v>
      </c>
      <c r="E108" t="s">
        <v>20</v>
      </c>
      <c r="F108" t="s">
        <v>20</v>
      </c>
      <c r="G108" t="s">
        <v>105</v>
      </c>
      <c r="H108" t="s">
        <v>446</v>
      </c>
      <c r="I108" t="s">
        <v>447</v>
      </c>
      <c r="J108" t="s">
        <v>168</v>
      </c>
      <c r="L108" t="s">
        <v>291</v>
      </c>
      <c r="M108" s="1"/>
      <c r="N108" s="1"/>
      <c r="O108">
        <v>600</v>
      </c>
      <c r="P108" s="1"/>
      <c r="S108"/>
      <c r="U108" s="60" t="s">
        <v>533</v>
      </c>
      <c r="V108" s="47"/>
      <c r="W108" s="47"/>
      <c r="X108" s="49">
        <f>Portefeuille_MNT_PROGR_PREV[[#This Row],[AC 2024]]-Portefeuille_MNT_PROGR_PREV[[#This Row],[PREV AC 2024]]</f>
        <v>0</v>
      </c>
      <c r="Y108" s="49">
        <f>Portefeuille_MNT_PROGR_PREV[[#This Row],[TR 2024]]-Portefeuille_MNT_PROGR_PREV[[#This Row],[PREV TR 2024]]</f>
        <v>0</v>
      </c>
      <c r="Z108" s="49">
        <f>Portefeuille_MNT_PROGR_PREV[[#This Row],[ÉCART AC 2024]]+Portefeuille_MNT_PROGR_PREV[[#This Row],[ÉCART TR 2024]]</f>
        <v>0</v>
      </c>
      <c r="AA108" s="47"/>
      <c r="AB108" s="47"/>
      <c r="AC108" s="15"/>
      <c r="AD108" s="15"/>
      <c r="AE108" s="52">
        <f>Portefeuille_MNT_PROGR_PREV[[#This Row],[AC 2025]]-Portefeuille_MNT_PROGR_PREV[[#This Row],[PREV AC 2025]]</f>
        <v>0</v>
      </c>
      <c r="AF108" s="52">
        <f>Portefeuille_MNT_PROGR_PREV[[#This Row],[TR 2025]]-Portefeuille_MNT_PROGR_PREV[[#This Row],[PREV TR 2025]]</f>
        <v>0</v>
      </c>
      <c r="AG108" s="52">
        <f>Portefeuille_MNT_PROGR_PREV[[#This Row],[ÉCART AC 2025]]+Portefeuille_MNT_PROGR_PREV[[#This Row],[ÉCART TR 2025]]</f>
        <v>0</v>
      </c>
      <c r="AH108" s="15"/>
      <c r="AI108" s="15"/>
      <c r="AJ108" s="55"/>
      <c r="AK108" s="55"/>
      <c r="AL108" s="56">
        <f>Portefeuille_MNT_PROGR_PREV[[#This Row],[AC 2026]]-Portefeuille_MNT_PROGR_PREV[[#This Row],[PREV AC 2026]]</f>
        <v>0</v>
      </c>
      <c r="AM108" s="56">
        <f>Portefeuille_MNT_PROGR_PREV[[#This Row],[TR 2026]]-Portefeuille_MNT_PROGR_PREV[[#This Row],[PREV TR 2026]]</f>
        <v>0</v>
      </c>
      <c r="AN108" s="56">
        <f>Portefeuille_MNT_PROGR_PREV[[#This Row],[ÉCART AC 20262]]+Portefeuille_MNT_PROGR_PREV[[#This Row],[ÉCART TR 20263]]</f>
        <v>0</v>
      </c>
      <c r="AO108" s="55"/>
      <c r="AP108" s="55"/>
      <c r="BO108">
        <v>150</v>
      </c>
      <c r="BS108">
        <v>150</v>
      </c>
    </row>
    <row r="109" spans="1:73" hidden="1" x14ac:dyDescent="0.3">
      <c r="A109" t="s">
        <v>102</v>
      </c>
      <c r="B109" t="s">
        <v>188</v>
      </c>
      <c r="C109" t="s">
        <v>663</v>
      </c>
      <c r="D109" t="s">
        <v>101</v>
      </c>
      <c r="E109" t="s">
        <v>16</v>
      </c>
      <c r="F109" t="s">
        <v>16</v>
      </c>
      <c r="G109" t="s">
        <v>131</v>
      </c>
      <c r="H109" t="s">
        <v>343</v>
      </c>
      <c r="I109" t="s">
        <v>344</v>
      </c>
      <c r="J109" t="s">
        <v>139</v>
      </c>
      <c r="K109" t="s">
        <v>113</v>
      </c>
      <c r="L109" t="s">
        <v>164</v>
      </c>
      <c r="M109" s="1"/>
      <c r="N109" s="1"/>
      <c r="P109" s="1">
        <v>44672</v>
      </c>
      <c r="S109">
        <v>5</v>
      </c>
      <c r="U109" s="60"/>
      <c r="V109" s="47">
        <v>12</v>
      </c>
      <c r="W109" s="47">
        <v>12</v>
      </c>
      <c r="X109" s="49">
        <f>Portefeuille_MNT_PROGR_PREV[[#This Row],[AC 2024]]-Portefeuille_MNT_PROGR_PREV[[#This Row],[PREV AC 2024]]</f>
        <v>0</v>
      </c>
      <c r="Y109" s="49">
        <f>Portefeuille_MNT_PROGR_PREV[[#This Row],[TR 2024]]-Portefeuille_MNT_PROGR_PREV[[#This Row],[PREV TR 2024]]</f>
        <v>0</v>
      </c>
      <c r="Z109" s="49">
        <f>Portefeuille_MNT_PROGR_PREV[[#This Row],[ÉCART AC 2024]]+Portefeuille_MNT_PROGR_PREV[[#This Row],[ÉCART TR 2024]]</f>
        <v>0</v>
      </c>
      <c r="AA109" s="47">
        <v>11</v>
      </c>
      <c r="AB109" s="47">
        <v>11</v>
      </c>
      <c r="AC109" s="15"/>
      <c r="AD109" s="15"/>
      <c r="AE109" s="52">
        <f>Portefeuille_MNT_PROGR_PREV[[#This Row],[AC 2025]]-Portefeuille_MNT_PROGR_PREV[[#This Row],[PREV AC 2025]]</f>
        <v>0</v>
      </c>
      <c r="AF109" s="52">
        <f>Portefeuille_MNT_PROGR_PREV[[#This Row],[TR 2025]]-Portefeuille_MNT_PROGR_PREV[[#This Row],[PREV TR 2025]]</f>
        <v>0</v>
      </c>
      <c r="AG109" s="52">
        <f>Portefeuille_MNT_PROGR_PREV[[#This Row],[ÉCART AC 2025]]+Portefeuille_MNT_PROGR_PREV[[#This Row],[ÉCART TR 2025]]</f>
        <v>0</v>
      </c>
      <c r="AH109" s="15"/>
      <c r="AI109" s="15"/>
      <c r="AJ109" s="55"/>
      <c r="AK109" s="55"/>
      <c r="AL109" s="56">
        <f>Portefeuille_MNT_PROGR_PREV[[#This Row],[AC 2026]]-Portefeuille_MNT_PROGR_PREV[[#This Row],[PREV AC 2026]]</f>
        <v>0</v>
      </c>
      <c r="AM109" s="56">
        <f>Portefeuille_MNT_PROGR_PREV[[#This Row],[TR 2026]]-Portefeuille_MNT_PROGR_PREV[[#This Row],[PREV TR 2026]]</f>
        <v>0</v>
      </c>
      <c r="AN109" s="56">
        <f>Portefeuille_MNT_PROGR_PREV[[#This Row],[ÉCART AC 20262]]+Portefeuille_MNT_PROGR_PREV[[#This Row],[ÉCART TR 20263]]</f>
        <v>0</v>
      </c>
      <c r="AO109" s="55"/>
      <c r="AP109" s="55"/>
    </row>
    <row r="110" spans="1:73" hidden="1" x14ac:dyDescent="0.3">
      <c r="A110" t="s">
        <v>102</v>
      </c>
      <c r="B110" t="s">
        <v>136</v>
      </c>
      <c r="C110" t="s">
        <v>662</v>
      </c>
      <c r="D110" t="s">
        <v>118</v>
      </c>
      <c r="E110" t="s">
        <v>16</v>
      </c>
      <c r="F110" t="s">
        <v>16</v>
      </c>
      <c r="G110" t="s">
        <v>131</v>
      </c>
      <c r="H110" t="s">
        <v>345</v>
      </c>
      <c r="I110" t="s">
        <v>346</v>
      </c>
      <c r="J110" t="s">
        <v>147</v>
      </c>
      <c r="K110" t="s">
        <v>129</v>
      </c>
      <c r="L110" t="s">
        <v>164</v>
      </c>
      <c r="M110" s="1"/>
      <c r="N110" s="1"/>
      <c r="P110" s="1"/>
      <c r="S110"/>
      <c r="U110" s="60"/>
      <c r="V110" s="47">
        <v>1</v>
      </c>
      <c r="W110" s="47">
        <v>2</v>
      </c>
      <c r="X110" s="49">
        <f>Portefeuille_MNT_PROGR_PREV[[#This Row],[AC 2024]]-Portefeuille_MNT_PROGR_PREV[[#This Row],[PREV AC 2024]]</f>
        <v>-1</v>
      </c>
      <c r="Y110" s="49">
        <f>Portefeuille_MNT_PROGR_PREV[[#This Row],[TR 2024]]-Portefeuille_MNT_PROGR_PREV[[#This Row],[PREV TR 2024]]</f>
        <v>-6</v>
      </c>
      <c r="Z110" s="49">
        <f>Portefeuille_MNT_PROGR_PREV[[#This Row],[ÉCART AC 2024]]+Portefeuille_MNT_PROGR_PREV[[#This Row],[ÉCART TR 2024]]</f>
        <v>-7</v>
      </c>
      <c r="AA110" s="47">
        <v>44</v>
      </c>
      <c r="AB110" s="47">
        <v>50</v>
      </c>
      <c r="AC110" s="15"/>
      <c r="AD110" s="15"/>
      <c r="AE110" s="52">
        <f>Portefeuille_MNT_PROGR_PREV[[#This Row],[AC 2025]]-Portefeuille_MNT_PROGR_PREV[[#This Row],[PREV AC 2025]]</f>
        <v>0</v>
      </c>
      <c r="AF110" s="52">
        <f>Portefeuille_MNT_PROGR_PREV[[#This Row],[TR 2025]]-Portefeuille_MNT_PROGR_PREV[[#This Row],[PREV TR 2025]]</f>
        <v>0</v>
      </c>
      <c r="AG110" s="52">
        <f>Portefeuille_MNT_PROGR_PREV[[#This Row],[ÉCART AC 2025]]+Portefeuille_MNT_PROGR_PREV[[#This Row],[ÉCART TR 2025]]</f>
        <v>0</v>
      </c>
      <c r="AH110" s="15"/>
      <c r="AI110" s="15"/>
      <c r="AJ110" s="55"/>
      <c r="AK110" s="55"/>
      <c r="AL110" s="56">
        <f>Portefeuille_MNT_PROGR_PREV[[#This Row],[AC 2026]]-Portefeuille_MNT_PROGR_PREV[[#This Row],[PREV AC 2026]]</f>
        <v>0</v>
      </c>
      <c r="AM110" s="56">
        <f>Portefeuille_MNT_PROGR_PREV[[#This Row],[TR 2026]]-Portefeuille_MNT_PROGR_PREV[[#This Row],[PREV TR 2026]]</f>
        <v>0</v>
      </c>
      <c r="AN110" s="56">
        <f>Portefeuille_MNT_PROGR_PREV[[#This Row],[ÉCART AC 20262]]+Portefeuille_MNT_PROGR_PREV[[#This Row],[ÉCART TR 20263]]</f>
        <v>0</v>
      </c>
      <c r="AO110" s="55"/>
      <c r="AP110" s="55"/>
    </row>
    <row r="111" spans="1:73" hidden="1" x14ac:dyDescent="0.3">
      <c r="A111" t="s">
        <v>102</v>
      </c>
      <c r="B111" t="s">
        <v>136</v>
      </c>
      <c r="C111" t="s">
        <v>663</v>
      </c>
      <c r="D111" t="s">
        <v>101</v>
      </c>
      <c r="E111" t="s">
        <v>20</v>
      </c>
      <c r="F111" t="s">
        <v>20</v>
      </c>
      <c r="G111" t="s">
        <v>105</v>
      </c>
      <c r="H111" t="s">
        <v>456</v>
      </c>
      <c r="I111" t="s">
        <v>457</v>
      </c>
      <c r="J111" t="s">
        <v>402</v>
      </c>
      <c r="L111" t="s">
        <v>291</v>
      </c>
      <c r="M111" s="1"/>
      <c r="N111" s="1"/>
      <c r="P111" s="1"/>
      <c r="S111"/>
      <c r="U111" s="60" t="s">
        <v>395</v>
      </c>
      <c r="V111" s="47"/>
      <c r="W111" s="47"/>
      <c r="X111" s="49">
        <f>Portefeuille_MNT_PROGR_PREV[[#This Row],[AC 2024]]-Portefeuille_MNT_PROGR_PREV[[#This Row],[PREV AC 2024]]</f>
        <v>0</v>
      </c>
      <c r="Y111" s="49">
        <f>Portefeuille_MNT_PROGR_PREV[[#This Row],[TR 2024]]-Portefeuille_MNT_PROGR_PREV[[#This Row],[PREV TR 2024]]</f>
        <v>0</v>
      </c>
      <c r="Z111" s="49">
        <f>Portefeuille_MNT_PROGR_PREV[[#This Row],[ÉCART AC 2024]]+Portefeuille_MNT_PROGR_PREV[[#This Row],[ÉCART TR 2024]]</f>
        <v>0</v>
      </c>
      <c r="AA111" s="47"/>
      <c r="AB111" s="47"/>
      <c r="AC111" s="15"/>
      <c r="AD111" s="15"/>
      <c r="AE111" s="52">
        <f>Portefeuille_MNT_PROGR_PREV[[#This Row],[AC 2025]]-Portefeuille_MNT_PROGR_PREV[[#This Row],[PREV AC 2025]]</f>
        <v>0</v>
      </c>
      <c r="AF111" s="52">
        <f>Portefeuille_MNT_PROGR_PREV[[#This Row],[TR 2025]]-Portefeuille_MNT_PROGR_PREV[[#This Row],[PREV TR 2025]]</f>
        <v>0</v>
      </c>
      <c r="AG111" s="52">
        <f>Portefeuille_MNT_PROGR_PREV[[#This Row],[ÉCART AC 2025]]+Portefeuille_MNT_PROGR_PREV[[#This Row],[ÉCART TR 2025]]</f>
        <v>0</v>
      </c>
      <c r="AH111" s="15"/>
      <c r="AI111" s="15"/>
      <c r="AJ111" s="55"/>
      <c r="AK111" s="55"/>
      <c r="AL111" s="56">
        <f>Portefeuille_MNT_PROGR_PREV[[#This Row],[AC 2026]]-Portefeuille_MNT_PROGR_PREV[[#This Row],[PREV AC 2026]]</f>
        <v>0</v>
      </c>
      <c r="AM111" s="56">
        <f>Portefeuille_MNT_PROGR_PREV[[#This Row],[TR 2026]]-Portefeuille_MNT_PROGR_PREV[[#This Row],[PREV TR 2026]]</f>
        <v>0</v>
      </c>
      <c r="AN111" s="56">
        <f>Portefeuille_MNT_PROGR_PREV[[#This Row],[ÉCART AC 20262]]+Portefeuille_MNT_PROGR_PREV[[#This Row],[ÉCART TR 20263]]</f>
        <v>0</v>
      </c>
      <c r="AO111" s="55"/>
      <c r="AP111" s="55"/>
      <c r="BK111">
        <v>150</v>
      </c>
      <c r="BO111">
        <v>150</v>
      </c>
      <c r="BS111">
        <v>500</v>
      </c>
      <c r="BU111">
        <v>6800</v>
      </c>
    </row>
    <row r="112" spans="1:73" hidden="1" x14ac:dyDescent="0.3">
      <c r="A112" t="s">
        <v>102</v>
      </c>
      <c r="B112" t="s">
        <v>136</v>
      </c>
      <c r="C112" t="s">
        <v>663</v>
      </c>
      <c r="D112" t="s">
        <v>101</v>
      </c>
      <c r="E112" t="s">
        <v>20</v>
      </c>
      <c r="F112" t="s">
        <v>20</v>
      </c>
      <c r="G112" t="s">
        <v>105</v>
      </c>
      <c r="H112" t="s">
        <v>458</v>
      </c>
      <c r="I112" t="s">
        <v>459</v>
      </c>
      <c r="J112" t="s">
        <v>239</v>
      </c>
      <c r="L112" t="s">
        <v>291</v>
      </c>
      <c r="M112" s="1"/>
      <c r="N112" s="1"/>
      <c r="P112" s="1"/>
      <c r="S112"/>
      <c r="U112" s="60" t="s">
        <v>392</v>
      </c>
      <c r="V112" s="47"/>
      <c r="W112" s="47"/>
      <c r="X112" s="49">
        <f>Portefeuille_MNT_PROGR_PREV[[#This Row],[AC 2024]]-Portefeuille_MNT_PROGR_PREV[[#This Row],[PREV AC 2024]]</f>
        <v>0</v>
      </c>
      <c r="Y112" s="49">
        <f>Portefeuille_MNT_PROGR_PREV[[#This Row],[TR 2024]]-Portefeuille_MNT_PROGR_PREV[[#This Row],[PREV TR 2024]]</f>
        <v>0</v>
      </c>
      <c r="Z112" s="49">
        <f>Portefeuille_MNT_PROGR_PREV[[#This Row],[ÉCART AC 2024]]+Portefeuille_MNT_PROGR_PREV[[#This Row],[ÉCART TR 2024]]</f>
        <v>0</v>
      </c>
      <c r="AA112" s="47"/>
      <c r="AB112" s="47"/>
      <c r="AC112" s="15"/>
      <c r="AD112" s="15"/>
      <c r="AE112" s="52">
        <f>Portefeuille_MNT_PROGR_PREV[[#This Row],[AC 2025]]-Portefeuille_MNT_PROGR_PREV[[#This Row],[PREV AC 2025]]</f>
        <v>0</v>
      </c>
      <c r="AF112" s="52">
        <f>Portefeuille_MNT_PROGR_PREV[[#This Row],[TR 2025]]-Portefeuille_MNT_PROGR_PREV[[#This Row],[PREV TR 2025]]</f>
        <v>0</v>
      </c>
      <c r="AG112" s="52">
        <f>Portefeuille_MNT_PROGR_PREV[[#This Row],[ÉCART AC 2025]]+Portefeuille_MNT_PROGR_PREV[[#This Row],[ÉCART TR 2025]]</f>
        <v>0</v>
      </c>
      <c r="AH112" s="15"/>
      <c r="AI112" s="15"/>
      <c r="AJ112" s="55"/>
      <c r="AK112" s="55"/>
      <c r="AL112" s="56">
        <f>Portefeuille_MNT_PROGR_PREV[[#This Row],[AC 2026]]-Portefeuille_MNT_PROGR_PREV[[#This Row],[PREV AC 2026]]</f>
        <v>0</v>
      </c>
      <c r="AM112" s="56">
        <f>Portefeuille_MNT_PROGR_PREV[[#This Row],[TR 2026]]-Portefeuille_MNT_PROGR_PREV[[#This Row],[PREV TR 2026]]</f>
        <v>0</v>
      </c>
      <c r="AN112" s="56">
        <f>Portefeuille_MNT_PROGR_PREV[[#This Row],[ÉCART AC 20262]]+Portefeuille_MNT_PROGR_PREV[[#This Row],[ÉCART TR 20263]]</f>
        <v>0</v>
      </c>
      <c r="AO112" s="55"/>
      <c r="AP112" s="55"/>
      <c r="BG112">
        <v>150</v>
      </c>
      <c r="BK112">
        <v>150</v>
      </c>
      <c r="BO112">
        <v>500</v>
      </c>
      <c r="BQ112">
        <v>6500</v>
      </c>
    </row>
    <row r="113" spans="1:73" hidden="1" x14ac:dyDescent="0.3">
      <c r="A113" t="s">
        <v>102</v>
      </c>
      <c r="B113" t="s">
        <v>136</v>
      </c>
      <c r="C113" t="s">
        <v>663</v>
      </c>
      <c r="D113" t="s">
        <v>101</v>
      </c>
      <c r="E113" t="s">
        <v>20</v>
      </c>
      <c r="F113" t="s">
        <v>20</v>
      </c>
      <c r="G113" t="s">
        <v>105</v>
      </c>
      <c r="H113" t="s">
        <v>460</v>
      </c>
      <c r="I113" t="s">
        <v>461</v>
      </c>
      <c r="J113" t="s">
        <v>108</v>
      </c>
      <c r="L113" t="s">
        <v>291</v>
      </c>
      <c r="M113" s="1"/>
      <c r="N113" s="1"/>
      <c r="P113" s="1"/>
      <c r="S113"/>
      <c r="U113" s="60" t="s">
        <v>395</v>
      </c>
      <c r="V113" s="47"/>
      <c r="W113" s="47"/>
      <c r="X113" s="49">
        <f>Portefeuille_MNT_PROGR_PREV[[#This Row],[AC 2024]]-Portefeuille_MNT_PROGR_PREV[[#This Row],[PREV AC 2024]]</f>
        <v>0</v>
      </c>
      <c r="Y113" s="49">
        <f>Portefeuille_MNT_PROGR_PREV[[#This Row],[TR 2024]]-Portefeuille_MNT_PROGR_PREV[[#This Row],[PREV TR 2024]]</f>
        <v>0</v>
      </c>
      <c r="Z113" s="49">
        <f>Portefeuille_MNT_PROGR_PREV[[#This Row],[ÉCART AC 2024]]+Portefeuille_MNT_PROGR_PREV[[#This Row],[ÉCART TR 2024]]</f>
        <v>0</v>
      </c>
      <c r="AA113" s="47"/>
      <c r="AB113" s="47"/>
      <c r="AC113" s="15"/>
      <c r="AD113" s="15"/>
      <c r="AE113" s="52">
        <f>Portefeuille_MNT_PROGR_PREV[[#This Row],[AC 2025]]-Portefeuille_MNT_PROGR_PREV[[#This Row],[PREV AC 2025]]</f>
        <v>0</v>
      </c>
      <c r="AF113" s="52">
        <f>Portefeuille_MNT_PROGR_PREV[[#This Row],[TR 2025]]-Portefeuille_MNT_PROGR_PREV[[#This Row],[PREV TR 2025]]</f>
        <v>0</v>
      </c>
      <c r="AG113" s="52">
        <f>Portefeuille_MNT_PROGR_PREV[[#This Row],[ÉCART AC 2025]]+Portefeuille_MNT_PROGR_PREV[[#This Row],[ÉCART TR 2025]]</f>
        <v>0</v>
      </c>
      <c r="AH113" s="15"/>
      <c r="AI113" s="15"/>
      <c r="AJ113" s="55"/>
      <c r="AK113" s="55"/>
      <c r="AL113" s="56">
        <f>Portefeuille_MNT_PROGR_PREV[[#This Row],[AC 2026]]-Portefeuille_MNT_PROGR_PREV[[#This Row],[PREV AC 2026]]</f>
        <v>0</v>
      </c>
      <c r="AM113" s="56">
        <f>Portefeuille_MNT_PROGR_PREV[[#This Row],[TR 2026]]-Portefeuille_MNT_PROGR_PREV[[#This Row],[PREV TR 2026]]</f>
        <v>0</v>
      </c>
      <c r="AN113" s="56">
        <f>Portefeuille_MNT_PROGR_PREV[[#This Row],[ÉCART AC 20262]]+Portefeuille_MNT_PROGR_PREV[[#This Row],[ÉCART TR 20263]]</f>
        <v>0</v>
      </c>
      <c r="AO113" s="55"/>
      <c r="AP113" s="55"/>
      <c r="BK113">
        <v>150</v>
      </c>
      <c r="BO113">
        <v>150</v>
      </c>
      <c r="BS113">
        <v>500</v>
      </c>
      <c r="BU113">
        <v>7400</v>
      </c>
    </row>
    <row r="114" spans="1:73" hidden="1" x14ac:dyDescent="0.3">
      <c r="A114" t="s">
        <v>127</v>
      </c>
      <c r="B114" t="s">
        <v>103</v>
      </c>
      <c r="C114" t="s">
        <v>295</v>
      </c>
      <c r="D114" t="s">
        <v>126</v>
      </c>
      <c r="E114" t="s">
        <v>20</v>
      </c>
      <c r="F114" t="s">
        <v>20</v>
      </c>
      <c r="G114" t="s">
        <v>105</v>
      </c>
      <c r="H114" t="s">
        <v>474</v>
      </c>
      <c r="I114" t="s">
        <v>637</v>
      </c>
      <c r="J114" t="s">
        <v>108</v>
      </c>
      <c r="L114" t="s">
        <v>291</v>
      </c>
      <c r="M114" s="1"/>
      <c r="N114" s="1"/>
      <c r="O114">
        <v>1250</v>
      </c>
      <c r="P114" s="1"/>
      <c r="S114"/>
      <c r="U114" s="60" t="s">
        <v>395</v>
      </c>
      <c r="V114" s="47"/>
      <c r="W114" s="47"/>
      <c r="X114" s="49">
        <f>Portefeuille_MNT_PROGR_PREV[[#This Row],[AC 2024]]-Portefeuille_MNT_PROGR_PREV[[#This Row],[PREV AC 2024]]</f>
        <v>0</v>
      </c>
      <c r="Y114" s="49">
        <f>Portefeuille_MNT_PROGR_PREV[[#This Row],[TR 2024]]-Portefeuille_MNT_PROGR_PREV[[#This Row],[PREV TR 2024]]</f>
        <v>0</v>
      </c>
      <c r="Z114" s="49">
        <f>Portefeuille_MNT_PROGR_PREV[[#This Row],[ÉCART AC 2024]]+Portefeuille_MNT_PROGR_PREV[[#This Row],[ÉCART TR 2024]]</f>
        <v>0</v>
      </c>
      <c r="AA114" s="47"/>
      <c r="AB114" s="47"/>
      <c r="AC114" s="15"/>
      <c r="AD114" s="15"/>
      <c r="AE114" s="52">
        <f>Portefeuille_MNT_PROGR_PREV[[#This Row],[AC 2025]]-Portefeuille_MNT_PROGR_PREV[[#This Row],[PREV AC 2025]]</f>
        <v>0</v>
      </c>
      <c r="AF114" s="52">
        <f>Portefeuille_MNT_PROGR_PREV[[#This Row],[TR 2025]]-Portefeuille_MNT_PROGR_PREV[[#This Row],[PREV TR 2025]]</f>
        <v>0</v>
      </c>
      <c r="AG114" s="52">
        <f>Portefeuille_MNT_PROGR_PREV[[#This Row],[ÉCART AC 2025]]+Portefeuille_MNT_PROGR_PREV[[#This Row],[ÉCART TR 2025]]</f>
        <v>0</v>
      </c>
      <c r="AH114" s="15"/>
      <c r="AI114" s="15"/>
      <c r="AJ114" s="55"/>
      <c r="AK114" s="55"/>
      <c r="AL114" s="56">
        <f>Portefeuille_MNT_PROGR_PREV[[#This Row],[AC 2026]]-Portefeuille_MNT_PROGR_PREV[[#This Row],[PREV AC 2026]]</f>
        <v>0</v>
      </c>
      <c r="AM114" s="56">
        <f>Portefeuille_MNT_PROGR_PREV[[#This Row],[TR 2026]]-Portefeuille_MNT_PROGR_PREV[[#This Row],[PREV TR 2026]]</f>
        <v>0</v>
      </c>
      <c r="AN114" s="56">
        <f>Portefeuille_MNT_PROGR_PREV[[#This Row],[ÉCART AC 20262]]+Portefeuille_MNT_PROGR_PREV[[#This Row],[ÉCART TR 20263]]</f>
        <v>0</v>
      </c>
      <c r="AO114" s="55"/>
      <c r="AP114" s="55"/>
      <c r="BG114">
        <v>375</v>
      </c>
      <c r="BK114">
        <v>750</v>
      </c>
      <c r="BO114">
        <v>1125</v>
      </c>
      <c r="BS114">
        <v>875</v>
      </c>
      <c r="BU114">
        <v>9000</v>
      </c>
    </row>
    <row r="115" spans="1:73" hidden="1" x14ac:dyDescent="0.3">
      <c r="A115" t="s">
        <v>102</v>
      </c>
      <c r="B115" t="s">
        <v>177</v>
      </c>
      <c r="C115" t="s">
        <v>662</v>
      </c>
      <c r="D115" t="s">
        <v>118</v>
      </c>
      <c r="E115" t="s">
        <v>16</v>
      </c>
      <c r="F115" t="s">
        <v>16</v>
      </c>
      <c r="G115" t="s">
        <v>105</v>
      </c>
      <c r="H115" t="s">
        <v>198</v>
      </c>
      <c r="I115" t="s">
        <v>199</v>
      </c>
      <c r="J115" t="s">
        <v>108</v>
      </c>
      <c r="K115" t="s">
        <v>104</v>
      </c>
      <c r="L115" t="s">
        <v>297</v>
      </c>
      <c r="M115" s="1"/>
      <c r="N115" s="1"/>
      <c r="P115" s="1">
        <v>45176</v>
      </c>
      <c r="S115">
        <v>5</v>
      </c>
      <c r="U115" s="60"/>
      <c r="V115" s="47">
        <v>14</v>
      </c>
      <c r="W115" s="47">
        <v>14</v>
      </c>
      <c r="X115" s="49">
        <f>Portefeuille_MNT_PROGR_PREV[[#This Row],[AC 2024]]-Portefeuille_MNT_PROGR_PREV[[#This Row],[PREV AC 2024]]</f>
        <v>0</v>
      </c>
      <c r="Y115" s="49">
        <f>Portefeuille_MNT_PROGR_PREV[[#This Row],[TR 2024]]-Portefeuille_MNT_PROGR_PREV[[#This Row],[PREV TR 2024]]</f>
        <v>0</v>
      </c>
      <c r="Z115" s="49">
        <f>Portefeuille_MNT_PROGR_PREV[[#This Row],[ÉCART AC 2024]]+Portefeuille_MNT_PROGR_PREV[[#This Row],[ÉCART TR 2024]]</f>
        <v>0</v>
      </c>
      <c r="AA115" s="47">
        <v>5</v>
      </c>
      <c r="AB115" s="47">
        <v>5</v>
      </c>
      <c r="AC115" s="15"/>
      <c r="AD115" s="15"/>
      <c r="AE115" s="52">
        <f>Portefeuille_MNT_PROGR_PREV[[#This Row],[AC 2025]]-Portefeuille_MNT_PROGR_PREV[[#This Row],[PREV AC 2025]]</f>
        <v>0</v>
      </c>
      <c r="AF115" s="52">
        <f>Portefeuille_MNT_PROGR_PREV[[#This Row],[TR 2025]]-Portefeuille_MNT_PROGR_PREV[[#This Row],[PREV TR 2025]]</f>
        <v>0</v>
      </c>
      <c r="AG115" s="52">
        <f>Portefeuille_MNT_PROGR_PREV[[#This Row],[ÉCART AC 2025]]+Portefeuille_MNT_PROGR_PREV[[#This Row],[ÉCART TR 2025]]</f>
        <v>0</v>
      </c>
      <c r="AH115" s="15"/>
      <c r="AI115" s="15"/>
      <c r="AJ115" s="55"/>
      <c r="AK115" s="55"/>
      <c r="AL115" s="56">
        <f>Portefeuille_MNT_PROGR_PREV[[#This Row],[AC 2026]]-Portefeuille_MNT_PROGR_PREV[[#This Row],[PREV AC 2026]]</f>
        <v>0</v>
      </c>
      <c r="AM115" s="56">
        <f>Portefeuille_MNT_PROGR_PREV[[#This Row],[TR 2026]]-Portefeuille_MNT_PROGR_PREV[[#This Row],[PREV TR 2026]]</f>
        <v>0</v>
      </c>
      <c r="AN115" s="56">
        <f>Portefeuille_MNT_PROGR_PREV[[#This Row],[ÉCART AC 20262]]+Portefeuille_MNT_PROGR_PREV[[#This Row],[ÉCART TR 20263]]</f>
        <v>0</v>
      </c>
      <c r="AO115" s="55"/>
      <c r="AP115" s="55"/>
    </row>
    <row r="116" spans="1:73" hidden="1" x14ac:dyDescent="0.3">
      <c r="A116" t="s">
        <v>127</v>
      </c>
      <c r="B116" t="s">
        <v>136</v>
      </c>
      <c r="C116" t="s">
        <v>295</v>
      </c>
      <c r="D116" t="s">
        <v>126</v>
      </c>
      <c r="E116" t="s">
        <v>16</v>
      </c>
      <c r="F116" t="s">
        <v>16</v>
      </c>
      <c r="G116" t="s">
        <v>105</v>
      </c>
      <c r="H116" t="s">
        <v>358</v>
      </c>
      <c r="I116" t="s">
        <v>359</v>
      </c>
      <c r="J116" t="s">
        <v>108</v>
      </c>
      <c r="K116" t="s">
        <v>113</v>
      </c>
      <c r="L116" t="s">
        <v>164</v>
      </c>
      <c r="M116" s="1"/>
      <c r="N116" s="1">
        <v>42383</v>
      </c>
      <c r="P116" s="1">
        <v>43404</v>
      </c>
      <c r="R116">
        <v>5</v>
      </c>
      <c r="S116">
        <v>5</v>
      </c>
      <c r="U116" s="60"/>
      <c r="V116" s="47">
        <v>93</v>
      </c>
      <c r="W116" s="47">
        <v>93</v>
      </c>
      <c r="X116" s="49">
        <f>Portefeuille_MNT_PROGR_PREV[[#This Row],[AC 2024]]-Portefeuille_MNT_PROGR_PREV[[#This Row],[PREV AC 2024]]</f>
        <v>0</v>
      </c>
      <c r="Y116" s="49">
        <f>Portefeuille_MNT_PROGR_PREV[[#This Row],[TR 2024]]-Portefeuille_MNT_PROGR_PREV[[#This Row],[PREV TR 2024]]</f>
        <v>0</v>
      </c>
      <c r="Z116" s="49">
        <f>Portefeuille_MNT_PROGR_PREV[[#This Row],[ÉCART AC 2024]]+Portefeuille_MNT_PROGR_PREV[[#This Row],[ÉCART TR 2024]]</f>
        <v>0</v>
      </c>
      <c r="AA116" s="47"/>
      <c r="AB116" s="47"/>
      <c r="AC116" s="15">
        <v>29</v>
      </c>
      <c r="AD116" s="15">
        <v>3</v>
      </c>
      <c r="AE116" s="52">
        <f>Portefeuille_MNT_PROGR_PREV[[#This Row],[AC 2025]]-Portefeuille_MNT_PROGR_PREV[[#This Row],[PREV AC 2025]]</f>
        <v>26</v>
      </c>
      <c r="AF116" s="52">
        <f>Portefeuille_MNT_PROGR_PREV[[#This Row],[TR 2025]]-Portefeuille_MNT_PROGR_PREV[[#This Row],[PREV TR 2025]]</f>
        <v>0</v>
      </c>
      <c r="AG116" s="52">
        <f>Portefeuille_MNT_PROGR_PREV[[#This Row],[ÉCART AC 2025]]+Portefeuille_MNT_PROGR_PREV[[#This Row],[ÉCART TR 2025]]</f>
        <v>26</v>
      </c>
      <c r="AH116" s="15"/>
      <c r="AI116" s="15"/>
      <c r="AJ116" s="55"/>
      <c r="AK116" s="55"/>
      <c r="AL116" s="56">
        <f>Portefeuille_MNT_PROGR_PREV[[#This Row],[AC 2026]]-Portefeuille_MNT_PROGR_PREV[[#This Row],[PREV AC 2026]]</f>
        <v>0</v>
      </c>
      <c r="AM116" s="56">
        <f>Portefeuille_MNT_PROGR_PREV[[#This Row],[TR 2026]]-Portefeuille_MNT_PROGR_PREV[[#This Row],[PREV TR 2026]]</f>
        <v>0</v>
      </c>
      <c r="AN116" s="56">
        <f>Portefeuille_MNT_PROGR_PREV[[#This Row],[ÉCART AC 20262]]+Portefeuille_MNT_PROGR_PREV[[#This Row],[ÉCART TR 20263]]</f>
        <v>0</v>
      </c>
      <c r="AO116" s="55"/>
      <c r="AP116" s="55"/>
    </row>
    <row r="117" spans="1:73" hidden="1" x14ac:dyDescent="0.3">
      <c r="A117" t="s">
        <v>127</v>
      </c>
      <c r="B117" t="s">
        <v>128</v>
      </c>
      <c r="C117" t="s">
        <v>295</v>
      </c>
      <c r="D117" t="s">
        <v>126</v>
      </c>
      <c r="E117" t="s">
        <v>16</v>
      </c>
      <c r="F117" t="s">
        <v>16</v>
      </c>
      <c r="G117" t="s">
        <v>131</v>
      </c>
      <c r="H117" t="s">
        <v>434</v>
      </c>
      <c r="I117" t="s">
        <v>435</v>
      </c>
      <c r="J117" t="s">
        <v>147</v>
      </c>
      <c r="K117" t="s">
        <v>252</v>
      </c>
      <c r="L117" t="s">
        <v>123</v>
      </c>
      <c r="M117" s="1"/>
      <c r="N117" s="1"/>
      <c r="P117" s="1">
        <v>45413</v>
      </c>
      <c r="S117">
        <v>5</v>
      </c>
      <c r="U117" s="60"/>
      <c r="V117" s="47">
        <v>2</v>
      </c>
      <c r="W117" s="47">
        <v>2</v>
      </c>
      <c r="X117" s="49">
        <f>Portefeuille_MNT_PROGR_PREV[[#This Row],[AC 2024]]-Portefeuille_MNT_PROGR_PREV[[#This Row],[PREV AC 2024]]</f>
        <v>0</v>
      </c>
      <c r="Y117" s="49">
        <f>Portefeuille_MNT_PROGR_PREV[[#This Row],[TR 2024]]-Portefeuille_MNT_PROGR_PREV[[#This Row],[PREV TR 2024]]</f>
        <v>0</v>
      </c>
      <c r="Z117" s="49">
        <f>Portefeuille_MNT_PROGR_PREV[[#This Row],[ÉCART AC 2024]]+Portefeuille_MNT_PROGR_PREV[[#This Row],[ÉCART TR 2024]]</f>
        <v>0</v>
      </c>
      <c r="AA117" s="47">
        <v>64</v>
      </c>
      <c r="AB117" s="47">
        <v>64</v>
      </c>
      <c r="AC117" s="15"/>
      <c r="AD117" s="15"/>
      <c r="AE117" s="52">
        <f>Portefeuille_MNT_PROGR_PREV[[#This Row],[AC 2025]]-Portefeuille_MNT_PROGR_PREV[[#This Row],[PREV AC 2025]]</f>
        <v>0</v>
      </c>
      <c r="AF117" s="52">
        <f>Portefeuille_MNT_PROGR_PREV[[#This Row],[TR 2025]]-Portefeuille_MNT_PROGR_PREV[[#This Row],[PREV TR 2025]]</f>
        <v>0</v>
      </c>
      <c r="AG117" s="52">
        <f>Portefeuille_MNT_PROGR_PREV[[#This Row],[ÉCART AC 2025]]+Portefeuille_MNT_PROGR_PREV[[#This Row],[ÉCART TR 2025]]</f>
        <v>0</v>
      </c>
      <c r="AH117" s="15"/>
      <c r="AI117" s="15"/>
      <c r="AJ117" s="55"/>
      <c r="AK117" s="55"/>
      <c r="AL117" s="56">
        <f>Portefeuille_MNT_PROGR_PREV[[#This Row],[AC 2026]]-Portefeuille_MNT_PROGR_PREV[[#This Row],[PREV AC 2026]]</f>
        <v>0</v>
      </c>
      <c r="AM117" s="56">
        <f>Portefeuille_MNT_PROGR_PREV[[#This Row],[TR 2026]]-Portefeuille_MNT_PROGR_PREV[[#This Row],[PREV TR 2026]]</f>
        <v>0</v>
      </c>
      <c r="AN117" s="56">
        <f>Portefeuille_MNT_PROGR_PREV[[#This Row],[ÉCART AC 20262]]+Portefeuille_MNT_PROGR_PREV[[#This Row],[ÉCART TR 20263]]</f>
        <v>0</v>
      </c>
      <c r="AO117" s="55"/>
      <c r="AP117" s="55"/>
    </row>
    <row r="118" spans="1:73" hidden="1" x14ac:dyDescent="0.3">
      <c r="A118" t="s">
        <v>102</v>
      </c>
      <c r="B118" t="s">
        <v>103</v>
      </c>
      <c r="C118" t="s">
        <v>664</v>
      </c>
      <c r="D118" t="s">
        <v>101</v>
      </c>
      <c r="E118" t="s">
        <v>20</v>
      </c>
      <c r="F118" t="s">
        <v>20</v>
      </c>
      <c r="G118" t="s">
        <v>105</v>
      </c>
      <c r="H118" t="s">
        <v>444</v>
      </c>
      <c r="I118" t="s">
        <v>445</v>
      </c>
      <c r="J118" t="s">
        <v>302</v>
      </c>
      <c r="L118" t="s">
        <v>291</v>
      </c>
      <c r="M118" s="1"/>
      <c r="N118" s="1"/>
      <c r="P118" s="1"/>
      <c r="S118"/>
      <c r="U118" s="60" t="s">
        <v>169</v>
      </c>
      <c r="V118" s="47"/>
      <c r="W118" s="47"/>
      <c r="X118" s="49">
        <f>Portefeuille_MNT_PROGR_PREV[[#This Row],[AC 2024]]-Portefeuille_MNT_PROGR_PREV[[#This Row],[PREV AC 2024]]</f>
        <v>0</v>
      </c>
      <c r="Y118" s="49">
        <f>Portefeuille_MNT_PROGR_PREV[[#This Row],[TR 2024]]-Portefeuille_MNT_PROGR_PREV[[#This Row],[PREV TR 2024]]</f>
        <v>0</v>
      </c>
      <c r="Z118" s="49">
        <f>Portefeuille_MNT_PROGR_PREV[[#This Row],[ÉCART AC 2024]]+Portefeuille_MNT_PROGR_PREV[[#This Row],[ÉCART TR 2024]]</f>
        <v>0</v>
      </c>
      <c r="AA118" s="47"/>
      <c r="AB118" s="47"/>
      <c r="AC118" s="15"/>
      <c r="AD118" s="15"/>
      <c r="AE118" s="52">
        <f>Portefeuille_MNT_PROGR_PREV[[#This Row],[AC 2025]]-Portefeuille_MNT_PROGR_PREV[[#This Row],[PREV AC 2025]]</f>
        <v>0</v>
      </c>
      <c r="AF118" s="52">
        <f>Portefeuille_MNT_PROGR_PREV[[#This Row],[TR 2025]]-Portefeuille_MNT_PROGR_PREV[[#This Row],[PREV TR 2025]]</f>
        <v>0</v>
      </c>
      <c r="AG118" s="52">
        <f>Portefeuille_MNT_PROGR_PREV[[#This Row],[ÉCART AC 2025]]+Portefeuille_MNT_PROGR_PREV[[#This Row],[ÉCART TR 2025]]</f>
        <v>0</v>
      </c>
      <c r="AH118" s="15"/>
      <c r="AI118" s="15"/>
      <c r="AJ118" s="55"/>
      <c r="AK118" s="55"/>
      <c r="AL118" s="56">
        <f>Portefeuille_MNT_PROGR_PREV[[#This Row],[AC 2026]]-Portefeuille_MNT_PROGR_PREV[[#This Row],[PREV AC 2026]]</f>
        <v>0</v>
      </c>
      <c r="AM118" s="56">
        <f>Portefeuille_MNT_PROGR_PREV[[#This Row],[TR 2026]]-Portefeuille_MNT_PROGR_PREV[[#This Row],[PREV TR 2026]]</f>
        <v>0</v>
      </c>
      <c r="AN118" s="56">
        <f>Portefeuille_MNT_PROGR_PREV[[#This Row],[ÉCART AC 20262]]+Portefeuille_MNT_PROGR_PREV[[#This Row],[ÉCART TR 20263]]</f>
        <v>0</v>
      </c>
      <c r="AO118" s="55"/>
      <c r="AP118" s="55"/>
      <c r="AQ118">
        <v>150</v>
      </c>
      <c r="AU118">
        <v>150</v>
      </c>
      <c r="AY118">
        <v>600</v>
      </c>
      <c r="BA118">
        <v>12000</v>
      </c>
    </row>
    <row r="119" spans="1:73" hidden="1" x14ac:dyDescent="0.3">
      <c r="A119" t="s">
        <v>102</v>
      </c>
      <c r="B119" t="s">
        <v>136</v>
      </c>
      <c r="C119" t="s">
        <v>662</v>
      </c>
      <c r="D119" t="s">
        <v>118</v>
      </c>
      <c r="E119" t="s">
        <v>16</v>
      </c>
      <c r="F119" t="s">
        <v>20</v>
      </c>
      <c r="G119" t="s">
        <v>105</v>
      </c>
      <c r="H119" t="s">
        <v>516</v>
      </c>
      <c r="I119" t="s">
        <v>517</v>
      </c>
      <c r="J119" t="s">
        <v>302</v>
      </c>
      <c r="K119" t="s">
        <v>104</v>
      </c>
      <c r="L119" t="s">
        <v>110</v>
      </c>
      <c r="M119" s="1">
        <v>45904</v>
      </c>
      <c r="N119" s="1"/>
      <c r="P119" s="1">
        <v>46096</v>
      </c>
      <c r="Q119">
        <v>5</v>
      </c>
      <c r="S119">
        <v>1</v>
      </c>
      <c r="U119" s="60" t="s">
        <v>109</v>
      </c>
      <c r="V119" s="47"/>
      <c r="W119" s="47"/>
      <c r="X119" s="49">
        <f>Portefeuille_MNT_PROGR_PREV[[#This Row],[AC 2024]]-Portefeuille_MNT_PROGR_PREV[[#This Row],[PREV AC 2024]]</f>
        <v>0</v>
      </c>
      <c r="Y119" s="49">
        <f>Portefeuille_MNT_PROGR_PREV[[#This Row],[TR 2024]]-Portefeuille_MNT_PROGR_PREV[[#This Row],[PREV TR 2024]]</f>
        <v>0</v>
      </c>
      <c r="Z119" s="49">
        <f>Portefeuille_MNT_PROGR_PREV[[#This Row],[ÉCART AC 2024]]+Portefeuille_MNT_PROGR_PREV[[#This Row],[ÉCART TR 2024]]</f>
        <v>0</v>
      </c>
      <c r="AA119" s="47"/>
      <c r="AB119" s="47"/>
      <c r="AC119" s="15">
        <v>59</v>
      </c>
      <c r="AD119" s="15">
        <v>64</v>
      </c>
      <c r="AE119" s="52">
        <f>Portefeuille_MNT_PROGR_PREV[[#This Row],[AC 2025]]-Portefeuille_MNT_PROGR_PREV[[#This Row],[PREV AC 2025]]</f>
        <v>-5</v>
      </c>
      <c r="AF119" s="52">
        <f>Portefeuille_MNT_PROGR_PREV[[#This Row],[TR 2025]]-Portefeuille_MNT_PROGR_PREV[[#This Row],[PREV TR 2025]]</f>
        <v>0</v>
      </c>
      <c r="AG119" s="52">
        <f>Portefeuille_MNT_PROGR_PREV[[#This Row],[ÉCART AC 2025]]+Portefeuille_MNT_PROGR_PREV[[#This Row],[ÉCART TR 2025]]</f>
        <v>-5</v>
      </c>
      <c r="AH119" s="15"/>
      <c r="AI119" s="15"/>
      <c r="AJ119" s="55">
        <v>131</v>
      </c>
      <c r="AK119" s="55">
        <v>131</v>
      </c>
      <c r="AL119" s="56">
        <f>Portefeuille_MNT_PROGR_PREV[[#This Row],[AC 2026]]-Portefeuille_MNT_PROGR_PREV[[#This Row],[PREV AC 2026]]</f>
        <v>0</v>
      </c>
      <c r="AM119" s="56">
        <f>Portefeuille_MNT_PROGR_PREV[[#This Row],[TR 2026]]-Portefeuille_MNT_PROGR_PREV[[#This Row],[PREV TR 2026]]</f>
        <v>478</v>
      </c>
      <c r="AN119" s="56">
        <f>Portefeuille_MNT_PROGR_PREV[[#This Row],[ÉCART AC 20262]]+Portefeuille_MNT_PROGR_PREV[[#This Row],[ÉCART TR 20263]]</f>
        <v>478</v>
      </c>
      <c r="AO119" s="55">
        <v>478</v>
      </c>
      <c r="AP119" s="55"/>
    </row>
    <row r="120" spans="1:73" hidden="1" x14ac:dyDescent="0.3">
      <c r="A120" t="s">
        <v>127</v>
      </c>
      <c r="B120" t="s">
        <v>128</v>
      </c>
      <c r="C120" t="s">
        <v>295</v>
      </c>
      <c r="D120" t="s">
        <v>126</v>
      </c>
      <c r="E120" t="s">
        <v>16</v>
      </c>
      <c r="F120" t="s">
        <v>16</v>
      </c>
      <c r="G120" t="s">
        <v>131</v>
      </c>
      <c r="H120" t="s">
        <v>259</v>
      </c>
      <c r="I120" t="s">
        <v>260</v>
      </c>
      <c r="J120" t="s">
        <v>159</v>
      </c>
      <c r="K120" t="s">
        <v>252</v>
      </c>
      <c r="L120" t="s">
        <v>291</v>
      </c>
      <c r="M120" s="1"/>
      <c r="N120" s="1"/>
      <c r="P120" s="1"/>
      <c r="S120"/>
      <c r="U120" s="60" t="s">
        <v>148</v>
      </c>
      <c r="V120" s="47"/>
      <c r="W120" s="47"/>
      <c r="X120" s="49">
        <f>Portefeuille_MNT_PROGR_PREV[[#This Row],[AC 2024]]-Portefeuille_MNT_PROGR_PREV[[#This Row],[PREV AC 2024]]</f>
        <v>0</v>
      </c>
      <c r="Y120" s="49">
        <f>Portefeuille_MNT_PROGR_PREV[[#This Row],[TR 2024]]-Portefeuille_MNT_PROGR_PREV[[#This Row],[PREV TR 2024]]</f>
        <v>0</v>
      </c>
      <c r="Z120" s="49">
        <f>Portefeuille_MNT_PROGR_PREV[[#This Row],[ÉCART AC 2024]]+Portefeuille_MNT_PROGR_PREV[[#This Row],[ÉCART TR 2024]]</f>
        <v>0</v>
      </c>
      <c r="AA120" s="47"/>
      <c r="AB120" s="47"/>
      <c r="AC120" s="15">
        <v>15</v>
      </c>
      <c r="AD120" s="15">
        <v>15</v>
      </c>
      <c r="AE120" s="52">
        <f>Portefeuille_MNT_PROGR_PREV[[#This Row],[AC 2025]]-Portefeuille_MNT_PROGR_PREV[[#This Row],[PREV AC 2025]]</f>
        <v>0</v>
      </c>
      <c r="AF120" s="52">
        <f>Portefeuille_MNT_PROGR_PREV[[#This Row],[TR 2025]]-Portefeuille_MNT_PROGR_PREV[[#This Row],[PREV TR 2025]]</f>
        <v>0</v>
      </c>
      <c r="AG120" s="52">
        <f>Portefeuille_MNT_PROGR_PREV[[#This Row],[ÉCART AC 2025]]+Portefeuille_MNT_PROGR_PREV[[#This Row],[ÉCART TR 2025]]</f>
        <v>0</v>
      </c>
      <c r="AH120" s="15">
        <v>85</v>
      </c>
      <c r="AI120" s="15">
        <v>85</v>
      </c>
      <c r="AJ120" s="55"/>
      <c r="AK120" s="55"/>
      <c r="AL120" s="56">
        <f>Portefeuille_MNT_PROGR_PREV[[#This Row],[AC 2026]]-Portefeuille_MNT_PROGR_PREV[[#This Row],[PREV AC 2026]]</f>
        <v>0</v>
      </c>
      <c r="AM120" s="56">
        <f>Portefeuille_MNT_PROGR_PREV[[#This Row],[TR 2026]]-Portefeuille_MNT_PROGR_PREV[[#This Row],[PREV TR 2026]]</f>
        <v>0</v>
      </c>
      <c r="AN120" s="56">
        <f>Portefeuille_MNT_PROGR_PREV[[#This Row],[ÉCART AC 20262]]+Portefeuille_MNT_PROGR_PREV[[#This Row],[ÉCART TR 20263]]</f>
        <v>0</v>
      </c>
      <c r="AO120" s="55"/>
      <c r="AP120" s="55"/>
    </row>
    <row r="121" spans="1:73" hidden="1" x14ac:dyDescent="0.3">
      <c r="A121" t="s">
        <v>127</v>
      </c>
      <c r="B121" t="s">
        <v>136</v>
      </c>
      <c r="C121" t="s">
        <v>295</v>
      </c>
      <c r="D121" t="s">
        <v>126</v>
      </c>
      <c r="E121" t="s">
        <v>16</v>
      </c>
      <c r="F121" t="s">
        <v>16</v>
      </c>
      <c r="G121" t="s">
        <v>131</v>
      </c>
      <c r="H121" t="s">
        <v>307</v>
      </c>
      <c r="I121" t="s">
        <v>308</v>
      </c>
      <c r="J121" t="s">
        <v>159</v>
      </c>
      <c r="K121" t="s">
        <v>104</v>
      </c>
      <c r="L121" t="s">
        <v>164</v>
      </c>
      <c r="M121" s="1"/>
      <c r="N121" s="1">
        <v>42992</v>
      </c>
      <c r="P121" s="1">
        <v>43783</v>
      </c>
      <c r="R121">
        <v>5</v>
      </c>
      <c r="S121">
        <v>5</v>
      </c>
      <c r="U121" s="60"/>
      <c r="V121" s="47">
        <v>16</v>
      </c>
      <c r="W121" s="47">
        <v>16</v>
      </c>
      <c r="X121" s="49">
        <f>Portefeuille_MNT_PROGR_PREV[[#This Row],[AC 2024]]-Portefeuille_MNT_PROGR_PREV[[#This Row],[PREV AC 2024]]</f>
        <v>0</v>
      </c>
      <c r="Y121" s="49">
        <f>Portefeuille_MNT_PROGR_PREV[[#This Row],[TR 2024]]-Portefeuille_MNT_PROGR_PREV[[#This Row],[PREV TR 2024]]</f>
        <v>0</v>
      </c>
      <c r="Z121" s="49">
        <f>Portefeuille_MNT_PROGR_PREV[[#This Row],[ÉCART AC 2024]]+Portefeuille_MNT_PROGR_PREV[[#This Row],[ÉCART TR 2024]]</f>
        <v>0</v>
      </c>
      <c r="AA121" s="47"/>
      <c r="AB121" s="47"/>
      <c r="AC121" s="15"/>
      <c r="AD121" s="15"/>
      <c r="AE121" s="52">
        <f>Portefeuille_MNT_PROGR_PREV[[#This Row],[AC 2025]]-Portefeuille_MNT_PROGR_PREV[[#This Row],[PREV AC 2025]]</f>
        <v>0</v>
      </c>
      <c r="AF121" s="52">
        <f>Portefeuille_MNT_PROGR_PREV[[#This Row],[TR 2025]]-Portefeuille_MNT_PROGR_PREV[[#This Row],[PREV TR 2025]]</f>
        <v>0</v>
      </c>
      <c r="AG121" s="52">
        <f>Portefeuille_MNT_PROGR_PREV[[#This Row],[ÉCART AC 2025]]+Portefeuille_MNT_PROGR_PREV[[#This Row],[ÉCART TR 2025]]</f>
        <v>0</v>
      </c>
      <c r="AH121" s="15"/>
      <c r="AI121" s="15"/>
      <c r="AJ121" s="55"/>
      <c r="AK121" s="55"/>
      <c r="AL121" s="56">
        <f>Portefeuille_MNT_PROGR_PREV[[#This Row],[AC 2026]]-Portefeuille_MNT_PROGR_PREV[[#This Row],[PREV AC 2026]]</f>
        <v>0</v>
      </c>
      <c r="AM121" s="56">
        <f>Portefeuille_MNT_PROGR_PREV[[#This Row],[TR 2026]]-Portefeuille_MNT_PROGR_PREV[[#This Row],[PREV TR 2026]]</f>
        <v>0</v>
      </c>
      <c r="AN121" s="56">
        <f>Portefeuille_MNT_PROGR_PREV[[#This Row],[ÉCART AC 20262]]+Portefeuille_MNT_PROGR_PREV[[#This Row],[ÉCART TR 20263]]</f>
        <v>0</v>
      </c>
      <c r="AO121" s="55"/>
      <c r="AP121" s="55"/>
    </row>
    <row r="122" spans="1:73" hidden="1" x14ac:dyDescent="0.3">
      <c r="A122" t="s">
        <v>102</v>
      </c>
      <c r="B122" t="s">
        <v>136</v>
      </c>
      <c r="C122" t="s">
        <v>664</v>
      </c>
      <c r="D122" t="s">
        <v>101</v>
      </c>
      <c r="E122" t="s">
        <v>130</v>
      </c>
      <c r="F122" t="s">
        <v>20</v>
      </c>
      <c r="G122" t="s">
        <v>131</v>
      </c>
      <c r="H122" t="s">
        <v>373</v>
      </c>
      <c r="I122" t="s">
        <v>374</v>
      </c>
      <c r="J122" t="s">
        <v>159</v>
      </c>
      <c r="K122" t="s">
        <v>104</v>
      </c>
      <c r="L122" t="s">
        <v>155</v>
      </c>
      <c r="M122" s="1">
        <v>45960</v>
      </c>
      <c r="N122" s="1">
        <v>46280</v>
      </c>
      <c r="P122" s="1">
        <v>46645</v>
      </c>
      <c r="Q122">
        <v>5</v>
      </c>
      <c r="R122">
        <v>1</v>
      </c>
      <c r="S122">
        <v>1</v>
      </c>
      <c r="U122" s="60" t="s">
        <v>184</v>
      </c>
      <c r="V122" s="47"/>
      <c r="W122" s="47"/>
      <c r="X122" s="49">
        <f>Portefeuille_MNT_PROGR_PREV[[#This Row],[AC 2024]]-Portefeuille_MNT_PROGR_PREV[[#This Row],[PREV AC 2024]]</f>
        <v>0</v>
      </c>
      <c r="Y122" s="49">
        <f>Portefeuille_MNT_PROGR_PREV[[#This Row],[TR 2024]]-Portefeuille_MNT_PROGR_PREV[[#This Row],[PREV TR 2024]]</f>
        <v>0</v>
      </c>
      <c r="Z122" s="49">
        <f>Portefeuille_MNT_PROGR_PREV[[#This Row],[ÉCART AC 2024]]+Portefeuille_MNT_PROGR_PREV[[#This Row],[ÉCART TR 2024]]</f>
        <v>0</v>
      </c>
      <c r="AA122" s="47"/>
      <c r="AB122" s="47"/>
      <c r="AC122" s="15"/>
      <c r="AD122" s="15"/>
      <c r="AE122" s="52">
        <f>Portefeuille_MNT_PROGR_PREV[[#This Row],[AC 2025]]-Portefeuille_MNT_PROGR_PREV[[#This Row],[PREV AC 2025]]</f>
        <v>0</v>
      </c>
      <c r="AF122" s="52">
        <f>Portefeuille_MNT_PROGR_PREV[[#This Row],[TR 2025]]-Portefeuille_MNT_PROGR_PREV[[#This Row],[PREV TR 2025]]</f>
        <v>0</v>
      </c>
      <c r="AG122" s="52">
        <f>Portefeuille_MNT_PROGR_PREV[[#This Row],[ÉCART AC 2025]]+Portefeuille_MNT_PROGR_PREV[[#This Row],[ÉCART TR 2025]]</f>
        <v>0</v>
      </c>
      <c r="AH122" s="15"/>
      <c r="AI122" s="15"/>
      <c r="AJ122" s="55">
        <v>100</v>
      </c>
      <c r="AK122" s="55"/>
      <c r="AL122" s="56">
        <f>Portefeuille_MNT_PROGR_PREV[[#This Row],[AC 2026]]-Portefeuille_MNT_PROGR_PREV[[#This Row],[PREV AC 2026]]</f>
        <v>100</v>
      </c>
      <c r="AM122" s="56">
        <f>Portefeuille_MNT_PROGR_PREV[[#This Row],[TR 2026]]-Portefeuille_MNT_PROGR_PREV[[#This Row],[PREV TR 2026]]</f>
        <v>0</v>
      </c>
      <c r="AN122" s="56">
        <f>Portefeuille_MNT_PROGR_PREV[[#This Row],[ÉCART AC 20262]]+Portefeuille_MNT_PROGR_PREV[[#This Row],[ÉCART TR 20263]]</f>
        <v>100</v>
      </c>
      <c r="AO122" s="55"/>
      <c r="AP122" s="55"/>
      <c r="AQ122">
        <v>250</v>
      </c>
      <c r="AU122">
        <v>350</v>
      </c>
      <c r="AY122">
        <v>500</v>
      </c>
      <c r="BC122">
        <v>500</v>
      </c>
      <c r="BE122">
        <v>8000</v>
      </c>
      <c r="BG122">
        <v>500</v>
      </c>
      <c r="BI122">
        <v>8000</v>
      </c>
    </row>
    <row r="123" spans="1:73" hidden="1" x14ac:dyDescent="0.3">
      <c r="A123" t="s">
        <v>102</v>
      </c>
      <c r="B123" t="s">
        <v>242</v>
      </c>
      <c r="C123" t="s">
        <v>662</v>
      </c>
      <c r="D123" t="s">
        <v>118</v>
      </c>
      <c r="E123" t="s">
        <v>20</v>
      </c>
      <c r="F123" t="s">
        <v>20</v>
      </c>
      <c r="G123" t="s">
        <v>131</v>
      </c>
      <c r="H123" t="s">
        <v>409</v>
      </c>
      <c r="I123" t="s">
        <v>410</v>
      </c>
      <c r="J123" t="s">
        <v>411</v>
      </c>
      <c r="K123" t="s">
        <v>129</v>
      </c>
      <c r="L123" t="s">
        <v>155</v>
      </c>
      <c r="M123" s="1">
        <v>46143</v>
      </c>
      <c r="N123" s="1">
        <v>46508</v>
      </c>
      <c r="P123" s="1">
        <v>46874</v>
      </c>
      <c r="Q123">
        <v>1</v>
      </c>
      <c r="R123">
        <v>1</v>
      </c>
      <c r="S123">
        <v>1</v>
      </c>
      <c r="U123" s="60" t="s">
        <v>169</v>
      </c>
      <c r="V123" s="47"/>
      <c r="W123" s="47"/>
      <c r="X123" s="49">
        <f>Portefeuille_MNT_PROGR_PREV[[#This Row],[AC 2024]]-Portefeuille_MNT_PROGR_PREV[[#This Row],[PREV AC 2024]]</f>
        <v>0</v>
      </c>
      <c r="Y123" s="49">
        <f>Portefeuille_MNT_PROGR_PREV[[#This Row],[TR 2024]]-Portefeuille_MNT_PROGR_PREV[[#This Row],[PREV TR 2024]]</f>
        <v>0</v>
      </c>
      <c r="Z123" s="49">
        <f>Portefeuille_MNT_PROGR_PREV[[#This Row],[ÉCART AC 2024]]+Portefeuille_MNT_PROGR_PREV[[#This Row],[ÉCART TR 2024]]</f>
        <v>0</v>
      </c>
      <c r="AA123" s="47"/>
      <c r="AB123" s="47"/>
      <c r="AC123" s="15"/>
      <c r="AD123" s="15"/>
      <c r="AE123" s="52">
        <f>Portefeuille_MNT_PROGR_PREV[[#This Row],[AC 2025]]-Portefeuille_MNT_PROGR_PREV[[#This Row],[PREV AC 2025]]</f>
        <v>0</v>
      </c>
      <c r="AF123" s="52">
        <f>Portefeuille_MNT_PROGR_PREV[[#This Row],[TR 2025]]-Portefeuille_MNT_PROGR_PREV[[#This Row],[PREV TR 2025]]</f>
        <v>0</v>
      </c>
      <c r="AG123" s="52">
        <f>Portefeuille_MNT_PROGR_PREV[[#This Row],[ÉCART AC 2025]]+Portefeuille_MNT_PROGR_PREV[[#This Row],[ÉCART TR 2025]]</f>
        <v>0</v>
      </c>
      <c r="AH123" s="15"/>
      <c r="AI123" s="15"/>
      <c r="AJ123" s="55"/>
      <c r="AK123" s="55"/>
      <c r="AL123" s="56">
        <f>Portefeuille_MNT_PROGR_PREV[[#This Row],[AC 2026]]-Portefeuille_MNT_PROGR_PREV[[#This Row],[PREV AC 2026]]</f>
        <v>0</v>
      </c>
      <c r="AM123" s="56">
        <f>Portefeuille_MNT_PROGR_PREV[[#This Row],[TR 2026]]-Portefeuille_MNT_PROGR_PREV[[#This Row],[PREV TR 2026]]</f>
        <v>0</v>
      </c>
      <c r="AN123" s="56">
        <f>Portefeuille_MNT_PROGR_PREV[[#This Row],[ÉCART AC 20262]]+Portefeuille_MNT_PROGR_PREV[[#This Row],[ÉCART TR 20263]]</f>
        <v>0</v>
      </c>
      <c r="AO123" s="55"/>
      <c r="AP123" s="55"/>
      <c r="AQ123">
        <v>150</v>
      </c>
      <c r="AU123">
        <v>150</v>
      </c>
      <c r="AY123">
        <v>250</v>
      </c>
      <c r="BA123">
        <v>2000</v>
      </c>
    </row>
    <row r="124" spans="1:73" hidden="1" x14ac:dyDescent="0.3">
      <c r="A124" t="s">
        <v>102</v>
      </c>
      <c r="B124" t="s">
        <v>103</v>
      </c>
      <c r="C124" t="s">
        <v>662</v>
      </c>
      <c r="D124" t="s">
        <v>118</v>
      </c>
      <c r="E124" t="s">
        <v>16</v>
      </c>
      <c r="F124" t="s">
        <v>16</v>
      </c>
      <c r="G124" t="s">
        <v>131</v>
      </c>
      <c r="H124" t="s">
        <v>192</v>
      </c>
      <c r="I124" t="s">
        <v>193</v>
      </c>
      <c r="J124" t="s">
        <v>194</v>
      </c>
      <c r="K124" t="s">
        <v>149</v>
      </c>
      <c r="L124" t="s">
        <v>164</v>
      </c>
      <c r="M124" s="1">
        <v>44547</v>
      </c>
      <c r="N124" s="1">
        <v>45091</v>
      </c>
      <c r="P124" s="1">
        <v>45375</v>
      </c>
      <c r="Q124">
        <v>5</v>
      </c>
      <c r="R124">
        <v>5</v>
      </c>
      <c r="S124">
        <v>5</v>
      </c>
      <c r="U124" s="60" t="s">
        <v>148</v>
      </c>
      <c r="V124" s="47">
        <v>45</v>
      </c>
      <c r="W124" s="47">
        <v>45</v>
      </c>
      <c r="X124" s="49">
        <f>Portefeuille_MNT_PROGR_PREV[[#This Row],[AC 2024]]-Portefeuille_MNT_PROGR_PREV[[#This Row],[PREV AC 2024]]</f>
        <v>0</v>
      </c>
      <c r="Y124" s="49">
        <f>Portefeuille_MNT_PROGR_PREV[[#This Row],[TR 2024]]-Portefeuille_MNT_PROGR_PREV[[#This Row],[PREV TR 2024]]</f>
        <v>0</v>
      </c>
      <c r="Z124" s="49">
        <f>Portefeuille_MNT_PROGR_PREV[[#This Row],[ÉCART AC 2024]]+Portefeuille_MNT_PROGR_PREV[[#This Row],[ÉCART TR 2024]]</f>
        <v>0</v>
      </c>
      <c r="AA124" s="47">
        <v>1057</v>
      </c>
      <c r="AB124" s="47">
        <v>1057</v>
      </c>
      <c r="AC124" s="15">
        <v>221</v>
      </c>
      <c r="AD124" s="15">
        <v>160</v>
      </c>
      <c r="AE124" s="52">
        <f>Portefeuille_MNT_PROGR_PREV[[#This Row],[AC 2025]]-Portefeuille_MNT_PROGR_PREV[[#This Row],[PREV AC 2025]]</f>
        <v>61</v>
      </c>
      <c r="AF124" s="52">
        <f>Portefeuille_MNT_PROGR_PREV[[#This Row],[TR 2025]]-Portefeuille_MNT_PROGR_PREV[[#This Row],[PREV TR 2025]]</f>
        <v>-575</v>
      </c>
      <c r="AG124" s="52">
        <f>Portefeuille_MNT_PROGR_PREV[[#This Row],[ÉCART AC 2025]]+Portefeuille_MNT_PROGR_PREV[[#This Row],[ÉCART TR 2025]]</f>
        <v>-514</v>
      </c>
      <c r="AH124" s="15">
        <v>4691</v>
      </c>
      <c r="AI124" s="15">
        <v>5266</v>
      </c>
      <c r="AJ124" s="55"/>
      <c r="AK124" s="55"/>
      <c r="AL124" s="56">
        <f>Portefeuille_MNT_PROGR_PREV[[#This Row],[AC 2026]]-Portefeuille_MNT_PROGR_PREV[[#This Row],[PREV AC 2026]]</f>
        <v>0</v>
      </c>
      <c r="AM124" s="56">
        <f>Portefeuille_MNT_PROGR_PREV[[#This Row],[TR 2026]]-Portefeuille_MNT_PROGR_PREV[[#This Row],[PREV TR 2026]]</f>
        <v>0</v>
      </c>
      <c r="AN124" s="56">
        <f>Portefeuille_MNT_PROGR_PREV[[#This Row],[ÉCART AC 20262]]+Portefeuille_MNT_PROGR_PREV[[#This Row],[ÉCART TR 20263]]</f>
        <v>0</v>
      </c>
      <c r="AO124" s="55"/>
      <c r="AP124" s="55"/>
    </row>
    <row r="125" spans="1:73" hidden="1" x14ac:dyDescent="0.3">
      <c r="A125" t="s">
        <v>102</v>
      </c>
      <c r="B125" t="s">
        <v>136</v>
      </c>
      <c r="C125" t="s">
        <v>663</v>
      </c>
      <c r="D125" t="s">
        <v>101</v>
      </c>
      <c r="E125" t="s">
        <v>20</v>
      </c>
      <c r="F125" t="s">
        <v>20</v>
      </c>
      <c r="G125" t="s">
        <v>131</v>
      </c>
      <c r="H125" t="s">
        <v>381</v>
      </c>
      <c r="I125" t="s">
        <v>382</v>
      </c>
      <c r="J125" t="s">
        <v>194</v>
      </c>
      <c r="K125" t="s">
        <v>149</v>
      </c>
      <c r="L125" t="s">
        <v>291</v>
      </c>
      <c r="M125" s="1"/>
      <c r="N125" s="1"/>
      <c r="P125" s="1"/>
      <c r="S125"/>
      <c r="U125" s="60" t="s">
        <v>173</v>
      </c>
      <c r="V125" s="47"/>
      <c r="W125" s="47"/>
      <c r="X125" s="49">
        <f>Portefeuille_MNT_PROGR_PREV[[#This Row],[AC 2024]]-Portefeuille_MNT_PROGR_PREV[[#This Row],[PREV AC 2024]]</f>
        <v>0</v>
      </c>
      <c r="Y125" s="49">
        <f>Portefeuille_MNT_PROGR_PREV[[#This Row],[TR 2024]]-Portefeuille_MNT_PROGR_PREV[[#This Row],[PREV TR 2024]]</f>
        <v>0</v>
      </c>
      <c r="Z125" s="49">
        <f>Portefeuille_MNT_PROGR_PREV[[#This Row],[ÉCART AC 2024]]+Portefeuille_MNT_PROGR_PREV[[#This Row],[ÉCART TR 2024]]</f>
        <v>0</v>
      </c>
      <c r="AA125" s="47"/>
      <c r="AB125" s="47"/>
      <c r="AC125" s="15"/>
      <c r="AD125" s="15"/>
      <c r="AE125" s="52">
        <f>Portefeuille_MNT_PROGR_PREV[[#This Row],[AC 2025]]-Portefeuille_MNT_PROGR_PREV[[#This Row],[PREV AC 2025]]</f>
        <v>0</v>
      </c>
      <c r="AF125" s="52">
        <f>Portefeuille_MNT_PROGR_PREV[[#This Row],[TR 2025]]-Portefeuille_MNT_PROGR_PREV[[#This Row],[PREV TR 2025]]</f>
        <v>0</v>
      </c>
      <c r="AG125" s="52">
        <f>Portefeuille_MNT_PROGR_PREV[[#This Row],[ÉCART AC 2025]]+Portefeuille_MNT_PROGR_PREV[[#This Row],[ÉCART TR 2025]]</f>
        <v>0</v>
      </c>
      <c r="AH125" s="15"/>
      <c r="AI125" s="15"/>
      <c r="AJ125" s="55">
        <v>50</v>
      </c>
      <c r="AK125" s="55"/>
      <c r="AL125" s="56">
        <f>Portefeuille_MNT_PROGR_PREV[[#This Row],[AC 2026]]-Portefeuille_MNT_PROGR_PREV[[#This Row],[PREV AC 2026]]</f>
        <v>50</v>
      </c>
      <c r="AM125" s="56">
        <f>Portefeuille_MNT_PROGR_PREV[[#This Row],[TR 2026]]-Portefeuille_MNT_PROGR_PREV[[#This Row],[PREV TR 2026]]</f>
        <v>0</v>
      </c>
      <c r="AN125" s="56">
        <f>Portefeuille_MNT_PROGR_PREV[[#This Row],[ÉCART AC 20262]]+Portefeuille_MNT_PROGR_PREV[[#This Row],[ÉCART TR 20263]]</f>
        <v>50</v>
      </c>
      <c r="AO125" s="55"/>
      <c r="AP125" s="55"/>
      <c r="AQ125">
        <v>50</v>
      </c>
      <c r="AS125">
        <v>250</v>
      </c>
    </row>
    <row r="126" spans="1:73" hidden="1" x14ac:dyDescent="0.3">
      <c r="A126" t="s">
        <v>102</v>
      </c>
      <c r="B126" t="s">
        <v>103</v>
      </c>
      <c r="C126" t="s">
        <v>662</v>
      </c>
      <c r="D126" t="s">
        <v>118</v>
      </c>
      <c r="E126" t="s">
        <v>20</v>
      </c>
      <c r="F126" t="s">
        <v>20</v>
      </c>
      <c r="G126" t="s">
        <v>131</v>
      </c>
      <c r="H126" t="s">
        <v>396</v>
      </c>
      <c r="I126" t="s">
        <v>397</v>
      </c>
      <c r="J126" t="s">
        <v>194</v>
      </c>
      <c r="K126" t="s">
        <v>149</v>
      </c>
      <c r="L126" t="s">
        <v>155</v>
      </c>
      <c r="M126" s="1">
        <v>46371</v>
      </c>
      <c r="N126" s="1">
        <v>46736</v>
      </c>
      <c r="P126" s="1">
        <v>47102</v>
      </c>
      <c r="Q126">
        <v>1</v>
      </c>
      <c r="R126">
        <v>1</v>
      </c>
      <c r="S126">
        <v>1</v>
      </c>
      <c r="U126" s="60" t="s">
        <v>169</v>
      </c>
      <c r="V126" s="47"/>
      <c r="W126" s="47"/>
      <c r="X126" s="49">
        <f>Portefeuille_MNT_PROGR_PREV[[#This Row],[AC 2024]]-Portefeuille_MNT_PROGR_PREV[[#This Row],[PREV AC 2024]]</f>
        <v>0</v>
      </c>
      <c r="Y126" s="49">
        <f>Portefeuille_MNT_PROGR_PREV[[#This Row],[TR 2024]]-Portefeuille_MNT_PROGR_PREV[[#This Row],[PREV TR 2024]]</f>
        <v>0</v>
      </c>
      <c r="Z126" s="49">
        <f>Portefeuille_MNT_PROGR_PREV[[#This Row],[ÉCART AC 2024]]+Portefeuille_MNT_PROGR_PREV[[#This Row],[ÉCART TR 2024]]</f>
        <v>0</v>
      </c>
      <c r="AA126" s="47"/>
      <c r="AB126" s="47"/>
      <c r="AC126" s="15"/>
      <c r="AD126" s="15"/>
      <c r="AE126" s="52">
        <f>Portefeuille_MNT_PROGR_PREV[[#This Row],[AC 2025]]-Portefeuille_MNT_PROGR_PREV[[#This Row],[PREV AC 2025]]</f>
        <v>0</v>
      </c>
      <c r="AF126" s="52">
        <f>Portefeuille_MNT_PROGR_PREV[[#This Row],[TR 2025]]-Portefeuille_MNT_PROGR_PREV[[#This Row],[PREV TR 2025]]</f>
        <v>0</v>
      </c>
      <c r="AG126" s="52">
        <f>Portefeuille_MNT_PROGR_PREV[[#This Row],[ÉCART AC 2025]]+Portefeuille_MNT_PROGR_PREV[[#This Row],[ÉCART TR 2025]]</f>
        <v>0</v>
      </c>
      <c r="AH126" s="15"/>
      <c r="AI126" s="15"/>
      <c r="AJ126" s="55">
        <v>75</v>
      </c>
      <c r="AK126" s="55"/>
      <c r="AL126" s="56">
        <f>Portefeuille_MNT_PROGR_PREV[[#This Row],[AC 2026]]-Portefeuille_MNT_PROGR_PREV[[#This Row],[PREV AC 2026]]</f>
        <v>75</v>
      </c>
      <c r="AM126" s="56">
        <f>Portefeuille_MNT_PROGR_PREV[[#This Row],[TR 2026]]-Portefeuille_MNT_PROGR_PREV[[#This Row],[PREV TR 2026]]</f>
        <v>0</v>
      </c>
      <c r="AN126" s="56">
        <f>Portefeuille_MNT_PROGR_PREV[[#This Row],[ÉCART AC 20262]]+Portefeuille_MNT_PROGR_PREV[[#This Row],[ÉCART TR 20263]]</f>
        <v>75</v>
      </c>
      <c r="AO126" s="55"/>
      <c r="AP126" s="55"/>
      <c r="AQ126">
        <v>75</v>
      </c>
      <c r="AU126">
        <v>250</v>
      </c>
      <c r="AY126">
        <v>600</v>
      </c>
      <c r="BA126">
        <v>10500</v>
      </c>
    </row>
    <row r="127" spans="1:73" hidden="1" x14ac:dyDescent="0.3">
      <c r="A127" t="s">
        <v>127</v>
      </c>
      <c r="B127" t="s">
        <v>136</v>
      </c>
      <c r="C127" t="s">
        <v>295</v>
      </c>
      <c r="D127" t="s">
        <v>126</v>
      </c>
      <c r="E127" t="s">
        <v>16</v>
      </c>
      <c r="F127" t="s">
        <v>16</v>
      </c>
      <c r="G127" t="s">
        <v>131</v>
      </c>
      <c r="H127" t="s">
        <v>303</v>
      </c>
      <c r="I127" t="s">
        <v>304</v>
      </c>
      <c r="J127" t="s">
        <v>194</v>
      </c>
      <c r="K127" t="s">
        <v>104</v>
      </c>
      <c r="L127" t="s">
        <v>164</v>
      </c>
      <c r="M127" s="1">
        <v>43270</v>
      </c>
      <c r="N127" s="1">
        <v>44222</v>
      </c>
      <c r="P127" s="1">
        <v>44356</v>
      </c>
      <c r="Q127">
        <v>5</v>
      </c>
      <c r="R127">
        <v>5</v>
      </c>
      <c r="S127">
        <v>5</v>
      </c>
      <c r="U127" s="60"/>
      <c r="V127" s="47">
        <v>18</v>
      </c>
      <c r="W127" s="47">
        <v>18</v>
      </c>
      <c r="X127" s="49">
        <f>Portefeuille_MNT_PROGR_PREV[[#This Row],[AC 2024]]-Portefeuille_MNT_PROGR_PREV[[#This Row],[PREV AC 2024]]</f>
        <v>0</v>
      </c>
      <c r="Y127" s="49">
        <f>Portefeuille_MNT_PROGR_PREV[[#This Row],[TR 2024]]-Portefeuille_MNT_PROGR_PREV[[#This Row],[PREV TR 2024]]</f>
        <v>0</v>
      </c>
      <c r="Z127" s="49">
        <f>Portefeuille_MNT_PROGR_PREV[[#This Row],[ÉCART AC 2024]]+Portefeuille_MNT_PROGR_PREV[[#This Row],[ÉCART TR 2024]]</f>
        <v>0</v>
      </c>
      <c r="AA127" s="47">
        <v>92</v>
      </c>
      <c r="AB127" s="47">
        <v>92</v>
      </c>
      <c r="AC127" s="15"/>
      <c r="AD127" s="15"/>
      <c r="AE127" s="52">
        <f>Portefeuille_MNT_PROGR_PREV[[#This Row],[AC 2025]]-Portefeuille_MNT_PROGR_PREV[[#This Row],[PREV AC 2025]]</f>
        <v>0</v>
      </c>
      <c r="AF127" s="52">
        <f>Portefeuille_MNT_PROGR_PREV[[#This Row],[TR 2025]]-Portefeuille_MNT_PROGR_PREV[[#This Row],[PREV TR 2025]]</f>
        <v>0</v>
      </c>
      <c r="AG127" s="52">
        <f>Portefeuille_MNT_PROGR_PREV[[#This Row],[ÉCART AC 2025]]+Portefeuille_MNT_PROGR_PREV[[#This Row],[ÉCART TR 2025]]</f>
        <v>0</v>
      </c>
      <c r="AH127" s="15"/>
      <c r="AI127" s="15"/>
      <c r="AJ127" s="55"/>
      <c r="AK127" s="55"/>
      <c r="AL127" s="56">
        <f>Portefeuille_MNT_PROGR_PREV[[#This Row],[AC 2026]]-Portefeuille_MNT_PROGR_PREV[[#This Row],[PREV AC 2026]]</f>
        <v>0</v>
      </c>
      <c r="AM127" s="56">
        <f>Portefeuille_MNT_PROGR_PREV[[#This Row],[TR 2026]]-Portefeuille_MNT_PROGR_PREV[[#This Row],[PREV TR 2026]]</f>
        <v>0</v>
      </c>
      <c r="AN127" s="56">
        <f>Portefeuille_MNT_PROGR_PREV[[#This Row],[ÉCART AC 20262]]+Portefeuille_MNT_PROGR_PREV[[#This Row],[ÉCART TR 20263]]</f>
        <v>0</v>
      </c>
      <c r="AO127" s="55"/>
      <c r="AP127" s="55"/>
    </row>
    <row r="128" spans="1:73" hidden="1" x14ac:dyDescent="0.3">
      <c r="A128" t="s">
        <v>102</v>
      </c>
      <c r="B128" t="s">
        <v>103</v>
      </c>
      <c r="C128" t="s">
        <v>664</v>
      </c>
      <c r="D128" t="s">
        <v>101</v>
      </c>
      <c r="E128" t="s">
        <v>16</v>
      </c>
      <c r="F128" t="s">
        <v>16</v>
      </c>
      <c r="G128" t="s">
        <v>105</v>
      </c>
      <c r="H128" t="s">
        <v>215</v>
      </c>
      <c r="I128" t="s">
        <v>216</v>
      </c>
      <c r="J128" t="s">
        <v>217</v>
      </c>
      <c r="K128" t="s">
        <v>104</v>
      </c>
      <c r="L128" t="s">
        <v>164</v>
      </c>
      <c r="M128" s="1">
        <v>44838</v>
      </c>
      <c r="N128" s="1">
        <v>45441</v>
      </c>
      <c r="P128" s="1">
        <v>45623</v>
      </c>
      <c r="Q128">
        <v>5</v>
      </c>
      <c r="R128">
        <v>5</v>
      </c>
      <c r="S128">
        <v>5</v>
      </c>
      <c r="U128" s="60" t="s">
        <v>148</v>
      </c>
      <c r="V128" s="47">
        <v>96</v>
      </c>
      <c r="W128" s="47">
        <v>96</v>
      </c>
      <c r="X128" s="49">
        <f>Portefeuille_MNT_PROGR_PREV[[#This Row],[AC 2024]]-Portefeuille_MNT_PROGR_PREV[[#This Row],[PREV AC 2024]]</f>
        <v>0</v>
      </c>
      <c r="Y128" s="49">
        <f>Portefeuille_MNT_PROGR_PREV[[#This Row],[TR 2024]]-Portefeuille_MNT_PROGR_PREV[[#This Row],[PREV TR 2024]]</f>
        <v>0</v>
      </c>
      <c r="Z128" s="49">
        <f>Portefeuille_MNT_PROGR_PREV[[#This Row],[ÉCART AC 2024]]+Portefeuille_MNT_PROGR_PREV[[#This Row],[ÉCART TR 2024]]</f>
        <v>0</v>
      </c>
      <c r="AA128" s="47"/>
      <c r="AB128" s="47"/>
      <c r="AC128" s="15">
        <v>643</v>
      </c>
      <c r="AD128" s="15">
        <v>662</v>
      </c>
      <c r="AE128" s="52">
        <f>Portefeuille_MNT_PROGR_PREV[[#This Row],[AC 2025]]-Portefeuille_MNT_PROGR_PREV[[#This Row],[PREV AC 2025]]</f>
        <v>-19</v>
      </c>
      <c r="AF128" s="52">
        <f>Portefeuille_MNT_PROGR_PREV[[#This Row],[TR 2025]]-Portefeuille_MNT_PROGR_PREV[[#This Row],[PREV TR 2025]]</f>
        <v>41</v>
      </c>
      <c r="AG128" s="52">
        <f>Portefeuille_MNT_PROGR_PREV[[#This Row],[ÉCART AC 2025]]+Portefeuille_MNT_PROGR_PREV[[#This Row],[ÉCART TR 2025]]</f>
        <v>22</v>
      </c>
      <c r="AH128" s="15">
        <v>12563</v>
      </c>
      <c r="AI128" s="15">
        <v>12522</v>
      </c>
      <c r="AJ128" s="55"/>
      <c r="AK128" s="55"/>
      <c r="AL128" s="56">
        <f>Portefeuille_MNT_PROGR_PREV[[#This Row],[AC 2026]]-Portefeuille_MNT_PROGR_PREV[[#This Row],[PREV AC 2026]]</f>
        <v>0</v>
      </c>
      <c r="AM128" s="56">
        <f>Portefeuille_MNT_PROGR_PREV[[#This Row],[TR 2026]]-Portefeuille_MNT_PROGR_PREV[[#This Row],[PREV TR 2026]]</f>
        <v>0</v>
      </c>
      <c r="AN128" s="56">
        <f>Portefeuille_MNT_PROGR_PREV[[#This Row],[ÉCART AC 20262]]+Portefeuille_MNT_PROGR_PREV[[#This Row],[ÉCART TR 20263]]</f>
        <v>0</v>
      </c>
      <c r="AO128" s="55"/>
      <c r="AP128" s="55"/>
    </row>
    <row r="129" spans="1:74" hidden="1" x14ac:dyDescent="0.3">
      <c r="A129" t="s">
        <v>102</v>
      </c>
      <c r="B129" t="s">
        <v>136</v>
      </c>
      <c r="C129" t="s">
        <v>663</v>
      </c>
      <c r="D129" t="s">
        <v>101</v>
      </c>
      <c r="E129" t="s">
        <v>20</v>
      </c>
      <c r="F129" t="s">
        <v>20</v>
      </c>
      <c r="G129" t="s">
        <v>105</v>
      </c>
      <c r="H129" t="s">
        <v>368</v>
      </c>
      <c r="I129" t="s">
        <v>369</v>
      </c>
      <c r="J129" t="s">
        <v>217</v>
      </c>
      <c r="K129" t="s">
        <v>104</v>
      </c>
      <c r="L129" t="s">
        <v>291</v>
      </c>
      <c r="M129" s="1"/>
      <c r="N129" s="1"/>
      <c r="P129" s="1"/>
      <c r="S129"/>
      <c r="U129" s="60" t="s">
        <v>370</v>
      </c>
      <c r="V129" s="47"/>
      <c r="W129" s="47"/>
      <c r="X129" s="49">
        <f>Portefeuille_MNT_PROGR_PREV[[#This Row],[AC 2024]]-Portefeuille_MNT_PROGR_PREV[[#This Row],[PREV AC 2024]]</f>
        <v>0</v>
      </c>
      <c r="Y129" s="49">
        <f>Portefeuille_MNT_PROGR_PREV[[#This Row],[TR 2024]]-Portefeuille_MNT_PROGR_PREV[[#This Row],[PREV TR 2024]]</f>
        <v>0</v>
      </c>
      <c r="Z129" s="49">
        <f>Portefeuille_MNT_PROGR_PREV[[#This Row],[ÉCART AC 2024]]+Portefeuille_MNT_PROGR_PREV[[#This Row],[ÉCART TR 2024]]</f>
        <v>0</v>
      </c>
      <c r="AA129" s="47"/>
      <c r="AB129" s="47"/>
      <c r="AC129" s="15"/>
      <c r="AD129" s="15"/>
      <c r="AE129" s="52">
        <f>Portefeuille_MNT_PROGR_PREV[[#This Row],[AC 2025]]-Portefeuille_MNT_PROGR_PREV[[#This Row],[PREV AC 2025]]</f>
        <v>0</v>
      </c>
      <c r="AF129" s="52">
        <f>Portefeuille_MNT_PROGR_PREV[[#This Row],[TR 2025]]-Portefeuille_MNT_PROGR_PREV[[#This Row],[PREV TR 2025]]</f>
        <v>0</v>
      </c>
      <c r="AG129" s="52">
        <f>Portefeuille_MNT_PROGR_PREV[[#This Row],[ÉCART AC 2025]]+Portefeuille_MNT_PROGR_PREV[[#This Row],[ÉCART TR 2025]]</f>
        <v>0</v>
      </c>
      <c r="AH129" s="15"/>
      <c r="AI129" s="15"/>
      <c r="AJ129" s="55"/>
      <c r="AK129" s="55"/>
      <c r="AL129" s="56">
        <f>Portefeuille_MNT_PROGR_PREV[[#This Row],[AC 2026]]-Portefeuille_MNT_PROGR_PREV[[#This Row],[PREV AC 2026]]</f>
        <v>0</v>
      </c>
      <c r="AM129" s="56">
        <f>Portefeuille_MNT_PROGR_PREV[[#This Row],[TR 2026]]-Portefeuille_MNT_PROGR_PREV[[#This Row],[PREV TR 2026]]</f>
        <v>0</v>
      </c>
      <c r="AN129" s="56">
        <f>Portefeuille_MNT_PROGR_PREV[[#This Row],[ÉCART AC 20262]]+Portefeuille_MNT_PROGR_PREV[[#This Row],[ÉCART TR 20263]]</f>
        <v>0</v>
      </c>
      <c r="AO129" s="55"/>
      <c r="AP129" s="55"/>
      <c r="AQ129">
        <v>250</v>
      </c>
      <c r="AU129">
        <v>250</v>
      </c>
      <c r="AY129">
        <v>200</v>
      </c>
      <c r="BC129">
        <v>200</v>
      </c>
      <c r="BG129">
        <v>500</v>
      </c>
      <c r="BI129">
        <v>5700</v>
      </c>
      <c r="BK129">
        <v>500</v>
      </c>
      <c r="BM129">
        <v>5500</v>
      </c>
      <c r="BO129">
        <v>500</v>
      </c>
      <c r="BQ129">
        <v>6700</v>
      </c>
    </row>
    <row r="130" spans="1:74" hidden="1" x14ac:dyDescent="0.3">
      <c r="A130" t="s">
        <v>102</v>
      </c>
      <c r="B130" t="s">
        <v>103</v>
      </c>
      <c r="C130" t="s">
        <v>664</v>
      </c>
      <c r="D130" t="s">
        <v>101</v>
      </c>
      <c r="E130" t="s">
        <v>16</v>
      </c>
      <c r="F130" t="s">
        <v>16</v>
      </c>
      <c r="G130" t="s">
        <v>105</v>
      </c>
      <c r="H130" t="s">
        <v>314</v>
      </c>
      <c r="I130" t="s">
        <v>315</v>
      </c>
      <c r="J130" t="s">
        <v>316</v>
      </c>
      <c r="K130" t="s">
        <v>206</v>
      </c>
      <c r="L130" t="s">
        <v>164</v>
      </c>
      <c r="M130" s="1">
        <v>43882</v>
      </c>
      <c r="N130" s="1">
        <v>44033</v>
      </c>
      <c r="P130" s="1">
        <v>45225</v>
      </c>
      <c r="Q130">
        <v>5</v>
      </c>
      <c r="R130">
        <v>5</v>
      </c>
      <c r="S130">
        <v>5</v>
      </c>
      <c r="U130" s="60" t="s">
        <v>148</v>
      </c>
      <c r="V130" s="47">
        <v>439</v>
      </c>
      <c r="W130" s="47">
        <v>439</v>
      </c>
      <c r="X130" s="49">
        <f>Portefeuille_MNT_PROGR_PREV[[#This Row],[AC 2024]]-Portefeuille_MNT_PROGR_PREV[[#This Row],[PREV AC 2024]]</f>
        <v>0</v>
      </c>
      <c r="Y130" s="49">
        <f>Portefeuille_MNT_PROGR_PREV[[#This Row],[TR 2024]]-Portefeuille_MNT_PROGR_PREV[[#This Row],[PREV TR 2024]]</f>
        <v>0</v>
      </c>
      <c r="Z130" s="49">
        <f>Portefeuille_MNT_PROGR_PREV[[#This Row],[ÉCART AC 2024]]+Portefeuille_MNT_PROGR_PREV[[#This Row],[ÉCART TR 2024]]</f>
        <v>0</v>
      </c>
      <c r="AA130" s="47">
        <v>7751</v>
      </c>
      <c r="AB130" s="47">
        <v>7751</v>
      </c>
      <c r="AC130" s="15">
        <v>79</v>
      </c>
      <c r="AD130" s="15">
        <v>73</v>
      </c>
      <c r="AE130" s="52">
        <f>Portefeuille_MNT_PROGR_PREV[[#This Row],[AC 2025]]-Portefeuille_MNT_PROGR_PREV[[#This Row],[PREV AC 2025]]</f>
        <v>6</v>
      </c>
      <c r="AF130" s="52">
        <f>Portefeuille_MNT_PROGR_PREV[[#This Row],[TR 2025]]-Portefeuille_MNT_PROGR_PREV[[#This Row],[PREV TR 2025]]</f>
        <v>-1649</v>
      </c>
      <c r="AG130" s="52">
        <f>Portefeuille_MNT_PROGR_PREV[[#This Row],[ÉCART AC 2025]]+Portefeuille_MNT_PROGR_PREV[[#This Row],[ÉCART TR 2025]]</f>
        <v>-1643</v>
      </c>
      <c r="AH130" s="15">
        <v>385</v>
      </c>
      <c r="AI130" s="15">
        <v>2034</v>
      </c>
      <c r="AJ130" s="55"/>
      <c r="AK130" s="55"/>
      <c r="AL130" s="56">
        <f>Portefeuille_MNT_PROGR_PREV[[#This Row],[AC 2026]]-Portefeuille_MNT_PROGR_PREV[[#This Row],[PREV AC 2026]]</f>
        <v>0</v>
      </c>
      <c r="AM130" s="56">
        <f>Portefeuille_MNT_PROGR_PREV[[#This Row],[TR 2026]]-Portefeuille_MNT_PROGR_PREV[[#This Row],[PREV TR 2026]]</f>
        <v>0</v>
      </c>
      <c r="AN130" s="56">
        <f>Portefeuille_MNT_PROGR_PREV[[#This Row],[ÉCART AC 20262]]+Portefeuille_MNT_PROGR_PREV[[#This Row],[ÉCART TR 20263]]</f>
        <v>0</v>
      </c>
      <c r="AO130" s="55"/>
      <c r="AP130" s="55"/>
    </row>
    <row r="131" spans="1:74" hidden="1" x14ac:dyDescent="0.3">
      <c r="A131" t="s">
        <v>102</v>
      </c>
      <c r="B131" t="s">
        <v>136</v>
      </c>
      <c r="C131" t="s">
        <v>663</v>
      </c>
      <c r="D131" t="s">
        <v>101</v>
      </c>
      <c r="E131" t="s">
        <v>130</v>
      </c>
      <c r="F131" t="s">
        <v>20</v>
      </c>
      <c r="G131" t="s">
        <v>105</v>
      </c>
      <c r="H131" t="s">
        <v>366</v>
      </c>
      <c r="I131" t="s">
        <v>367</v>
      </c>
      <c r="J131" t="s">
        <v>316</v>
      </c>
      <c r="K131" t="s">
        <v>149</v>
      </c>
      <c r="L131" t="s">
        <v>155</v>
      </c>
      <c r="M131" s="1">
        <v>46157</v>
      </c>
      <c r="N131" s="1">
        <v>46645</v>
      </c>
      <c r="P131" s="1">
        <v>47011</v>
      </c>
      <c r="Q131">
        <v>1</v>
      </c>
      <c r="R131">
        <v>1</v>
      </c>
      <c r="S131">
        <v>1</v>
      </c>
      <c r="U131" s="60" t="s">
        <v>184</v>
      </c>
      <c r="V131" s="47"/>
      <c r="W131" s="47"/>
      <c r="X131" s="49">
        <f>Portefeuille_MNT_PROGR_PREV[[#This Row],[AC 2024]]-Portefeuille_MNT_PROGR_PREV[[#This Row],[PREV AC 2024]]</f>
        <v>0</v>
      </c>
      <c r="Y131" s="49">
        <f>Portefeuille_MNT_PROGR_PREV[[#This Row],[TR 2024]]-Portefeuille_MNT_PROGR_PREV[[#This Row],[PREV TR 2024]]</f>
        <v>0</v>
      </c>
      <c r="Z131" s="49">
        <f>Portefeuille_MNT_PROGR_PREV[[#This Row],[ÉCART AC 2024]]+Portefeuille_MNT_PROGR_PREV[[#This Row],[ÉCART TR 2024]]</f>
        <v>0</v>
      </c>
      <c r="AA131" s="47"/>
      <c r="AB131" s="47"/>
      <c r="AC131" s="15"/>
      <c r="AD131" s="15"/>
      <c r="AE131" s="52">
        <f>Portefeuille_MNT_PROGR_PREV[[#This Row],[AC 2025]]-Portefeuille_MNT_PROGR_PREV[[#This Row],[PREV AC 2025]]</f>
        <v>0</v>
      </c>
      <c r="AF131" s="52">
        <f>Portefeuille_MNT_PROGR_PREV[[#This Row],[TR 2025]]-Portefeuille_MNT_PROGR_PREV[[#This Row],[PREV TR 2025]]</f>
        <v>0</v>
      </c>
      <c r="AG131" s="52">
        <f>Portefeuille_MNT_PROGR_PREV[[#This Row],[ÉCART AC 2025]]+Portefeuille_MNT_PROGR_PREV[[#This Row],[ÉCART TR 2025]]</f>
        <v>0</v>
      </c>
      <c r="AH131" s="15"/>
      <c r="AI131" s="15"/>
      <c r="AJ131" s="55"/>
      <c r="AK131" s="55"/>
      <c r="AL131" s="56">
        <f>Portefeuille_MNT_PROGR_PREV[[#This Row],[AC 2026]]-Portefeuille_MNT_PROGR_PREV[[#This Row],[PREV AC 2026]]</f>
        <v>0</v>
      </c>
      <c r="AM131" s="56">
        <f>Portefeuille_MNT_PROGR_PREV[[#This Row],[TR 2026]]-Portefeuille_MNT_PROGR_PREV[[#This Row],[PREV TR 2026]]</f>
        <v>0</v>
      </c>
      <c r="AN131" s="56">
        <f>Portefeuille_MNT_PROGR_PREV[[#This Row],[ÉCART AC 20262]]+Portefeuille_MNT_PROGR_PREV[[#This Row],[ÉCART TR 20263]]</f>
        <v>0</v>
      </c>
      <c r="AO131" s="55"/>
      <c r="AP131" s="55"/>
      <c r="AQ131">
        <v>430</v>
      </c>
      <c r="AU131">
        <v>600</v>
      </c>
      <c r="AY131">
        <v>670</v>
      </c>
      <c r="BC131">
        <v>600</v>
      </c>
      <c r="BE131">
        <v>5000</v>
      </c>
      <c r="BK131">
        <v>500</v>
      </c>
      <c r="BM131">
        <v>4700</v>
      </c>
      <c r="BO131">
        <v>600</v>
      </c>
      <c r="BQ131">
        <v>5000</v>
      </c>
      <c r="BS131">
        <v>600</v>
      </c>
      <c r="BU131">
        <v>5000</v>
      </c>
    </row>
    <row r="132" spans="1:74" x14ac:dyDescent="0.3">
      <c r="B132" t="s">
        <v>103</v>
      </c>
      <c r="E132" t="s">
        <v>20</v>
      </c>
      <c r="F132" t="s">
        <v>20</v>
      </c>
      <c r="G132" t="s">
        <v>131</v>
      </c>
      <c r="H132" t="s">
        <v>606</v>
      </c>
      <c r="I132" t="s">
        <v>607</v>
      </c>
      <c r="J132" t="s">
        <v>180</v>
      </c>
      <c r="M132" s="1"/>
      <c r="N132" s="1"/>
      <c r="P132" s="1"/>
      <c r="S132"/>
      <c r="U132" s="60" t="s">
        <v>173</v>
      </c>
      <c r="V132" s="47"/>
      <c r="W132" s="47"/>
      <c r="X132" s="49">
        <f>Portefeuille_MNT_PROGR_PREV[[#This Row],[AC 2024]]-Portefeuille_MNT_PROGR_PREV[[#This Row],[PREV AC 2024]]</f>
        <v>0</v>
      </c>
      <c r="Y132" s="49">
        <f>Portefeuille_MNT_PROGR_PREV[[#This Row],[TR 2024]]-Portefeuille_MNT_PROGR_PREV[[#This Row],[PREV TR 2024]]</f>
        <v>0</v>
      </c>
      <c r="Z132" s="49">
        <f>Portefeuille_MNT_PROGR_PREV[[#This Row],[ÉCART AC 2024]]+Portefeuille_MNT_PROGR_PREV[[#This Row],[ÉCART TR 2024]]</f>
        <v>0</v>
      </c>
      <c r="AA132" s="47"/>
      <c r="AB132" s="47"/>
      <c r="AC132" s="15"/>
      <c r="AD132" s="15"/>
      <c r="AE132" s="52">
        <f>Portefeuille_MNT_PROGR_PREV[[#This Row],[AC 2025]]-Portefeuille_MNT_PROGR_PREV[[#This Row],[PREV AC 2025]]</f>
        <v>0</v>
      </c>
      <c r="AF132" s="52">
        <f>Portefeuille_MNT_PROGR_PREV[[#This Row],[TR 2025]]-Portefeuille_MNT_PROGR_PREV[[#This Row],[PREV TR 2025]]</f>
        <v>0</v>
      </c>
      <c r="AG132" s="52">
        <f>Portefeuille_MNT_PROGR_PREV[[#This Row],[ÉCART AC 2025]]+Portefeuille_MNT_PROGR_PREV[[#This Row],[ÉCART TR 2025]]</f>
        <v>0</v>
      </c>
      <c r="AH132" s="15"/>
      <c r="AI132" s="15"/>
      <c r="AJ132" s="55"/>
      <c r="AK132" s="55"/>
      <c r="AL132" s="56">
        <f>Portefeuille_MNT_PROGR_PREV[[#This Row],[AC 2026]]-Portefeuille_MNT_PROGR_PREV[[#This Row],[PREV AC 2026]]</f>
        <v>0</v>
      </c>
      <c r="AM132" s="56">
        <f>Portefeuille_MNT_PROGR_PREV[[#This Row],[TR 2026]]-Portefeuille_MNT_PROGR_PREV[[#This Row],[PREV TR 2026]]</f>
        <v>0</v>
      </c>
      <c r="AN132" s="56">
        <f>Portefeuille_MNT_PROGR_PREV[[#This Row],[ÉCART AC 20262]]+Portefeuille_MNT_PROGR_PREV[[#This Row],[ÉCART TR 20263]]</f>
        <v>0</v>
      </c>
      <c r="AO132" s="55"/>
      <c r="AP132" s="55"/>
      <c r="AS132">
        <v>300</v>
      </c>
    </row>
    <row r="133" spans="1:74" hidden="1" x14ac:dyDescent="0.3">
      <c r="B133" t="s">
        <v>136</v>
      </c>
      <c r="E133" t="s">
        <v>20</v>
      </c>
      <c r="F133" t="s">
        <v>16</v>
      </c>
      <c r="G133" t="s">
        <v>131</v>
      </c>
      <c r="H133" t="s">
        <v>645</v>
      </c>
      <c r="I133" t="s">
        <v>646</v>
      </c>
      <c r="J133" t="s">
        <v>139</v>
      </c>
      <c r="M133" s="1"/>
      <c r="N133" s="1"/>
      <c r="P133" s="1"/>
      <c r="S133"/>
      <c r="U133" s="60" t="s">
        <v>148</v>
      </c>
      <c r="V133" s="47"/>
      <c r="W133" s="47"/>
      <c r="X133" s="49">
        <f>Portefeuille_MNT_PROGR_PREV[[#This Row],[AC 2024]]-Portefeuille_MNT_PROGR_PREV[[#This Row],[PREV AC 2024]]</f>
        <v>0</v>
      </c>
      <c r="Y133" s="49">
        <f>Portefeuille_MNT_PROGR_PREV[[#This Row],[TR 2024]]-Portefeuille_MNT_PROGR_PREV[[#This Row],[PREV TR 2024]]</f>
        <v>0</v>
      </c>
      <c r="Z133" s="49">
        <f>Portefeuille_MNT_PROGR_PREV[[#This Row],[ÉCART AC 2024]]+Portefeuille_MNT_PROGR_PREV[[#This Row],[ÉCART TR 2024]]</f>
        <v>0</v>
      </c>
      <c r="AA133" s="47"/>
      <c r="AB133" s="47"/>
      <c r="AC133" s="15"/>
      <c r="AD133" s="15"/>
      <c r="AE133" s="52">
        <f>Portefeuille_MNT_PROGR_PREV[[#This Row],[AC 2025]]-Portefeuille_MNT_PROGR_PREV[[#This Row],[PREV AC 2025]]</f>
        <v>0</v>
      </c>
      <c r="AF133" s="52">
        <f>Portefeuille_MNT_PROGR_PREV[[#This Row],[TR 2025]]-Portefeuille_MNT_PROGR_PREV[[#This Row],[PREV TR 2025]]</f>
        <v>0</v>
      </c>
      <c r="AG133" s="52">
        <f>Portefeuille_MNT_PROGR_PREV[[#This Row],[ÉCART AC 2025]]+Portefeuille_MNT_PROGR_PREV[[#This Row],[ÉCART TR 2025]]</f>
        <v>0</v>
      </c>
      <c r="AH133" s="15">
        <v>100</v>
      </c>
      <c r="AI133" s="15">
        <v>100</v>
      </c>
      <c r="AJ133" s="55"/>
      <c r="AK133" s="55"/>
      <c r="AL133" s="56">
        <f>Portefeuille_MNT_PROGR_PREV[[#This Row],[AC 2026]]-Portefeuille_MNT_PROGR_PREV[[#This Row],[PREV AC 2026]]</f>
        <v>0</v>
      </c>
      <c r="AM133" s="56">
        <f>Portefeuille_MNT_PROGR_PREV[[#This Row],[TR 2026]]-Portefeuille_MNT_PROGR_PREV[[#This Row],[PREV TR 2026]]</f>
        <v>0</v>
      </c>
      <c r="AN133" s="56">
        <f>Portefeuille_MNT_PROGR_PREV[[#This Row],[ÉCART AC 20262]]+Portefeuille_MNT_PROGR_PREV[[#This Row],[ÉCART TR 20263]]</f>
        <v>0</v>
      </c>
      <c r="AO133" s="55"/>
      <c r="AP133" s="55"/>
    </row>
    <row r="134" spans="1:74" hidden="1" x14ac:dyDescent="0.3">
      <c r="B134" t="s">
        <v>103</v>
      </c>
      <c r="E134" t="s">
        <v>20</v>
      </c>
      <c r="F134" t="s">
        <v>20</v>
      </c>
      <c r="G134" t="s">
        <v>131</v>
      </c>
      <c r="H134" t="s">
        <v>647</v>
      </c>
      <c r="I134" t="s">
        <v>648</v>
      </c>
      <c r="J134" t="s">
        <v>147</v>
      </c>
      <c r="M134" s="1"/>
      <c r="N134" s="1"/>
      <c r="P134" s="1"/>
      <c r="S134"/>
      <c r="U134" s="60" t="s">
        <v>173</v>
      </c>
      <c r="V134" s="47"/>
      <c r="W134" s="47"/>
      <c r="X134" s="49">
        <f>Portefeuille_MNT_PROGR_PREV[[#This Row],[AC 2024]]-Portefeuille_MNT_PROGR_PREV[[#This Row],[PREV AC 2024]]</f>
        <v>0</v>
      </c>
      <c r="Y134" s="49">
        <f>Portefeuille_MNT_PROGR_PREV[[#This Row],[TR 2024]]-Portefeuille_MNT_PROGR_PREV[[#This Row],[PREV TR 2024]]</f>
        <v>0</v>
      </c>
      <c r="Z134" s="49">
        <f>Portefeuille_MNT_PROGR_PREV[[#This Row],[ÉCART AC 2024]]+Portefeuille_MNT_PROGR_PREV[[#This Row],[ÉCART TR 2024]]</f>
        <v>0</v>
      </c>
      <c r="AA134" s="47"/>
      <c r="AB134" s="47"/>
      <c r="AC134" s="15"/>
      <c r="AD134" s="15"/>
      <c r="AE134" s="52">
        <f>Portefeuille_MNT_PROGR_PREV[[#This Row],[AC 2025]]-Portefeuille_MNT_PROGR_PREV[[#This Row],[PREV AC 2025]]</f>
        <v>0</v>
      </c>
      <c r="AF134" s="52">
        <f>Portefeuille_MNT_PROGR_PREV[[#This Row],[TR 2025]]-Portefeuille_MNT_PROGR_PREV[[#This Row],[PREV TR 2025]]</f>
        <v>0</v>
      </c>
      <c r="AG134" s="52">
        <f>Portefeuille_MNT_PROGR_PREV[[#This Row],[ÉCART AC 2025]]+Portefeuille_MNT_PROGR_PREV[[#This Row],[ÉCART TR 2025]]</f>
        <v>0</v>
      </c>
      <c r="AH134" s="15"/>
      <c r="AI134" s="15"/>
      <c r="AJ134" s="55"/>
      <c r="AK134" s="55"/>
      <c r="AL134" s="56">
        <f>Portefeuille_MNT_PROGR_PREV[[#This Row],[AC 2026]]-Portefeuille_MNT_PROGR_PREV[[#This Row],[PREV AC 2026]]</f>
        <v>0</v>
      </c>
      <c r="AM134" s="56">
        <f>Portefeuille_MNT_PROGR_PREV[[#This Row],[TR 2026]]-Portefeuille_MNT_PROGR_PREV[[#This Row],[PREV TR 2026]]</f>
        <v>0</v>
      </c>
      <c r="AN134" s="56">
        <f>Portefeuille_MNT_PROGR_PREV[[#This Row],[ÉCART AC 20262]]+Portefeuille_MNT_PROGR_PREV[[#This Row],[ÉCART TR 20263]]</f>
        <v>0</v>
      </c>
      <c r="AO134" s="55"/>
      <c r="AP134" s="55"/>
      <c r="AS134">
        <v>10</v>
      </c>
    </row>
    <row r="135" spans="1:74" hidden="1" x14ac:dyDescent="0.3">
      <c r="B135" t="s">
        <v>242</v>
      </c>
      <c r="E135" t="s">
        <v>20</v>
      </c>
      <c r="F135" t="s">
        <v>20</v>
      </c>
      <c r="G135" t="s">
        <v>131</v>
      </c>
      <c r="H135" t="s">
        <v>649</v>
      </c>
      <c r="I135" t="s">
        <v>650</v>
      </c>
      <c r="J135" t="s">
        <v>414</v>
      </c>
      <c r="M135" s="1"/>
      <c r="N135" s="1"/>
      <c r="P135" s="1"/>
      <c r="S135"/>
      <c r="U135" s="60" t="s">
        <v>173</v>
      </c>
      <c r="V135" s="47"/>
      <c r="W135" s="47"/>
      <c r="X135" s="49">
        <f>Portefeuille_MNT_PROGR_PREV[[#This Row],[AC 2024]]-Portefeuille_MNT_PROGR_PREV[[#This Row],[PREV AC 2024]]</f>
        <v>0</v>
      </c>
      <c r="Y135" s="49">
        <f>Portefeuille_MNT_PROGR_PREV[[#This Row],[TR 2024]]-Portefeuille_MNT_PROGR_PREV[[#This Row],[PREV TR 2024]]</f>
        <v>0</v>
      </c>
      <c r="Z135" s="49">
        <f>Portefeuille_MNT_PROGR_PREV[[#This Row],[ÉCART AC 2024]]+Portefeuille_MNT_PROGR_PREV[[#This Row],[ÉCART TR 2024]]</f>
        <v>0</v>
      </c>
      <c r="AA135" s="47"/>
      <c r="AB135" s="47"/>
      <c r="AC135" s="15"/>
      <c r="AD135" s="15"/>
      <c r="AE135" s="52">
        <f>Portefeuille_MNT_PROGR_PREV[[#This Row],[AC 2025]]-Portefeuille_MNT_PROGR_PREV[[#This Row],[PREV AC 2025]]</f>
        <v>0</v>
      </c>
      <c r="AF135" s="52">
        <f>Portefeuille_MNT_PROGR_PREV[[#This Row],[TR 2025]]-Portefeuille_MNT_PROGR_PREV[[#This Row],[PREV TR 2025]]</f>
        <v>0</v>
      </c>
      <c r="AG135" s="52">
        <f>Portefeuille_MNT_PROGR_PREV[[#This Row],[ÉCART AC 2025]]+Portefeuille_MNT_PROGR_PREV[[#This Row],[ÉCART TR 2025]]</f>
        <v>0</v>
      </c>
      <c r="AH135" s="15"/>
      <c r="AI135" s="15"/>
      <c r="AJ135" s="55"/>
      <c r="AK135" s="55"/>
      <c r="AL135" s="56">
        <f>Portefeuille_MNT_PROGR_PREV[[#This Row],[AC 2026]]-Portefeuille_MNT_PROGR_PREV[[#This Row],[PREV AC 2026]]</f>
        <v>0</v>
      </c>
      <c r="AM135" s="56">
        <f>Portefeuille_MNT_PROGR_PREV[[#This Row],[TR 2026]]-Portefeuille_MNT_PROGR_PREV[[#This Row],[PREV TR 2026]]</f>
        <v>0</v>
      </c>
      <c r="AN135" s="56">
        <f>Portefeuille_MNT_PROGR_PREV[[#This Row],[ÉCART AC 20262]]+Portefeuille_MNT_PROGR_PREV[[#This Row],[ÉCART TR 20263]]</f>
        <v>0</v>
      </c>
      <c r="AO135" s="55"/>
      <c r="AP135" s="55"/>
      <c r="AS135">
        <v>100</v>
      </c>
    </row>
    <row r="136" spans="1:74" hidden="1" x14ac:dyDescent="0.3">
      <c r="B136" t="s">
        <v>200</v>
      </c>
      <c r="E136" t="s">
        <v>20</v>
      </c>
      <c r="F136" t="s">
        <v>20</v>
      </c>
      <c r="G136" t="s">
        <v>131</v>
      </c>
      <c r="H136" t="s">
        <v>651</v>
      </c>
      <c r="I136" t="s">
        <v>652</v>
      </c>
      <c r="J136" t="s">
        <v>139</v>
      </c>
      <c r="M136" s="1"/>
      <c r="N136" s="1"/>
      <c r="P136" s="1"/>
      <c r="S136"/>
      <c r="U136" s="60" t="s">
        <v>109</v>
      </c>
      <c r="V136" s="47"/>
      <c r="W136" s="47"/>
      <c r="X136" s="49">
        <f>Portefeuille_MNT_PROGR_PREV[[#This Row],[AC 2024]]-Portefeuille_MNT_PROGR_PREV[[#This Row],[PREV AC 2024]]</f>
        <v>0</v>
      </c>
      <c r="Y136" s="49">
        <f>Portefeuille_MNT_PROGR_PREV[[#This Row],[TR 2024]]-Portefeuille_MNT_PROGR_PREV[[#This Row],[PREV TR 2024]]</f>
        <v>0</v>
      </c>
      <c r="Z136" s="49">
        <f>Portefeuille_MNT_PROGR_PREV[[#This Row],[ÉCART AC 2024]]+Portefeuille_MNT_PROGR_PREV[[#This Row],[ÉCART TR 2024]]</f>
        <v>0</v>
      </c>
      <c r="AA136" s="47"/>
      <c r="AB136" s="47"/>
      <c r="AC136" s="15"/>
      <c r="AD136" s="15"/>
      <c r="AE136" s="52">
        <f>Portefeuille_MNT_PROGR_PREV[[#This Row],[AC 2025]]-Portefeuille_MNT_PROGR_PREV[[#This Row],[PREV AC 2025]]</f>
        <v>0</v>
      </c>
      <c r="AF136" s="52">
        <f>Portefeuille_MNT_PROGR_PREV[[#This Row],[TR 2025]]-Portefeuille_MNT_PROGR_PREV[[#This Row],[PREV TR 2025]]</f>
        <v>0</v>
      </c>
      <c r="AG136" s="52">
        <f>Portefeuille_MNT_PROGR_PREV[[#This Row],[ÉCART AC 2025]]+Portefeuille_MNT_PROGR_PREV[[#This Row],[ÉCART TR 2025]]</f>
        <v>0</v>
      </c>
      <c r="AH136" s="15"/>
      <c r="AI136" s="15"/>
      <c r="AJ136" s="55"/>
      <c r="AK136" s="55"/>
      <c r="AL136" s="56">
        <f>Portefeuille_MNT_PROGR_PREV[[#This Row],[AC 2026]]-Portefeuille_MNT_PROGR_PREV[[#This Row],[PREV AC 2026]]</f>
        <v>0</v>
      </c>
      <c r="AM136" s="56">
        <f>Portefeuille_MNT_PROGR_PREV[[#This Row],[TR 2026]]-Portefeuille_MNT_PROGR_PREV[[#This Row],[PREV TR 2026]]</f>
        <v>15</v>
      </c>
      <c r="AN136" s="56">
        <f>Portefeuille_MNT_PROGR_PREV[[#This Row],[ÉCART AC 20262]]+Portefeuille_MNT_PROGR_PREV[[#This Row],[ÉCART TR 20263]]</f>
        <v>15</v>
      </c>
      <c r="AO136" s="55">
        <v>15</v>
      </c>
      <c r="AP136" s="55"/>
    </row>
    <row r="137" spans="1:74" hidden="1" x14ac:dyDescent="0.3">
      <c r="B137" t="s">
        <v>136</v>
      </c>
      <c r="E137" t="s">
        <v>325</v>
      </c>
      <c r="F137" t="s">
        <v>16</v>
      </c>
      <c r="G137" t="s">
        <v>131</v>
      </c>
      <c r="H137" t="s">
        <v>347</v>
      </c>
      <c r="I137" t="s">
        <v>348</v>
      </c>
      <c r="J137" t="s">
        <v>214</v>
      </c>
      <c r="M137" s="1"/>
      <c r="N137" s="1"/>
      <c r="P137" s="1"/>
      <c r="S137"/>
      <c r="U137" s="60"/>
      <c r="V137" s="47"/>
      <c r="W137" s="47"/>
      <c r="X137" s="49">
        <f>Portefeuille_MNT_PROGR_PREV[[#This Row],[AC 2024]]-Portefeuille_MNT_PROGR_PREV[[#This Row],[PREV AC 2024]]</f>
        <v>0</v>
      </c>
      <c r="Y137" s="49">
        <f>Portefeuille_MNT_PROGR_PREV[[#This Row],[TR 2024]]-Portefeuille_MNT_PROGR_PREV[[#This Row],[PREV TR 2024]]</f>
        <v>0</v>
      </c>
      <c r="Z137" s="49">
        <f>Portefeuille_MNT_PROGR_PREV[[#This Row],[ÉCART AC 2024]]+Portefeuille_MNT_PROGR_PREV[[#This Row],[ÉCART TR 2024]]</f>
        <v>0</v>
      </c>
      <c r="AA137" s="47">
        <v>4</v>
      </c>
      <c r="AB137" s="47">
        <v>4</v>
      </c>
      <c r="AC137" s="15"/>
      <c r="AD137" s="15"/>
      <c r="AE137" s="52">
        <f>Portefeuille_MNT_PROGR_PREV[[#This Row],[AC 2025]]-Portefeuille_MNT_PROGR_PREV[[#This Row],[PREV AC 2025]]</f>
        <v>0</v>
      </c>
      <c r="AF137" s="52">
        <f>Portefeuille_MNT_PROGR_PREV[[#This Row],[TR 2025]]-Portefeuille_MNT_PROGR_PREV[[#This Row],[PREV TR 2025]]</f>
        <v>0</v>
      </c>
      <c r="AG137" s="52">
        <f>Portefeuille_MNT_PROGR_PREV[[#This Row],[ÉCART AC 2025]]+Portefeuille_MNT_PROGR_PREV[[#This Row],[ÉCART TR 2025]]</f>
        <v>0</v>
      </c>
      <c r="AH137" s="15"/>
      <c r="AI137" s="15"/>
      <c r="AJ137" s="55"/>
      <c r="AK137" s="55"/>
      <c r="AL137" s="56">
        <f>Portefeuille_MNT_PROGR_PREV[[#This Row],[AC 2026]]-Portefeuille_MNT_PROGR_PREV[[#This Row],[PREV AC 2026]]</f>
        <v>0</v>
      </c>
      <c r="AM137" s="56">
        <f>Portefeuille_MNT_PROGR_PREV[[#This Row],[TR 2026]]-Portefeuille_MNT_PROGR_PREV[[#This Row],[PREV TR 2026]]</f>
        <v>0</v>
      </c>
      <c r="AN137" s="56">
        <f>Portefeuille_MNT_PROGR_PREV[[#This Row],[ÉCART AC 20262]]+Portefeuille_MNT_PROGR_PREV[[#This Row],[ÉCART TR 20263]]</f>
        <v>0</v>
      </c>
      <c r="AO137" s="55"/>
      <c r="AP137" s="55"/>
    </row>
    <row r="138" spans="1:74" hidden="1" x14ac:dyDescent="0.3">
      <c r="B138" t="s">
        <v>177</v>
      </c>
      <c r="E138" t="s">
        <v>16</v>
      </c>
      <c r="F138" t="s">
        <v>16</v>
      </c>
      <c r="G138" t="s">
        <v>131</v>
      </c>
      <c r="H138" t="s">
        <v>350</v>
      </c>
      <c r="I138" t="s">
        <v>351</v>
      </c>
      <c r="J138" t="s">
        <v>152</v>
      </c>
      <c r="M138" s="1"/>
      <c r="N138" s="1"/>
      <c r="P138" s="1"/>
      <c r="S138"/>
      <c r="U138" s="60"/>
      <c r="V138" s="47"/>
      <c r="W138" s="47"/>
      <c r="X138" s="49">
        <f>Portefeuille_MNT_PROGR_PREV[[#This Row],[AC 2024]]-Portefeuille_MNT_PROGR_PREV[[#This Row],[PREV AC 2024]]</f>
        <v>0</v>
      </c>
      <c r="Y138" s="49">
        <f>Portefeuille_MNT_PROGR_PREV[[#This Row],[TR 2024]]-Portefeuille_MNT_PROGR_PREV[[#This Row],[PREV TR 2024]]</f>
        <v>0</v>
      </c>
      <c r="Z138" s="49">
        <f>Portefeuille_MNT_PROGR_PREV[[#This Row],[ÉCART AC 2024]]+Portefeuille_MNT_PROGR_PREV[[#This Row],[ÉCART TR 2024]]</f>
        <v>0</v>
      </c>
      <c r="AA138" s="47">
        <v>52</v>
      </c>
      <c r="AB138" s="47">
        <v>52</v>
      </c>
      <c r="AC138" s="15"/>
      <c r="AD138" s="15"/>
      <c r="AE138" s="52">
        <f>Portefeuille_MNT_PROGR_PREV[[#This Row],[AC 2025]]-Portefeuille_MNT_PROGR_PREV[[#This Row],[PREV AC 2025]]</f>
        <v>0</v>
      </c>
      <c r="AF138" s="52">
        <f>Portefeuille_MNT_PROGR_PREV[[#This Row],[TR 2025]]-Portefeuille_MNT_PROGR_PREV[[#This Row],[PREV TR 2025]]</f>
        <v>0</v>
      </c>
      <c r="AG138" s="52">
        <f>Portefeuille_MNT_PROGR_PREV[[#This Row],[ÉCART AC 2025]]+Portefeuille_MNT_PROGR_PREV[[#This Row],[ÉCART TR 2025]]</f>
        <v>0</v>
      </c>
      <c r="AH138" s="15"/>
      <c r="AI138" s="15"/>
      <c r="AJ138" s="55"/>
      <c r="AK138" s="55"/>
      <c r="AL138" s="56">
        <f>Portefeuille_MNT_PROGR_PREV[[#This Row],[AC 2026]]-Portefeuille_MNT_PROGR_PREV[[#This Row],[PREV AC 2026]]</f>
        <v>0</v>
      </c>
      <c r="AM138" s="56">
        <f>Portefeuille_MNT_PROGR_PREV[[#This Row],[TR 2026]]-Portefeuille_MNT_PROGR_PREV[[#This Row],[PREV TR 2026]]</f>
        <v>0</v>
      </c>
      <c r="AN138" s="56">
        <f>Portefeuille_MNT_PROGR_PREV[[#This Row],[ÉCART AC 20262]]+Portefeuille_MNT_PROGR_PREV[[#This Row],[ÉCART TR 20263]]</f>
        <v>0</v>
      </c>
      <c r="AO138" s="55"/>
      <c r="AP138" s="55"/>
    </row>
    <row r="139" spans="1:74" x14ac:dyDescent="0.3">
      <c r="B139" t="s">
        <v>103</v>
      </c>
      <c r="E139" t="s">
        <v>20</v>
      </c>
      <c r="F139" t="s">
        <v>16</v>
      </c>
      <c r="G139" t="s">
        <v>131</v>
      </c>
      <c r="H139" t="s">
        <v>387</v>
      </c>
      <c r="I139" t="s">
        <v>388</v>
      </c>
      <c r="J139" t="s">
        <v>180</v>
      </c>
      <c r="M139" s="1"/>
      <c r="N139" s="1"/>
      <c r="P139" s="1"/>
      <c r="S139"/>
      <c r="U139" s="60"/>
      <c r="V139" s="47"/>
      <c r="W139" s="47"/>
      <c r="X139" s="49">
        <f>Portefeuille_MNT_PROGR_PREV[[#This Row],[AC 2024]]-Portefeuille_MNT_PROGR_PREV[[#This Row],[PREV AC 2024]]</f>
        <v>0</v>
      </c>
      <c r="Y139" s="49">
        <f>Portefeuille_MNT_PROGR_PREV[[#This Row],[TR 2024]]-Portefeuille_MNT_PROGR_PREV[[#This Row],[PREV TR 2024]]</f>
        <v>-1</v>
      </c>
      <c r="Z139" s="49">
        <f>Portefeuille_MNT_PROGR_PREV[[#This Row],[ÉCART AC 2024]]+Portefeuille_MNT_PROGR_PREV[[#This Row],[ÉCART TR 2024]]</f>
        <v>-1</v>
      </c>
      <c r="AA139" s="47">
        <v>316</v>
      </c>
      <c r="AB139" s="47">
        <v>317</v>
      </c>
      <c r="AC139" s="15"/>
      <c r="AD139" s="15"/>
      <c r="AE139" s="52">
        <f>Portefeuille_MNT_PROGR_PREV[[#This Row],[AC 2025]]-Portefeuille_MNT_PROGR_PREV[[#This Row],[PREV AC 2025]]</f>
        <v>0</v>
      </c>
      <c r="AF139" s="52">
        <f>Portefeuille_MNT_PROGR_PREV[[#This Row],[TR 2025]]-Portefeuille_MNT_PROGR_PREV[[#This Row],[PREV TR 2025]]</f>
        <v>0</v>
      </c>
      <c r="AG139" s="52">
        <f>Portefeuille_MNT_PROGR_PREV[[#This Row],[ÉCART AC 2025]]+Portefeuille_MNT_PROGR_PREV[[#This Row],[ÉCART TR 2025]]</f>
        <v>0</v>
      </c>
      <c r="AH139" s="15"/>
      <c r="AI139" s="15"/>
      <c r="AJ139" s="55"/>
      <c r="AK139" s="55"/>
      <c r="AL139" s="56">
        <f>Portefeuille_MNT_PROGR_PREV[[#This Row],[AC 2026]]-Portefeuille_MNT_PROGR_PREV[[#This Row],[PREV AC 2026]]</f>
        <v>0</v>
      </c>
      <c r="AM139" s="56">
        <f>Portefeuille_MNT_PROGR_PREV[[#This Row],[TR 2026]]-Portefeuille_MNT_PROGR_PREV[[#This Row],[PREV TR 2026]]</f>
        <v>0</v>
      </c>
      <c r="AN139" s="56">
        <f>Portefeuille_MNT_PROGR_PREV[[#This Row],[ÉCART AC 20262]]+Portefeuille_MNT_PROGR_PREV[[#This Row],[ÉCART TR 20263]]</f>
        <v>0</v>
      </c>
      <c r="AO139" s="55"/>
      <c r="AP139" s="55"/>
    </row>
    <row r="140" spans="1:74" hidden="1" x14ac:dyDescent="0.3">
      <c r="B140" t="s">
        <v>177</v>
      </c>
      <c r="E140" t="s">
        <v>20</v>
      </c>
      <c r="F140" t="s">
        <v>20</v>
      </c>
      <c r="G140" t="s">
        <v>131</v>
      </c>
      <c r="H140" t="s">
        <v>448</v>
      </c>
      <c r="I140" t="s">
        <v>449</v>
      </c>
      <c r="J140" t="s">
        <v>159</v>
      </c>
      <c r="M140" s="1"/>
      <c r="N140" s="1"/>
      <c r="P140" s="1"/>
      <c r="S140"/>
      <c r="U140" s="60" t="s">
        <v>173</v>
      </c>
      <c r="V140" s="47"/>
      <c r="W140" s="47"/>
      <c r="X140" s="49">
        <f>Portefeuille_MNT_PROGR_PREV[[#This Row],[AC 2024]]-Portefeuille_MNT_PROGR_PREV[[#This Row],[PREV AC 2024]]</f>
        <v>0</v>
      </c>
      <c r="Y140" s="49">
        <f>Portefeuille_MNT_PROGR_PREV[[#This Row],[TR 2024]]-Portefeuille_MNT_PROGR_PREV[[#This Row],[PREV TR 2024]]</f>
        <v>0</v>
      </c>
      <c r="Z140" s="49">
        <f>Portefeuille_MNT_PROGR_PREV[[#This Row],[ÉCART AC 2024]]+Portefeuille_MNT_PROGR_PREV[[#This Row],[ÉCART TR 2024]]</f>
        <v>0</v>
      </c>
      <c r="AA140" s="47"/>
      <c r="AB140" s="47"/>
      <c r="AC140" s="15"/>
      <c r="AD140" s="15"/>
      <c r="AE140" s="52">
        <f>Portefeuille_MNT_PROGR_PREV[[#This Row],[AC 2025]]-Portefeuille_MNT_PROGR_PREV[[#This Row],[PREV AC 2025]]</f>
        <v>0</v>
      </c>
      <c r="AF140" s="52">
        <f>Portefeuille_MNT_PROGR_PREV[[#This Row],[TR 2025]]-Portefeuille_MNT_PROGR_PREV[[#This Row],[PREV TR 2025]]</f>
        <v>0</v>
      </c>
      <c r="AG140" s="52">
        <f>Portefeuille_MNT_PROGR_PREV[[#This Row],[ÉCART AC 2025]]+Portefeuille_MNT_PROGR_PREV[[#This Row],[ÉCART TR 2025]]</f>
        <v>0</v>
      </c>
      <c r="AH140" s="15"/>
      <c r="AI140" s="15"/>
      <c r="AJ140" s="55"/>
      <c r="AK140" s="55"/>
      <c r="AL140" s="56">
        <f>Portefeuille_MNT_PROGR_PREV[[#This Row],[AC 2026]]-Portefeuille_MNT_PROGR_PREV[[#This Row],[PREV AC 2026]]</f>
        <v>0</v>
      </c>
      <c r="AM140" s="56">
        <f>Portefeuille_MNT_PROGR_PREV[[#This Row],[TR 2026]]-Portefeuille_MNT_PROGR_PREV[[#This Row],[PREV TR 2026]]</f>
        <v>0</v>
      </c>
      <c r="AN140" s="56">
        <f>Portefeuille_MNT_PROGR_PREV[[#This Row],[ÉCART AC 20262]]+Portefeuille_MNT_PROGR_PREV[[#This Row],[ÉCART TR 20263]]</f>
        <v>0</v>
      </c>
      <c r="AO140" s="55"/>
      <c r="AP140" s="55"/>
      <c r="AS140">
        <v>100</v>
      </c>
    </row>
    <row r="141" spans="1:74" x14ac:dyDescent="0.3">
      <c r="B141" t="s">
        <v>103</v>
      </c>
      <c r="E141" t="s">
        <v>20</v>
      </c>
      <c r="F141" t="s">
        <v>16</v>
      </c>
      <c r="G141" t="s">
        <v>131</v>
      </c>
      <c r="H141" t="s">
        <v>257</v>
      </c>
      <c r="I141" t="s">
        <v>258</v>
      </c>
      <c r="J141" t="s">
        <v>180</v>
      </c>
      <c r="M141" s="1"/>
      <c r="N141" s="1"/>
      <c r="P141" s="1"/>
      <c r="S141"/>
      <c r="U141" s="60" t="s">
        <v>148</v>
      </c>
      <c r="V141" s="47"/>
      <c r="W141" s="47"/>
      <c r="X141" s="49">
        <f>Portefeuille_MNT_PROGR_PREV[[#This Row],[AC 2024]]-Portefeuille_MNT_PROGR_PREV[[#This Row],[PREV AC 2024]]</f>
        <v>0</v>
      </c>
      <c r="Y141" s="49">
        <f>Portefeuille_MNT_PROGR_PREV[[#This Row],[TR 2024]]-Portefeuille_MNT_PROGR_PREV[[#This Row],[PREV TR 2024]]</f>
        <v>0</v>
      </c>
      <c r="Z141" s="49">
        <f>Portefeuille_MNT_PROGR_PREV[[#This Row],[ÉCART AC 2024]]+Portefeuille_MNT_PROGR_PREV[[#This Row],[ÉCART TR 2024]]</f>
        <v>0</v>
      </c>
      <c r="AA141" s="47"/>
      <c r="AB141" s="47"/>
      <c r="AC141" s="15"/>
      <c r="AD141" s="15"/>
      <c r="AE141" s="52">
        <f>Portefeuille_MNT_PROGR_PREV[[#This Row],[AC 2025]]-Portefeuille_MNT_PROGR_PREV[[#This Row],[PREV AC 2025]]</f>
        <v>0</v>
      </c>
      <c r="AF141" s="52">
        <f>Portefeuille_MNT_PROGR_PREV[[#This Row],[TR 2025]]-Portefeuille_MNT_PROGR_PREV[[#This Row],[PREV TR 2025]]</f>
        <v>0</v>
      </c>
      <c r="AG141" s="52">
        <f>Portefeuille_MNT_PROGR_PREV[[#This Row],[ÉCART AC 2025]]+Portefeuille_MNT_PROGR_PREV[[#This Row],[ÉCART TR 2025]]</f>
        <v>0</v>
      </c>
      <c r="AH141" s="15">
        <v>300</v>
      </c>
      <c r="AI141" s="15">
        <v>300</v>
      </c>
      <c r="AJ141" s="55"/>
      <c r="AK141" s="55"/>
      <c r="AL141" s="56">
        <f>Portefeuille_MNT_PROGR_PREV[[#This Row],[AC 2026]]-Portefeuille_MNT_PROGR_PREV[[#This Row],[PREV AC 2026]]</f>
        <v>0</v>
      </c>
      <c r="AM141" s="56">
        <f>Portefeuille_MNT_PROGR_PREV[[#This Row],[TR 2026]]-Portefeuille_MNT_PROGR_PREV[[#This Row],[PREV TR 2026]]</f>
        <v>0</v>
      </c>
      <c r="AN141" s="56">
        <f>Portefeuille_MNT_PROGR_PREV[[#This Row],[ÉCART AC 20262]]+Portefeuille_MNT_PROGR_PREV[[#This Row],[ÉCART TR 20263]]</f>
        <v>0</v>
      </c>
      <c r="AO141" s="55"/>
      <c r="AP141" s="55"/>
    </row>
    <row r="142" spans="1:74" hidden="1" x14ac:dyDescent="0.3">
      <c r="B142" t="s">
        <v>103</v>
      </c>
      <c r="E142" t="s">
        <v>20</v>
      </c>
      <c r="F142" t="s">
        <v>20</v>
      </c>
      <c r="G142" t="s">
        <v>131</v>
      </c>
      <c r="H142" t="s">
        <v>597</v>
      </c>
      <c r="I142" t="s">
        <v>598</v>
      </c>
      <c r="J142" t="s">
        <v>214</v>
      </c>
      <c r="M142" s="1"/>
      <c r="N142" s="1"/>
      <c r="P142" s="1"/>
      <c r="S142"/>
      <c r="U142" s="60" t="s">
        <v>109</v>
      </c>
      <c r="V142" s="47"/>
      <c r="W142" s="47"/>
      <c r="X142" s="49">
        <f>Portefeuille_MNT_PROGR_PREV[[#This Row],[AC 2024]]-Portefeuille_MNT_PROGR_PREV[[#This Row],[PREV AC 2024]]</f>
        <v>0</v>
      </c>
      <c r="Y142" s="49">
        <f>Portefeuille_MNT_PROGR_PREV[[#This Row],[TR 2024]]-Portefeuille_MNT_PROGR_PREV[[#This Row],[PREV TR 2024]]</f>
        <v>0</v>
      </c>
      <c r="Z142" s="49">
        <f>Portefeuille_MNT_PROGR_PREV[[#This Row],[ÉCART AC 2024]]+Portefeuille_MNT_PROGR_PREV[[#This Row],[ÉCART TR 2024]]</f>
        <v>0</v>
      </c>
      <c r="AA142" s="47"/>
      <c r="AB142" s="47"/>
      <c r="AC142" s="15"/>
      <c r="AD142" s="15"/>
      <c r="AE142" s="52">
        <f>Portefeuille_MNT_PROGR_PREV[[#This Row],[AC 2025]]-Portefeuille_MNT_PROGR_PREV[[#This Row],[PREV AC 2025]]</f>
        <v>0</v>
      </c>
      <c r="AF142" s="52">
        <f>Portefeuille_MNT_PROGR_PREV[[#This Row],[TR 2025]]-Portefeuille_MNT_PROGR_PREV[[#This Row],[PREV TR 2025]]</f>
        <v>0</v>
      </c>
      <c r="AG142" s="52">
        <f>Portefeuille_MNT_PROGR_PREV[[#This Row],[ÉCART AC 2025]]+Portefeuille_MNT_PROGR_PREV[[#This Row],[ÉCART TR 2025]]</f>
        <v>0</v>
      </c>
      <c r="AH142" s="15"/>
      <c r="AI142" s="15"/>
      <c r="AJ142" s="55"/>
      <c r="AK142" s="55"/>
      <c r="AL142" s="56">
        <f>Portefeuille_MNT_PROGR_PREV[[#This Row],[AC 2026]]-Portefeuille_MNT_PROGR_PREV[[#This Row],[PREV AC 2026]]</f>
        <v>0</v>
      </c>
      <c r="AM142" s="56">
        <f>Portefeuille_MNT_PROGR_PREV[[#This Row],[TR 2026]]-Portefeuille_MNT_PROGR_PREV[[#This Row],[PREV TR 2026]]</f>
        <v>300</v>
      </c>
      <c r="AN142" s="56">
        <f>Portefeuille_MNT_PROGR_PREV[[#This Row],[ÉCART AC 20262]]+Portefeuille_MNT_PROGR_PREV[[#This Row],[ÉCART TR 20263]]</f>
        <v>300</v>
      </c>
      <c r="AO142" s="55">
        <v>300</v>
      </c>
      <c r="AP142" s="55"/>
    </row>
    <row r="143" spans="1:74" hidden="1" x14ac:dyDescent="0.3">
      <c r="B143" t="s">
        <v>136</v>
      </c>
      <c r="E143" t="s">
        <v>20</v>
      </c>
      <c r="F143" t="s">
        <v>16</v>
      </c>
      <c r="G143" t="s">
        <v>131</v>
      </c>
      <c r="H143" t="s">
        <v>599</v>
      </c>
      <c r="I143" t="s">
        <v>638</v>
      </c>
      <c r="J143" t="s">
        <v>139</v>
      </c>
      <c r="M143" s="1"/>
      <c r="N143" s="1"/>
      <c r="P143" s="1"/>
      <c r="S143"/>
      <c r="U143" s="60" t="s">
        <v>148</v>
      </c>
      <c r="V143" s="47"/>
      <c r="W143" s="47"/>
      <c r="X143" s="49">
        <f>Portefeuille_MNT_PROGR_PREV[[#This Row],[AC 2024]]-Portefeuille_MNT_PROGR_PREV[[#This Row],[PREV AC 2024]]</f>
        <v>0</v>
      </c>
      <c r="Y143" s="49">
        <f>Portefeuille_MNT_PROGR_PREV[[#This Row],[TR 2024]]-Portefeuille_MNT_PROGR_PREV[[#This Row],[PREV TR 2024]]</f>
        <v>0</v>
      </c>
      <c r="Z143" s="49">
        <f>Portefeuille_MNT_PROGR_PREV[[#This Row],[ÉCART AC 2024]]+Portefeuille_MNT_PROGR_PREV[[#This Row],[ÉCART TR 2024]]</f>
        <v>0</v>
      </c>
      <c r="AA143" s="47"/>
      <c r="AB143" s="47"/>
      <c r="AC143" s="15"/>
      <c r="AD143" s="15"/>
      <c r="AE143" s="52">
        <f>Portefeuille_MNT_PROGR_PREV[[#This Row],[AC 2025]]-Portefeuille_MNT_PROGR_PREV[[#This Row],[PREV AC 2025]]</f>
        <v>0</v>
      </c>
      <c r="AF143" s="52">
        <f>Portefeuille_MNT_PROGR_PREV[[#This Row],[TR 2025]]-Portefeuille_MNT_PROGR_PREV[[#This Row],[PREV TR 2025]]</f>
        <v>0</v>
      </c>
      <c r="AG143" s="52">
        <f>Portefeuille_MNT_PROGR_PREV[[#This Row],[ÉCART AC 2025]]+Portefeuille_MNT_PROGR_PREV[[#This Row],[ÉCART TR 2025]]</f>
        <v>0</v>
      </c>
      <c r="AH143" s="15">
        <v>35</v>
      </c>
      <c r="AI143" s="15">
        <v>35</v>
      </c>
      <c r="AJ143" s="55"/>
      <c r="AK143" s="55"/>
      <c r="AL143" s="56">
        <f>Portefeuille_MNT_PROGR_PREV[[#This Row],[AC 2026]]-Portefeuille_MNT_PROGR_PREV[[#This Row],[PREV AC 2026]]</f>
        <v>0</v>
      </c>
      <c r="AM143" s="56">
        <f>Portefeuille_MNT_PROGR_PREV[[#This Row],[TR 2026]]-Portefeuille_MNT_PROGR_PREV[[#This Row],[PREV TR 2026]]</f>
        <v>0</v>
      </c>
      <c r="AN143" s="56">
        <f>Portefeuille_MNT_PROGR_PREV[[#This Row],[ÉCART AC 20262]]+Portefeuille_MNT_PROGR_PREV[[#This Row],[ÉCART TR 20263]]</f>
        <v>0</v>
      </c>
      <c r="AO143" s="55"/>
      <c r="AP143" s="55"/>
    </row>
    <row r="144" spans="1:74" x14ac:dyDescent="0.3">
      <c r="A144" t="s">
        <v>507</v>
      </c>
      <c r="H144">
        <f>SUBTOTAL(103,Portefeuille_MNT_PROGR_PREV[Numéro projet])</f>
        <v>13</v>
      </c>
      <c r="S144"/>
      <c r="U144" s="60"/>
      <c r="V144" s="47">
        <f>SUBTOTAL(109,Portefeuille_MNT_PROGR_PREV[AC 2024])</f>
        <v>731</v>
      </c>
      <c r="W144" s="47">
        <f>SUBTOTAL(109,Portefeuille_MNT_PROGR_PREV[PREV AC 2024])</f>
        <v>729</v>
      </c>
      <c r="X144" s="49">
        <f>SUBTOTAL(109,Portefeuille_MNT_PROGR_PREV[ÉCART AC 2024])</f>
        <v>2</v>
      </c>
      <c r="Y144" s="49">
        <f>SUBTOTAL(109,Portefeuille_MNT_PROGR_PREV[ÉCART TR 2024])</f>
        <v>2</v>
      </c>
      <c r="Z144" s="49">
        <f>SUBTOTAL(109,Portefeuille_MNT_PROGR_PREV[ÉCART TOTAL 2024])</f>
        <v>4</v>
      </c>
      <c r="AA144" s="47">
        <f>SUBTOTAL(109,Portefeuille_MNT_PROGR_PREV[TR 2024])</f>
        <v>5128</v>
      </c>
      <c r="AB144" s="47">
        <f>SUBTOTAL(109,Portefeuille_MNT_PROGR_PREV[PREV TR 2024])</f>
        <v>5126</v>
      </c>
      <c r="AC144" s="15">
        <f>SUBTOTAL(109,Portefeuille_MNT_PROGR_PREV[AC 2025])</f>
        <v>2376</v>
      </c>
      <c r="AD144" s="15">
        <f>SUBTOTAL(109,Portefeuille_MNT_PROGR_PREV[PREV AC 2025])</f>
        <v>2399</v>
      </c>
      <c r="AE144" s="52">
        <f>SUBTOTAL(109,Portefeuille_MNT_PROGR_PREV[ÉCART AC 2025])</f>
        <v>-23.000000000000227</v>
      </c>
      <c r="AF144" s="52">
        <f>SUBTOTAL(109,Portefeuille_MNT_PROGR_PREV[ÉCART TR 2025])</f>
        <v>56</v>
      </c>
      <c r="AG144" s="52">
        <f>SUBTOTAL(109,Portefeuille_MNT_PROGR_PREV[ÉCART TOTAL 2025])</f>
        <v>32.999999999999773</v>
      </c>
      <c r="AH144" s="15">
        <f>SUBTOTAL(109,Portefeuille_MNT_PROGR_PREV[TR 2025])</f>
        <v>1431</v>
      </c>
      <c r="AI144" s="15">
        <f>SUBTOTAL(109,Portefeuille_MNT_PROGR_PREV[PREV TR 2025])</f>
        <v>1375</v>
      </c>
      <c r="AJ144" s="55">
        <f>SUBTOTAL(109,Portefeuille_MNT_PROGR_PREV[AC 2026])</f>
        <v>1832</v>
      </c>
      <c r="AK144" s="55">
        <f>SUBTOTAL(109,Portefeuille_MNT_PROGR_PREV[PREV AC 2026])</f>
        <v>1885</v>
      </c>
      <c r="AL144" s="56">
        <f>SUBTOTAL(109,Portefeuille_MNT_PROGR_PREV[ÉCART AC 20262])</f>
        <v>-53</v>
      </c>
      <c r="AM144" s="56">
        <f>SUBTOTAL(109,Portefeuille_MNT_PROGR_PREV[ÉCART TR 20263])</f>
        <v>2.9999999999999432</v>
      </c>
      <c r="AN144" s="56">
        <f>SUBTOTAL(109,Portefeuille_MNT_PROGR_PREV[ÉCART TOTAL 20264])</f>
        <v>-50.000000000000057</v>
      </c>
      <c r="AO144" s="55">
        <f>SUBTOTAL(109,Portefeuille_MNT_PROGR_PREV[TR 2026])</f>
        <v>354.99999999999994</v>
      </c>
      <c r="AP144" s="55">
        <f>SUBTOTAL(109,Portefeuille_MNT_PROGR_PREV[PREV TR 2026])</f>
        <v>352</v>
      </c>
      <c r="AQ144">
        <f>SUBTOTAL(109,Portefeuille_MNT_PROGR_PREV[AC 2027])</f>
        <v>1975</v>
      </c>
      <c r="AR144">
        <f>SUBTOTAL(109,Portefeuille_MNT_PROGR_PREV[PREV AC 2027])</f>
        <v>1795</v>
      </c>
      <c r="AS144">
        <f>SUBTOTAL(109,Portefeuille_MNT_PROGR_PREV[TR 2027])</f>
        <v>9257</v>
      </c>
      <c r="AT144">
        <f>SUBTOTAL(109,Portefeuille_MNT_PROGR_PREV[PREV TR 2027])</f>
        <v>1612</v>
      </c>
      <c r="AU144">
        <f>SUBTOTAL(109,Portefeuille_MNT_PROGR_PREV[AC 2028])</f>
        <v>1484</v>
      </c>
      <c r="AV144">
        <f>SUBTOTAL(109,Portefeuille_MNT_PROGR_PREV[PREV AC 2028])</f>
        <v>1715</v>
      </c>
      <c r="AW144">
        <f>SUBTOTAL(109,Portefeuille_MNT_PROGR_PREV[TR 2028])</f>
        <v>12429</v>
      </c>
      <c r="AX144">
        <f>SUBTOTAL(109,Portefeuille_MNT_PROGR_PREV[PREV TR 2028])</f>
        <v>4928</v>
      </c>
      <c r="AY144">
        <f>SUBTOTAL(109,Portefeuille_MNT_PROGR_PREV[AC 2029])</f>
        <v>1512</v>
      </c>
      <c r="AZ144">
        <f>SUBTOTAL(109,Portefeuille_MNT_PROGR_PREV[PREV AC 2029])</f>
        <v>1412</v>
      </c>
      <c r="BA144">
        <f>SUBTOTAL(109,Portefeuille_MNT_PROGR_PREV[TR 2029])</f>
        <v>16207.000000000002</v>
      </c>
      <c r="BB144">
        <f>SUBTOTAL(109,Portefeuille_MNT_PROGR_PREV[PREV TR 2029])</f>
        <v>6712</v>
      </c>
      <c r="BC144">
        <f>SUBTOTAL(109,Portefeuille_MNT_PROGR_PREV[AC 2030])</f>
        <v>875</v>
      </c>
      <c r="BD144">
        <f>SUBTOTAL(109,Portefeuille_MNT_PROGR_PREV[PREV AC 2030])</f>
        <v>699</v>
      </c>
      <c r="BE144">
        <f>SUBTOTAL(109,Portefeuille_MNT_PROGR_PREV[TR 2030])</f>
        <v>26346</v>
      </c>
      <c r="BF144">
        <f>SUBTOTAL(109,Portefeuille_MNT_PROGR_PREV[PREV TR 2030])</f>
        <v>6848</v>
      </c>
      <c r="BG144">
        <f>SUBTOTAL(109,Portefeuille_MNT_PROGR_PREV[AC 2031])</f>
        <v>0</v>
      </c>
      <c r="BH144">
        <f>SUBTOTAL(109,Portefeuille_MNT_PROGR_PREV[PREV AC 2031])</f>
        <v>0</v>
      </c>
      <c r="BI144">
        <f>SUBTOTAL(109,Portefeuille_MNT_PROGR_PREV[TR 2031])</f>
        <v>0</v>
      </c>
      <c r="BJ144">
        <f>SUBTOTAL(109,Portefeuille_MNT_PROGR_PREV[PREV TR 2031])</f>
        <v>0</v>
      </c>
      <c r="BK144">
        <f>SUBTOTAL(109,Portefeuille_MNT_PROGR_PREV[AC 2032])</f>
        <v>0</v>
      </c>
      <c r="BL144">
        <f>SUBTOTAL(109,Portefeuille_MNT_PROGR_PREV[PREV AC 2032])</f>
        <v>0</v>
      </c>
      <c r="BM144">
        <f>SUBTOTAL(109,Portefeuille_MNT_PROGR_PREV[TR 2032])</f>
        <v>0</v>
      </c>
      <c r="BN144">
        <f>SUBTOTAL(109,Portefeuille_MNT_PROGR_PREV[PREV TR 2032])</f>
        <v>0</v>
      </c>
      <c r="BO144">
        <f>SUBTOTAL(109,Portefeuille_MNT_PROGR_PREV[AC 2033])</f>
        <v>0</v>
      </c>
      <c r="BP144">
        <f>SUBTOTAL(109,Portefeuille_MNT_PROGR_PREV[PREV AC 2033])</f>
        <v>0</v>
      </c>
      <c r="BQ144">
        <f>SUBTOTAL(109,Portefeuille_MNT_PROGR_PREV[TR 2033])</f>
        <v>0</v>
      </c>
      <c r="BR144">
        <f>SUBTOTAL(109,Portefeuille_MNT_PROGR_PREV[PREV TR 2033])</f>
        <v>0</v>
      </c>
      <c r="BS144">
        <f>SUBTOTAL(109,Portefeuille_MNT_PROGR_PREV[AC 2034])</f>
        <v>0</v>
      </c>
      <c r="BT144">
        <f>SUBTOTAL(109,Portefeuille_MNT_PROGR_PREV[PREV AC 2034])</f>
        <v>0</v>
      </c>
      <c r="BU144">
        <f>SUBTOTAL(109,Portefeuille_MNT_PROGR_PREV[TR 2034])</f>
        <v>0</v>
      </c>
      <c r="BV144">
        <f>SUBTOTAL(109,Portefeuille_MNT_PROGR_PREV[PREV TR 2034])</f>
        <v>0</v>
      </c>
    </row>
  </sheetData>
  <mergeCells count="21">
    <mergeCell ref="AQ1:AT1"/>
    <mergeCell ref="AU1:AX1"/>
    <mergeCell ref="AY1:BB1"/>
    <mergeCell ref="AQ2:AT2"/>
    <mergeCell ref="AQ3:AT3"/>
    <mergeCell ref="AU2:AX2"/>
    <mergeCell ref="AU3:AX3"/>
    <mergeCell ref="AY2:BB2"/>
    <mergeCell ref="AY3:BB3"/>
    <mergeCell ref="V4:Y4"/>
    <mergeCell ref="AC4:AF4"/>
    <mergeCell ref="AJ4:AM4"/>
    <mergeCell ref="V1:Y1"/>
    <mergeCell ref="AC1:AF1"/>
    <mergeCell ref="AJ1:AM1"/>
    <mergeCell ref="V2:Y2"/>
    <mergeCell ref="V3:Y3"/>
    <mergeCell ref="AC2:AF2"/>
    <mergeCell ref="AC3:AF3"/>
    <mergeCell ref="AJ2:AM2"/>
    <mergeCell ref="AJ3:AM3"/>
  </mergeCells>
  <phoneticPr fontId="14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8C24819B-960C-43D9-B26E-B495A9CAB83C}">
  <ds:schemaRefs>
    <ds:schemaRef ds:uri="http://gemini/pivotcustomization/TableXML_PPS_ACC_MONTN_PROG_TRV_MIN_72e72e0a-4ec7-4bf4-8474-db2f1bf1ab81"/>
  </ds:schemaRefs>
</ds:datastoreItem>
</file>

<file path=customXml/itemProps2.xml><?xml version="1.0" encoding="utf-8"?>
<ds:datastoreItem xmlns:ds="http://schemas.openxmlformats.org/officeDocument/2006/customXml" ds:itemID="{31FF7976-7894-413C-A240-410D0BD56F41}">
  <ds:schemaRefs/>
</ds:datastoreItem>
</file>

<file path=customXml/itemProps3.xml><?xml version="1.0" encoding="utf-8"?>
<ds:datastoreItem xmlns:ds="http://schemas.openxmlformats.org/officeDocument/2006/customXml" ds:itemID="{9F3D59E9-38FC-482F-BB98-E198C4651BD3}">
  <ds:schemaRefs>
    <ds:schemaRef ds:uri="http://gemini/pivotcustomization/TableXML_Portefeuille_ProgPropose_Actuel_3e0e6e66-37e2-4b20-8535-0c86158d8cc6"/>
  </ds:schemaRefs>
</ds:datastoreItem>
</file>

<file path=customXml/itemProps4.xml><?xml version="1.0" encoding="utf-8"?>
<ds:datastoreItem xmlns:ds="http://schemas.openxmlformats.org/officeDocument/2006/customXml" ds:itemID="{BEB1ADC0-106B-499F-8A9E-C737602F61FB}">
  <ds:schemaRefs>
    <ds:schemaRef ds:uri="http://gemini/pivotcustomization/TableXML_R_MNT_SFP_AGR_U_MNT_PPS_13_29b73339-1952-4d06-9d73-5f00015af2ab"/>
  </ds:schemaRefs>
</ds:datastoreItem>
</file>

<file path=customXml/itemProps5.xml><?xml version="1.0" encoding="utf-8"?>
<ds:datastoreItem xmlns:ds="http://schemas.openxmlformats.org/officeDocument/2006/customXml" ds:itemID="{BF01A18B-A1F5-4BF0-AD81-BDD3388861EE}">
  <ds:schemaRefs>
    <ds:schemaRef ds:uri="http://gemini/pivotcustomization/TableXML_PPS_ACC_MONTN_PROG_TRV_MAX_94546351-8acd-4c74-bae2-a436c37e041b"/>
  </ds:schemaRefs>
</ds:datastoreItem>
</file>

<file path=customXml/itemProps6.xml><?xml version="1.0" encoding="utf-8"?>
<ds:datastoreItem xmlns:ds="http://schemas.openxmlformats.org/officeDocument/2006/customXml" ds:itemID="{360E1899-0C69-4A6B-90AF-A209EE369E1F}">
  <ds:schemaRefs/>
</ds:datastoreItem>
</file>

<file path=customXml/itemProps7.xml><?xml version="1.0" encoding="utf-8"?>
<ds:datastoreItem xmlns:ds="http://schemas.openxmlformats.org/officeDocument/2006/customXml" ds:itemID="{88FA2559-31F5-476D-AD5B-F76EA8B002B8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1FB8D989-7BCE-417C-8483-823D8DB1BA1A}">
  <ds:schemaRefs>
    <ds:schemaRef ds:uri="http://gemini/pivotcustomization/TableXML_ProgProp_20241016_06f8b3fb-448d-4fba-966c-fe7bfefdb608"/>
  </ds:schemaRefs>
</ds:datastoreItem>
</file>

<file path=customXml/itemProps9.xml><?xml version="1.0" encoding="utf-8"?>
<ds:datastoreItem xmlns:ds="http://schemas.openxmlformats.org/officeDocument/2006/customXml" ds:itemID="{8C46F6F3-2307-42A1-95AC-473D09F748C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6a092a9-b59a-42c4-a3a1-1e695a8701f5}" enabled="0" method="" siteId="{a6a092a9-b59a-42c4-a3a1-1e695a8701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37</vt:i4>
      </vt:variant>
    </vt:vector>
  </HeadingPairs>
  <TitlesOfParts>
    <vt:vector size="37" baseType="lpstr">
      <vt:lpstr>Programmation 25-27_20241016</vt:lpstr>
      <vt:lpstr>ProgProp25-27_2024-11-13</vt:lpstr>
      <vt:lpstr>Planification 25-35_2024-12-18</vt:lpstr>
      <vt:lpstr>ProgProp25-27_2024-01-17</vt:lpstr>
      <vt:lpstr>ProgProp25-27_2025-02-10</vt:lpstr>
      <vt:lpstr>Planification 25-35_2025-02-10</vt:lpstr>
      <vt:lpstr>ProgInitial_25-27_2025-04-08</vt:lpstr>
      <vt:lpstr>Planification_25-35_2025-04-08</vt:lpstr>
      <vt:lpstr>ProgProp25-27_2025-03-31</vt:lpstr>
      <vt:lpstr>Planification_25-35_2025-03-31</vt:lpstr>
      <vt:lpstr>Travaux_2025_Maj_2025-07-08</vt:lpstr>
      <vt:lpstr>Travaux_2026_Maj_2025-07-08</vt:lpstr>
      <vt:lpstr>Travaux_2025_Maj_2025-04-24</vt:lpstr>
      <vt:lpstr>Travaux_2026_Maj_2025-04-24</vt:lpstr>
      <vt:lpstr>Portefeuille_MNT_PPS_2025-07-03</vt:lpstr>
      <vt:lpstr>Portefeuille_26-36_2025-07-03</vt:lpstr>
      <vt:lpstr>Préparation_2025</vt:lpstr>
      <vt:lpstr>Travaux_2025_2025-06-16</vt:lpstr>
      <vt:lpstr>Travaux_2025</vt:lpstr>
      <vt:lpstr>Travaux_2026</vt:lpstr>
      <vt:lpstr>Portefeuille_26-36_2025-09-03</vt:lpstr>
      <vt:lpstr>Portefeuille_MNT_PPS_2025-09-16</vt:lpstr>
      <vt:lpstr>Portefeuille_MNT_PPS_2025-09-17</vt:lpstr>
      <vt:lpstr>Portefeuille_MNT_PPS_2025-09-18</vt:lpstr>
      <vt:lpstr>Portefeuille_ProgProp25-27</vt:lpstr>
      <vt:lpstr>Portefeuille_MNT_PPS_2025-10-01</vt:lpstr>
      <vt:lpstr>Progr_Prop_26-28_2025-10-15</vt:lpstr>
      <vt:lpstr>Portefeuille_26-36_2025-10-15</vt:lpstr>
      <vt:lpstr>Programmation Proposée 26-28</vt:lpstr>
      <vt:lpstr>Instructions</vt:lpstr>
      <vt:lpstr>PROGRAMMATION 26-28</vt:lpstr>
      <vt:lpstr>PLANIFICATION 26-36</vt:lpstr>
      <vt:lpstr>PLANNIF</vt:lpstr>
      <vt:lpstr>Indice_État_Infra_26-28</vt:lpstr>
      <vt:lpstr>Projet_Annoncé_SCT</vt:lpstr>
      <vt:lpstr>État Infra et Priorité site</vt:lpstr>
      <vt:lpstr>Portefeuille_MNT_PROGR_PREV</vt:lpstr>
    </vt:vector>
  </TitlesOfParts>
  <Manager/>
  <Company>MINISTÈRE DES TRANSPORTS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Bourget, Guillaume</dc:creator>
  <cp:keywords/>
  <dc:description/>
  <cp:lastModifiedBy>Mannoubi, Khalil</cp:lastModifiedBy>
  <cp:revision/>
  <dcterms:created xsi:type="dcterms:W3CDTF">2024-06-25T15:20:41Z</dcterms:created>
  <dcterms:modified xsi:type="dcterms:W3CDTF">2026-02-12T18:15:21Z</dcterms:modified>
  <cp:category/>
  <cp:contentStatus/>
</cp:coreProperties>
</file>